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shbord" sheetId="1" r:id="rId4"/>
    <sheet state="visible" name="Uber Request Data" sheetId="2" r:id="rId5"/>
  </sheets>
  <definedNames/>
  <calcPr/>
  <pivotCaches>
    <pivotCache cacheId="0" r:id="rId6"/>
  </pivotCaches>
</workbook>
</file>

<file path=xl/sharedStrings.xml><?xml version="1.0" encoding="utf-8"?>
<sst xmlns="http://schemas.openxmlformats.org/spreadsheetml/2006/main" count="26839" uniqueCount="38">
  <si>
    <t>Uber Supply-Demand Gap Dashboard</t>
  </si>
  <si>
    <t xml:space="preserve">Insight: Trip completions are generally higher in the City, while the Airport sees more 'No Cars Available' cases, especially during Night and Early Morning. Cancellation rates peak in the City during Morning and Evening.
</t>
  </si>
  <si>
    <t>Insight: Cancellation rates peak in the Early Morning and Morning time slots, suggesting driver availability issues or high demand during these periods. Targeted incentives and optimized scheduling could help reduce cancellations.</t>
  </si>
  <si>
    <t>Time slot</t>
  </si>
  <si>
    <t>Airport-completed</t>
  </si>
  <si>
    <t>City-completed</t>
  </si>
  <si>
    <t>Airport-no cars</t>
  </si>
  <si>
    <t>City-on cars</t>
  </si>
  <si>
    <t>Airport-cancelled</t>
  </si>
  <si>
    <t>City-cancelled</t>
  </si>
  <si>
    <t>Afternoon</t>
  </si>
  <si>
    <t>Early Morning</t>
  </si>
  <si>
    <t>Evening</t>
  </si>
  <si>
    <t>Late Night</t>
  </si>
  <si>
    <t>Morning</t>
  </si>
  <si>
    <t>Night</t>
  </si>
  <si>
    <t>SUM of Is cancelled</t>
  </si>
  <si>
    <t>COUNTA of Request Id</t>
  </si>
  <si>
    <t>% Cancelled</t>
  </si>
  <si>
    <t>Grand Total</t>
  </si>
  <si>
    <t>Request Id</t>
  </si>
  <si>
    <t>Pickup point</t>
  </si>
  <si>
    <t>Driver id</t>
  </si>
  <si>
    <t>Status</t>
  </si>
  <si>
    <t>Request timestamp</t>
  </si>
  <si>
    <t>clean request timestamp</t>
  </si>
  <si>
    <t>request hour</t>
  </si>
  <si>
    <t>Drop timestamp</t>
  </si>
  <si>
    <t>clean drop timestamp</t>
  </si>
  <si>
    <t>Is cancelled</t>
  </si>
  <si>
    <t>Airport</t>
  </si>
  <si>
    <t>Trip Completed</t>
  </si>
  <si>
    <t>City</t>
  </si>
  <si>
    <t>Cancelled</t>
  </si>
  <si>
    <t>NA</t>
  </si>
  <si>
    <t>No Cars Available</t>
  </si>
  <si>
    <t/>
  </si>
  <si>
    <t xml:space="preserve">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</si>
</sst>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HH:mm:ss"/>
    <numFmt numFmtId="165" formatCode="d/m/yyyy hh:mm"/>
    <numFmt numFmtId="166" formatCode="dd-mm-yyyy hh:mm:ss"/>
  </numFmts>
  <fonts count="7">
    <font>
      <sz val="10.0"/>
      <color rgb="FF000000"/>
      <name val="Arial"/>
      <scheme val="minor"/>
    </font>
    <font>
      <b/>
      <sz val="20.0"/>
      <color theme="1"/>
      <name val="Arial"/>
      <scheme val="minor"/>
    </font>
    <font>
      <sz val="11.0"/>
      <color rgb="FF202124"/>
      <name val="Roboto"/>
    </font>
    <font/>
    <font>
      <sz val="13.0"/>
      <color theme="1"/>
      <name val="Arial"/>
      <scheme val="minor"/>
    </font>
    <font>
      <sz val="11.0"/>
      <color theme="1"/>
      <name val="Roboto"/>
    </font>
    <font>
      <color theme="1"/>
      <name val="Arial"/>
      <scheme val="minor"/>
    </font>
  </fonts>
  <fills count="3">
    <fill>
      <patternFill patternType="none"/>
    </fill>
    <fill>
      <patternFill patternType="lightGray"/>
    </fill>
    <fill>
      <patternFill patternType="solid">
        <fgColor rgb="FFF1F3F4"/>
        <bgColor rgb="FFF1F3F4"/>
      </patternFill>
    </fill>
  </fills>
  <borders count="15">
    <border/>
    <border>
      <left style="thin">
        <color rgb="FFCCCCCC"/>
      </left>
      <top style="thin">
        <color rgb="FFCCCCCC"/>
      </top>
    </border>
    <border>
      <top style="thin">
        <color rgb="FFCCCCCC"/>
      </top>
    </border>
    <border>
      <right style="thin">
        <color rgb="FFCCCCCC"/>
      </right>
      <top style="thin">
        <color rgb="FFCCCCCC"/>
      </top>
    </border>
    <border>
      <left style="thin">
        <color rgb="FFCCCCCC"/>
      </left>
      <bottom style="thin">
        <color rgb="FFCCCCCC"/>
      </bottom>
    </border>
    <border>
      <bottom style="thin">
        <color rgb="FFCCCCCC"/>
      </bottom>
    </border>
    <border>
      <right style="thin">
        <color rgb="FFCCCCCC"/>
      </right>
      <bottom style="thin">
        <color rgb="FFCCCCCC"/>
      </bottom>
    </border>
    <border>
      <left style="thin">
        <color rgb="FF666666"/>
      </left>
      <top style="thin">
        <color rgb="FF666666"/>
      </top>
    </border>
    <border>
      <top style="thin">
        <color rgb="FF666666"/>
      </top>
    </border>
    <border>
      <right style="thin">
        <color rgb="FF666666"/>
      </right>
      <top style="thin">
        <color rgb="FF666666"/>
      </top>
    </border>
    <border>
      <left style="thin">
        <color rgb="FF666666"/>
      </left>
    </border>
    <border>
      <right style="thin">
        <color rgb="FF666666"/>
      </right>
    </border>
    <border>
      <left style="thin">
        <color rgb="FF666666"/>
      </left>
      <bottom style="thin">
        <color rgb="FF666666"/>
      </bottom>
    </border>
    <border>
      <bottom style="thin">
        <color rgb="FF666666"/>
      </bottom>
    </border>
    <border>
      <right style="thin">
        <color rgb="FF666666"/>
      </right>
      <bottom style="thin">
        <color rgb="FF666666"/>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top" wrapText="1"/>
    </xf>
    <xf borderId="1" fillId="2" fontId="2" numFmtId="0" xfId="0" applyAlignment="1" applyBorder="1" applyFill="1" applyFont="1">
      <alignment readingOrder="0" shrinkToFit="0" vertical="top" wrapText="1"/>
    </xf>
    <xf borderId="2" fillId="0" fontId="3" numFmtId="0" xfId="0" applyBorder="1" applyFont="1"/>
    <xf borderId="3" fillId="0" fontId="3" numFmtId="0" xfId="0" applyBorder="1" applyFont="1"/>
    <xf borderId="4" fillId="0" fontId="3" numFmtId="0" xfId="0" applyBorder="1" applyFont="1"/>
    <xf borderId="5" fillId="0" fontId="3" numFmtId="0" xfId="0" applyBorder="1" applyFont="1"/>
    <xf borderId="6" fillId="0" fontId="3" numFmtId="0" xfId="0" applyBorder="1" applyFont="1"/>
    <xf borderId="0" fillId="0" fontId="4" numFmtId="0" xfId="0" applyAlignment="1" applyFont="1">
      <alignment readingOrder="0" shrinkToFit="0" vertical="top" wrapText="1"/>
    </xf>
    <xf borderId="7" fillId="2" fontId="5" numFmtId="0" xfId="0" applyAlignment="1" applyBorder="1" applyFont="1">
      <alignment readingOrder="0" shrinkToFit="0" vertical="top" wrapText="1"/>
    </xf>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0" fillId="0" fontId="6" numFmtId="0" xfId="0" applyAlignment="1" applyFont="1">
      <alignment readingOrder="0"/>
    </xf>
    <xf borderId="0" fillId="0" fontId="6" numFmtId="164" xfId="0" applyFont="1" applyNumberFormat="1"/>
    <xf borderId="0" fillId="0" fontId="6" numFmtId="0" xfId="0" applyFont="1"/>
    <xf borderId="0" fillId="0" fontId="6" numFmtId="10" xfId="0" applyAlignment="1" applyFont="1" applyNumberFormat="1">
      <alignment readingOrder="0"/>
    </xf>
    <xf borderId="0" fillId="0" fontId="6" numFmtId="49" xfId="0" applyFont="1" applyNumberFormat="1"/>
    <xf borderId="0" fillId="0" fontId="6" numFmtId="10" xfId="0" applyFont="1" applyNumberFormat="1"/>
    <xf borderId="0" fillId="0" fontId="6" numFmtId="164" xfId="0" applyAlignment="1" applyFont="1" applyNumberFormat="1">
      <alignment readingOrder="0"/>
    </xf>
    <xf borderId="0" fillId="0" fontId="6" numFmtId="49" xfId="0" applyAlignment="1" applyFont="1" applyNumberFormat="1">
      <alignment readingOrder="0"/>
    </xf>
    <xf borderId="0" fillId="0" fontId="6" numFmtId="165" xfId="0" applyAlignment="1" applyFont="1" applyNumberFormat="1">
      <alignment readingOrder="0"/>
    </xf>
    <xf borderId="0" fillId="0" fontId="6"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pivotCacheDefinition" Target="pivotCache/pivotCacheDefinition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800">
                <a:solidFill>
                  <a:srgbClr val="5F6368"/>
                </a:solidFill>
                <a:latin typeface="Roboto"/>
              </a:defRPr>
            </a:pPr>
            <a:r>
              <a:rPr b="1" sz="1800">
                <a:solidFill>
                  <a:srgbClr val="5F6368"/>
                </a:solidFill>
                <a:latin typeface="Roboto"/>
              </a:rPr>
              <a:t>Request Status by Time Slot – City vs Airport</a:t>
            </a:r>
          </a:p>
        </c:rich>
      </c:tx>
      <c:overlay val="0"/>
    </c:title>
    <c:plotArea>
      <c:layout/>
      <c:barChart>
        <c:barDir val="col"/>
        <c:grouping val="stacked"/>
        <c:ser>
          <c:idx val="0"/>
          <c:order val="0"/>
          <c:tx>
            <c:strRef>
              <c:f>Dashbord!$B$156</c:f>
            </c:strRef>
          </c:tx>
          <c:spPr>
            <a:solidFill>
              <a:srgbClr val="A8DAB5"/>
            </a:solidFill>
            <a:ln cmpd="sng">
              <a:solidFill>
                <a:srgbClr val="000000"/>
              </a:solidFill>
            </a:ln>
          </c:spPr>
          <c:cat>
            <c:strRef>
              <c:f>Dashbord!$A$157:$A$162</c:f>
            </c:strRef>
          </c:cat>
          <c:val>
            <c:numRef>
              <c:f>Dashbord!$B$157:$B$162</c:f>
              <c:numCache/>
            </c:numRef>
          </c:val>
        </c:ser>
        <c:ser>
          <c:idx val="1"/>
          <c:order val="1"/>
          <c:tx>
            <c:strRef>
              <c:f>Dashbord!$C$156</c:f>
            </c:strRef>
          </c:tx>
          <c:spPr>
            <a:solidFill>
              <a:srgbClr val="34A853"/>
            </a:solidFill>
            <a:ln cmpd="sng">
              <a:solidFill>
                <a:srgbClr val="000000"/>
              </a:solidFill>
            </a:ln>
          </c:spPr>
          <c:cat>
            <c:strRef>
              <c:f>Dashbord!$A$157:$A$162</c:f>
            </c:strRef>
          </c:cat>
          <c:val>
            <c:numRef>
              <c:f>Dashbord!$C$157:$C$162</c:f>
              <c:numCache/>
            </c:numRef>
          </c:val>
        </c:ser>
        <c:ser>
          <c:idx val="2"/>
          <c:order val="2"/>
          <c:tx>
            <c:strRef>
              <c:f>Dashbord!$D$156</c:f>
            </c:strRef>
          </c:tx>
          <c:spPr>
            <a:solidFill>
              <a:srgbClr val="FFE7AC"/>
            </a:solidFill>
            <a:ln cmpd="sng">
              <a:solidFill>
                <a:srgbClr val="000000"/>
              </a:solidFill>
            </a:ln>
          </c:spPr>
          <c:cat>
            <c:strRef>
              <c:f>Dashbord!$A$157:$A$162</c:f>
            </c:strRef>
          </c:cat>
          <c:val>
            <c:numRef>
              <c:f>Dashbord!$D$157:$D$162</c:f>
              <c:numCache/>
            </c:numRef>
          </c:val>
        </c:ser>
        <c:ser>
          <c:idx val="3"/>
          <c:order val="3"/>
          <c:tx>
            <c:strRef>
              <c:f>Dashbord!$E$156</c:f>
            </c:strRef>
          </c:tx>
          <c:spPr>
            <a:solidFill>
              <a:srgbClr val="FBBC05"/>
            </a:solidFill>
            <a:ln cmpd="sng">
              <a:solidFill>
                <a:srgbClr val="000000"/>
              </a:solidFill>
            </a:ln>
          </c:spPr>
          <c:cat>
            <c:strRef>
              <c:f>Dashbord!$A$157:$A$162</c:f>
            </c:strRef>
          </c:cat>
          <c:val>
            <c:numRef>
              <c:f>Dashbord!$E$157:$E$162</c:f>
              <c:numCache/>
            </c:numRef>
          </c:val>
        </c:ser>
        <c:ser>
          <c:idx val="4"/>
          <c:order val="4"/>
          <c:tx>
            <c:strRef>
              <c:f>Dashbord!$F$156</c:f>
            </c:strRef>
          </c:tx>
          <c:spPr>
            <a:solidFill>
              <a:srgbClr val="F4BABA"/>
            </a:solidFill>
            <a:ln cmpd="sng">
              <a:solidFill>
                <a:srgbClr val="000000"/>
              </a:solidFill>
            </a:ln>
          </c:spPr>
          <c:cat>
            <c:strRef>
              <c:f>Dashbord!$A$157:$A$162</c:f>
            </c:strRef>
          </c:cat>
          <c:val>
            <c:numRef>
              <c:f>Dashbord!$F$157:$F$162</c:f>
              <c:numCache/>
            </c:numRef>
          </c:val>
        </c:ser>
        <c:ser>
          <c:idx val="5"/>
          <c:order val="5"/>
          <c:tx>
            <c:strRef>
              <c:f>Dashbord!$G$156</c:f>
            </c:strRef>
          </c:tx>
          <c:spPr>
            <a:solidFill>
              <a:srgbClr val="EA4335"/>
            </a:solidFill>
            <a:ln cmpd="sng">
              <a:solidFill>
                <a:srgbClr val="000000"/>
              </a:solidFill>
            </a:ln>
          </c:spPr>
          <c:cat>
            <c:strRef>
              <c:f>Dashbord!$A$157:$A$162</c:f>
            </c:strRef>
          </c:cat>
          <c:val>
            <c:numRef>
              <c:f>Dashbord!$G$157:$G$162</c:f>
              <c:numCache/>
            </c:numRef>
          </c:val>
        </c:ser>
        <c:overlap val="100"/>
        <c:axId val="2101391924"/>
        <c:axId val="1126359662"/>
      </c:barChart>
      <c:catAx>
        <c:axId val="210139192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Time slot</a:t>
                </a:r>
              </a:p>
            </c:rich>
          </c:tx>
          <c:overlay val="0"/>
        </c:title>
        <c:numFmt formatCode="General" sourceLinked="1"/>
        <c:majorTickMark val="none"/>
        <c:minorTickMark val="none"/>
        <c:spPr/>
        <c:txPr>
          <a:bodyPr/>
          <a:lstStyle/>
          <a:p>
            <a:pPr lvl="0">
              <a:defRPr b="0" sz="1200">
                <a:solidFill>
                  <a:srgbClr val="000000"/>
                </a:solidFill>
                <a:latin typeface="Roboto"/>
              </a:defRPr>
            </a:pPr>
          </a:p>
        </c:txPr>
        <c:crossAx val="1126359662"/>
      </c:catAx>
      <c:valAx>
        <c:axId val="112635966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sz="1200">
                <a:solidFill>
                  <a:srgbClr val="000000"/>
                </a:solidFill>
                <a:latin typeface="Roboto"/>
              </a:defRPr>
            </a:pPr>
          </a:p>
        </c:txPr>
        <c:crossAx val="2101391924"/>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800">
                <a:solidFill>
                  <a:srgbClr val="5F6368"/>
                </a:solidFill>
                <a:latin typeface="Roboto"/>
              </a:defRPr>
            </a:pPr>
            <a:r>
              <a:rPr b="1" sz="1800">
                <a:solidFill>
                  <a:srgbClr val="5F6368"/>
                </a:solidFill>
                <a:latin typeface="Roboto"/>
              </a:rPr>
              <a:t>Cancellation Rate by Time slot</a:t>
            </a:r>
          </a:p>
        </c:rich>
      </c:tx>
      <c:overlay val="0"/>
    </c:title>
    <c:plotArea>
      <c:layout/>
      <c:lineChart>
        <c:varyColors val="0"/>
        <c:ser>
          <c:idx val="0"/>
          <c:order val="0"/>
          <c:tx>
            <c:strRef>
              <c:f>Dashbord!$D$165</c:f>
            </c:strRef>
          </c:tx>
          <c:spPr>
            <a:ln cmpd="sng">
              <a:solidFill>
                <a:schemeClr val="accent2"/>
              </a:solidFill>
            </a:ln>
          </c:spPr>
          <c:marker>
            <c:symbol val="circle"/>
            <c:size val="10"/>
            <c:spPr>
              <a:solidFill>
                <a:schemeClr val="accent2"/>
              </a:solidFill>
              <a:ln cmpd="sng">
                <a:solidFill>
                  <a:schemeClr val="accent2"/>
                </a:solidFill>
              </a:ln>
            </c:spPr>
          </c:marker>
          <c:cat>
            <c:strRef>
              <c:f>Dashbord!$A$166:$A$171</c:f>
            </c:strRef>
          </c:cat>
          <c:val>
            <c:numRef>
              <c:f>Dashbord!$D$166:$D$171</c:f>
              <c:numCache/>
            </c:numRef>
          </c:val>
          <c:smooth val="0"/>
        </c:ser>
        <c:axId val="1034370899"/>
        <c:axId val="596073614"/>
      </c:lineChart>
      <c:catAx>
        <c:axId val="103437089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Time slot</a:t>
                </a:r>
              </a:p>
            </c:rich>
          </c:tx>
          <c:overlay val="0"/>
        </c:title>
        <c:numFmt formatCode="General" sourceLinked="1"/>
        <c:majorTickMark val="none"/>
        <c:minorTickMark val="none"/>
        <c:spPr/>
        <c:txPr>
          <a:bodyPr/>
          <a:lstStyle/>
          <a:p>
            <a:pPr lvl="0">
              <a:defRPr b="0" sz="1200">
                <a:solidFill>
                  <a:srgbClr val="000000"/>
                </a:solidFill>
                <a:latin typeface="Roboto"/>
              </a:defRPr>
            </a:pPr>
          </a:p>
        </c:txPr>
        <c:crossAx val="596073614"/>
      </c:catAx>
      <c:valAx>
        <c:axId val="59607361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Cancelled</a:t>
                </a:r>
              </a:p>
            </c:rich>
          </c:tx>
          <c:overlay val="0"/>
        </c:title>
        <c:numFmt formatCode="General" sourceLinked="1"/>
        <c:majorTickMark val="none"/>
        <c:minorTickMark val="none"/>
        <c:tickLblPos val="nextTo"/>
        <c:spPr>
          <a:ln/>
        </c:spPr>
        <c:txPr>
          <a:bodyPr/>
          <a:lstStyle/>
          <a:p>
            <a:pPr lvl="0">
              <a:defRPr b="0" sz="1200">
                <a:solidFill>
                  <a:srgbClr val="000000"/>
                </a:solidFill>
                <a:latin typeface="Roboto"/>
              </a:defRPr>
            </a:pPr>
          </a:p>
        </c:txPr>
        <c:crossAx val="1034370899"/>
      </c:valAx>
    </c:plotArea>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800">
                <a:solidFill>
                  <a:srgbClr val="5F6368"/>
                </a:solidFill>
                <a:latin typeface="Roboto"/>
              </a:defRPr>
            </a:pPr>
            <a:r>
              <a:rPr b="1" sz="1800">
                <a:solidFill>
                  <a:srgbClr val="5F6368"/>
                </a:solidFill>
                <a:latin typeface="Roboto"/>
              </a:rPr>
              <a:t>Cancellation Rate by Time slot</a:t>
            </a:r>
          </a:p>
        </c:rich>
      </c:tx>
      <c:overlay val="0"/>
    </c:title>
    <c:plotArea>
      <c:layout/>
      <c:lineChart>
        <c:varyColors val="0"/>
        <c:ser>
          <c:idx val="0"/>
          <c:order val="0"/>
          <c:tx>
            <c:strRef>
              <c:f>Dashbord!$D$165</c:f>
            </c:strRef>
          </c:tx>
          <c:spPr>
            <a:ln cmpd="sng">
              <a:solidFill>
                <a:schemeClr val="accent2"/>
              </a:solidFill>
            </a:ln>
          </c:spPr>
          <c:marker>
            <c:symbol val="circle"/>
            <c:size val="10"/>
            <c:spPr>
              <a:solidFill>
                <a:schemeClr val="accent2"/>
              </a:solidFill>
              <a:ln cmpd="sng">
                <a:solidFill>
                  <a:schemeClr val="accent2"/>
                </a:solidFill>
              </a:ln>
            </c:spPr>
          </c:marker>
          <c:cat>
            <c:strRef>
              <c:f>Dashbord!$A$166:$A$171</c:f>
            </c:strRef>
          </c:cat>
          <c:val>
            <c:numRef>
              <c:f>Dashbord!$D$166:$D$171</c:f>
              <c:numCache/>
            </c:numRef>
          </c:val>
          <c:smooth val="0"/>
        </c:ser>
        <c:axId val="1278130547"/>
        <c:axId val="1681748987"/>
      </c:lineChart>
      <c:catAx>
        <c:axId val="127813054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Time slot</a:t>
                </a:r>
              </a:p>
            </c:rich>
          </c:tx>
          <c:overlay val="0"/>
        </c:title>
        <c:numFmt formatCode="General" sourceLinked="1"/>
        <c:majorTickMark val="none"/>
        <c:minorTickMark val="none"/>
        <c:spPr/>
        <c:txPr>
          <a:bodyPr/>
          <a:lstStyle/>
          <a:p>
            <a:pPr lvl="0">
              <a:defRPr b="0" sz="1200">
                <a:solidFill>
                  <a:srgbClr val="000000"/>
                </a:solidFill>
                <a:latin typeface="Roboto"/>
              </a:defRPr>
            </a:pPr>
          </a:p>
        </c:txPr>
        <c:crossAx val="1681748987"/>
      </c:catAx>
      <c:valAx>
        <c:axId val="168174898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Cancelled</a:t>
                </a:r>
              </a:p>
            </c:rich>
          </c:tx>
          <c:overlay val="0"/>
        </c:title>
        <c:numFmt formatCode="General" sourceLinked="1"/>
        <c:majorTickMark val="none"/>
        <c:minorTickMark val="none"/>
        <c:tickLblPos val="nextTo"/>
        <c:spPr>
          <a:ln/>
        </c:spPr>
        <c:txPr>
          <a:bodyPr/>
          <a:lstStyle/>
          <a:p>
            <a:pPr lvl="0">
              <a:defRPr b="0" sz="1200">
                <a:solidFill>
                  <a:srgbClr val="000000"/>
                </a:solidFill>
                <a:latin typeface="Roboto"/>
              </a:defRPr>
            </a:pPr>
          </a:p>
        </c:txPr>
        <c:crossAx val="1278130547"/>
      </c:valAx>
    </c:plotArea>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xdr:row>
      <xdr:rowOff>190500</xdr:rowOff>
    </xdr:from>
    <xdr:ext cx="6877050" cy="37338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0</xdr:colOff>
      <xdr:row>156</xdr:row>
      <xdr:rowOff>200025</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0</xdr:colOff>
      <xdr:row>30</xdr:row>
      <xdr:rowOff>0</xdr:rowOff>
    </xdr:from>
    <xdr:ext cx="6877050" cy="43338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K6746" sheet="Uber Request Data"/>
  </cacheSource>
  <cacheFields>
    <cacheField name="Request Id" numFmtId="0">
      <sharedItems containsSemiMixedTypes="0" containsString="0" containsNumber="1" containsInteger="1">
        <n v="619.0"/>
        <n v="867.0"/>
        <n v="1807.0"/>
        <n v="2532.0"/>
        <n v="3112.0"/>
        <n v="3879.0"/>
        <n v="4270.0"/>
        <n v="5510.0"/>
        <n v="6248.0"/>
        <n v="267.0"/>
        <n v="1467.0"/>
        <n v="1983.0"/>
        <n v="2784.0"/>
        <n v="3075.0"/>
        <n v="3379.0"/>
        <n v="3482.0"/>
        <n v="4652.0"/>
        <n v="5335.0"/>
        <n v="535.0"/>
        <n v="960.0"/>
        <n v="1934.0"/>
        <n v="2083.0"/>
        <n v="2211.0"/>
        <n v="3096.0"/>
        <n v="3881.0"/>
        <n v="5254.0"/>
        <n v="5434.0"/>
        <n v="5916.0"/>
        <n v="669.0"/>
        <n v="1567.0"/>
        <n v="1826.0"/>
        <n v="2102.0"/>
        <n v="2847.0"/>
        <n v="3722.0"/>
        <n v="4075.0"/>
        <n v="4686.0"/>
        <n v="5771.0"/>
        <n v="6106.0"/>
        <n v="312.0"/>
        <n v="577.0"/>
        <n v="1179.0"/>
        <n v="1756.0"/>
        <n v="2052.0"/>
        <n v="2559.0"/>
        <n v="3014.0"/>
        <n v="3317.0"/>
        <n v="4297.0"/>
        <n v="5857.0"/>
        <n v="6690.0"/>
        <n v="1517.0"/>
        <n v="1999.0"/>
        <n v="2960.0"/>
        <n v="3882.0"/>
        <n v="4081.0"/>
        <n v="4740.0"/>
        <n v="5270.0"/>
        <n v="6758.0"/>
        <n v="5741.0"/>
        <n v="6087.0"/>
        <n v="1039.0"/>
        <n v="1273.0"/>
        <n v="2480.0"/>
        <n v="4105.0"/>
        <n v="4509.0"/>
        <n v="4986.0"/>
        <n v="5898.0"/>
        <n v="6142.0"/>
        <n v="380.0"/>
        <n v="1050.0"/>
        <n v="1769.0"/>
        <n v="2520.0"/>
        <n v="3265.0"/>
        <n v="4648.0"/>
        <n v="449.0"/>
        <n v="846.0"/>
        <n v="1346.0"/>
        <n v="1474.0"/>
        <n v="2240.0"/>
        <n v="3072.0"/>
        <n v="3459.0"/>
        <n v="3774.0"/>
        <n v="4023.0"/>
        <n v="4117.0"/>
        <n v="4880.0"/>
        <n v="5568.0"/>
        <n v="5994.0"/>
        <n v="1809.0"/>
        <n v="2064.0"/>
        <n v="3210.0"/>
        <n v="4350.0"/>
        <n v="4713.0"/>
        <n v="5629.0"/>
        <n v="6157.0"/>
        <n v="2030.0"/>
        <n v="3226.0"/>
        <n v="3353.0"/>
        <n v="4293.0"/>
        <n v="4936.0"/>
        <n v="5661.0"/>
        <n v="5778.0"/>
        <n v="6425.0"/>
        <n v="45.0"/>
        <n v="264.0"/>
        <n v="1183.0"/>
        <n v="1536.0"/>
        <n v="2437.0"/>
        <n v="2641.0"/>
        <n v="4077.0"/>
        <n v="4610.0"/>
        <n v="5066.0"/>
        <n v="5666.0"/>
        <n v="5923.0"/>
        <n v="6367.0"/>
        <n v="155.0"/>
        <n v="310.0"/>
        <n v="607.0"/>
        <n v="1012.0"/>
        <n v="1696.0"/>
        <n v="3076.0"/>
        <n v="4198.0"/>
        <n v="4627.0"/>
        <n v="5289.0"/>
        <n v="5495.0"/>
        <n v="6656.0"/>
        <n v="139.0"/>
        <n v="215.0"/>
        <n v="1816.0"/>
        <n v="2505.0"/>
        <n v="3346.0"/>
        <n v="5294.0"/>
        <n v="6226.0"/>
        <n v="6733.0"/>
        <n v="1027.0"/>
        <n v="2675.0"/>
        <n v="3200.0"/>
        <n v="3865.0"/>
        <n v="4468.0"/>
        <n v="5163.0"/>
        <n v="6009.0"/>
        <n v="6448.0"/>
        <n v="591.0"/>
        <n v="709.0"/>
        <n v="1167.0"/>
        <n v="2661.0"/>
        <n v="2808.0"/>
        <n v="3258.0"/>
        <n v="3413.0"/>
        <n v="3939.0"/>
        <n v="4125.0"/>
        <n v="4457.0"/>
        <n v="4728.0"/>
        <n v="5347.0"/>
        <n v="6147.0"/>
        <n v="6496.0"/>
        <n v="634.0"/>
        <n v="939.0"/>
        <n v="2628.0"/>
        <n v="3021.0"/>
        <n v="4743.0"/>
        <n v="4981.0"/>
        <n v="5367.0"/>
        <n v="5471.0"/>
        <n v="5988.0"/>
        <n v="6477.0"/>
        <n v="499.0"/>
        <n v="1147.0"/>
        <n v="1410.0"/>
        <n v="1804.0"/>
        <n v="1949.0"/>
        <n v="2713.0"/>
        <n v="2845.0"/>
        <n v="3943.0"/>
        <n v="4792.0"/>
        <n v="5207.0"/>
        <n v="5890.0"/>
        <n v="494.0"/>
        <n v="1485.0"/>
        <n v="2042.0"/>
        <n v="2561.0"/>
        <n v="3813.0"/>
        <n v="4260.0"/>
        <n v="4395.0"/>
        <n v="5919.0"/>
        <n v="6002.0"/>
        <n v="468.0"/>
        <n v="693.0"/>
        <n v="1178.0"/>
        <n v="2103.0"/>
        <n v="2292.0"/>
        <n v="3339.0"/>
        <n v="3694.0"/>
        <n v="4469.0"/>
        <n v="6432.0"/>
        <n v="1895.0"/>
        <n v="1981.0"/>
        <n v="3744.0"/>
        <n v="4433.0"/>
        <n v="6039.0"/>
        <n v="6543.0"/>
        <n v="110.0"/>
        <n v="362.0"/>
        <n v="666.0"/>
        <n v="926.0"/>
        <n v="1180.0"/>
        <n v="1900.0"/>
        <n v="2506.0"/>
        <n v="3064.0"/>
        <n v="3327.0"/>
        <n v="3601.0"/>
        <n v="4768.0"/>
        <n v="5142.0"/>
        <n v="5366.0"/>
        <n v="5575.0"/>
        <n v="5902.0"/>
        <n v="6694.0"/>
        <n v="523.0"/>
        <n v="747.0"/>
        <n v="1371.0"/>
        <n v="1553.0"/>
        <n v="1692.0"/>
        <n v="2114.0"/>
        <n v="2742.0"/>
        <n v="4273.0"/>
        <n v="4668.0"/>
        <n v="5425.0"/>
        <n v="5488.0"/>
        <n v="5781.0"/>
        <n v="5966.0"/>
        <n v="6122.0"/>
        <n v="357.0"/>
        <n v="1068.0"/>
        <n v="2689.0"/>
        <n v="2791.0"/>
        <n v="3321.0"/>
        <n v="3423.0"/>
        <n v="3761.0"/>
        <n v="4140.0"/>
        <n v="4656.0"/>
        <n v="4931.0"/>
        <n v="5268.0"/>
        <n v="5811.0"/>
        <n v="6139.0"/>
        <n v="6333.0"/>
        <n v="773.0"/>
        <n v="1123.0"/>
        <n v="2667.0"/>
        <n v="2833.0"/>
        <n v="3396.0"/>
        <n v="3590.0"/>
        <n v="3762.0"/>
        <n v="4566.0"/>
        <n v="4862.0"/>
        <n v="5564.0"/>
        <n v="6187.0"/>
        <n v="6642.0"/>
        <n v="322.0"/>
        <n v="793.0"/>
        <n v="898.0"/>
        <n v="1258.0"/>
        <n v="2832.0"/>
        <n v="3139.0"/>
        <n v="3438.0"/>
        <n v="3966.0"/>
        <n v="6401.0"/>
        <n v="204.0"/>
        <n v="632.0"/>
        <n v="763.0"/>
        <n v="1786.0"/>
        <n v="1968.0"/>
        <n v="2088.0"/>
        <n v="2473.0"/>
        <n v="2869.0"/>
        <n v="3742.0"/>
        <n v="4440.0"/>
        <n v="5234.0"/>
        <n v="6354.0"/>
        <n v="6638.0"/>
        <n v="84.0"/>
        <n v="1199.0"/>
        <n v="1676.0"/>
        <n v="2774.0"/>
        <n v="3220.0"/>
        <n v="3718.0"/>
        <n v="4904.0"/>
        <n v="6527.0"/>
        <n v="6710.0"/>
        <n v="1584.0"/>
        <n v="1966.0"/>
        <n v="2827.0"/>
        <n v="2945.0"/>
        <n v="3365.0"/>
        <n v="3548.0"/>
        <n v="3753.0"/>
        <n v="4569.0"/>
        <n v="6309.0"/>
        <n v="6437.0"/>
        <n v="517.0"/>
        <n v="1406.0"/>
        <n v="1643.0"/>
        <n v="2108.0"/>
        <n v="2647.0"/>
        <n v="3129.0"/>
        <n v="3738.0"/>
        <n v="4422.0"/>
        <n v="4790.0"/>
        <n v="5496.0"/>
        <n v="6484.0"/>
        <n v="6731.0"/>
        <n v="629.0"/>
        <n v="745.0"/>
        <n v="1064.0"/>
        <n v="1886.0"/>
        <n v="5608.0"/>
        <n v="5877.0"/>
        <n v="6100.0"/>
        <n v="6659.0"/>
        <n v="2162.0"/>
        <n v="3294.0"/>
        <n v="3686.0"/>
        <n v="4784.0"/>
        <n v="5896.0"/>
        <n v="6190.0"/>
        <n v="6551.0"/>
        <n v="145.0"/>
        <n v="735.0"/>
        <n v="918.0"/>
        <n v="1478.0"/>
        <n v="1957.0"/>
        <n v="3097.0"/>
        <n v="3981.0"/>
        <n v="4175.0"/>
        <n v="6237.0"/>
        <n v="738.0"/>
        <n v="2731.0"/>
        <n v="2863.0"/>
        <n v="3528.0"/>
        <n v="4653.0"/>
        <n v="5042.0"/>
        <n v="360.0"/>
        <n v="771.0"/>
        <n v="1274.0"/>
        <n v="1501.0"/>
        <n v="1972.0"/>
        <n v="2871.0"/>
        <n v="3395.0"/>
        <n v="3572.0"/>
        <n v="4118.0"/>
        <n v="4739.0"/>
        <n v="6556.0"/>
        <n v="6677.0"/>
        <n v="1104.0"/>
        <n v="1596.0"/>
        <n v="1835.0"/>
        <n v="2110.0"/>
        <n v="2759.0"/>
        <n v="3010.0"/>
        <n v="3403.0"/>
        <n v="3856.0"/>
        <n v="4472.0"/>
        <n v="5199.0"/>
        <n v="5612.0"/>
        <n v="6614.0"/>
        <n v="191.0"/>
        <n v="333.0"/>
        <n v="488.0"/>
        <n v="1780.0"/>
        <n v="2235.0"/>
        <n v="2516.0"/>
        <n v="4209.0"/>
        <n v="4726.0"/>
        <n v="5088.0"/>
        <n v="5352.0"/>
        <n v="6024.0"/>
        <n v="6196.0"/>
        <n v="6297.0"/>
        <n v="125.0"/>
        <n v="1611.0"/>
        <n v="1814.0"/>
        <n v="3088.0"/>
        <n v="3384.0"/>
        <n v="4218.0"/>
        <n v="5757.0"/>
        <n v="5958.0"/>
        <n v="6314.0"/>
        <n v="249.0"/>
        <n v="728.0"/>
        <n v="3042.0"/>
        <n v="3620.0"/>
        <n v="4276.0"/>
        <n v="4735.0"/>
        <n v="1353.0"/>
        <n v="1568.0"/>
        <n v="2465.0"/>
        <n v="3688.0"/>
        <n v="4727.0"/>
        <n v="5348.0"/>
        <n v="6537.0"/>
        <n v="1941.0"/>
        <n v="3766.0"/>
        <n v="4243.0"/>
        <n v="4717.0"/>
        <n v="5682.0"/>
        <n v="6343.0"/>
        <n v="6726.0"/>
        <n v="238.0"/>
        <n v="2624.0"/>
        <n v="2787.0"/>
        <n v="3992.0"/>
        <n v="4974.0"/>
        <n v="5478.0"/>
        <n v="5641.0"/>
        <n v="128.0"/>
        <n v="627.0"/>
        <n v="1766.0"/>
        <n v="2089.0"/>
        <n v="3565.0"/>
        <n v="3954.0"/>
        <n v="4204.0"/>
        <n v="4651.0"/>
        <n v="5814.0"/>
        <n v="6062.0"/>
        <n v="118.0"/>
        <n v="339.0"/>
        <n v="766.0"/>
        <n v="1133.0"/>
        <n v="2458.0"/>
        <n v="3060.0"/>
        <n v="3653.0"/>
        <n v="4321.0"/>
        <n v="5672.0"/>
        <n v="1698.0"/>
        <n v="2098.0"/>
        <n v="2733.0"/>
        <n v="2917.0"/>
        <n v="3151.0"/>
        <n v="3358.0"/>
        <n v="5435.0"/>
        <n v="5717.0"/>
        <n v="635.0"/>
        <n v="1275.0"/>
        <n v="1562.0"/>
        <n v="2908.0"/>
        <n v="3414.0"/>
        <n v="3638.0"/>
        <n v="5132.0"/>
        <n v="5422.0"/>
        <n v="5724.0"/>
        <n v="6026.0"/>
        <n v="6416.0"/>
        <n v="995.0"/>
        <n v="1771.0"/>
        <n v="2729.0"/>
        <n v="3416.0"/>
        <n v="4286.0"/>
        <n v="5012.0"/>
        <n v="6761.0"/>
        <n v="5638.0"/>
        <n v="6191.0"/>
        <n v="443.0"/>
        <n v="1299.0"/>
        <n v="1637.0"/>
        <n v="2099.0"/>
        <n v="2349.0"/>
        <n v="3081.0"/>
        <n v="3555.0"/>
        <n v="3798.0"/>
        <n v="3982.0"/>
        <n v="4082.0"/>
        <n v="4672.0"/>
        <n v="4937.0"/>
        <n v="5594.0"/>
        <n v="540.0"/>
        <n v="1533.0"/>
        <n v="2359.0"/>
        <n v="2603.0"/>
        <n v="2965.0"/>
        <n v="4002.0"/>
        <n v="4364.0"/>
        <n v="4614.0"/>
        <n v="5235.0"/>
        <n v="5979.0"/>
        <n v="6145.0"/>
        <n v="6363.0"/>
        <n v="2481.0"/>
        <n v="3328.0"/>
        <n v="3908.0"/>
        <n v="4416.0"/>
        <n v="4966.0"/>
        <n v="5243.0"/>
        <n v="5697.0"/>
        <n v="5864.0"/>
        <n v="6530.0"/>
        <n v="686.0"/>
        <n v="777.0"/>
        <n v="1455.0"/>
        <n v="1906.0"/>
        <n v="2432.0"/>
        <n v="2977.0"/>
        <n v="3964.0"/>
        <n v="4182.0"/>
        <n v="4679.0"/>
        <n v="4997.0"/>
        <n v="5600.0"/>
        <n v="5910.0"/>
        <n v="6597.0"/>
        <n v="64.0"/>
        <n v="687.0"/>
        <n v="1625.0"/>
        <n v="1958.0"/>
        <n v="2160.0"/>
        <n v="2517.0"/>
        <n v="2894.0"/>
        <n v="3739.0"/>
        <n v="4737.0"/>
        <n v="5064.0"/>
        <n v="313.0"/>
        <n v="2107.0"/>
        <n v="2819.0"/>
        <n v="2932.0"/>
        <n v="3593.0"/>
        <n v="4760.0"/>
        <n v="6681.0"/>
        <n v="234.0"/>
        <n v="425.0"/>
        <n v="1528.0"/>
        <n v="1671.0"/>
        <n v="2223.0"/>
        <n v="3268.0"/>
        <n v="3530.0"/>
        <n v="4765.0"/>
        <n v="531.0"/>
        <n v="1721.0"/>
        <n v="2665.0"/>
        <n v="2951.0"/>
        <n v="3786.0"/>
        <n v="4049.0"/>
        <n v="4079.0"/>
        <n v="4233.0"/>
        <n v="4884.0"/>
        <n v="6350.0"/>
        <n v="1914.0"/>
        <n v="3205.0"/>
        <n v="3448.0"/>
        <n v="4628.0"/>
        <n v="5418.0"/>
        <n v="5654.0"/>
        <n v="614.0"/>
        <n v="1340.0"/>
        <n v="1576.0"/>
        <n v="1974.0"/>
        <n v="2597.0"/>
        <n v="4690.0"/>
        <n v="6267.0"/>
        <n v="660.0"/>
        <n v="943.0"/>
        <n v="1445.0"/>
        <n v="3070.0"/>
        <n v="3440.0"/>
        <n v="4503.0"/>
        <n v="4771.0"/>
        <n v="4797.0"/>
        <n v="4898.0"/>
        <n v="172.0"/>
        <n v="518.0"/>
        <n v="843.0"/>
        <n v="1070.0"/>
        <n v="2078.0"/>
        <n v="5382.0"/>
        <n v="4119.0"/>
        <n v="4623.0"/>
        <n v="620.0"/>
        <n v="1286.0"/>
        <n v="2482.0"/>
        <n v="3672.0"/>
        <n v="3959.0"/>
        <n v="4659.0"/>
        <n v="5060.0"/>
        <n v="5942.0"/>
        <n v="1349.0"/>
        <n v="2192.0"/>
        <n v="2323.0"/>
        <n v="2717.0"/>
        <n v="3338.0"/>
        <n v="4475.0"/>
        <n v="4786.0"/>
        <n v="5017.0"/>
        <n v="5580.0"/>
        <n v="6066.0"/>
        <n v="418.0"/>
        <n v="608.0"/>
        <n v="1842.0"/>
        <n v="4004.0"/>
        <n v="5791.0"/>
        <n v="6548.0"/>
        <n v="121.0"/>
        <n v="571.0"/>
        <n v="2444.0"/>
        <n v="2815.0"/>
        <n v="3510.0"/>
        <n v="5013.0"/>
        <n v="5457.0"/>
        <n v="5940.0"/>
        <n v="6197.0"/>
        <n v="6660.0"/>
        <n v="584.0"/>
        <n v="1741.0"/>
        <n v="2031.0"/>
        <n v="3158.0"/>
        <n v="3955.0"/>
        <n v="4384.0"/>
        <n v="5224.0"/>
        <n v="5394.0"/>
        <n v="5511.0"/>
        <n v="744.0"/>
        <n v="1634.0"/>
        <n v="1911.0"/>
        <n v="2608.0"/>
        <n v="3456.0"/>
        <n v="3561.0"/>
        <n v="5216.0"/>
        <n v="5573.0"/>
        <n v="5952.0"/>
        <n v="6093.0"/>
        <n v="6749.0"/>
        <n v="250.0"/>
        <n v="781.0"/>
        <n v="1681.0"/>
        <n v="3924.0"/>
        <n v="5271.0"/>
        <n v="5899.0"/>
        <n v="6273.0"/>
        <n v="630.0"/>
        <n v="679.0"/>
        <n v="782.0"/>
        <n v="1329.0"/>
        <n v="1712.0"/>
        <n v="2033.0"/>
        <n v="3094.0"/>
        <n v="4709.0"/>
        <n v="4948.0"/>
        <n v="5597.0"/>
        <n v="6747.0"/>
        <n v="1480.0"/>
        <n v="2013.0"/>
        <n v="2867.0"/>
        <n v="3377.0"/>
        <n v="4108.0"/>
        <n v="4368.0"/>
        <n v="4787.0"/>
        <n v="93.0"/>
        <n v="402.0"/>
        <n v="582.0"/>
        <n v="733.0"/>
        <n v="951.0"/>
        <n v="1889.0"/>
        <n v="2046.0"/>
        <n v="2664.0"/>
        <n v="2936.0"/>
        <n v="3740.0"/>
        <n v="4482.0"/>
        <n v="4718.0"/>
        <n v="4908.0"/>
        <n v="6278.0"/>
        <n v="514.0"/>
        <n v="703.0"/>
        <n v="947.0"/>
        <n v="2252.0"/>
        <n v="2896.0"/>
        <n v="3583.0"/>
        <n v="4263.0"/>
        <n v="4398.0"/>
        <n v="5029.0"/>
        <n v="5554.0"/>
        <n v="5746.0"/>
        <n v="5986.0"/>
        <n v="6140.0"/>
        <n v="6554.0"/>
        <n v="467.0"/>
        <n v="615.0"/>
        <n v="801.0"/>
        <n v="1587.0"/>
        <n v="1925.0"/>
        <n v="2527.0"/>
        <n v="3065.0"/>
        <n v="5031.0"/>
        <n v="160.0"/>
        <n v="2029.0"/>
        <n v="2543.0"/>
        <n v="2941.0"/>
        <n v="4766.0"/>
        <n v="5349.0"/>
        <n v="5409.0"/>
        <n v="6698.0"/>
        <n v="81.0"/>
        <n v="370.0"/>
        <n v="799.0"/>
        <n v="1300.0"/>
        <n v="1805.0"/>
        <n v="2410.0"/>
        <n v="2723.0"/>
        <n v="3240.0"/>
        <n v="3424.0"/>
        <n v="4188.0"/>
        <n v="5617.0"/>
        <n v="5932.0"/>
        <n v="6699.0"/>
        <n v="285.0"/>
        <n v="754.0"/>
        <n v="1449.0"/>
        <n v="2764.0"/>
        <n v="2859.0"/>
        <n v="3036.0"/>
        <n v="3934.0"/>
        <n v="4486.0"/>
        <n v="4996.0"/>
        <n v="5133.0"/>
        <n v="5887.0"/>
        <n v="6402.0"/>
        <n v="462.0"/>
        <n v="817.0"/>
        <n v="1790.0"/>
        <n v="2014.0"/>
        <n v="2165.0"/>
        <n v="2627.0"/>
        <n v="2968.0"/>
        <n v="3282.0"/>
        <n v="3544.0"/>
        <n v="5552.0"/>
        <n v="6657.0"/>
        <n v="88.0"/>
        <n v="201.0"/>
        <n v="847.0"/>
        <n v="1585.0"/>
        <n v="2116.0"/>
        <n v="2800.0"/>
        <n v="3066.0"/>
        <n v="3640.0"/>
        <n v="4162.0"/>
        <n v="4892.0"/>
        <n v="5038.0"/>
        <n v="6417.0"/>
        <n v="376.0"/>
        <n v="899.0"/>
        <n v="1112.0"/>
        <n v="1444.0"/>
        <n v="1993.0"/>
        <n v="2417.0"/>
        <n v="3318.0"/>
        <n v="3529.0"/>
        <n v="4322.0"/>
        <n v="5861.0"/>
        <n v="6519.0"/>
        <n v="34.0"/>
        <n v="637.0"/>
        <n v="1005.0"/>
        <n v="1293.0"/>
        <n v="1664.0"/>
        <n v="1915.0"/>
        <n v="3262.0"/>
        <n v="3546.0"/>
        <n v="3977.0"/>
        <n v="4300.0"/>
        <n v="4680.0"/>
        <n v="4812.0"/>
        <n v="5972.0"/>
        <n v="645.0"/>
        <n v="732.0"/>
        <n v="1215.0"/>
        <n v="1450.0"/>
        <n v="2044.0"/>
        <n v="2420.0"/>
        <n v="3944.0"/>
        <n v="4369.0"/>
        <n v="5070.0"/>
        <n v="5822.0"/>
        <n v="6723.0"/>
        <n v="3.0"/>
        <n v="70.0"/>
        <n v="256.0"/>
        <n v="702.0"/>
        <n v="769.0"/>
        <n v="1277.0"/>
        <n v="2062.0"/>
        <n v="2399.0"/>
        <n v="2645.0"/>
        <n v="3468.0"/>
        <n v="3826.0"/>
        <n v="5384.0"/>
        <n v="6460.0"/>
        <n v="269.0"/>
        <n v="336.0"/>
        <n v="1241.0"/>
        <n v="1651.0"/>
        <n v="1963.0"/>
        <n v="2368.0"/>
        <n v="3004.0"/>
        <n v="3310.0"/>
        <n v="3391.0"/>
        <n v="4194.0"/>
        <n v="5728.0"/>
        <n v="6091.0"/>
        <n v="6748.0"/>
        <n v="286.0"/>
        <n v="547.0"/>
        <n v="574.0"/>
        <n v="936.0"/>
        <n v="1514.0"/>
        <n v="1656.0"/>
        <n v="2405.0"/>
        <n v="3372.0"/>
        <n v="4215.0"/>
        <n v="6486.0"/>
        <n v="520.0"/>
        <n v="1285.0"/>
        <n v="3394.0"/>
        <n v="3520.0"/>
        <n v="4998.0"/>
        <n v="5377.0"/>
        <n v="5759.0"/>
        <n v="422.0"/>
        <n v="578.0"/>
        <n v="3035.0"/>
        <n v="3728.0"/>
        <n v="4097.0"/>
        <n v="5184.0"/>
        <n v="5404.0"/>
        <n v="5525.0"/>
        <n v="6392.0"/>
        <n v="603.0"/>
        <n v="1956.0"/>
        <n v="2914.0"/>
        <n v="3434.0"/>
        <n v="3454.0"/>
        <n v="3809.0"/>
        <n v="3947.0"/>
        <n v="4319.0"/>
        <n v="4716.0"/>
        <n v="5790.0"/>
        <n v="6205.0"/>
        <n v="6727.0"/>
        <n v="51.0"/>
        <n v="446.0"/>
        <n v="1252.0"/>
        <n v="1380.0"/>
        <n v="1638.0"/>
        <n v="2152.0"/>
        <n v="3125.0"/>
        <n v="3366.0"/>
        <n v="4632.0"/>
        <n v="5924.0"/>
        <n v="6133.0"/>
        <n v="6316.0"/>
        <n v="6609.0"/>
        <n v="246.0"/>
        <n v="980.0"/>
        <n v="1677.0"/>
        <n v="4620.0"/>
        <n v="4848.0"/>
        <n v="5402.0"/>
        <n v="5971.0"/>
        <n v="6113.0"/>
        <n v="6508.0"/>
        <n v="746.0"/>
        <n v="1488.0"/>
        <n v="1838.0"/>
        <n v="2839.0"/>
        <n v="4391.0"/>
        <n v="4701.0"/>
        <n v="5171.0"/>
        <n v="5962.0"/>
        <n v="6118.0"/>
        <n v="6450.0"/>
        <n v="257.0"/>
        <n v="708.0"/>
        <n v="891.0"/>
        <n v="1748.0"/>
        <n v="2625.0"/>
        <n v="3989.0"/>
        <n v="5285.0"/>
        <n v="6461.0"/>
        <n v="1563.0"/>
        <n v="2207.0"/>
        <n v="2879.0"/>
        <n v="3644.0"/>
        <n v="3996.0"/>
        <n v="4355.0"/>
        <n v="4758.0"/>
        <n v="6001.0"/>
        <n v="1181.0"/>
        <n v="1297.0"/>
        <n v="1429.0"/>
        <n v="2104.0"/>
        <n v="2736.0"/>
        <n v="3615.0"/>
        <n v="4719.0"/>
        <n v="4748.0"/>
        <n v="870.0"/>
        <n v="2124.0"/>
        <n v="2457.0"/>
        <n v="2621.0"/>
        <n v="3168.0"/>
        <n v="3285.0"/>
        <n v="3315.0"/>
        <n v="5585.0"/>
        <n v="6235.0"/>
        <n v="913.0"/>
        <n v="1852.0"/>
        <n v="3117.0"/>
        <n v="3392.0"/>
        <n v="4722.0"/>
        <n v="692.0"/>
        <n v="1351.0"/>
        <n v="1800.0"/>
        <n v="2434.0"/>
        <n v="3212.0"/>
        <n v="3340.0"/>
        <n v="3598.0"/>
        <n v="53.0"/>
        <n v="3558.0"/>
        <n v="4257.0"/>
        <n v="4869.0"/>
        <n v="5548.0"/>
        <n v="5630.0"/>
        <n v="6645.0"/>
        <n v="156.0"/>
        <n v="350.0"/>
        <n v="976.0"/>
        <n v="1344.0"/>
        <n v="1524.0"/>
        <n v="2143.0"/>
        <n v="2353.0"/>
        <n v="3028.0"/>
        <n v="3913.0"/>
        <n v="4274.0"/>
        <n v="4673.0"/>
        <n v="6198.0"/>
        <n v="569.0"/>
        <n v="1626.0"/>
        <n v="3505.0"/>
        <n v="3758.0"/>
        <n v="4649.0"/>
        <n v="4745.0"/>
        <n v="5354.0"/>
        <n v="5953.0"/>
        <n v="6577.0"/>
        <n v="1565.0"/>
        <n v="1973.0"/>
        <n v="2363.0"/>
        <n v="2994.0"/>
        <n v="3201.0"/>
        <n v="3511.0"/>
        <n v="3956.0"/>
        <n v="4359.0"/>
        <n v="4798.0"/>
        <n v="5955.0"/>
        <n v="6117.0"/>
        <n v="6252.0"/>
        <n v="101.0"/>
        <n v="351.0"/>
        <n v="871.0"/>
        <n v="1330.0"/>
        <n v="3227.0"/>
        <n v="4921.0"/>
        <n v="5373.0"/>
        <n v="6612.0"/>
        <n v="50.0"/>
        <n v="102.0"/>
        <n v="211.0"/>
        <n v="510.0"/>
        <n v="1548.0"/>
        <n v="2208.0"/>
        <n v="4030.0"/>
        <n v="4370.0"/>
        <n v="5834.0"/>
        <n v="639.0"/>
        <n v="1451.0"/>
        <n v="2335.0"/>
        <n v="2572.0"/>
        <n v="3326.0"/>
        <n v="3916.0"/>
        <n v="4514.0"/>
        <n v="6604.0"/>
        <n v="373.0"/>
        <n v="1338.0"/>
        <n v="1830.0"/>
        <n v="2274.0"/>
        <n v="3224.0"/>
        <n v="5321.0"/>
        <n v="5520.0"/>
        <n v="5842.0"/>
        <n v="6429.0"/>
        <n v="6704.0"/>
        <n v="2057.0"/>
        <n v="3723.0"/>
        <n v="4492.0"/>
        <n v="5153.0"/>
        <n v="6531.0"/>
        <n v="521.0"/>
        <n v="1850.0"/>
        <n v="2851.0"/>
        <n v="5380.0"/>
        <n v="5917.0"/>
        <n v="148.0"/>
        <n v="1113.0"/>
        <n v="1758.0"/>
        <n v="2395.0"/>
        <n v="2708.0"/>
        <n v="2995.0"/>
        <n v="3993.0"/>
        <n v="4724.0"/>
        <n v="5144.0"/>
        <n v="5572.0"/>
        <n v="5740.0"/>
        <n v="5938.0"/>
        <n v="6299.0"/>
        <n v="6695.0"/>
        <n v="507.0"/>
        <n v="1135.0"/>
        <n v="1479.0"/>
        <n v="3275.0"/>
        <n v="4078.0"/>
        <n v="4176.0"/>
        <n v="4776.0"/>
        <n v="4899.0"/>
        <n v="35.0"/>
        <n v="161.0"/>
        <n v="831.0"/>
        <n v="1080.0"/>
        <n v="2496.0"/>
        <n v="3141.0"/>
        <n v="3297.0"/>
        <n v="3602.0"/>
        <n v="4150.0"/>
        <n v="4361.0"/>
        <n v="4642.0"/>
        <n v="4752.0"/>
        <n v="4849.0"/>
        <n v="6199.0"/>
        <n v="241.0"/>
        <n v="1339.0"/>
        <n v="1454.0"/>
        <n v="4342.0"/>
        <n v="6766.0"/>
        <n v="6213.0"/>
        <n v="41.0"/>
        <n v="279.0"/>
        <n v="952.0"/>
        <n v="1200.0"/>
        <n v="1775.0"/>
        <n v="1953.0"/>
        <n v="3270.0"/>
        <n v="3497.0"/>
        <n v="3897.0"/>
        <n v="4601.0"/>
        <n v="4621.0"/>
        <n v="5061.0"/>
        <n v="5359.0"/>
        <n v="6179.0"/>
        <n v="469.0"/>
        <n v="914.0"/>
        <n v="1386.0"/>
        <n v="1935.0"/>
        <n v="3243.0"/>
        <n v="3449.0"/>
        <n v="4500.0"/>
        <n v="5328.0"/>
        <n v="5576.0"/>
        <n v="6112.0"/>
        <n v="6438.0"/>
        <n v="707.0"/>
        <n v="1136.0"/>
        <n v="2961.0"/>
        <n v="3428.0"/>
        <n v="4045.0"/>
        <n v="5399.0"/>
        <n v="5730.0"/>
        <n v="180.0"/>
        <n v="1694.0"/>
        <n v="2294.0"/>
        <n v="3630.0"/>
        <n v="3978.0"/>
        <n v="4426.0"/>
        <n v="5115.0"/>
        <n v="5558.0"/>
        <n v="5827.0"/>
        <n v="6063.0"/>
        <n v="6691.0"/>
        <n v="170.0"/>
        <n v="1326.0"/>
        <n v="1476.0"/>
        <n v="2937.0"/>
        <n v="3973.0"/>
        <n v="4644.0"/>
        <n v="5086.0"/>
        <n v="6572.0"/>
        <n v="6755.0"/>
        <n v="1483.0"/>
        <n v="1844.0"/>
        <n v="2120.0"/>
        <n v="2411.0"/>
        <n v="2903.0"/>
        <n v="3289.0"/>
        <n v="3859.0"/>
        <n v="4313.0"/>
        <n v="5325.0"/>
        <n v="5906.0"/>
        <n v="6049.0"/>
        <n v="664.0"/>
        <n v="750.0"/>
        <n v="1950.0"/>
        <n v="2989.0"/>
        <n v="3266.0"/>
        <n v="4358.0"/>
        <n v="4720.0"/>
        <n v="5019.0"/>
        <n v="5925.0"/>
        <n v="112.0"/>
        <n v="213.0"/>
        <n v="1818.0"/>
        <n v="2018.0"/>
        <n v="3231.0"/>
        <n v="3378.0"/>
        <n v="3896.0"/>
        <n v="4828.0"/>
        <n v="5944.0"/>
        <n v="6245.0"/>
        <n v="3957.0"/>
        <n v="4066.0"/>
        <n v="4691.0"/>
        <n v="6153.0"/>
        <n v="260.0"/>
        <n v="1077.0"/>
        <n v="1316.0"/>
        <n v="1754.0"/>
        <n v="2086.0"/>
        <n v="3044.0"/>
        <n v="3295.0"/>
        <n v="3347.0"/>
        <n v="3801.0"/>
        <n v="4249.0"/>
        <n v="5096.0"/>
        <n v="5892.0"/>
        <n v="6281.0"/>
        <n v="6497.0"/>
        <n v="13.0"/>
        <n v="1907.0"/>
        <n v="3074.0"/>
        <n v="3441.0"/>
        <n v="3651.0"/>
        <n v="4093.0"/>
        <n v="4339.0"/>
        <n v="4753.0"/>
        <n v="5933.0"/>
        <n v="1184.0"/>
        <n v="1402.0"/>
        <n v="1597.0"/>
        <n v="2702.0"/>
        <n v="2996.0"/>
        <n v="4857.0"/>
        <n v="6661.0"/>
        <n v="134.0"/>
        <n v="598.0"/>
        <n v="726.0"/>
        <n v="832.0"/>
        <n v="2065.0"/>
        <n v="2701.0"/>
        <n v="3429.0"/>
        <n v="3645.0"/>
        <n v="4958.0"/>
        <n v="5474.0"/>
        <n v="6088.0"/>
        <n v="6714.0"/>
        <n v="1024.0"/>
        <n v="1452.0"/>
        <n v="2507.0"/>
        <n v="3052.0"/>
        <n v="4702.0"/>
        <n v="4830.0"/>
        <n v="5920.0"/>
        <n v="533.0"/>
        <n v="1368.0"/>
        <n v="2499.0"/>
        <n v="2962.0"/>
        <n v="3617.0"/>
        <n v="5370.0"/>
        <n v="47.0"/>
        <n v="270.0"/>
        <n v="1007.0"/>
        <n v="2372.0"/>
        <n v="3584.0"/>
        <n v="4645.0"/>
        <n v="5219.0"/>
        <n v="5559.0"/>
        <n v="631.0"/>
        <n v="775.0"/>
        <n v="1006.0"/>
        <n v="1995.0"/>
        <n v="2248.0"/>
        <n v="2540.0"/>
        <n v="3037.0"/>
        <n v="3419.0"/>
        <n v="3987.0"/>
        <n v="4458.0"/>
        <n v="4987.0"/>
        <n v="5868.0"/>
        <n v="6413.0"/>
        <n v="6533.0"/>
        <n v="90.0"/>
        <n v="532.0"/>
        <n v="1110.0"/>
        <n v="1759.0"/>
        <n v="2147.0"/>
        <n v="3254.0"/>
        <n v="3381.0"/>
        <n v="3656.0"/>
        <n v="3948.0"/>
        <n v="4520.0"/>
        <n v="4723.0"/>
        <n v="5176.0"/>
        <n v="6338.0"/>
        <n v="6557.0"/>
        <n v="504.0"/>
        <n v="640.0"/>
        <n v="1206.0"/>
        <n v="1851.0"/>
        <n v="2412.0"/>
        <n v="3300.0"/>
        <n v="3648.0"/>
        <n v="6020.0"/>
        <n v="6682.0"/>
        <n v="878.0"/>
        <n v="1014.0"/>
        <n v="1628.0"/>
        <n v="2416.0"/>
        <n v="2974.0"/>
        <n v="3273.0"/>
        <n v="4210.0"/>
        <n v="4454.0"/>
        <n v="4732.0"/>
        <n v="5024.0"/>
        <n v="5799.0"/>
        <n v="6676.0"/>
        <n v="343.0"/>
        <n v="1002.0"/>
        <n v="1571.0"/>
        <n v="1954.0"/>
        <n v="3436.0"/>
        <n v="5193.0"/>
        <n v="5555.0"/>
        <n v="5674.0"/>
        <n v="6596.0"/>
        <n v="123.0"/>
        <n v="479.0"/>
        <n v="657.0"/>
        <n v="975.0"/>
        <n v="1307.0"/>
        <n v="1672.0"/>
        <n v="1942.0"/>
        <n v="3382.0"/>
        <n v="4284.0"/>
        <n v="6734.0"/>
        <n v="281.0"/>
        <n v="1902.0"/>
        <n v="2691.0"/>
        <n v="4430.0"/>
        <n v="4779.0"/>
        <n v="5097.0"/>
        <n v="405.0"/>
        <n v="585.0"/>
        <n v="729.0"/>
        <n v="1046.0"/>
        <n v="1663.0"/>
        <n v="4027.0"/>
        <n v="2876.0"/>
        <n v="3767.0"/>
        <n v="5948.0"/>
        <n v="6027.0"/>
        <n v="701.0"/>
        <n v="1529.0"/>
        <n v="2060.0"/>
        <n v="2262.0"/>
        <n v="4425.0"/>
        <n v="4710.0"/>
        <n v="5732.0"/>
        <n v="142.0"/>
        <n v="430.0"/>
        <n v="612.0"/>
        <n v="927.0"/>
        <n v="1010.0"/>
        <n v="1845.0"/>
        <n v="2234.0"/>
        <n v="2633.0"/>
        <n v="4012.0"/>
        <n v="5039.0"/>
        <n v="6760.0"/>
        <n v="5681.0"/>
        <n v="6253.0"/>
        <n v="6558.0"/>
        <n v="565.0"/>
        <n v="599.0"/>
        <n v="1772.0"/>
        <n v="3357.0"/>
        <n v="4408.0"/>
        <n v="1363.0"/>
        <n v="625.0"/>
        <n v="1636.0"/>
        <n v="2253.0"/>
        <n v="3471.0"/>
        <n v="4402.0"/>
        <n v="458.0"/>
        <n v="681.0"/>
        <n v="1084.0"/>
        <n v="1896.0"/>
        <n v="3132.0"/>
        <n v="3940.0"/>
        <n v="4943.0"/>
        <n v="5537.0"/>
        <n v="6310.0"/>
        <n v="6587.0"/>
        <n v="6756.0"/>
        <n v="97.0"/>
        <n v="1266.0"/>
        <n v="2118.0"/>
        <n v="2906.0"/>
        <n v="3432.0"/>
        <n v="5921.0"/>
        <n v="6192.0"/>
        <n v="6705.0"/>
        <n v="242.0"/>
        <n v="1359.0"/>
        <n v="1865.0"/>
        <n v="2024.0"/>
        <n v="2768.0"/>
        <n v="3067.0"/>
        <n v="3316.0"/>
        <n v="4084.0"/>
        <n v="4858.0"/>
        <n v="5566.0"/>
        <n v="6384.0"/>
        <n v="2001.0"/>
        <n v="3483.0"/>
        <n v="3990.0"/>
        <n v="4531.0"/>
        <n v="5518.0"/>
        <n v="5869.0"/>
        <n v="60.0"/>
        <n v="282.0"/>
        <n v="1614.0"/>
        <n v="2331.0"/>
        <n v="2825.0"/>
        <n v="3411.0"/>
        <n v="4143.0"/>
        <n v="4637.0"/>
        <n v="4729.0"/>
        <n v="5318.0"/>
        <n v="6619.0"/>
        <n v="444.0"/>
        <n v="1260.0"/>
        <n v="1976.0"/>
        <n v="2096.0"/>
        <n v="2732.0"/>
        <n v="5383.0"/>
        <n v="4156.0"/>
        <n v="4761.0"/>
        <n v="6446.0"/>
        <n v="6610.0"/>
        <n v="638.0"/>
        <n v="1644.0"/>
        <n v="2040.0"/>
        <n v="2794.0"/>
        <n v="3172.0"/>
        <n v="6559.0"/>
        <n v="243.0"/>
        <n v="296.0"/>
        <n v="677.0"/>
        <n v="1360.0"/>
        <n v="1916.0"/>
        <n v="2397.0"/>
        <n v="3624.0"/>
        <n v="4799.0"/>
        <n v="5241.0"/>
        <n v="6380.0"/>
        <n v="998.0"/>
        <n v="1281.0"/>
        <n v="2045.0"/>
        <n v="2424.0"/>
        <n v="3162.0"/>
        <n v="3222.0"/>
        <n v="4098.0"/>
        <n v="4905.0"/>
        <n v="5622.0"/>
        <n v="318.0"/>
        <n v="557.0"/>
        <n v="2034.0"/>
        <n v="2392.0"/>
        <n v="4542.0"/>
        <n v="5500.0"/>
        <n v="6382.0"/>
        <n v="6575.0"/>
        <n v="1827.0"/>
        <n v="2095.0"/>
        <n v="3092.0"/>
        <n v="4813.0"/>
        <n v="5164.0"/>
        <n v="6702.0"/>
        <n v="429.0"/>
        <n v="2681.0"/>
        <n v="3160.0"/>
        <n v="3400.0"/>
        <n v="3889.0"/>
        <n v="4151.0"/>
        <n v="4738.0"/>
        <n v="4963.0"/>
        <n v="311.0"/>
        <n v="928.0"/>
        <n v="1468.0"/>
        <n v="2677.0"/>
        <n v="2916.0"/>
        <n v="4663.0"/>
        <n v="6741.0"/>
        <n v="48.0"/>
        <n v="838.0"/>
        <n v="1657.0"/>
        <n v="2032.0"/>
        <n v="3507.0"/>
        <n v="3780.0"/>
        <n v="6180.0"/>
        <n v="6615.0"/>
        <n v="797.0"/>
        <n v="1564.0"/>
        <n v="2075.0"/>
        <n v="2822.0"/>
        <n v="3387.0"/>
        <n v="4315.0"/>
        <n v="5549.0"/>
        <n v="6284.0"/>
        <n v="6403.0"/>
        <n v="6684.0"/>
        <n v="451.0"/>
        <n v="588.0"/>
        <n v="671.0"/>
        <n v="1369.0"/>
        <n v="1688.0"/>
        <n v="2861.0"/>
        <n v="3354.0"/>
        <n v="5141.0"/>
        <n v="5460.0"/>
        <n v="5904.0"/>
        <n v="5973.0"/>
        <n v="704.0"/>
        <n v="785.0"/>
        <n v="2631.0"/>
        <n v="2911.0"/>
        <n v="3360.0"/>
        <n v="3667.0"/>
        <n v="4624.0"/>
        <n v="604.0"/>
        <n v="1464.0"/>
        <n v="1810.0"/>
        <n v="2009.0"/>
        <n v="2166.0"/>
        <n v="5379.0"/>
        <n v="1367.0"/>
        <n v="447.0"/>
        <n v="1682.0"/>
        <n v="2043.0"/>
        <n v="2796.0"/>
        <n v="3945.0"/>
        <n v="4196.0"/>
        <n v="5174.0"/>
        <n v="5480.0"/>
        <n v="5883.0"/>
        <n v="6013.0"/>
        <n v="438.0"/>
        <n v="636.0"/>
        <n v="1938.0"/>
        <n v="2129.0"/>
        <n v="3337.0"/>
        <n v="3472.0"/>
        <n v="3991.0"/>
        <n v="4221.0"/>
        <n v="5719.0"/>
        <n v="143.0"/>
        <n v="784.0"/>
        <n v="1020.0"/>
        <n v="2934.0"/>
        <n v="4073.0"/>
        <n v="4751.0"/>
        <n v="5275.0"/>
        <n v="1262.0"/>
        <n v="1600.0"/>
        <n v="2016.0"/>
        <n v="2370.0"/>
        <n v="3192.0"/>
        <n v="3367.0"/>
        <n v="3952.0"/>
        <n v="4517.0"/>
        <n v="4944.0"/>
        <n v="6037.0"/>
        <n v="6385.0"/>
        <n v="398.0"/>
        <n v="2163.0"/>
        <n v="3985.0"/>
        <n v="4780.0"/>
        <n v="5453.0"/>
        <n v="5807.0"/>
        <n v="6074.0"/>
        <n v="6651.0"/>
        <n v="223.0"/>
        <n v="680.0"/>
        <n v="887.0"/>
        <n v="1689.0"/>
        <n v="1939.0"/>
        <n v="2182.0"/>
        <n v="3223.0"/>
        <n v="3819.0"/>
        <n v="4823.0"/>
        <n v="5431.0"/>
        <n v="6353.0"/>
        <n v="163.0"/>
        <n v="706.0"/>
        <n v="1214.0"/>
        <n v="1399.0"/>
        <n v="1574.0"/>
        <n v="1870.0"/>
        <n v="2267.0"/>
        <n v="2658.0"/>
        <n v="3048.0"/>
        <n v="3301.0"/>
        <n v="3477.0"/>
        <n v="4371.0"/>
        <n v="445.0"/>
        <n v="1100.0"/>
        <n v="1961.0"/>
        <n v="3215.0"/>
        <n v="3997.0"/>
        <n v="4385.0"/>
        <n v="4736.0"/>
        <n v="5291.0"/>
        <n v="5350.0"/>
        <n v="5768.0"/>
        <n v="675.0"/>
        <n v="1996.0"/>
        <n v="2510.0"/>
        <n v="3969.0"/>
        <n v="4397.0"/>
        <n v="5326.0"/>
        <n v="5987.0"/>
        <n v="6152.0"/>
        <n v="6317.0"/>
        <n v="602.0"/>
        <n v="981.0"/>
        <n v="1317.0"/>
        <n v="2112.0"/>
        <n v="2365.0"/>
        <n v="2849.0"/>
        <n v="4573.0"/>
        <n v="5095.0"/>
        <n v="741.0"/>
        <n v="1873.0"/>
        <n v="2134.0"/>
        <n v="3461.0"/>
        <n v="3711.0"/>
        <n v="5001.0"/>
        <n v="248.0"/>
        <n v="1321.0"/>
        <n v="1997.0"/>
        <n v="2544.0"/>
        <n v="3863.0"/>
        <n v="4336.0"/>
        <n v="4754.0"/>
        <n v="6620.0"/>
        <n v="500.0"/>
        <n v="1518.0"/>
        <n v="3082.0"/>
        <n v="3478.0"/>
        <n v="4539.0"/>
        <n v="4791.0"/>
        <n v="5263.0"/>
        <n v="1679.0"/>
        <n v="2276.0"/>
        <n v="2747.0"/>
        <n v="3370.0"/>
        <n v="3741.0"/>
        <n v="4266.0"/>
        <n v="5596.0"/>
        <n v="5961.0"/>
        <n v="6418.0"/>
        <n v="759.0"/>
        <n v="2524.0"/>
        <n v="2769.0"/>
        <n v="5071.0"/>
        <n v="5287.0"/>
        <n v="33.0"/>
        <n v="2692.0"/>
        <n v="2835.0"/>
        <n v="3122.0"/>
        <n v="3465.0"/>
        <n v="3857.0"/>
        <n v="4343.0"/>
        <n v="4417.0"/>
        <n v="5756.0"/>
        <n v="5907.0"/>
        <n v="699.0"/>
        <n v="821.0"/>
        <n v="2085.0"/>
        <n v="2346.0"/>
        <n v="2704.0"/>
        <n v="2901.0"/>
        <n v="3475.0"/>
        <n v="3743.0"/>
        <n v="5209.0"/>
        <n v="6674.0"/>
        <n v="714.0"/>
        <n v="792.0"/>
        <n v="1341.0"/>
        <n v="1745.0"/>
        <n v="1971.0"/>
        <n v="2632.0"/>
        <n v="2935.0"/>
        <n v="3142.0"/>
        <n v="4516.0"/>
        <n v="4605.0"/>
        <n v="5936.0"/>
        <n v="6621.0"/>
        <n v="752.0"/>
        <n v="1336.0"/>
        <n v="1836.0"/>
        <n v="2447.0"/>
        <n v="3517.0"/>
        <n v="3831.0"/>
        <n v="4136.0"/>
        <n v="4700.0"/>
        <n v="5484.0"/>
        <n v="5900.0"/>
        <n v="6634.0"/>
        <n v="426.0"/>
        <n v="1320.0"/>
        <n v="1588.0"/>
        <n v="2375.0"/>
        <n v="4411.0"/>
        <n v="4769.0"/>
        <n v="5149.0"/>
        <n v="5659.0"/>
        <n v="545.0"/>
        <n v="778.0"/>
        <n v="1289.0"/>
        <n v="1654.0"/>
        <n v="1945.0"/>
        <n v="2460.0"/>
        <n v="2877.0"/>
        <n v="3264.0"/>
        <n v="3927.0"/>
        <n v="5774.0"/>
        <n v="923.0"/>
        <n v="1439.0"/>
        <n v="2130.0"/>
        <n v="2797.0"/>
        <n v="3135.0"/>
        <n v="3525.0"/>
        <n v="3925.0"/>
        <n v="4087.0"/>
        <n v="4706.0"/>
        <n v="5448.0"/>
        <n v="5645.0"/>
        <n v="5862.0"/>
        <n v="6079.0"/>
        <n v="6648.0"/>
        <n v="863.0"/>
        <n v="1324.0"/>
        <n v="1666.0"/>
        <n v="1797.0"/>
        <n v="2279.0"/>
        <n v="2997.0"/>
        <n v="3343.0"/>
        <n v="3625.0"/>
        <n v="4310.0"/>
        <n v="4750.0"/>
        <n v="5185.0"/>
        <n v="5978.0"/>
        <n v="6073.0"/>
        <n v="455.0"/>
        <n v="651.0"/>
        <n v="742.0"/>
        <n v="828.0"/>
        <n v="1701.0"/>
        <n v="1985.0"/>
        <n v="2277.0"/>
        <n v="3108.0"/>
        <n v="3880.0"/>
        <n v="4252.0"/>
        <n v="4646.0"/>
        <n v="5560.0"/>
        <n v="483.0"/>
        <n v="628.0"/>
        <n v="2285.0"/>
        <n v="4024.0"/>
        <n v="2952.0"/>
        <n v="4631.0"/>
        <n v="5200.0"/>
        <n v="5711.0"/>
        <n v="6399.0"/>
        <n v="6453.0"/>
        <n v="788.0"/>
        <n v="1550.0"/>
        <n v="2069.0"/>
        <n v="2593.0"/>
        <n v="2943.0"/>
        <n v="3649.0"/>
        <n v="3942.0"/>
        <n v="5512.0"/>
        <n v="5752.0"/>
        <n v="6362.0"/>
        <n v="1151.0"/>
        <n v="1812.0"/>
        <n v="1946.0"/>
        <n v="2646.0"/>
        <n v="3255.0"/>
        <n v="3431.0"/>
        <n v="3634.0"/>
        <n v="4592.0"/>
        <n v="5705.0"/>
        <n v="6056.0"/>
        <n v="325.0"/>
        <n v="1015.0"/>
        <n v="1308.0"/>
        <n v="1667.0"/>
        <n v="2436.0"/>
        <n v="2865.0"/>
        <n v="3397.0"/>
        <n v="4040.0"/>
        <n v="4094.0"/>
        <n v="4568.0"/>
        <n v="5105.0"/>
        <n v="573.0"/>
        <n v="789.0"/>
        <n v="1525.0"/>
        <n v="2786.0"/>
        <n v="3143.0"/>
        <n v="3917.0"/>
        <n v="4375.0"/>
        <n v="6345.0"/>
        <n v="169.0"/>
        <n v="537.0"/>
        <n v="682.0"/>
        <n v="1384.0"/>
        <n v="2167.0"/>
        <n v="2295.0"/>
        <n v="3109.0"/>
        <n v="3293.0"/>
        <n v="3444.0"/>
        <n v="3660.0"/>
        <n v="4693.0"/>
        <n v="5214.0"/>
        <n v="5570.0"/>
        <n v="6003.0"/>
        <n v="6663.0"/>
        <n v="616.0"/>
        <n v="1056.0"/>
        <n v="1903.0"/>
        <n v="2643.0"/>
        <n v="3291.0"/>
        <n v="3965.0"/>
        <n v="4007.0"/>
        <n v="4234.0"/>
        <n v="4388.0"/>
        <n v="4964.0"/>
        <n v="5544.0"/>
        <n v="6217.0"/>
        <n v="1345.0"/>
        <n v="1874.0"/>
        <n v="2413.0"/>
        <n v="3068.0"/>
        <n v="3452.0"/>
        <n v="4031.0"/>
        <n v="4438.0"/>
        <n v="5521.0"/>
        <n v="5832.0"/>
        <n v="5990.0"/>
        <n v="6254.0"/>
        <n v="320.0"/>
        <n v="717.0"/>
        <n v="2074.0"/>
        <n v="4576.0"/>
        <n v="5503.0"/>
        <n v="173.0"/>
        <n v="698.0"/>
        <n v="2039.0"/>
        <n v="2467.0"/>
        <n v="2676.0"/>
        <n v="3038.0"/>
        <n v="4003.0"/>
        <n v="4126.0"/>
        <n v="4611.0"/>
        <n v="4975.0"/>
        <n v="5664.0"/>
        <n v="6006.0"/>
        <n v="6329.0"/>
        <n v="2779.0"/>
        <n v="4216.0"/>
        <n v="4711.0"/>
        <n v="4825.0"/>
        <n v="6175.0"/>
        <n v="2445.0"/>
        <n v="2714.0"/>
        <n v="3089.0"/>
        <n v="3462.0"/>
        <n v="4462.0"/>
        <n v="4698.0"/>
        <n v="5098.0"/>
        <n v="6711.0"/>
        <n v="146.0"/>
        <n v="652.0"/>
        <n v="1947.0"/>
        <n v="2236.0"/>
        <n v="3393.0"/>
        <n v="4577.0"/>
        <n v="4932.0"/>
        <n v="5419.0"/>
        <n v="5766.0"/>
        <n v="6261.0"/>
        <n v="800.0"/>
        <n v="1484.0"/>
        <n v="1989.0"/>
        <n v="3850.0"/>
        <n v="4441.0"/>
        <n v="4783.0"/>
        <n v="392.0"/>
        <n v="653.0"/>
        <n v="1283.0"/>
        <n v="1860.0"/>
        <n v="1910.0"/>
        <n v="2259.0"/>
        <n v="2752.0"/>
        <n v="3385.0"/>
        <n v="4915.0"/>
        <n v="5957.0"/>
        <n v="5992.0"/>
        <n v="6160.0"/>
        <n v="21.0"/>
        <n v="106.0"/>
        <n v="512.0"/>
        <n v="760.0"/>
        <n v="1098.0"/>
        <n v="1314.0"/>
        <n v="2746.0"/>
        <n v="3140.0"/>
        <n v="3314.0"/>
        <n v="4157.0"/>
        <n v="5340.0"/>
        <n v="6257.0"/>
        <n v="564.0"/>
        <n v="1271.0"/>
        <n v="1647.0"/>
        <n v="2767.0"/>
        <n v="3646.0"/>
        <n v="4865.0"/>
        <n v="6055.0"/>
        <n v="6679.0"/>
        <n v="283.0"/>
        <n v="489.0"/>
        <n v="1559.0"/>
        <n v="2545.0"/>
        <n v="3333.0"/>
        <n v="4037.0"/>
        <n v="4578.0"/>
        <n v="4664.0"/>
        <n v="4756.0"/>
        <n v="5843.0"/>
        <n v="6045.0"/>
        <n v="6735.0"/>
        <n v="335.0"/>
        <n v="558.0"/>
        <n v="844.0"/>
        <n v="1186.0"/>
        <n v="1705.0"/>
        <n v="2469.0"/>
        <n v="2975.0"/>
        <n v="3641.0"/>
        <n v="4476.0"/>
        <n v="4969.0"/>
        <n v="5737.0"/>
        <n v="6102.0"/>
        <n v="6721.0"/>
        <n v="11.0"/>
        <n v="519.0"/>
        <n v="1994.0"/>
        <n v="2483.0"/>
        <n v="2635.0"/>
        <n v="3545.0"/>
        <n v="4730.0"/>
        <n v="4976.0"/>
        <n v="5789.0"/>
        <n v="6030.0"/>
        <n v="6616.0"/>
        <n v="165.0"/>
        <n v="1706.0"/>
        <n v="1821.0"/>
        <n v="2629.0"/>
        <n v="5227.0"/>
        <n v="5374.0"/>
        <n v="5823.0"/>
        <n v="6007.0"/>
        <n v="6736.0"/>
        <n v="590.0"/>
        <n v="779.0"/>
        <n v="1085.0"/>
        <n v="1435.0"/>
        <n v="2007.0"/>
        <n v="2381.0"/>
        <n v="2912.0"/>
        <n v="3453.0"/>
        <n v="4180.0"/>
        <n v="5122.0"/>
        <n v="5531.0"/>
        <n v="6582.0"/>
        <n v="406.0"/>
        <n v="740.0"/>
        <n v="1312.0"/>
        <n v="1540.0"/>
        <n v="1962.0"/>
        <n v="2173.0"/>
        <n v="3375.0"/>
        <n v="3540.0"/>
        <n v="4671.0"/>
        <n v="5336.0"/>
        <n v="5734.0"/>
        <n v="197.0"/>
        <n v="819.0"/>
        <n v="1527.0"/>
        <n v="3229.0"/>
        <n v="4638.0"/>
        <n v="5075.0"/>
        <n v="5455.0"/>
        <n v="5738.0"/>
        <n v="6167.0"/>
        <n v="220.0"/>
        <n v="909.0"/>
        <n v="1306.0"/>
        <n v="2998.0"/>
        <n v="3415.0"/>
        <n v="3789.0"/>
        <n v="4227.0"/>
        <n v="6490.0"/>
        <n v="6712.0"/>
        <n v="583.0"/>
        <n v="772.0"/>
        <n v="1142.0"/>
        <n v="1436.0"/>
        <n v="1986.0"/>
        <n v="2508.0"/>
        <n v="2788.0"/>
        <n v="2956.0"/>
        <n v="4518.0"/>
        <n v="4681.0"/>
        <n v="5041.0"/>
        <n v="6176.0"/>
        <n v="542.0"/>
        <n v="605.0"/>
        <n v="1908.0"/>
        <n v="3662.0"/>
        <n v="4254.0"/>
        <n v="5337.0"/>
        <n v="5430.0"/>
        <n v="6630.0"/>
        <n v="297.0"/>
        <n v="501.0"/>
        <n v="826.0"/>
        <n v="2339.0"/>
        <n v="3025.0"/>
        <n v="4803.0"/>
        <n v="5893.0"/>
        <n v="876.0"/>
        <n v="1318.0"/>
        <n v="1477.0"/>
        <n v="2084.0"/>
        <n v="2354.0"/>
        <n v="3407.0"/>
        <n v="3703.0"/>
        <n v="4085.0"/>
        <n v="4625.0"/>
        <n v="4866.0"/>
        <n v="1278.0"/>
        <n v="2037.0"/>
        <n v="2567.0"/>
        <n v="2829.0"/>
        <n v="2918.0"/>
        <n v="3362.0"/>
        <n v="5615.0"/>
        <n v="2008.0"/>
        <n v="3031.0"/>
        <n v="3500.0"/>
        <n v="5079.0"/>
        <n v="5967.0"/>
        <n v="6375.0"/>
        <n v="1551.0"/>
        <n v="2041.0"/>
        <n v="2666.0"/>
        <n v="3348.0"/>
        <n v="3518.0"/>
        <n v="4205.0"/>
        <n v="6346.0"/>
        <n v="6433.0"/>
        <n v="1471.0"/>
        <n v="1808.0"/>
        <n v="2017.0"/>
        <n v="4483.0"/>
        <n v="4639.0"/>
        <n v="4901.0"/>
        <n v="5357.0"/>
        <n v="6214.0"/>
        <n v="575.0"/>
        <n v="753.0"/>
        <n v="999.0"/>
        <n v="1534.0"/>
        <n v="1773.0"/>
        <n v="1890.0"/>
        <n v="2609.0"/>
        <n v="2864.0"/>
        <n v="3134.0"/>
        <n v="3302.0"/>
        <n v="3999.0"/>
        <n v="4450.0"/>
        <n v="6376.0"/>
        <n v="6622.0"/>
        <n v="87.0"/>
        <n v="859.0"/>
        <n v="1170.0"/>
        <n v="2511.0"/>
        <n v="3427.0"/>
        <n v="5385.0"/>
        <n v="4643.0"/>
        <n v="4850.0"/>
        <n v="5689.0"/>
        <n v="600.0"/>
        <n v="2053.0"/>
        <n v="2256.0"/>
        <n v="2947.0"/>
        <n v="3834.0"/>
        <n v="4414.0"/>
        <n v="5901.0"/>
        <n v="214.0"/>
        <n v="423.0"/>
        <n v="1138.0"/>
        <n v="1977.0"/>
        <n v="2328.0"/>
        <n v="2990.0"/>
        <n v="3658.0"/>
        <n v="4471.0"/>
        <n v="4767.0"/>
        <n v="5505.0"/>
        <n v="5850.0"/>
        <n v="484.0"/>
        <n v="855.0"/>
        <n v="2709.0"/>
        <n v="5556.0"/>
        <n v="5648.0"/>
        <n v="114.0"/>
        <n v="470.0"/>
        <n v="1446.0"/>
        <n v="3466.0"/>
        <n v="4775.0"/>
        <n v="1065.0"/>
        <n v="1457.0"/>
        <n v="3363.0"/>
        <n v="3994.0"/>
        <n v="4340.0"/>
        <n v="4902.0"/>
        <n v="5360.0"/>
        <n v="5665.0"/>
        <n v="5977.0"/>
        <n v="6742.0"/>
        <n v="280.0"/>
        <n v="475.0"/>
        <n v="1350.0"/>
        <n v="2707.0"/>
        <n v="2928.0"/>
        <n v="4534.0"/>
        <n v="4715.0"/>
        <n v="4814.0"/>
        <n v="5878.0"/>
        <n v="6076.0"/>
        <n v="609.0"/>
        <n v="1414.0"/>
        <n v="1713.0"/>
        <n v="1991.0"/>
        <n v="2082.0"/>
        <n v="2798.0"/>
        <n v="3763.0"/>
        <n v="4091.0"/>
        <n v="4372.0"/>
        <n v="4609.0"/>
        <n v="4949.0"/>
        <n v="6004.0"/>
        <n v="304.0"/>
        <n v="700.0"/>
        <n v="1708.0"/>
        <n v="1918.0"/>
        <n v="2067.0"/>
        <n v="3632.0"/>
        <n v="4332.0"/>
        <n v="4875.0"/>
        <n v="5108.0"/>
        <n v="5683.0"/>
        <n v="5976.0"/>
        <n v="6229.0"/>
        <n v="6478.0"/>
        <n v="1295.0"/>
        <n v="1829.0"/>
        <n v="2135.0"/>
        <n v="2719.0"/>
        <n v="3016.0"/>
        <n v="4065.0"/>
        <n v="4911.0"/>
        <n v="5338.0"/>
        <n v="6086.0"/>
        <n v="6457.0"/>
        <n v="330.0"/>
        <n v="626.0"/>
        <n v="857.0"/>
        <n v="2679.0"/>
        <n v="3098.0"/>
        <n v="3344.0"/>
        <n v="4428.0"/>
        <n v="5198.0"/>
        <n v="5368.0"/>
        <n v="5513.0"/>
        <n v="5742.0"/>
        <n v="6107.0"/>
        <n v="6729.0"/>
        <n v="904.0"/>
        <n v="1459.0"/>
        <n v="2636.0"/>
        <n v="2816.0"/>
        <n v="3341.0"/>
        <n v="3657.0"/>
        <n v="5032.0"/>
        <n v="6763.0"/>
        <n v="5649.0"/>
        <n v="6430.0"/>
        <n v="182.0"/>
        <n v="621.0"/>
        <n v="967.0"/>
        <n v="1422.0"/>
        <n v="1891.0"/>
        <n v="2307.0"/>
        <n v="3245.0"/>
        <n v="3319.0"/>
        <n v="3970.0"/>
        <n v="4303.0"/>
        <n v="5358.0"/>
        <n v="5793.0"/>
        <n v="6203.0"/>
        <n v="642.0"/>
        <n v="1119.0"/>
        <n v="1861.0"/>
        <n v="2168.0"/>
        <n v="2853.0"/>
        <n v="3299.0"/>
        <n v="4285.0"/>
        <n v="5210.0"/>
        <n v="5400.0"/>
        <n v="5553.0"/>
        <n v="6031.0"/>
        <n v="919.0"/>
        <n v="1097.0"/>
        <n v="1447.0"/>
        <n v="2105.0"/>
        <n v="2598.0"/>
        <n v="3469.0"/>
        <n v="3932.0"/>
        <n v="5344.0"/>
        <n v="6707.0"/>
        <n v="10.0"/>
        <n v="387.0"/>
        <n v="586.0"/>
        <n v="710.0"/>
        <n v="1658.0"/>
        <n v="2227.0"/>
        <n v="2668.0"/>
        <n v="3312.0"/>
        <n v="4212.0"/>
        <n v="6250.0"/>
        <n v="6692.0"/>
        <n v="1960.0"/>
        <n v="3460.0"/>
        <n v="4250.0"/>
        <n v="4504.0"/>
        <n v="5089.0"/>
        <n v="5950.0"/>
        <n v="205.0"/>
        <n v="853.0"/>
        <n v="1196.0"/>
        <n v="1598.0"/>
        <n v="2406.0"/>
        <n v="4299.0"/>
        <n v="4721.0"/>
        <n v="4886.0"/>
        <n v="5851.0"/>
        <n v="6303.0"/>
        <n v="292.0"/>
        <n v="384.0"/>
        <n v="1296.0"/>
        <n v="1978.0"/>
        <n v="3303.0"/>
        <n v="3953.0"/>
        <n v="4199.0"/>
        <n v="4773.0"/>
        <n v="5217.0"/>
        <n v="5870.0"/>
        <n v="5964.0"/>
        <n v="6082.0"/>
        <n v="206.0"/>
        <n v="595.0"/>
        <n v="2310.0"/>
        <n v="2880.0"/>
        <n v="3585.0"/>
        <n v="4515.0"/>
        <n v="5636.0"/>
        <n v="6132.0"/>
        <n v="6540.0"/>
        <n v="301.0"/>
        <n v="1057.0"/>
        <n v="1408.0"/>
        <n v="1453.0"/>
        <n v="1882.0"/>
        <n v="2111.0"/>
        <n v="2360.0"/>
        <n v="3207.0"/>
        <n v="3304.0"/>
        <n v="4122.0"/>
        <n v="4683.0"/>
        <n v="5470.0"/>
        <n v="6116.0"/>
        <n v="6393.0"/>
        <n v="6643.0"/>
        <n v="91.0"/>
        <n v="756.0"/>
        <n v="1680.0"/>
        <n v="2047.0"/>
        <n v="2866.0"/>
        <n v="3631.0"/>
        <n v="4316.0"/>
        <n v="5364.0"/>
        <n v="5605.0"/>
        <n v="9.0"/>
        <n v="448.0"/>
        <n v="1203.0"/>
        <n v="2010.0"/>
        <n v="4305.0"/>
        <n v="4687.0"/>
        <n v="4940.0"/>
        <n v="5175.0"/>
        <n v="5753.0"/>
        <n v="5996.0"/>
        <n v="6435.0"/>
        <n v="6562.0"/>
        <n v="872.0"/>
        <n v="1652.0"/>
        <n v="2000.0"/>
        <n v="3380.0"/>
        <n v="4060.0"/>
        <n v="4177.0"/>
        <n v="4635.0"/>
        <n v="6568.0"/>
        <n v="6743.0"/>
        <n v="1343.0"/>
        <n v="1519.0"/>
        <n v="2076.0"/>
        <n v="2136.0"/>
        <n v="2650.0"/>
        <n v="2793.0"/>
        <n v="3012.0"/>
        <n v="3847.0"/>
        <n v="4607.0"/>
        <n v="4654.0"/>
        <n v="4941.0"/>
        <n v="1526.0"/>
        <n v="1839.0"/>
        <n v="2268.0"/>
        <n v="3069.0"/>
        <n v="4039.0"/>
        <n v="4446.0"/>
        <n v="6021.0"/>
        <n v="74.0"/>
        <n v="1959.0"/>
        <n v="2169.0"/>
        <n v="3422.0"/>
        <n v="3613.0"/>
        <n v="4485.0"/>
        <n v="4929.0"/>
        <n v="5676.0"/>
        <n v="6590.0"/>
        <n v="1496.0"/>
        <n v="2589.0"/>
        <n v="3668.0"/>
        <n v="4978.0"/>
        <n v="5487.0"/>
        <n v="6270.0"/>
        <n v="884.0"/>
        <n v="1495.0"/>
        <n v="1782.0"/>
        <n v="1928.0"/>
        <n v="2195.0"/>
        <n v="4005.0"/>
        <n v="4759.0"/>
        <n v="4933.0"/>
        <n v="648.0"/>
        <n v="1171.0"/>
        <n v="1354.0"/>
        <n v="1901.0"/>
        <n v="2181.0"/>
        <n v="3051.0"/>
        <n v="3203.0"/>
        <n v="3843.0"/>
        <n v="5698.0"/>
        <n v="6653.0"/>
        <n v="271.0"/>
        <n v="1238.0"/>
        <n v="1802.0"/>
        <n v="3145.0"/>
        <n v="3336.0"/>
        <n v="3506.0"/>
        <n v="4325.0"/>
        <n v="6764.0"/>
        <n v="5421.0"/>
        <n v="6108.0"/>
        <n v="6379.0"/>
        <n v="656.0"/>
        <n v="715.0"/>
        <n v="1086.0"/>
        <n v="1504.0"/>
        <n v="1675.0"/>
        <n v="3041.0"/>
        <n v="4214.0"/>
        <n v="5915.0"/>
        <n v="6064.0"/>
        <n v="225.0"/>
        <n v="1163.0"/>
        <n v="2200.0"/>
        <n v="2382.0"/>
        <n v="2957.0"/>
        <n v="4626.0"/>
        <n v="5392.0"/>
        <n v="6114.0"/>
        <n v="481.0"/>
        <n v="739.0"/>
        <n v="834.0"/>
        <n v="1175.0"/>
        <n v="1425.0"/>
        <n v="2327.0"/>
        <n v="2535.0"/>
        <n v="2963.0"/>
        <n v="4535.0"/>
        <n v="5284.0"/>
        <n v="6491.0"/>
        <n v="222.0"/>
        <n v="720.0"/>
        <n v="1573.0"/>
        <n v="2070.0"/>
        <n v="3276.0"/>
        <n v="3795.0"/>
        <n v="4615.0"/>
        <n v="6301.0"/>
        <n v="338.0"/>
        <n v="661.0"/>
        <n v="1187.0"/>
        <n v="1510.0"/>
        <n v="1645.0"/>
        <n v="2356.0"/>
        <n v="3306.0"/>
        <n v="6700.0"/>
        <n v="198.0"/>
        <n v="513.0"/>
        <n v="727.0"/>
        <n v="1094.0"/>
        <n v="1508.0"/>
        <n v="2987.0"/>
        <n v="3485.0"/>
        <n v="4971.0"/>
        <n v="6617.0"/>
        <n v="1735.0"/>
        <n v="3311.0"/>
        <n v="3455.0"/>
        <n v="4009.0"/>
        <n v="5444.0"/>
        <n v="5700.0"/>
        <n v="5897.0"/>
        <n v="6573.0"/>
        <n v="515.0"/>
        <n v="697.0"/>
        <n v="2591.0"/>
        <n v="3009.0"/>
        <n v="3281.0"/>
        <n v="3323.0"/>
        <n v="3872.0"/>
        <n v="4288.0"/>
        <n v="5145.0"/>
        <n v="5586.0"/>
        <n v="6000.0"/>
        <n v="6488.0"/>
        <n v="6757.0"/>
        <n v="183.0"/>
        <n v="1210.0"/>
        <n v="1382.0"/>
        <n v="1899.0"/>
        <n v="3369.0"/>
        <n v="4498.0"/>
        <n v="5947.0"/>
        <n v="6141.0"/>
        <n v="382.0"/>
        <n v="2035.0"/>
        <n v="2762.0"/>
        <n v="2857.0"/>
        <n v="3236.0"/>
        <n v="5056.0"/>
        <n v="6221.0"/>
        <n v="329.0"/>
        <n v="465.0"/>
        <n v="650.0"/>
        <n v="900.0"/>
        <n v="1309.0"/>
        <n v="2340.0"/>
        <n v="4043.0"/>
        <n v="4264.0"/>
        <n v="4788.0"/>
        <n v="6046.0"/>
        <n v="6182.0"/>
        <n v="66.0"/>
        <n v="688.0"/>
        <n v="1924.0"/>
        <n v="2463.0"/>
        <n v="3679.0"/>
        <n v="4351.0"/>
        <n v="4699.0"/>
        <n v="5313.0"/>
        <n v="100.0"/>
        <n v="1129.0"/>
        <n v="2560.0"/>
        <n v="2662.0"/>
        <n v="2959.0"/>
        <n v="4747.0"/>
        <n v="5481.0"/>
        <n v="6089.0"/>
        <n v="1310.0"/>
        <n v="1497.0"/>
        <n v="3154.0"/>
        <n v="3263.0"/>
        <n v="4377.0"/>
        <n v="6158.0"/>
        <n v="6471.0"/>
        <n v="6719.0"/>
        <n v="663.0"/>
        <n v="1059.0"/>
        <n v="1279.0"/>
        <n v="2683.0"/>
        <n v="1940.0"/>
        <n v="3420.0"/>
        <n v="3905.0"/>
        <n v="4665.0"/>
        <n v="5970.0"/>
        <n v="6232.0"/>
        <n v="694.0"/>
        <n v="1515.0"/>
        <n v="1581.0"/>
        <n v="3006.0"/>
        <n v="3271.0"/>
        <n v="4879.0"/>
        <n v="5276.0"/>
        <n v="6658.0"/>
        <n v="394.0"/>
        <n v="1442.0"/>
        <n v="3274.0"/>
        <n v="5051.0"/>
        <n v="5345.0"/>
        <n v="6499.0"/>
        <n v="273.0"/>
        <n v="794.0"/>
        <n v="1044.0"/>
        <n v="1629.0"/>
        <n v="2050.0"/>
        <n v="2209.0"/>
        <n v="2953.0"/>
        <n v="3508.0"/>
        <n v="4674.0"/>
        <n v="5786.0"/>
        <n v="6017.0"/>
        <n v="6613.0"/>
        <n v="361.0"/>
        <n v="1101.0"/>
        <n v="1272.0"/>
        <n v="2106.0"/>
        <n v="2584.0"/>
        <n v="3305.0"/>
        <n v="4733.0"/>
        <n v="6124.0"/>
        <n v="751.0"/>
        <n v="992.0"/>
        <n v="1247.0"/>
        <n v="1465.0"/>
        <n v="1686.0"/>
        <n v="2642.0"/>
        <n v="2907.0"/>
        <n v="3408.0"/>
        <n v="4488.0"/>
        <n v="6470.0"/>
        <n v="5.0"/>
        <n v="374.0"/>
        <n v="721.0"/>
        <n v="1130.0"/>
        <n v="2449.0"/>
        <n v="3755.0"/>
        <n v="4521.0"/>
        <n v="4977.0"/>
        <n v="94.0"/>
        <n v="1197.0"/>
        <n v="1633.0"/>
        <n v="1930.0"/>
        <n v="6451.0"/>
        <n v="389.0"/>
        <n v="712.0"/>
        <n v="972.0"/>
        <n v="1811.0"/>
        <n v="2126.0"/>
        <n v="3383.0"/>
        <n v="3594.0"/>
        <n v="4337.0"/>
        <n v="4694.0"/>
        <n v="5891.0"/>
        <n v="6035.0"/>
        <n v="2604.0"/>
        <n v="2761.0"/>
        <n v="3496.0"/>
        <n v="4950.0"/>
        <n v="6762.0"/>
        <n v="5825.0"/>
        <n v="251.0"/>
        <n v="618.0"/>
        <n v="1595.0"/>
        <n v="2087.0"/>
        <n v="3334.0"/>
        <n v="3950.0"/>
        <n v="4378.0"/>
        <n v="4714.0"/>
        <n v="4777.0"/>
        <n v="5619.0"/>
        <n v="6649.0"/>
        <n v="596.0"/>
        <n v="910.0"/>
        <n v="1751.0"/>
        <n v="1952.0"/>
        <n v="2814.0"/>
        <n v="3425.0"/>
        <n v="4525.0"/>
        <n v="4661.0"/>
        <n v="5533.0"/>
        <n v="6101.0"/>
        <n v="95.0"/>
        <n v="944.0"/>
        <n v="1066.0"/>
        <n v="1592.0"/>
        <n v="2461.0"/>
        <n v="3039.0"/>
        <n v="3768.0"/>
        <n v="4277.0"/>
        <n v="4658.0"/>
        <n v="6111.0"/>
        <n v="559.0"/>
        <n v="860.0"/>
        <n v="1724.0"/>
        <n v="4409.0"/>
        <n v="5534.0"/>
        <n v="5908.0"/>
        <n v="597.0"/>
        <n v="1417.0"/>
        <n v="1714.0"/>
        <n v="1919.0"/>
        <n v="3256.0"/>
        <n v="5286.0"/>
        <n v="5526.0"/>
        <n v="5905.0"/>
        <n v="6231.0"/>
        <n v="258.0"/>
        <n v="723.0"/>
        <n v="930.0"/>
        <n v="1498.0"/>
        <n v="2553.0"/>
        <n v="3777.0"/>
        <n v="3914.0"/>
        <n v="4114.0"/>
        <n v="5703.0"/>
        <n v="5888.0"/>
        <n v="6042.0"/>
        <n v="6150.0"/>
        <n v="410.0"/>
        <n v="610.0"/>
        <n v="719.0"/>
        <n v="1060.0"/>
        <n v="1929.0"/>
        <n v="2101.0"/>
        <n v="2282.0"/>
        <n v="3190.0"/>
        <n v="3412.0"/>
        <n v="3725.0"/>
        <n v="4612.0"/>
        <n v="5033.0"/>
        <n v="5764.0"/>
        <n v="6750.0"/>
        <n v="314.0"/>
        <n v="757.0"/>
        <n v="2123.0"/>
        <n v="2824.0"/>
        <n v="3445.0"/>
        <n v="3690.0"/>
        <n v="5440.0"/>
        <n v="6090.0"/>
        <n v="303.0"/>
        <n v="560.0"/>
        <n v="1319.0"/>
        <n v="1493.0"/>
        <n v="1662.0"/>
        <n v="2020.0"/>
        <n v="2407.0"/>
        <n v="2818.0"/>
        <n v="3827.0"/>
        <n v="4421.0"/>
        <n v="5673.0"/>
        <n v="6372.0"/>
        <n v="6563.0"/>
        <n v="579.0"/>
        <n v="689.0"/>
        <n v="724.0"/>
        <n v="1499.0"/>
        <n v="3960.0"/>
        <n v="4919.0"/>
        <n v="6334.0"/>
        <n v="1577.0"/>
        <n v="2197.0"/>
        <n v="2509.0"/>
        <n v="3514.0"/>
        <n v="4588.0"/>
        <n v="5929.0"/>
        <n v="6335.0"/>
        <n v="375.0"/>
        <n v="555.0"/>
        <n v="622.0"/>
        <n v="1975.0"/>
        <n v="2831.0"/>
        <n v="3085.0"/>
        <n v="3418.0"/>
        <n v="3915.0"/>
        <n v="4443.0"/>
        <n v="5686.0"/>
        <n v="6120.0"/>
        <n v="6274.0"/>
        <n v="6364.0"/>
        <n v="89.0"/>
        <n v="805.0"/>
        <n v="2836.0"/>
        <n v="3298.0"/>
        <n v="5506.0"/>
        <n v="6159.0"/>
        <n v="6492.0"/>
        <n v="592.0"/>
        <n v="737.0"/>
        <n v="1108.0"/>
        <n v="1387.0"/>
        <n v="2311.0"/>
        <n v="2887.0"/>
        <n v="3283.0"/>
        <n v="4341.0"/>
        <n v="5025.0"/>
        <n v="5437.0"/>
        <n v="5652.0"/>
        <n v="672.0"/>
        <n v="1578.0"/>
        <n v="4506.0"/>
        <n v="4762.0"/>
        <n v="6081.0"/>
        <n v="6503.0"/>
        <n v="649.0"/>
        <n v="1040.0"/>
        <n v="1461.0"/>
        <n v="2497.0"/>
        <n v="2758.0"/>
        <n v="2991.0"/>
        <n v="3458.0"/>
        <n v="3830.0"/>
        <n v="6685.0"/>
        <n v="420.0"/>
        <n v="662.0"/>
        <n v="791.0"/>
        <n v="1164.0"/>
        <n v="2939.0"/>
        <n v="3867.0"/>
        <n v="4290.0"/>
        <n v="4400.0"/>
        <n v="5100.0"/>
        <n v="5956.0"/>
        <n v="6701.0"/>
        <n v="1.0"/>
        <n v="1923.0"/>
        <n v="3804.0"/>
        <n v="4876.0"/>
        <n v="5428.0"/>
        <n v="6452.0"/>
        <n v="6703.0"/>
        <n v="116.0"/>
        <n v="761.0"/>
        <n v="932.0"/>
        <n v="1217.0"/>
        <n v="1617.0"/>
        <n v="1849.0"/>
        <n v="2055.0"/>
        <n v="2841.0"/>
        <n v="5983.0"/>
        <n v="6016.0"/>
        <n v="845.0"/>
        <n v="1832.0"/>
        <n v="2740.0"/>
        <n v="3622.0"/>
        <n v="3979.0"/>
        <n v="5749.0"/>
        <n v="6633.0"/>
        <n v="1301.0"/>
        <n v="2203.0"/>
        <n v="2569.0"/>
        <n v="3621.0"/>
        <n v="4051.0"/>
        <n v="4831.0"/>
        <n v="158.0"/>
        <n v="1290.0"/>
        <n v="2441.0"/>
        <n v="3681.0"/>
        <n v="4511.0"/>
        <n v="4684.0"/>
        <n v="5606.0"/>
        <n v="5708.0"/>
        <n v="5960.0"/>
        <n v="6014.0"/>
        <n v="6193.0"/>
        <n v="6635.0"/>
        <n v="82.0"/>
        <n v="2518.0"/>
        <n v="2644.0"/>
        <n v="3280.0"/>
        <n v="3486.0"/>
        <n v="5297.0"/>
        <n v="5802.0"/>
        <n v="6675.0"/>
        <n v="2025.0"/>
        <n v="2270.0"/>
        <n v="3701.0"/>
        <n v="4618.0"/>
        <n v="4909.0"/>
        <n v="5578.0"/>
        <n v="6404.0"/>
        <n v="6623.0"/>
        <n v="6738.0"/>
        <n v="497.0"/>
        <n v="1071.0"/>
        <n v="1709.0"/>
        <n v="2348.0"/>
        <n v="3342.0"/>
        <n v="1008.0"/>
        <n v="2430.0"/>
        <n v="3352.0"/>
        <n v="3748.0"/>
        <n v="5687.0"/>
        <n v="6724.0"/>
        <n v="152.0"/>
        <n v="1207.0"/>
        <n v="1377.0"/>
        <n v="1606.0"/>
        <n v="1920.0"/>
        <n v="2856.0"/>
        <n v="3277.0"/>
        <n v="4501.0"/>
        <n v="5194.0"/>
        <n v="5519.0"/>
        <n v="6509.0"/>
        <n v="476.0"/>
        <n v="1052.0"/>
        <n v="1743.0"/>
        <n v="3157.0"/>
        <n v="5255.0"/>
        <n v="6475.0"/>
        <n v="477.0"/>
        <n v="643.0"/>
        <n v="1152.0"/>
        <n v="1333.0"/>
        <n v="1659.0"/>
        <n v="2657.0"/>
        <n v="2898.0"/>
        <n v="3852.0"/>
        <n v="5342.0"/>
        <n v="5634.0"/>
        <n v="30.0"/>
        <n v="195.0"/>
        <n v="993.0"/>
        <n v="1774.0"/>
        <n v="2648.0"/>
        <n v="2979.0"/>
        <n v="3676.0"/>
        <n v="4041.0"/>
        <n v="4147.0"/>
        <n v="4859.0"/>
        <n v="6067.0"/>
        <n v="1690.0"/>
        <n v="2404.0"/>
        <n v="3313.0"/>
        <n v="3559.0"/>
        <n v="4018.0"/>
        <n v="4121.0"/>
        <n v="4224.0"/>
        <n v="4810.0"/>
        <n v="5295.0"/>
        <n v="5381.0"/>
        <n v="6271.0"/>
        <n v="1244.0"/>
        <n v="2249.0"/>
        <n v="3045.0"/>
        <n v="3817.0"/>
        <n v="4481.0"/>
        <n v="5160.0"/>
        <n v="6304.0"/>
        <n v="1315.0"/>
        <n v="2924.0"/>
        <n v="3324.0"/>
        <n v="3935.0"/>
        <n v="5844.0"/>
        <n v="2905.0"/>
        <n v="4805.0"/>
        <n v="5202.0"/>
        <n v="5927.0"/>
        <n v="2347.0"/>
        <n v="3806.0"/>
        <n v="4451.0"/>
        <n v="5023.0"/>
        <n v="80.0"/>
        <n v="534.0"/>
        <n v="1867.0"/>
        <n v="4383.0"/>
        <n v="748.0"/>
        <n v="1254.0"/>
        <n v="3807.0"/>
        <n v="4280.0"/>
        <n v="4533.0"/>
        <n v="3230.0"/>
        <n v="4296.0"/>
        <n v="3059.0"/>
        <n v="5547.0"/>
        <n v="5699.0"/>
        <n v="5701.0"/>
        <n v="247.0"/>
        <n v="2582.0"/>
        <n v="3184.0"/>
        <n v="1687.0"/>
        <n v="4174.0"/>
        <n v="4335.0"/>
        <n v="150.0"/>
        <n v="233.0"/>
        <n v="1880.0"/>
        <n v="2986.0"/>
        <n v="3549.0"/>
        <n v="4463.0"/>
        <n v="4178.0"/>
        <n v="4599.0"/>
        <n v="4667.0"/>
        <n v="570.0"/>
        <n v="1691.0"/>
        <n v="3499.0"/>
        <n v="4467.0"/>
        <n v="2799.0"/>
        <n v="3822.0"/>
        <n v="4456.0"/>
        <n v="4685.0"/>
        <n v="306.0"/>
        <n v="2888.0"/>
        <n v="92.0"/>
        <n v="3138.0"/>
        <n v="3810.0"/>
        <n v="4580.0"/>
        <n v="5784.0"/>
        <n v="1648.0"/>
        <n v="2883.0"/>
        <n v="4272.0"/>
        <n v="5621.0"/>
        <n v="5696.0"/>
        <n v="5662.0"/>
        <n v="1894.0"/>
        <n v="2854.0"/>
        <n v="4968.0"/>
        <n v="352.0"/>
        <n v="1841.0"/>
        <n v="1885.0"/>
        <n v="3170.0"/>
        <n v="4586.0"/>
        <n v="5208.0"/>
        <n v="5472.0"/>
        <n v="96.0"/>
        <n v="132.0"/>
        <n v="2899.0"/>
        <n v="3166.0"/>
        <n v="232.0"/>
        <n v="275.0"/>
        <n v="554.0"/>
        <n v="4326.0"/>
        <n v="5723.0"/>
        <n v="1462.0"/>
        <n v="196.0"/>
        <n v="236.0"/>
        <n v="1502.0"/>
        <n v="1615.0"/>
        <n v="3079.0"/>
        <n v="6249.0"/>
        <n v="1794.0"/>
        <n v="4546.0"/>
        <n v="2913.0"/>
        <n v="276.0"/>
        <n v="1613.0"/>
        <n v="3150.0"/>
        <n v="3217.0"/>
        <n v="4523.0"/>
        <n v="4593.0"/>
        <n v="5476.0"/>
        <n v="5477.0"/>
        <n v="5846.0"/>
        <n v="1539.0"/>
        <n v="1770.0"/>
        <n v="1921.0"/>
        <n v="3073.0"/>
        <n v="4795.0"/>
        <n v="2079.0"/>
        <n v="3179.0"/>
        <n v="5872.0"/>
        <n v="218.0"/>
        <n v="840.0"/>
        <n v="1642.0"/>
        <n v="3307.0"/>
        <n v="1475.0"/>
        <n v="2179.0"/>
        <n v="3080.0"/>
        <n v="3771.0"/>
        <n v="5847.0"/>
        <n v="5875.0"/>
        <n v="400.0"/>
        <n v="2146.0"/>
        <n v="2942.0"/>
        <n v="4418.0"/>
        <n v="2305.0"/>
        <n v="5637.0"/>
        <n v="5838.0"/>
        <n v="457.0"/>
        <n v="511.0"/>
        <n v="4146.0"/>
        <n v="4242.0"/>
        <n v="4470.0"/>
        <n v="2530.0"/>
        <n v="2596.0"/>
        <n v="5754.0"/>
        <n v="200.0"/>
        <n v="1531.0"/>
        <n v="5715.0"/>
        <n v="3130.0"/>
        <n v="4133.0"/>
        <n v="4419.0"/>
        <n v="4547.0"/>
        <n v="5613.0"/>
        <n v="572.0"/>
        <n v="1566.0"/>
        <n v="2266.0"/>
        <n v="4390.0"/>
        <n v="4545.0"/>
        <n v="4572.0"/>
        <n v="1649.0"/>
        <n v="3008.0"/>
        <n v="4480.0"/>
        <n v="5713.0"/>
        <n v="5866.0"/>
        <n v="5945.0"/>
        <n v="126.0"/>
        <n v="436.0"/>
        <n v="1620.0"/>
        <n v="2206.0"/>
        <n v="3221.0"/>
        <n v="5583.0"/>
        <n v="2131.0"/>
        <n v="401.0"/>
        <n v="461.0"/>
        <n v="2946.0"/>
        <n v="289.0"/>
        <n v="1303.0"/>
        <n v="1817.0"/>
        <n v="2970.0"/>
        <n v="4519.0"/>
        <n v="5830.0"/>
        <n v="5880.0"/>
        <n v="1520.0"/>
        <n v="1789.0"/>
        <n v="2484.0"/>
        <n v="4312.0"/>
        <n v="4363.0"/>
        <n v="5716.0"/>
        <n v="5775.0"/>
        <n v="424.0"/>
        <n v="377.0"/>
        <n v="454.0"/>
        <n v="1603.0"/>
        <n v="5300.0"/>
        <n v="6560.0"/>
        <n v="2526.0"/>
        <n v="2926.0"/>
        <n v="141.0"/>
        <n v="491.0"/>
        <n v="1875.0"/>
        <n v="4906.0"/>
        <n v="209.0"/>
        <n v="278.0"/>
        <n v="1381.0"/>
        <n v="5473.0"/>
        <n v="5479.0"/>
        <n v="6228.0"/>
        <n v="2940.0"/>
        <n v="5780.0"/>
        <n v="1781.0"/>
        <n v="1787.0"/>
        <n v="2423.0"/>
        <n v="4148.0"/>
        <n v="411.0"/>
        <n v="3727.0"/>
        <n v="4847.0"/>
        <n v="216.0"/>
        <n v="1898.0"/>
        <n v="2077.0"/>
        <n v="2486.0"/>
        <n v="2809.0"/>
        <n v="2900.0"/>
        <n v="3022.0"/>
        <n v="3211.0"/>
        <n v="4356.0"/>
        <n v="6208.0"/>
        <n v="6571.0"/>
        <n v="237.0"/>
        <n v="4328.0"/>
        <n v="4757.0"/>
        <n v="323.0"/>
        <n v="421.0"/>
        <n v="1458.0"/>
        <n v="3920.0"/>
        <n v="4401.0"/>
        <n v="1034.0"/>
        <n v="1543.0"/>
        <n v="2909.0"/>
        <n v="3015.0"/>
        <n v="4165.0"/>
        <n v="5410.0"/>
        <n v="328.0"/>
        <n v="580.0"/>
        <n v="4357.0"/>
        <n v="4560.0"/>
        <n v="5647.0"/>
        <n v="5704.0"/>
        <n v="2855.0"/>
        <n v="5565.0"/>
        <n v="235.0"/>
        <n v="2109.0"/>
        <n v="4230.0"/>
        <n v="111.0"/>
        <n v="168.0"/>
        <n v="187.0"/>
        <n v="1492.0"/>
        <n v="2992.0"/>
        <n v="3433.0"/>
        <n v="5536.0"/>
        <n v="474.0"/>
        <n v="1722.0"/>
        <n v="2978.0"/>
        <n v="2983.0"/>
        <n v="3866.0"/>
        <n v="4491.0"/>
        <n v="4603.0"/>
        <n v="1325.0"/>
        <n v="3450.0"/>
        <n v="4329.0"/>
        <n v="1723.0"/>
        <n v="3261.0"/>
        <n v="3309.0"/>
        <n v="3666.0"/>
        <n v="6129.0"/>
        <n v="1513.0"/>
        <n v="2011.0"/>
        <n v="2931.0"/>
        <n v="6397.0"/>
        <n v="176.0"/>
        <n v="3180.0"/>
        <n v="3238.0"/>
        <n v="4360.0"/>
        <n v="6717.0"/>
        <n v="386.0"/>
        <n v="528.0"/>
        <n v="2556.0"/>
        <n v="3286.0"/>
        <n v="5805.0"/>
        <n v="5911.0"/>
        <n v="245.0"/>
        <n v="1532.0"/>
        <n v="3161.0"/>
        <n v="3523.0"/>
        <n v="4278.0"/>
        <n v="5835.0"/>
        <n v="99.0"/>
        <n v="162.0"/>
        <n v="307.0"/>
        <n v="1767.0"/>
        <n v="5502.0"/>
        <n v="5644.0"/>
        <n v="5736.0"/>
        <n v="3808.0"/>
        <n v="5831.0"/>
        <n v="5980.0"/>
        <n v="353.0"/>
        <n v="397.0"/>
        <n v="1843.0"/>
        <n v="2019.0"/>
        <n v="1732.0"/>
        <n v="1984.0"/>
        <n v="5886.0"/>
        <n v="6098.0"/>
        <n v="2048.0"/>
        <n v="2844.0"/>
        <n v="1426.0"/>
        <n v="2969.0"/>
        <n v="5584.0"/>
        <n v="1704.0"/>
        <n v="3399.0"/>
        <n v="4298.0"/>
        <n v="4019.0"/>
        <n v="3197.0"/>
        <n v="4166.0"/>
        <n v="4238.0"/>
        <n v="5894.0"/>
        <n v="6647.0"/>
        <n v="210.0"/>
        <n v="403.0"/>
        <n v="568.0"/>
        <n v="856.0"/>
        <n v="1757.0"/>
        <n v="2842.0"/>
        <n v="3147.0"/>
        <n v="4497.0"/>
        <n v="4770.0"/>
        <n v="5493.0"/>
        <n v="5540.0"/>
        <n v="2003.0"/>
        <n v="4179.0"/>
        <n v="4561.0"/>
        <n v="5806.0"/>
        <n v="1881.0"/>
        <n v="3235.0"/>
        <n v="5604.0"/>
        <n v="1557.0"/>
        <n v="1661.0"/>
        <n v="2022.0"/>
        <n v="3188.0"/>
        <n v="5655.0"/>
        <n v="5903.0"/>
        <n v="6209.0"/>
        <n v="536.0"/>
        <n v="1134.0"/>
        <n v="1604.0"/>
        <n v="1653.0"/>
        <n v="1695.0"/>
        <n v="2750.0"/>
        <n v="2884.0"/>
        <n v="3191.0"/>
        <n v="3193.0"/>
        <n v="3524.0"/>
        <n v="4294.0"/>
        <n v="4484.0"/>
        <n v="324.0"/>
        <n v="3351.0"/>
        <n v="4195.0"/>
        <n v="5685.0"/>
        <n v="2889.0"/>
        <n v="4301.0"/>
        <n v="1294.0"/>
        <n v="5935.0"/>
        <n v="428.0"/>
        <n v="450.0"/>
        <n v="4510.0"/>
        <n v="432.0"/>
        <n v="2491.0"/>
        <n v="5569.0"/>
        <n v="5671.0"/>
        <n v="6374.0"/>
        <n v="4464.0"/>
        <n v="5609.0"/>
        <n v="5848.0"/>
        <n v="543.0"/>
        <n v="2828.0"/>
        <n v="2993.0"/>
        <n v="3018.0"/>
        <n v="4155.0"/>
        <n v="2552.0"/>
        <n v="3430.0"/>
        <n v="4167.0"/>
        <n v="5508.0"/>
        <n v="5729.0"/>
        <n v="202.0"/>
        <n v="341.0"/>
        <n v="3049.0"/>
        <n v="6323.0"/>
        <n v="6462.0"/>
        <n v="3242.0"/>
        <n v="4499.0"/>
        <n v="3182.0"/>
        <n v="4173.0"/>
        <n v="4189.0"/>
        <n v="6390.0"/>
        <n v="1231.0"/>
        <n v="1589.0"/>
        <n v="1815.0"/>
        <n v="5678.0"/>
        <n v="239.0"/>
        <n v="551.0"/>
        <n v="2097.0"/>
        <n v="2613.0"/>
        <n v="5497.0"/>
        <n v="5668.0"/>
        <n v="482.0"/>
        <n v="544.0"/>
        <n v="1227.0"/>
        <n v="1489.0"/>
        <n v="2588.0"/>
        <n v="3152.0"/>
        <n v="5853.0"/>
        <n v="2933.0"/>
        <n v="5543.0"/>
        <n v="1356.0"/>
        <n v="1403.0"/>
        <n v="2459.0"/>
        <n v="3023.0"/>
        <n v="4444.0"/>
        <n v="1733.0"/>
        <n v="1937.0"/>
        <n v="5614.0"/>
        <n v="5718.0"/>
        <n v="334.0"/>
        <n v="1107.0"/>
        <n v="3033.0"/>
        <n v="3099.0"/>
        <n v="4302.0"/>
        <n v="4829.0"/>
        <n v="5854.0"/>
        <n v="427.0"/>
        <n v="852.0"/>
        <n v="1931.0"/>
        <n v="3292.0"/>
        <n v="5154.0"/>
        <n v="5627.0"/>
        <n v="5751.0"/>
        <n v="308.0"/>
        <n v="2890.0"/>
        <n v="4245.0"/>
        <n v="4423.0"/>
        <n v="212.0"/>
        <n v="3034.0"/>
        <n v="6669.0"/>
        <n v="252.0"/>
        <n v="391.0"/>
        <n v="412.0"/>
        <n v="5709.0"/>
        <n v="6300.0"/>
        <n v="381.0"/>
        <n v="3030.0"/>
        <n v="3671.0"/>
        <n v="4186.0"/>
        <n v="4281.0"/>
        <n v="1864.0"/>
        <n v="2073.0"/>
        <n v="3113.0"/>
        <n v="4885.0"/>
        <n v="326.0"/>
        <n v="1401.0"/>
        <n v="2792.0"/>
        <n v="149.0"/>
        <n v="368.0"/>
        <n v="1927.0"/>
        <n v="2068.0"/>
        <n v="2396.0"/>
        <n v="4890.0"/>
        <n v="2117.0"/>
        <n v="2780.0"/>
        <n v="4863.0"/>
        <n v="5782.0"/>
        <n v="188.0"/>
        <n v="1699.0"/>
        <n v="3043.0"/>
        <n v="3818.0"/>
        <n v="4187.0"/>
        <n v="4381.0"/>
        <n v="4530.0"/>
        <n v="4774.0"/>
        <n v="5423.0"/>
        <n v="4011.0"/>
        <n v="4556.0"/>
        <n v="354.0"/>
        <n v="1618.0"/>
        <n v="3019.0"/>
        <n v="5469.0"/>
        <n v="5731.0"/>
        <n v="5839.0"/>
        <n v="1660.0"/>
        <n v="3146.0"/>
        <n v="174.0"/>
        <n v="321.0"/>
        <n v="2973.0"/>
        <n v="5691.0"/>
        <n v="5748.0"/>
        <n v="404.0"/>
        <n v="2474.0"/>
        <n v="4374.0"/>
        <n v="4461.0"/>
        <n v="4731.0"/>
        <n v="5798.0"/>
        <n v="3849.0"/>
        <n v="5763.0"/>
        <n v="5815.0"/>
        <n v="5826.0"/>
        <n v="3782.0"/>
        <n v="4630.0"/>
        <n v="437.0"/>
        <n v="122.0"/>
        <n v="4487.0"/>
        <n v="5551.0"/>
        <n v="2927.0"/>
        <n v="3176.0"/>
        <n v="3253.0"/>
        <n v="6759.0"/>
        <n v="848.0"/>
        <n v="1674.0"/>
        <n v="3159.0"/>
        <n v="3208.0"/>
        <n v="2803.0"/>
        <n v="3232.0"/>
        <n v="4271.0"/>
        <n v="5591.0"/>
        <n v="549.0"/>
        <n v="1776.0"/>
        <n v="2910.0"/>
        <n v="492.0"/>
        <n v="963.0"/>
        <n v="1505.0"/>
        <n v="2923.0"/>
        <n v="4396.0"/>
        <n v="5639.0"/>
        <n v="6348.0"/>
        <n v="253.0"/>
        <n v="379.0"/>
        <n v="463.0"/>
        <n v="1848.0"/>
        <n v="2897.0"/>
        <n v="6398.0"/>
        <n v="229.0"/>
        <n v="1683.0"/>
        <n v="1728.0"/>
        <n v="1777.0"/>
        <n v="1868.0"/>
        <n v="2801.0"/>
        <n v="2920.0"/>
        <n v="5849.0"/>
        <n v="1738.0"/>
        <n v="3107.0"/>
        <n v="3359.0"/>
        <n v="4021.0"/>
        <n v="4163.0"/>
        <n v="4314.0"/>
        <n v="5116.0"/>
        <n v="1114.0"/>
        <n v="5221.0"/>
        <n v="5643.0"/>
        <n v="1742.0"/>
        <n v="1979.0"/>
        <n v="2860.0"/>
        <n v="3206.0"/>
        <n v="5475.0"/>
        <n v="5710.0"/>
        <n v="1555.0"/>
        <n v="2672.0"/>
        <n v="3697.0"/>
        <n v="4928.0"/>
        <n v="5663.0"/>
        <n v="164.0"/>
        <n v="2985.0"/>
        <n v="3248.0"/>
        <n v="3794.0"/>
        <n v="4834.0"/>
        <n v="5517.0"/>
        <n v="466.0"/>
        <n v="1678.0"/>
        <n v="1801.0"/>
        <n v="1819.0"/>
        <n v="3020.0"/>
        <n v="3169.0"/>
        <n v="3495.0"/>
        <n v="4365.0"/>
        <n v="4562.0"/>
        <n v="1697.0"/>
        <n v="1853.0"/>
        <n v="2848.0"/>
        <n v="4327.0"/>
        <n v="4345.0"/>
        <n v="4802.0"/>
        <n v="1955.0"/>
        <n v="3840.0"/>
        <n v="4183.0"/>
        <n v="4465.0"/>
        <n v="1795.0"/>
        <n v="2049.0"/>
        <n v="2811.0"/>
        <n v="3171.0"/>
        <n v="4557.0"/>
        <n v="5538.0"/>
        <n v="556.0"/>
        <n v="1854.0"/>
        <n v="1897.0"/>
        <n v="2537.0"/>
        <n v="3053.0"/>
        <n v="3050.0"/>
        <n v="3110.0"/>
        <n v="5524.0"/>
        <n v="5714.0"/>
        <n v="5783.0"/>
        <n v="1982.0"/>
        <n v="5251.0"/>
        <n v="85.0"/>
        <n v="459.0"/>
        <n v="1507.0"/>
        <n v="4231.0"/>
        <n v="4427.0"/>
        <n v="5640.0"/>
        <n v="317.0"/>
        <n v="5581.0"/>
        <n v="6288.0"/>
        <n v="1267.0"/>
        <n v="2026.0"/>
        <n v="2150.0"/>
        <n v="2389.0"/>
        <n v="954.0"/>
        <n v="2795.0"/>
        <n v="4184.0"/>
        <n v="4563.0"/>
        <n v="774.0"/>
        <n v="2777.0"/>
        <n v="2891.0"/>
        <n v="6377.0"/>
        <n v="1561.0"/>
        <n v="1888.0"/>
        <n v="4192.0"/>
        <n v="4455.0"/>
        <n v="4527.0"/>
        <n v="4575.0"/>
        <n v="1116.0"/>
        <n v="3061.0"/>
        <n v="4431.0"/>
        <n v="227.0"/>
        <n v="1434.0"/>
        <n v="3040.0"/>
        <n v="4366.0"/>
        <n v="4594.0"/>
        <n v="358.0"/>
        <n v="865.0"/>
        <n v="4822.0"/>
        <n v="5290.0"/>
        <n v="1202.0"/>
        <n v="2840.0"/>
        <n v="5642.0"/>
        <n v="5788.0"/>
        <n v="5792.0"/>
        <n v="1172.0"/>
        <n v="5860.0"/>
        <n v="1245.0"/>
        <n v="1544.0"/>
        <n v="4287.0"/>
        <n v="4308.0"/>
        <n v="5577.0"/>
        <n v="5760.0"/>
        <n v="5855.0"/>
        <n v="76.0"/>
        <n v="366.0"/>
        <n v="371.0"/>
        <n v="3564.0"/>
        <n v="181.0"/>
        <n v="1503.0"/>
        <n v="1863.0"/>
        <n v="175.0"/>
        <n v="1749.0"/>
        <n v="2781.0"/>
        <n v="319.0"/>
        <n v="439.0"/>
        <n v="4201.0"/>
        <n v="736.0"/>
        <n v="929.0"/>
        <n v="1793.0"/>
        <n v="5926.0"/>
        <n v="345.0"/>
        <n v="1051.0"/>
        <n v="3213.0"/>
        <n v="3841.0"/>
        <n v="4168.0"/>
        <n v="4657.0"/>
        <n v="5272.0"/>
        <n v="5765.0"/>
        <n v="261.0"/>
        <n v="525.0"/>
        <n v="1500.0"/>
        <n v="1640.0"/>
        <n v="2885.0"/>
        <n v="4386.0"/>
        <n v="1190.0"/>
        <n v="1549.0"/>
        <n v="2834.0"/>
        <n v="2862.0"/>
        <n v="3054.0"/>
        <n v="3405.0"/>
        <n v="4153.0"/>
        <n v="5424.0"/>
        <n v="6561.0"/>
        <n v="1623.0"/>
        <n v="2061.0"/>
        <n v="3183.0"/>
        <n v="240.0"/>
        <n v="1011.0"/>
        <n v="1755.0"/>
        <n v="1893.0"/>
        <n v="177.0"/>
        <n v="1162.0"/>
        <n v="1456.0"/>
        <n v="1472.0"/>
        <n v="3024.0"/>
        <n v="903.0"/>
        <n v="1969.0"/>
        <n v="3457.0"/>
        <n v="4567.0"/>
        <n v="4696.0"/>
        <n v="4695.0"/>
        <n v="77.0"/>
        <n v="3118.0"/>
        <n v="3329.0"/>
        <n v="4403.0"/>
        <n v="4406.0"/>
        <n v="1828.0"/>
        <n v="3084.0"/>
        <n v="3890.0"/>
        <n v="4410.0"/>
        <n v="127.0"/>
        <n v="3355.0"/>
        <n v="86.0"/>
        <n v="550.0"/>
        <n v="2275.0"/>
        <n v="4399.0"/>
        <n v="5598.0"/>
        <n v="293.0"/>
        <n v="355.0"/>
        <n v="683.0"/>
        <n v="1490.0"/>
        <n v="1796.0"/>
        <n v="4529.0"/>
        <n v="4536.0"/>
        <n v="433.0"/>
        <n v="1607.0"/>
        <n v="3189.0"/>
        <n v="4128.0"/>
        <n v="4197.0"/>
        <n v="4524.0"/>
        <n v="5871.0"/>
        <n v="5912.0"/>
        <n v="2466.0"/>
        <n v="2886.0"/>
        <n v="5225.0"/>
        <n v="6505.0"/>
        <n v="2785.0"/>
        <n v="2806.0"/>
        <n v="4459.0"/>
        <n v="5653.0"/>
        <n v="1650.0"/>
        <n v="3745.0"/>
        <n v="4796.0"/>
        <n v="2119.0"/>
        <n v="3013.0"/>
        <n v="3126.0"/>
        <n v="4235.0"/>
        <n v="105.0"/>
        <n v="1747.0"/>
        <n v="4134.0"/>
        <n v="217.0"/>
        <n v="4478.0"/>
        <n v="5248.0"/>
        <n v="6032.0"/>
        <n v="4206.0"/>
        <n v="4387.0"/>
        <n v="113.0"/>
        <n v="1558.0"/>
        <n v="2180.0"/>
        <n v="3661.0"/>
        <n v="378.0"/>
        <n v="790.0"/>
        <n v="1700.0"/>
        <n v="3788.0"/>
        <n v="480.0"/>
        <n v="1632.0"/>
        <n v="3101.0"/>
        <n v="5706.0"/>
        <n v="5772.0"/>
        <n v="129.0"/>
        <n v="3119.0"/>
        <n v="3228.0"/>
        <n v="1569.0"/>
        <n v="1820.0"/>
        <n v="1840.0"/>
        <n v="4323.0"/>
        <n v="4346.0"/>
        <n v="5785.0"/>
        <n v="6400.0"/>
        <n v="224.0"/>
        <n v="5913.0"/>
        <n v="1833.0"/>
        <n v="2902.0"/>
        <n v="4239.0"/>
        <n v="265.0"/>
        <n v="833.0"/>
        <n v="3249.0"/>
        <n v="4226.0"/>
        <n v="5867.0"/>
        <n v="684.0"/>
        <n v="718.0"/>
        <n v="4145.0"/>
        <n v="5489.0"/>
        <n v="5651.0"/>
        <n v="290.0"/>
        <n v="1030.0"/>
        <n v="3062.0"/>
        <n v="5635.0"/>
        <n v="5828.0"/>
        <n v="2823.0"/>
        <n v="4558.0"/>
        <n v="5494.0"/>
        <n v="5501.0"/>
        <n v="526.0"/>
        <n v="1887.0"/>
        <n v="2944.0"/>
        <n v="4413.0"/>
        <n v="4420.0"/>
        <n v="5486.0"/>
        <n v="6010.0"/>
        <n v="277.0"/>
        <n v="2148.0"/>
        <n v="2802.0"/>
        <n v="4445.0"/>
        <n v="546.0"/>
        <n v="1115.0"/>
        <n v="3177.0"/>
        <n v="5587.0"/>
        <n v="5628.0"/>
        <n v="6173.0"/>
        <n v="383.0"/>
        <n v="749.0"/>
        <n v="5733.0"/>
        <n v="18.0"/>
        <n v="2125.0"/>
        <n v="5522.0"/>
        <n v="5895.0"/>
        <n v="192.0"/>
        <n v="1469.0"/>
        <n v="1486.0"/>
        <n v="2971.0"/>
        <n v="4331.0"/>
        <n v="1739.0"/>
        <n v="5679.0"/>
        <n v="5750.0"/>
        <n v="5856.0"/>
        <n v="6033.0"/>
        <n v="119.0"/>
        <n v="641.0"/>
        <n v="3144.0"/>
        <n v="3404.0"/>
        <n v="4185.0"/>
        <n v="5918.0"/>
        <n v="98.0"/>
        <n v="1541.0"/>
        <n v="2872.0"/>
        <n v="3498.0"/>
        <n v="5646.0"/>
        <n v="5656.0"/>
        <n v="130.0"/>
        <n v="268.0"/>
        <n v="644.0"/>
        <n v="1572.0"/>
        <n v="1619.0"/>
        <n v="1668.0"/>
        <n v="1707.0"/>
        <n v="2113.0"/>
        <n v="4581.0"/>
        <n v="5626.0"/>
        <n v="4255.0"/>
        <n v="5794.0"/>
        <n v="6103.0"/>
        <n v="302.0"/>
        <n v="1137.0"/>
        <n v="4304.0"/>
        <n v="1702.0"/>
        <n v="1762.0"/>
        <n v="2373.0"/>
        <n v="3005.0"/>
        <n v="3131.0"/>
        <n v="3883.0"/>
        <n v="6131.0"/>
        <n v="6302.0"/>
        <n v="6538.0"/>
        <n v="244.0"/>
        <n v="1216.0"/>
        <n v="4154.0"/>
        <n v="393.0"/>
        <n v="419.0"/>
        <n v="4311.0"/>
        <n v="4404.0"/>
        <n v="5675.0"/>
        <n v="193.0"/>
        <n v="1825.0"/>
        <n v="3111.0"/>
        <n v="4160.0"/>
        <n v="2846.0"/>
        <n v="3163.0"/>
        <n v="3446.0"/>
        <n v="4543.0"/>
        <n v="4800.0"/>
        <n v="107.0"/>
        <n v="1594.0"/>
        <n v="1791.0"/>
        <n v="6050.0"/>
        <n v="409.0"/>
        <n v="3137.0"/>
        <n v="4532.0"/>
        <n v="5914.0"/>
        <n v="5618.0"/>
        <n v="5688.0"/>
        <n v="6419.0"/>
        <n v="711.0"/>
        <n v="4415.0"/>
        <n v="4544.0"/>
        <n v="3173.0"/>
        <n v="6262.0"/>
        <n v="262.0"/>
        <n v="529.0"/>
        <n v="1537.0"/>
        <n v="1788.0"/>
        <n v="5816.0"/>
        <n v="3260.0"/>
        <n v="4008.0"/>
        <n v="4574.0"/>
        <n v="1730.0"/>
        <n v="2448.0"/>
        <n v="4570.0"/>
        <n v="5529.0"/>
        <n v="1506.0"/>
        <n v="2651.0"/>
        <n v="3185.0"/>
        <n v="3421.0"/>
        <n v="291.0"/>
        <n v="1669.0"/>
        <n v="3974.0"/>
        <n v="4349.0"/>
        <n v="4442.0"/>
        <n v="5327.0"/>
        <n v="2929.0"/>
        <n v="3186.0"/>
        <n v="4211.0"/>
        <n v="5273.0"/>
        <n v="6445.0"/>
        <n v="157.0"/>
        <n v="2813.0"/>
        <n v="3057.0"/>
        <n v="4641.0"/>
        <n v="5884.0"/>
        <n v="1837.0"/>
        <n v="4092.0"/>
        <n v="4222.0"/>
        <n v="1509.0"/>
        <n v="3194.0"/>
        <n v="3541.0"/>
        <n v="1365.0"/>
        <n v="1834.0"/>
        <n v="4129.0"/>
        <n v="4380.0"/>
        <n v="4434.0"/>
        <n v="5735.0"/>
        <n v="6434.0"/>
        <n v="623.0"/>
        <n v="1521.0"/>
        <n v="2771.0"/>
        <n v="2873.0"/>
        <n v="3320.0"/>
        <n v="4571.0"/>
        <n v="4600.0"/>
        <n v="5341.0"/>
        <n v="2435.0"/>
        <n v="2919.0"/>
        <n v="4712.0"/>
        <n v="399.0"/>
        <n v="2826.0"/>
        <n v="3090.0"/>
        <n v="4141.0"/>
        <n v="5817.0"/>
        <n v="1156.0"/>
        <n v="3155.0"/>
        <n v="5821.0"/>
        <n v="552.0"/>
        <n v="589.0"/>
        <n v="3218.0"/>
        <n v="3287.0"/>
        <n v="5557.0"/>
        <n v="5874.0"/>
        <n v="1117.0"/>
        <n v="2820.0"/>
        <n v="3083.0"/>
        <n v="185.0"/>
        <n v="2922.0"/>
        <n v="4379.0"/>
        <n v="1846.0"/>
        <n v="2778.0"/>
        <n v="4161.0"/>
        <n v="5702.0"/>
        <n v="5808.0"/>
        <n v="298.0"/>
        <n v="4602.0"/>
        <n v="5650.0"/>
        <n v="508.0"/>
        <n v="1419.0"/>
        <n v="3114.0"/>
        <n v="309.0"/>
        <n v="327.0"/>
        <n v="1491.0"/>
        <n v="4392.0"/>
        <n v="5396.0"/>
        <n v="5767.0"/>
        <n v="5498.0"/>
        <n v="5755.0"/>
        <n v="414.0"/>
        <n v="1621.0"/>
        <n v="5288.0"/>
        <n v="1778.0"/>
        <n v="5266.0"/>
        <n v="5836.0"/>
        <n v="115.0"/>
        <n v="4655.0"/>
        <n v="5590.0"/>
        <n v="1784.0"/>
        <n v="3123.0"/>
        <n v="3330.0"/>
        <n v="4376.0"/>
        <n v="4540.0"/>
        <n v="431.0"/>
        <n v="1599.0"/>
        <n v="1725.0"/>
        <n v="4248.0"/>
        <n v="133.0"/>
        <n v="4170.0"/>
        <n v="6057.0"/>
        <n v="108.0"/>
        <n v="1798.0"/>
        <n v="1932.0"/>
        <n v="5865.0"/>
        <n v="5981.0"/>
        <n v="363.0"/>
        <n v="3153.0"/>
        <n v="3196.0"/>
        <n v="3214.0"/>
        <n v="4171.0"/>
        <n v="5824.0"/>
        <n v="1866.0"/>
        <n v="2958.0"/>
        <n v="3181.0"/>
        <n v="5833.0"/>
        <n v="5873.0"/>
        <n v="415.0"/>
        <n v="4439.0"/>
        <n v="5761.0"/>
        <n v="490.0"/>
        <n v="464.0"/>
        <n v="725.0"/>
        <n v="2418.0"/>
        <n v="4137.0"/>
        <n v="780.0"/>
        <n v="1601.0"/>
        <n v="1831.0"/>
        <n v="5545.0"/>
        <n v="2782.0"/>
        <n v="4202.0"/>
        <n v="4253.0"/>
        <n v="4669.0"/>
        <n v="5694.0"/>
        <n v="5707.0"/>
        <n v="5795.0"/>
        <n v="4203.0"/>
        <n v="5928.0"/>
        <n v="471.0"/>
        <n v="4505.0"/>
        <n v="5876.0"/>
        <n v="332.0"/>
        <n v="1734.0"/>
        <n v="3202.0"/>
        <n v="4232.0"/>
        <n v="6608.0"/>
        <n v="1703.0"/>
        <n v="3001.0"/>
        <n v="3149.0"/>
        <n v="4496.0"/>
        <n v="1591.0"/>
        <n v="1876.0"/>
        <n v="4169.0"/>
        <n v="4512.0"/>
        <n v="2895.0"/>
        <n v="4330.0"/>
        <n v="4801.0"/>
        <n v="5787.0"/>
        <n v="743.0"/>
        <n v="3704.0"/>
        <n v="485.0"/>
        <n v="647.0"/>
        <n v="1858.0"/>
        <n v="4755.0"/>
        <n v="5769.0"/>
        <n v="2988.0"/>
        <n v="553.0"/>
        <n v="676.0"/>
        <n v="1516.0"/>
        <n v="1763.0"/>
        <n v="4144.0"/>
        <n v="6541.0"/>
        <n v="147.0"/>
        <n v="2881.0"/>
        <n v="2964.0"/>
        <n v="4236.0"/>
        <n v="4447.0"/>
        <n v="4579.0"/>
        <n v="5720.0"/>
        <n v="5820.0"/>
        <n v="6487.0"/>
        <n v="120.0"/>
        <n v="1560.0"/>
        <n v="4815.0"/>
        <n v="166.0"/>
        <n v="1655.0"/>
        <n v="1670.0"/>
        <n v="3026.0"/>
        <n v="3388.0"/>
        <n v="5809.0"/>
        <n v="6080.0"/>
        <n v="1545.0"/>
        <n v="3032.0"/>
        <n v="3156.0"/>
        <n v="4741.0"/>
        <n v="5582.0"/>
        <n v="5677.0"/>
        <n v="5989.0"/>
        <n v="417.0"/>
        <n v="1437.0"/>
        <n v="3063.0"/>
        <n v="3100.0"/>
        <n v="3148.0"/>
        <n v="305.0"/>
        <n v="1511.0"/>
        <n v="2830.0"/>
        <n v="2938.0"/>
        <n v="346.0"/>
        <n v="1684.0"/>
        <n v="3027.0"/>
        <n v="3017.0"/>
        <n v="4926.0"/>
        <n v="2222.0"/>
        <n v="2237.0"/>
        <n v="4207.0"/>
        <n v="4223.0"/>
        <n v="4452.0"/>
        <n v="5632.0"/>
        <n v="5879.0"/>
        <n v="395.0"/>
        <n v="495.0"/>
        <n v="1228.0"/>
        <n v="1481.0"/>
        <n v="1616.0"/>
        <n v="1627.0"/>
        <n v="1726.0"/>
        <n v="2789.0"/>
        <n v="3552.0"/>
        <n v="4130.0"/>
        <n v="294.0"/>
        <n v="315.0"/>
        <n v="1718.0"/>
        <n v="2122.0"/>
        <n v="2387.0"/>
        <n v="140.0"/>
        <n v="505.0"/>
        <n v="2950.0"/>
        <n v="5800.0"/>
        <n v="1877.0"/>
        <n v="3437.0"/>
        <n v="3820.0"/>
        <n v="5076.0"/>
        <n v="5660.0"/>
        <n v="6242.0"/>
        <n v="6321.0"/>
        <n v="3086.0"/>
        <n v="4538.0"/>
        <n v="1233.0"/>
        <n v="1883.0"/>
        <n v="3233.0"/>
        <n v="3237.0"/>
        <n v="3577.0"/>
        <n v="219.0"/>
        <n v="493.0"/>
        <n v="1575.0"/>
        <n v="5631.0"/>
        <n v="109.0"/>
        <n v="299.0"/>
        <n v="347.0"/>
        <n v="538.0"/>
        <n v="3250.0"/>
        <n v="3983.0"/>
        <n v="2948.0"/>
        <n v="2982.0"/>
        <n v="3055.0"/>
        <n v="3759.0"/>
        <n v="4389.0"/>
        <n v="5949.0"/>
        <n v="441.0"/>
        <n v="1109.0"/>
        <n v="1693.0"/>
        <n v="3198.0"/>
        <n v="4507.0"/>
        <n v="6058.0"/>
        <n v="1630.0"/>
        <n v="3451.0"/>
        <n v="3839.0"/>
        <n v="4258.0"/>
        <n v="4677.0"/>
        <n v="5603.0"/>
        <n v="186.0"/>
        <n v="2094.0"/>
        <n v="4354.0"/>
        <n v="340.0"/>
        <n v="5499.0"/>
        <n v="151.0"/>
        <n v="316.0"/>
        <n v="561.0"/>
        <n v="1582.0"/>
        <n v="1871.0"/>
        <n v="4213.0"/>
        <n v="5801.0"/>
        <n v="144.0"/>
        <n v="1383.0"/>
        <n v="3216.0"/>
        <n v="184.0"/>
        <n v="4435.0"/>
        <n v="5623.0"/>
        <n v="2837.0"/>
        <n v="5812.0"/>
        <n v="407.0"/>
        <n v="486.0"/>
        <n v="4489.0"/>
        <n v="1251.0"/>
        <n v="2875.0"/>
        <n v="3104.0"/>
        <n v="3909.0"/>
        <n v="4338.0"/>
        <n v="4479.0"/>
        <n v="3187.0"/>
        <n v="4251.0"/>
        <n v="5514.0"/>
        <n v="5690.0"/>
        <n v="295.0"/>
        <n v="1487.0"/>
        <n v="5515.0"/>
        <n v="5535.0"/>
        <n v="284.0"/>
        <n v="2966.0"/>
        <n v="3120.0"/>
        <n v="4552.0"/>
        <n v="758.0"/>
        <n v="1641.0"/>
        <n v="4158.0"/>
        <n v="4164.0"/>
        <n v="4448.0"/>
        <n v="4225.0"/>
        <n v="1362.0"/>
        <n v="1364.0"/>
        <n v="1366.0"/>
        <n v="2.0"/>
        <n v="7.0"/>
        <n v="6.0"/>
        <n v="4.0"/>
        <n v="8.0"/>
        <n v="12.0"/>
        <n v="16.0"/>
        <n v="14.0"/>
        <n v="19.0"/>
        <n v="15.0"/>
        <n v="17.0"/>
        <n v="20.0"/>
        <n v="23.0"/>
        <n v="22.0"/>
        <n v="25.0"/>
        <n v="24.0"/>
        <n v="27.0"/>
        <n v="26.0"/>
        <n v="29.0"/>
        <n v="28.0"/>
        <n v="31.0"/>
        <n v="32.0"/>
        <n v="36.0"/>
        <n v="37.0"/>
        <n v="38.0"/>
        <n v="40.0"/>
        <n v="39.0"/>
        <n v="42.0"/>
        <n v="43.0"/>
        <n v="44.0"/>
        <n v="46.0"/>
        <n v="49.0"/>
        <n v="52.0"/>
        <n v="54.0"/>
        <n v="55.0"/>
        <n v="57.0"/>
        <n v="59.0"/>
        <n v="56.0"/>
        <n v="58.0"/>
        <n v="61.0"/>
        <n v="62.0"/>
        <n v="63.0"/>
        <n v="65.0"/>
        <n v="67.0"/>
        <n v="69.0"/>
        <n v="68.0"/>
        <n v="72.0"/>
        <n v="73.0"/>
        <n v="71.0"/>
        <n v="75.0"/>
        <n v="79.0"/>
        <n v="83.0"/>
        <n v="78.0"/>
        <n v="104.0"/>
        <n v="103.0"/>
        <n v="131.0"/>
        <n v="124.0"/>
        <n v="117.0"/>
        <n v="137.0"/>
        <n v="136.0"/>
        <n v="135.0"/>
        <n v="138.0"/>
        <n v="154.0"/>
        <n v="153.0"/>
        <n v="171.0"/>
        <n v="167.0"/>
        <n v="159.0"/>
        <n v="178.0"/>
        <n v="179.0"/>
        <n v="190.0"/>
        <n v="189.0"/>
        <n v="208.0"/>
        <n v="194.0"/>
        <n v="207.0"/>
        <n v="199.0"/>
        <n v="203.0"/>
        <n v="221.0"/>
        <n v="226.0"/>
        <n v="228.0"/>
        <n v="231.0"/>
        <n v="230.0"/>
        <n v="254.0"/>
        <n v="263.0"/>
        <n v="255.0"/>
        <n v="259.0"/>
        <n v="266.0"/>
        <n v="274.0"/>
        <n v="272.0"/>
        <n v="287.0"/>
        <n v="288.0"/>
        <n v="300.0"/>
        <n v="331.0"/>
        <n v="337.0"/>
        <n v="342.0"/>
        <n v="349.0"/>
        <n v="344.0"/>
        <n v="348.0"/>
        <n v="359.0"/>
        <n v="367.0"/>
        <n v="356.0"/>
        <n v="369.0"/>
        <n v="364.0"/>
        <n v="372.0"/>
        <n v="365.0"/>
        <n v="390.0"/>
        <n v="388.0"/>
        <n v="385.0"/>
        <n v="396.0"/>
        <n v="413.0"/>
        <n v="408.0"/>
        <n v="416.0"/>
        <n v="435.0"/>
        <n v="440.0"/>
        <n v="434.0"/>
        <n v="456.0"/>
        <n v="453.0"/>
        <n v="442.0"/>
        <n v="478.0"/>
        <n v="452.0"/>
        <n v="460.0"/>
        <n v="473.0"/>
        <n v="472.0"/>
        <n v="496.0"/>
        <n v="487.0"/>
        <n v="498.0"/>
        <n v="503.0"/>
        <n v="502.0"/>
        <n v="509.0"/>
        <n v="506.0"/>
        <n v="522.0"/>
        <n v="516.0"/>
        <n v="524.0"/>
        <n v="527.0"/>
        <n v="530.0"/>
        <n v="539.0"/>
        <n v="541.0"/>
        <n v="548.0"/>
        <n v="563.0"/>
        <n v="562.0"/>
        <n v="566.0"/>
        <n v="567.0"/>
        <n v="576.0"/>
        <n v="581.0"/>
        <n v="587.0"/>
        <n v="593.0"/>
        <n v="594.0"/>
        <n v="601.0"/>
        <n v="606.0"/>
        <n v="611.0"/>
        <n v="613.0"/>
        <n v="617.0"/>
        <n v="624.0"/>
        <n v="633.0"/>
        <n v="646.0"/>
        <n v="654.0"/>
        <n v="655.0"/>
        <n v="658.0"/>
        <n v="659.0"/>
        <n v="667.0"/>
        <n v="665.0"/>
        <n v="668.0"/>
        <n v="674.0"/>
        <n v="670.0"/>
        <n v="673.0"/>
        <n v="678.0"/>
        <n v="690.0"/>
        <n v="685.0"/>
        <n v="691.0"/>
        <n v="695.0"/>
        <n v="696.0"/>
        <n v="705.0"/>
        <n v="713.0"/>
        <n v="716.0"/>
        <n v="722.0"/>
        <n v="731.0"/>
        <n v="730.0"/>
        <n v="734.0"/>
        <n v="755.0"/>
        <n v="762.0"/>
        <n v="765.0"/>
        <n v="764.0"/>
        <n v="767.0"/>
        <n v="768.0"/>
        <n v="770.0"/>
        <n v="776.0"/>
        <n v="783.0"/>
        <n v="787.0"/>
        <n v="786.0"/>
        <n v="795.0"/>
        <n v="796.0"/>
        <n v="803.0"/>
        <n v="802.0"/>
        <n v="806.0"/>
        <n v="798.0"/>
        <n v="804.0"/>
        <n v="808.0"/>
        <n v="810.0"/>
        <n v="807.0"/>
        <n v="814.0"/>
        <n v="820.0"/>
        <n v="811.0"/>
        <n v="813.0"/>
        <n v="809.0"/>
        <n v="816.0"/>
        <n v="815.0"/>
        <n v="812.0"/>
        <n v="823.0"/>
        <n v="818.0"/>
        <n v="822.0"/>
        <n v="830.0"/>
        <n v="824.0"/>
        <n v="827.0"/>
        <n v="829.0"/>
        <n v="825.0"/>
        <n v="841.0"/>
        <n v="836.0"/>
        <n v="842.0"/>
        <n v="837.0"/>
        <n v="835.0"/>
        <n v="839.0"/>
        <n v="849.0"/>
        <n v="854.0"/>
        <n v="851.0"/>
        <n v="850.0"/>
        <n v="862.0"/>
        <n v="861.0"/>
        <n v="858.0"/>
        <n v="875.0"/>
        <n v="873.0"/>
        <n v="869.0"/>
        <n v="868.0"/>
        <n v="864.0"/>
        <n v="866.0"/>
        <n v="880.0"/>
        <n v="877.0"/>
        <n v="879.0"/>
        <n v="874.0"/>
        <n v="881.0"/>
        <n v="886.0"/>
        <n v="894.0"/>
        <n v="890.0"/>
        <n v="883.0"/>
        <n v="888.0"/>
        <n v="885.0"/>
        <n v="895.0"/>
        <n v="882.0"/>
        <n v="889.0"/>
        <n v="893.0"/>
        <n v="896.0"/>
        <n v="892.0"/>
        <n v="906.0"/>
        <n v="897.0"/>
        <n v="902.0"/>
        <n v="901.0"/>
        <n v="922.0"/>
        <n v="905.0"/>
        <n v="908.0"/>
        <n v="915.0"/>
        <n v="920.0"/>
        <n v="911.0"/>
        <n v="916.0"/>
        <n v="907.0"/>
        <n v="925.0"/>
        <n v="935.0"/>
        <n v="912.0"/>
        <n v="921.0"/>
        <n v="931.0"/>
        <n v="917.0"/>
        <n v="937.0"/>
        <n v="934.0"/>
        <n v="933.0"/>
        <n v="924.0"/>
        <n v="942.0"/>
        <n v="938.0"/>
        <n v="940.0"/>
        <n v="953.0"/>
        <n v="941.0"/>
        <n v="946.0"/>
        <n v="950.0"/>
        <n v="948.0"/>
        <n v="945.0"/>
        <n v="955.0"/>
        <n v="956.0"/>
        <n v="949.0"/>
        <n v="958.0"/>
        <n v="957.0"/>
        <n v="959.0"/>
        <n v="961.0"/>
        <n v="964.0"/>
        <n v="966.0"/>
        <n v="970.0"/>
        <n v="968.0"/>
        <n v="971.0"/>
        <n v="965.0"/>
        <n v="962.0"/>
        <n v="973.0"/>
        <n v="969.0"/>
        <n v="989.0"/>
        <n v="974.0"/>
        <n v="983.0"/>
        <n v="985.0"/>
        <n v="987.0"/>
        <n v="979.0"/>
        <n v="982.0"/>
        <n v="977.0"/>
        <n v="986.0"/>
        <n v="991.0"/>
        <n v="978.0"/>
        <n v="984.0"/>
        <n v="994.0"/>
        <n v="988.0"/>
        <n v="1000.0"/>
        <n v="990.0"/>
        <n v="1001.0"/>
        <n v="997.0"/>
        <n v="996.0"/>
        <n v="1009.0"/>
        <n v="1004.0"/>
        <n v="1003.0"/>
        <n v="1016.0"/>
        <n v="1013.0"/>
        <n v="1029.0"/>
        <n v="1017.0"/>
        <n v="1028.0"/>
        <n v="1018.0"/>
        <n v="1023.0"/>
        <n v="1025.0"/>
        <n v="1026.0"/>
        <n v="1021.0"/>
        <n v="1019.0"/>
        <n v="1022.0"/>
        <n v="1031.0"/>
        <n v="1032.0"/>
        <n v="1035.0"/>
        <n v="1033.0"/>
        <n v="1037.0"/>
        <n v="1042.0"/>
        <n v="1036.0"/>
        <n v="1041.0"/>
        <n v="1043.0"/>
        <n v="1038.0"/>
        <n v="1047.0"/>
        <n v="1045.0"/>
        <n v="1049.0"/>
        <n v="1048.0"/>
        <n v="1054.0"/>
        <n v="1061.0"/>
        <n v="1053.0"/>
        <n v="1055.0"/>
        <n v="1058.0"/>
        <n v="1063.0"/>
        <n v="1062.0"/>
        <n v="1067.0"/>
        <n v="1072.0"/>
        <n v="1069.0"/>
        <n v="1073.0"/>
        <n v="1074.0"/>
        <n v="1079.0"/>
        <n v="1075.0"/>
        <n v="1078.0"/>
        <n v="1076.0"/>
        <n v="1090.0"/>
        <n v="1083.0"/>
        <n v="1089.0"/>
        <n v="1091.0"/>
        <n v="1088.0"/>
        <n v="1093.0"/>
        <n v="1082.0"/>
        <n v="1081.0"/>
        <n v="1102.0"/>
        <n v="1087.0"/>
        <n v="1106.0"/>
        <n v="1096.0"/>
        <n v="1095.0"/>
        <n v="1103.0"/>
        <n v="1092.0"/>
        <n v="1099.0"/>
        <n v="1105.0"/>
        <n v="1111.0"/>
        <n v="1121.0"/>
        <n v="1124.0"/>
        <n v="1118.0"/>
        <n v="1132.0"/>
        <n v="1126.0"/>
        <n v="1120.0"/>
        <n v="1122.0"/>
        <n v="1125.0"/>
        <n v="1127.0"/>
        <n v="1128.0"/>
        <n v="1140.0"/>
        <n v="1139.0"/>
        <n v="1131.0"/>
        <n v="1143.0"/>
        <n v="1141.0"/>
        <n v="1145.0"/>
        <n v="1153.0"/>
        <n v="1146.0"/>
        <n v="1144.0"/>
        <n v="1149.0"/>
        <n v="1158.0"/>
        <n v="1148.0"/>
        <n v="1159.0"/>
        <n v="1150.0"/>
        <n v="1155.0"/>
        <n v="1160.0"/>
        <n v="1157.0"/>
        <n v="1161.0"/>
        <n v="1154.0"/>
        <n v="1168.0"/>
        <n v="1165.0"/>
        <n v="1166.0"/>
        <n v="1169.0"/>
        <n v="1173.0"/>
        <n v="1174.0"/>
        <n v="1182.0"/>
        <n v="1176.0"/>
        <n v="1177.0"/>
        <n v="1185.0"/>
        <n v="1189.0"/>
        <n v="1191.0"/>
        <n v="1188.0"/>
        <n v="1192.0"/>
        <n v="1195.0"/>
        <n v="1194.0"/>
        <n v="1198.0"/>
        <n v="1193.0"/>
        <n v="1204.0"/>
        <n v="1201.0"/>
        <n v="1205.0"/>
        <n v="1211.0"/>
        <n v="1213.0"/>
        <n v="1219.0"/>
        <n v="1218.0"/>
        <n v="1208.0"/>
        <n v="1220.0"/>
        <n v="1212.0"/>
        <n v="1223.0"/>
        <n v="1222.0"/>
        <n v="1209.0"/>
        <n v="1239.0"/>
        <n v="1221.0"/>
        <n v="1229.0"/>
        <n v="1242.0"/>
        <n v="1237.0"/>
        <n v="1225.0"/>
        <n v="1224.0"/>
        <n v="1243.0"/>
        <n v="1232.0"/>
        <n v="1236.0"/>
        <n v="1226.0"/>
        <n v="1230.0"/>
        <n v="1240.0"/>
        <n v="1235.0"/>
        <n v="1248.0"/>
        <n v="1234.0"/>
        <n v="1246.0"/>
        <n v="1249.0"/>
        <n v="1250.0"/>
        <n v="1255.0"/>
        <n v="1257.0"/>
        <n v="1256.0"/>
        <n v="1259.0"/>
        <n v="1253.0"/>
        <n v="1269.0"/>
        <n v="1270.0"/>
        <n v="1261.0"/>
        <n v="1263.0"/>
        <n v="1265.0"/>
        <n v="1276.0"/>
        <n v="1268.0"/>
        <n v="1264.0"/>
        <n v="1282.0"/>
        <n v="1280.0"/>
        <n v="1284.0"/>
        <n v="1288.0"/>
        <n v="1287.0"/>
        <n v="1292.0"/>
        <n v="1291.0"/>
        <n v="1298.0"/>
        <n v="1302.0"/>
        <n v="1305.0"/>
        <n v="1304.0"/>
        <n v="1311.0"/>
        <n v="1313.0"/>
        <n v="1323.0"/>
        <n v="1322.0"/>
        <n v="1328.0"/>
        <n v="1327.0"/>
        <n v="1331.0"/>
        <n v="1332.0"/>
        <n v="1334.0"/>
        <n v="1335.0"/>
        <n v="1337.0"/>
        <n v="1342.0"/>
        <n v="1348.0"/>
        <n v="1347.0"/>
        <n v="1355.0"/>
        <n v="1352.0"/>
        <n v="1357.0"/>
        <n v="1358.0"/>
        <n v="1361.0"/>
        <n v="2682.0"/>
        <n v="2680.0"/>
        <n v="1370.0"/>
        <n v="1372.0"/>
        <n v="1373.0"/>
        <n v="1375.0"/>
        <n v="1374.0"/>
        <n v="1376.0"/>
        <n v="1379.0"/>
        <n v="1378.0"/>
        <n v="1385.0"/>
        <n v="1388.0"/>
        <n v="1389.0"/>
        <n v="1390.0"/>
        <n v="1392.0"/>
        <n v="1393.0"/>
        <n v="1391.0"/>
        <n v="1394.0"/>
        <n v="1395.0"/>
        <n v="1396.0"/>
        <n v="1397.0"/>
        <n v="1398.0"/>
        <n v="1400.0"/>
        <n v="1404.0"/>
        <n v="1405.0"/>
        <n v="1409.0"/>
        <n v="1407.0"/>
        <n v="1411.0"/>
        <n v="1412.0"/>
        <n v="1415.0"/>
        <n v="1416.0"/>
        <n v="1413.0"/>
        <n v="1418.0"/>
        <n v="1420.0"/>
        <n v="1421.0"/>
        <n v="1423.0"/>
        <n v="1427.0"/>
        <n v="1424.0"/>
        <n v="1428.0"/>
        <n v="1431.0"/>
        <n v="1432.0"/>
        <n v="1430.0"/>
        <n v="1440.0"/>
        <n v="1438.0"/>
        <n v="1433.0"/>
        <n v="1448.0"/>
        <n v="1441.0"/>
        <n v="1443.0"/>
        <n v="1460.0"/>
        <n v="1463.0"/>
        <n v="1466.0"/>
        <n v="1470.0"/>
        <n v="1473.0"/>
        <n v="1482.0"/>
        <n v="1494.0"/>
        <n v="1512.0"/>
        <n v="1523.0"/>
        <n v="1522.0"/>
        <n v="1530.0"/>
        <n v="1542.0"/>
        <n v="1535.0"/>
        <n v="1546.0"/>
        <n v="1552.0"/>
        <n v="1538.0"/>
        <n v="1547.0"/>
        <n v="1556.0"/>
        <n v="1579.0"/>
        <n v="1570.0"/>
        <n v="1580.0"/>
        <n v="1586.0"/>
        <n v="1583.0"/>
        <n v="1593.0"/>
        <n v="1590.0"/>
        <n v="1605.0"/>
        <n v="1602.0"/>
        <n v="1609.0"/>
        <n v="1610.0"/>
        <n v="1608.0"/>
        <n v="1622.0"/>
        <n v="1631.0"/>
        <n v="1624.0"/>
        <n v="1639.0"/>
        <n v="1646.0"/>
        <n v="1673.0"/>
        <n v="1685.0"/>
        <n v="1717.0"/>
        <n v="1716.0"/>
        <n v="1710.0"/>
        <n v="1711.0"/>
        <n v="1715.0"/>
        <n v="1719.0"/>
        <n v="1720.0"/>
        <n v="1727.0"/>
        <n v="1729.0"/>
        <n v="1731.0"/>
        <n v="1736.0"/>
        <n v="1746.0"/>
        <n v="1737.0"/>
        <n v="1740.0"/>
        <n v="1752.0"/>
        <n v="1753.0"/>
        <n v="1750.0"/>
        <n v="1760.0"/>
        <n v="1761.0"/>
        <n v="1765.0"/>
        <n v="1768.0"/>
        <n v="1764.0"/>
        <n v="1779.0"/>
        <n v="1785.0"/>
        <n v="1783.0"/>
        <n v="1792.0"/>
        <n v="1799.0"/>
        <n v="1803.0"/>
        <n v="1806.0"/>
        <n v="1813.0"/>
        <n v="1823.0"/>
        <n v="1822.0"/>
        <n v="1824.0"/>
        <n v="1856.0"/>
        <n v="1847.0"/>
        <n v="1857.0"/>
        <n v="1855.0"/>
        <n v="1859.0"/>
        <n v="1862.0"/>
        <n v="1869.0"/>
        <n v="1878.0"/>
        <n v="1872.0"/>
        <n v="1879.0"/>
        <n v="1884.0"/>
        <n v="1892.0"/>
        <n v="1905.0"/>
        <n v="1904.0"/>
        <n v="1912.0"/>
        <n v="1913.0"/>
        <n v="1917.0"/>
        <n v="1922.0"/>
        <n v="1926.0"/>
        <n v="1936.0"/>
        <n v="1933.0"/>
        <n v="1943.0"/>
        <n v="1951.0"/>
        <n v="1944.0"/>
        <n v="1965.0"/>
        <n v="1964.0"/>
        <n v="1967.0"/>
        <n v="1970.0"/>
        <n v="1980.0"/>
        <n v="1987.0"/>
        <n v="1988.0"/>
        <n v="1990.0"/>
        <n v="1992.0"/>
        <n v="1998.0"/>
        <n v="2002.0"/>
        <n v="2004.0"/>
        <n v="2006.0"/>
        <n v="2005.0"/>
        <n v="2012.0"/>
        <n v="2015.0"/>
        <n v="2021.0"/>
        <n v="2023.0"/>
        <n v="2027.0"/>
        <n v="2028.0"/>
        <n v="2036.0"/>
        <n v="2038.0"/>
        <n v="2054.0"/>
        <n v="2051.0"/>
        <n v="2056.0"/>
        <n v="2059.0"/>
        <n v="2058.0"/>
        <n v="2063.0"/>
        <n v="2066.0"/>
        <n v="2071.0"/>
        <n v="2072.0"/>
        <n v="2081.0"/>
        <n v="2080.0"/>
        <n v="2091.0"/>
        <n v="2092.0"/>
        <n v="2093.0"/>
        <n v="2090.0"/>
        <n v="2100.0"/>
        <n v="2115.0"/>
        <n v="2121.0"/>
        <n v="2127.0"/>
        <n v="2132.0"/>
        <n v="2128.0"/>
        <n v="2140.0"/>
        <n v="2142.0"/>
        <n v="2133.0"/>
        <n v="2138.0"/>
        <n v="2139.0"/>
        <n v="2141.0"/>
        <n v="2149.0"/>
        <n v="2145.0"/>
        <n v="2153.0"/>
        <n v="2144.0"/>
        <n v="2137.0"/>
        <n v="2151.0"/>
        <n v="2155.0"/>
        <n v="2159.0"/>
        <n v="2154.0"/>
        <n v="2158.0"/>
        <n v="2156.0"/>
        <n v="2164.0"/>
        <n v="2161.0"/>
        <n v="2157.0"/>
        <n v="2170.0"/>
        <n v="2175.0"/>
        <n v="2174.0"/>
        <n v="2176.0"/>
        <n v="2171.0"/>
        <n v="2178.0"/>
        <n v="2183.0"/>
        <n v="2172.0"/>
        <n v="2177.0"/>
        <n v="2184.0"/>
        <n v="2186.0"/>
        <n v="2189.0"/>
        <n v="2185.0"/>
        <n v="2188.0"/>
        <n v="2196.0"/>
        <n v="2190.0"/>
        <n v="2191.0"/>
        <n v="2193.0"/>
        <n v="2199.0"/>
        <n v="2194.0"/>
        <n v="2201.0"/>
        <n v="2204.0"/>
        <n v="2198.0"/>
        <n v="2202.0"/>
        <n v="2205.0"/>
        <n v="2212.0"/>
        <n v="2213.0"/>
        <n v="2215.0"/>
        <n v="2219.0"/>
        <n v="2214.0"/>
        <n v="2216.0"/>
        <n v="2217.0"/>
        <n v="2210.0"/>
        <n v="2218.0"/>
        <n v="2228.0"/>
        <n v="2229.0"/>
        <n v="2226.0"/>
        <n v="2224.0"/>
        <n v="2221.0"/>
        <n v="2230.0"/>
        <n v="2225.0"/>
        <n v="2231.0"/>
        <n v="2220.0"/>
        <n v="2232.0"/>
        <n v="2239.0"/>
        <n v="2233.0"/>
        <n v="2243.0"/>
        <n v="2241.0"/>
        <n v="2238.0"/>
        <n v="2242.0"/>
        <n v="2255.0"/>
        <n v="2244.0"/>
        <n v="2247.0"/>
        <n v="2245.0"/>
        <n v="2258.0"/>
        <n v="2260.0"/>
        <n v="2254.0"/>
        <n v="2250.0"/>
        <n v="2263.0"/>
        <n v="2261.0"/>
        <n v="2246.0"/>
        <n v="2257.0"/>
        <n v="2271.0"/>
        <n v="2265.0"/>
        <n v="2264.0"/>
        <n v="2251.0"/>
        <n v="2269.0"/>
        <n v="2278.0"/>
        <n v="2273.0"/>
        <n v="2281.0"/>
        <n v="2272.0"/>
        <n v="2280.0"/>
        <n v="2287.0"/>
        <n v="2284.0"/>
        <n v="2286.0"/>
        <n v="2283.0"/>
        <n v="2289.0"/>
        <n v="2288.0"/>
        <n v="2291.0"/>
        <n v="2302.0"/>
        <n v="2290.0"/>
        <n v="2296.0"/>
        <n v="2299.0"/>
        <n v="2301.0"/>
        <n v="2293.0"/>
        <n v="2298.0"/>
        <n v="2303.0"/>
        <n v="2300.0"/>
        <n v="2297.0"/>
        <n v="2315.0"/>
        <n v="2312.0"/>
        <n v="2309.0"/>
        <n v="2304.0"/>
        <n v="2314.0"/>
        <n v="2308.0"/>
        <n v="2317.0"/>
        <n v="2313.0"/>
        <n v="2306.0"/>
        <n v="2316.0"/>
        <n v="2321.0"/>
        <n v="2318.0"/>
        <n v="2319.0"/>
        <n v="2320.0"/>
        <n v="2324.0"/>
        <n v="2322.0"/>
        <n v="2329.0"/>
        <n v="2325.0"/>
        <n v="2344.0"/>
        <n v="2334.0"/>
        <n v="2330.0"/>
        <n v="2337.0"/>
        <n v="2326.0"/>
        <n v="2341.0"/>
        <n v="2332.0"/>
        <n v="2338.0"/>
        <n v="2333.0"/>
        <n v="2336.0"/>
        <n v="2342.0"/>
        <n v="2343.0"/>
        <n v="2351.0"/>
        <n v="2345.0"/>
        <n v="2350.0"/>
        <n v="2352.0"/>
        <n v="2361.0"/>
        <n v="2364.0"/>
        <n v="2355.0"/>
        <n v="2357.0"/>
        <n v="2366.0"/>
        <n v="2367.0"/>
        <n v="2358.0"/>
        <n v="2362.0"/>
        <n v="2371.0"/>
        <n v="2369.0"/>
        <n v="2380.0"/>
        <n v="2377.0"/>
        <n v="2384.0"/>
        <n v="2374.0"/>
        <n v="2379.0"/>
        <n v="2376.0"/>
        <n v="2378.0"/>
        <n v="2388.0"/>
        <n v="2383.0"/>
        <n v="2385.0"/>
        <n v="2391.0"/>
        <n v="2386.0"/>
        <n v="2394.0"/>
        <n v="2402.0"/>
        <n v="2390.0"/>
        <n v="2401.0"/>
        <n v="2400.0"/>
        <n v="2403.0"/>
        <n v="2414.0"/>
        <n v="2393.0"/>
        <n v="2398.0"/>
        <n v="2408.0"/>
        <n v="2415.0"/>
        <n v="2421.0"/>
        <n v="2419.0"/>
        <n v="2409.0"/>
        <n v="2428.0"/>
        <n v="2426.0"/>
        <n v="2422.0"/>
        <n v="2427.0"/>
        <n v="2425.0"/>
        <n v="2429.0"/>
        <n v="2431.0"/>
        <n v="2439.0"/>
        <n v="2433.0"/>
        <n v="2450.0"/>
        <n v="2440.0"/>
        <n v="2442.0"/>
        <n v="2443.0"/>
        <n v="2446.0"/>
        <n v="2455.0"/>
        <n v="2453.0"/>
        <n v="2452.0"/>
        <n v="2454.0"/>
        <n v="2451.0"/>
        <n v="2438.0"/>
        <n v="2462.0"/>
        <n v="2468.0"/>
        <n v="2456.0"/>
        <n v="2471.0"/>
        <n v="2464.0"/>
        <n v="2477.0"/>
        <n v="2472.0"/>
        <n v="2470.0"/>
        <n v="2476.0"/>
        <n v="2475.0"/>
        <n v="2478.0"/>
        <n v="2493.0"/>
        <n v="2488.0"/>
        <n v="2495.0"/>
        <n v="2485.0"/>
        <n v="2489.0"/>
        <n v="2479.0"/>
        <n v="2487.0"/>
        <n v="2492.0"/>
        <n v="2500.0"/>
        <n v="2504.0"/>
        <n v="2503.0"/>
        <n v="2490.0"/>
        <n v="2502.0"/>
        <n v="2494.0"/>
        <n v="2501.0"/>
        <n v="2498.0"/>
        <n v="2512.0"/>
        <n v="2514.0"/>
        <n v="2519.0"/>
        <n v="2513.0"/>
        <n v="2515.0"/>
        <n v="2522.0"/>
        <n v="2528.0"/>
        <n v="2523.0"/>
        <n v="2529.0"/>
        <n v="2521.0"/>
        <n v="2525.0"/>
        <n v="2541.0"/>
        <n v="2536.0"/>
        <n v="2546.0"/>
        <n v="2531.0"/>
        <n v="2542.0"/>
        <n v="2534.0"/>
        <n v="2539.0"/>
        <n v="2533.0"/>
        <n v="2558.0"/>
        <n v="2550.0"/>
        <n v="2547.0"/>
        <n v="2538.0"/>
        <n v="2557.0"/>
        <n v="2563.0"/>
        <n v="2548.0"/>
        <n v="2551.0"/>
        <n v="2555.0"/>
        <n v="2549.0"/>
        <n v="2554.0"/>
        <n v="2566.0"/>
        <n v="2562.0"/>
        <n v="2571.0"/>
        <n v="2565.0"/>
        <n v="2575.0"/>
        <n v="2568.0"/>
        <n v="2570.0"/>
        <n v="2564.0"/>
        <n v="2581.0"/>
        <n v="2576.0"/>
        <n v="2579.0"/>
        <n v="2574.0"/>
        <n v="2577.0"/>
        <n v="2580.0"/>
        <n v="2583.0"/>
        <n v="2573.0"/>
        <n v="2578.0"/>
        <n v="2590.0"/>
        <n v="2585.0"/>
        <n v="2594.0"/>
        <n v="2586.0"/>
        <n v="2587.0"/>
        <n v="2595.0"/>
        <n v="2599.0"/>
        <n v="2592.0"/>
        <n v="2600.0"/>
        <n v="2602.0"/>
        <n v="2601.0"/>
        <n v="2607.0"/>
        <n v="2612.0"/>
        <n v="2605.0"/>
        <n v="2606.0"/>
        <n v="2611.0"/>
        <n v="2614.0"/>
        <n v="2610.0"/>
        <n v="2615.0"/>
        <n v="2616.0"/>
        <n v="2618.0"/>
        <n v="2620.0"/>
        <n v="2623.0"/>
        <n v="2626.0"/>
        <n v="2619.0"/>
        <n v="2617.0"/>
        <n v="2622.0"/>
        <n v="2630.0"/>
        <n v="2638.0"/>
        <n v="2639.0"/>
        <n v="2634.0"/>
        <n v="2640.0"/>
        <n v="2649.0"/>
        <n v="2653.0"/>
        <n v="2654.0"/>
        <n v="2652.0"/>
        <n v="2656.0"/>
        <n v="2655.0"/>
        <n v="2660.0"/>
        <n v="2659.0"/>
        <n v="2663.0"/>
        <n v="2669.0"/>
        <n v="2670.0"/>
        <n v="2671.0"/>
        <n v="2673.0"/>
        <n v="2674.0"/>
        <n v="2678.0"/>
        <n v="4020.0"/>
        <n v="4022.0"/>
        <n v="4026.0"/>
        <n v="4025.0"/>
        <n v="2684.0"/>
        <n v="2685.0"/>
        <n v="2686.0"/>
        <n v="2688.0"/>
        <n v="2687.0"/>
        <n v="2690.0"/>
        <n v="2695.0"/>
        <n v="2693.0"/>
        <n v="2696.0"/>
        <n v="2694.0"/>
        <n v="2698.0"/>
        <n v="2697.0"/>
        <n v="2699.0"/>
        <n v="2700.0"/>
        <n v="2703.0"/>
        <n v="2705.0"/>
        <n v="2706.0"/>
        <n v="2710.0"/>
        <n v="2711.0"/>
        <n v="2712.0"/>
        <n v="2716.0"/>
        <n v="2715.0"/>
        <n v="2718.0"/>
        <n v="2720.0"/>
        <n v="2722.0"/>
        <n v="2721.0"/>
        <n v="2725.0"/>
        <n v="2726.0"/>
        <n v="2724.0"/>
        <n v="2734.0"/>
        <n v="2728.0"/>
        <n v="2730.0"/>
        <n v="2727.0"/>
        <n v="2735.0"/>
        <n v="2738.0"/>
        <n v="2739.0"/>
        <n v="2737.0"/>
        <n v="2741.0"/>
        <n v="2743.0"/>
        <n v="2744.0"/>
        <n v="2745.0"/>
        <n v="2748.0"/>
        <n v="2749.0"/>
        <n v="2753.0"/>
        <n v="2751.0"/>
        <n v="2754.0"/>
        <n v="2755.0"/>
        <n v="2756.0"/>
        <n v="2757.0"/>
        <n v="2760.0"/>
        <n v="2763.0"/>
        <n v="2765.0"/>
        <n v="2766.0"/>
        <n v="2770.0"/>
        <n v="2773.0"/>
        <n v="2776.0"/>
        <n v="2772.0"/>
        <n v="2775.0"/>
        <n v="2783.0"/>
        <n v="2790.0"/>
        <n v="2804.0"/>
        <n v="2807.0"/>
        <n v="2817.0"/>
        <n v="2812.0"/>
        <n v="2821.0"/>
        <n v="2843.0"/>
        <n v="2838.0"/>
        <n v="2850.0"/>
        <n v="2870.0"/>
        <n v="2868.0"/>
        <n v="2852.0"/>
        <n v="2874.0"/>
        <n v="2878.0"/>
        <n v="2892.0"/>
        <n v="2882.0"/>
        <n v="2893.0"/>
        <n v="2904.0"/>
        <n v="2915.0"/>
        <n v="2921.0"/>
        <n v="2925.0"/>
        <n v="2930.0"/>
        <n v="2949.0"/>
        <n v="2955.0"/>
        <n v="2954.0"/>
        <n v="2976.0"/>
        <n v="2967.0"/>
        <n v="2972.0"/>
        <n v="2980.0"/>
        <n v="2981.0"/>
        <n v="2984.0"/>
        <n v="2999.0"/>
        <n v="3003.0"/>
        <n v="3000.0"/>
        <n v="3007.0"/>
        <n v="3002.0"/>
        <n v="3011.0"/>
        <n v="3029.0"/>
        <n v="3047.0"/>
        <n v="3046.0"/>
        <n v="3056.0"/>
        <n v="3058.0"/>
        <n v="3071.0"/>
        <n v="3077.0"/>
        <n v="3078.0"/>
        <n v="3095.0"/>
        <n v="3091.0"/>
        <n v="3087.0"/>
        <n v="3093.0"/>
        <n v="3103.0"/>
        <n v="3102.0"/>
        <n v="3106.0"/>
        <n v="3105.0"/>
        <n v="3128.0"/>
        <n v="3116.0"/>
        <n v="3115.0"/>
        <n v="3121.0"/>
        <n v="3124.0"/>
        <n v="3127.0"/>
        <n v="3133.0"/>
        <n v="3136.0"/>
        <n v="3164.0"/>
        <n v="3165.0"/>
        <n v="3167.0"/>
        <n v="3178.0"/>
        <n v="3195.0"/>
        <n v="3204.0"/>
        <n v="3199.0"/>
        <n v="3219.0"/>
        <n v="3209.0"/>
        <n v="3225.0"/>
        <n v="3241.0"/>
        <n v="3234.0"/>
        <n v="3239.0"/>
        <n v="3252.0"/>
        <n v="3244.0"/>
        <n v="3246.0"/>
        <n v="3257.0"/>
        <n v="3251.0"/>
        <n v="3247.0"/>
        <n v="3259.0"/>
        <n v="3267.0"/>
        <n v="3269.0"/>
        <n v="3272.0"/>
        <n v="3278.0"/>
        <n v="3279.0"/>
        <n v="3284.0"/>
        <n v="3288.0"/>
        <n v="3290.0"/>
        <n v="3296.0"/>
        <n v="3308.0"/>
        <n v="3322.0"/>
        <n v="3325.0"/>
        <n v="3332.0"/>
        <n v="3331.0"/>
        <n v="3335.0"/>
        <n v="3345.0"/>
        <n v="3350.0"/>
        <n v="3349.0"/>
        <n v="3361.0"/>
        <n v="3356.0"/>
        <n v="3364.0"/>
        <n v="3368.0"/>
        <n v="3371.0"/>
        <n v="3373.0"/>
        <n v="3374.0"/>
        <n v="3376.0"/>
        <n v="3386.0"/>
        <n v="3389.0"/>
        <n v="3390.0"/>
        <n v="3401.0"/>
        <n v="3402.0"/>
        <n v="3398.0"/>
        <n v="3406.0"/>
        <n v="3410.0"/>
        <n v="3409.0"/>
        <n v="3417.0"/>
        <n v="3426.0"/>
        <n v="3435.0"/>
        <n v="3439.0"/>
        <n v="3442.0"/>
        <n v="3443.0"/>
        <n v="3447.0"/>
        <n v="3463.0"/>
        <n v="3464.0"/>
        <n v="3473.0"/>
        <n v="3470.0"/>
        <n v="3474.0"/>
        <n v="3467.0"/>
        <n v="3481.0"/>
        <n v="3479.0"/>
        <n v="3487.0"/>
        <n v="3476.0"/>
        <n v="3484.0"/>
        <n v="3491.0"/>
        <n v="3488.0"/>
        <n v="3490.0"/>
        <n v="3493.0"/>
        <n v="3492.0"/>
        <n v="3480.0"/>
        <n v="3489.0"/>
        <n v="3502.0"/>
        <n v="3494.0"/>
        <n v="3501.0"/>
        <n v="3503.0"/>
        <n v="3509.0"/>
        <n v="3504.0"/>
        <n v="3512.0"/>
        <n v="3519.0"/>
        <n v="3516.0"/>
        <n v="3513.0"/>
        <n v="3515.0"/>
        <n v="3521.0"/>
        <n v="3527.0"/>
        <n v="3526.0"/>
        <n v="3522.0"/>
        <n v="3536.0"/>
        <n v="3534.0"/>
        <n v="3537.0"/>
        <n v="3533.0"/>
        <n v="3535.0"/>
        <n v="3532.0"/>
        <n v="3547.0"/>
        <n v="3531.0"/>
        <n v="3538.0"/>
        <n v="3543.0"/>
        <n v="3539.0"/>
        <n v="3542.0"/>
        <n v="3553.0"/>
        <n v="3562.0"/>
        <n v="3550.0"/>
        <n v="3551.0"/>
        <n v="3557.0"/>
        <n v="3560.0"/>
        <n v="3566.0"/>
        <n v="3567.0"/>
        <n v="3554.0"/>
        <n v="3556.0"/>
        <n v="3563.0"/>
        <n v="3569.0"/>
        <n v="3571.0"/>
        <n v="3574.0"/>
        <n v="3568.0"/>
        <n v="3576.0"/>
        <n v="3570.0"/>
        <n v="3578.0"/>
        <n v="3579.0"/>
        <n v="3582.0"/>
        <n v="3589.0"/>
        <n v="3580.0"/>
        <n v="3575.0"/>
        <n v="3573.0"/>
        <n v="3592.0"/>
        <n v="3587.0"/>
        <n v="3586.0"/>
        <n v="3581.0"/>
        <n v="3588.0"/>
        <n v="3591.0"/>
        <n v="3595.0"/>
        <n v="3597.0"/>
        <n v="3599.0"/>
        <n v="3596.0"/>
        <n v="3604.0"/>
        <n v="3603.0"/>
        <n v="3605.0"/>
        <n v="3600.0"/>
        <n v="3607.0"/>
        <n v="3608.0"/>
        <n v="3611.0"/>
        <n v="3609.0"/>
        <n v="3610.0"/>
        <n v="3616.0"/>
        <n v="3606.0"/>
        <n v="3614.0"/>
        <n v="3618.0"/>
        <n v="3612.0"/>
        <n v="3623.0"/>
        <n v="3619.0"/>
        <n v="3627.0"/>
        <n v="3635.0"/>
        <n v="3629.0"/>
        <n v="3626.0"/>
        <n v="3633.0"/>
        <n v="3637.0"/>
        <n v="3639.0"/>
        <n v="3628.0"/>
        <n v="3642.0"/>
        <n v="3636.0"/>
        <n v="3647.0"/>
        <n v="3655.0"/>
        <n v="3643.0"/>
        <n v="3654.0"/>
        <n v="3652.0"/>
        <n v="3650.0"/>
        <n v="3665.0"/>
        <n v="3663.0"/>
        <n v="3664.0"/>
        <n v="3659.0"/>
        <n v="3677.0"/>
        <n v="3670.0"/>
        <n v="3669.0"/>
        <n v="3675.0"/>
        <n v="3682.0"/>
        <n v="3674.0"/>
        <n v="3678.0"/>
        <n v="3673.0"/>
        <n v="3687.0"/>
        <n v="3683.0"/>
        <n v="3685.0"/>
        <n v="3684.0"/>
        <n v="3692.0"/>
        <n v="3680.0"/>
        <n v="3689.0"/>
        <n v="3696.0"/>
        <n v="3693.0"/>
        <n v="3695.0"/>
        <n v="3709.0"/>
        <n v="3708.0"/>
        <n v="3699.0"/>
        <n v="3691.0"/>
        <n v="3705.0"/>
        <n v="3707.0"/>
        <n v="3706.0"/>
        <n v="3702.0"/>
        <n v="3700.0"/>
        <n v="3712.0"/>
        <n v="3698.0"/>
        <n v="3710.0"/>
        <n v="3714.0"/>
        <n v="3720.0"/>
        <n v="3719.0"/>
        <n v="3717.0"/>
        <n v="3715.0"/>
        <n v="3713.0"/>
        <n v="3716.0"/>
        <n v="3726.0"/>
        <n v="3724.0"/>
        <n v="3721.0"/>
        <n v="3729.0"/>
        <n v="3731.0"/>
        <n v="3733.0"/>
        <n v="3730.0"/>
        <n v="3735.0"/>
        <n v="3734.0"/>
        <n v="3737.0"/>
        <n v="3736.0"/>
        <n v="3746.0"/>
        <n v="3747.0"/>
        <n v="3751.0"/>
        <n v="3750.0"/>
        <n v="3752.0"/>
        <n v="3754.0"/>
        <n v="3749.0"/>
        <n v="3757.0"/>
        <n v="3765.0"/>
        <n v="3756.0"/>
        <n v="3764.0"/>
        <n v="3770.0"/>
        <n v="3778.0"/>
        <n v="3772.0"/>
        <n v="3760.0"/>
        <n v="3779.0"/>
        <n v="3773.0"/>
        <n v="3769.0"/>
        <n v="3781.0"/>
        <n v="3785.0"/>
        <n v="3776.0"/>
        <n v="3775.0"/>
        <n v="3783.0"/>
        <n v="3784.0"/>
        <n v="3787.0"/>
        <n v="3791.0"/>
        <n v="3796.0"/>
        <n v="3790.0"/>
        <n v="3792.0"/>
        <n v="3793.0"/>
        <n v="3797.0"/>
        <n v="3800.0"/>
        <n v="3803.0"/>
        <n v="3799.0"/>
        <n v="3802.0"/>
        <n v="3811.0"/>
        <n v="3805.0"/>
        <n v="3815.0"/>
        <n v="3812.0"/>
        <n v="3816.0"/>
        <n v="3821.0"/>
        <n v="3814.0"/>
        <n v="3829.0"/>
        <n v="3825.0"/>
        <n v="3833.0"/>
        <n v="3823.0"/>
        <n v="3828.0"/>
        <n v="3836.0"/>
        <n v="3824.0"/>
        <n v="3832.0"/>
        <n v="3846.0"/>
        <n v="3837.0"/>
        <n v="3835.0"/>
        <n v="3838.0"/>
        <n v="3844.0"/>
        <n v="3845.0"/>
        <n v="3842.0"/>
        <n v="3853.0"/>
        <n v="3848.0"/>
        <n v="3860.0"/>
        <n v="3855.0"/>
        <n v="3862.0"/>
        <n v="3854.0"/>
        <n v="3851.0"/>
        <n v="3858.0"/>
        <n v="3869.0"/>
        <n v="3864.0"/>
        <n v="3861.0"/>
        <n v="3873.0"/>
        <n v="3868.0"/>
        <n v="3870.0"/>
        <n v="3871.0"/>
        <n v="3884.0"/>
        <n v="3878.0"/>
        <n v="3894.0"/>
        <n v="3885.0"/>
        <n v="3877.0"/>
        <n v="3886.0"/>
        <n v="3874.0"/>
        <n v="3893.0"/>
        <n v="3891.0"/>
        <n v="3888.0"/>
        <n v="3876.0"/>
        <n v="3875.0"/>
        <n v="3898.0"/>
        <n v="3895.0"/>
        <n v="3900.0"/>
        <n v="3904.0"/>
        <n v="3892.0"/>
        <n v="3899.0"/>
        <n v="3910.0"/>
        <n v="3901.0"/>
        <n v="3902.0"/>
        <n v="3903.0"/>
        <n v="3906.0"/>
        <n v="3907.0"/>
        <n v="3918.0"/>
        <n v="3912.0"/>
        <n v="3928.0"/>
        <n v="3911.0"/>
        <n v="3923.0"/>
        <n v="3922.0"/>
        <n v="3931.0"/>
        <n v="3930.0"/>
        <n v="3921.0"/>
        <n v="3926.0"/>
        <n v="3919.0"/>
        <n v="3933.0"/>
        <n v="3937.0"/>
        <n v="3929.0"/>
        <n v="3941.0"/>
        <n v="3936.0"/>
        <n v="3946.0"/>
        <n v="3938.0"/>
        <n v="3949.0"/>
        <n v="3958.0"/>
        <n v="3951.0"/>
        <n v="3962.0"/>
        <n v="3961.0"/>
        <n v="3963.0"/>
        <n v="3967.0"/>
        <n v="3968.0"/>
        <n v="3971.0"/>
        <n v="3972.0"/>
        <n v="3975.0"/>
        <n v="3976.0"/>
        <n v="3980.0"/>
        <n v="3984.0"/>
        <n v="3986.0"/>
        <n v="3988.0"/>
        <n v="3995.0"/>
        <n v="3998.0"/>
        <n v="4001.0"/>
        <n v="4006.0"/>
        <n v="4000.0"/>
        <n v="4017.0"/>
        <n v="4010.0"/>
        <n v="4015.0"/>
        <n v="4013.0"/>
        <n v="4014.0"/>
        <n v="4016.0"/>
        <n v="4028.0"/>
        <n v="4029.0"/>
        <n v="4032.0"/>
        <n v="4033.0"/>
        <n v="4034.0"/>
        <n v="4035.0"/>
        <n v="4036.0"/>
        <n v="4038.0"/>
        <n v="4042.0"/>
        <n v="4044.0"/>
        <n v="4046.0"/>
        <n v="4047.0"/>
        <n v="4048.0"/>
        <n v="4050.0"/>
        <n v="4053.0"/>
        <n v="4052.0"/>
        <n v="4055.0"/>
        <n v="4054.0"/>
        <n v="4056.0"/>
        <n v="4058.0"/>
        <n v="4057.0"/>
        <n v="4061.0"/>
        <n v="4059.0"/>
        <n v="4063.0"/>
        <n v="4062.0"/>
        <n v="4064.0"/>
        <n v="4068.0"/>
        <n v="4067.0"/>
        <n v="4069.0"/>
        <n v="4071.0"/>
        <n v="4070.0"/>
        <n v="4072.0"/>
        <n v="4076.0"/>
        <n v="4074.0"/>
        <n v="4080.0"/>
        <n v="4083.0"/>
        <n v="4086.0"/>
        <n v="4089.0"/>
        <n v="4088.0"/>
        <n v="4090.0"/>
        <n v="4095.0"/>
        <n v="4096.0"/>
        <n v="4099.0"/>
        <n v="4100.0"/>
        <n v="4101.0"/>
        <n v="4104.0"/>
        <n v="4102.0"/>
        <n v="4103.0"/>
        <n v="4106.0"/>
        <n v="4107.0"/>
        <n v="4110.0"/>
        <n v="4113.0"/>
        <n v="4109.0"/>
        <n v="4112.0"/>
        <n v="4111.0"/>
        <n v="4115.0"/>
        <n v="4116.0"/>
        <n v="4120.0"/>
        <n v="4123.0"/>
        <n v="4131.0"/>
        <n v="4124.0"/>
        <n v="4127.0"/>
        <n v="4132.0"/>
        <n v="4139.0"/>
        <n v="4135.0"/>
        <n v="4138.0"/>
        <n v="4142.0"/>
        <n v="4152.0"/>
        <n v="4149.0"/>
        <n v="4159.0"/>
        <n v="4172.0"/>
        <n v="4190.0"/>
        <n v="4193.0"/>
        <n v="4181.0"/>
        <n v="4191.0"/>
        <n v="4200.0"/>
        <n v="4208.0"/>
        <n v="4219.0"/>
        <n v="4220.0"/>
        <n v="4217.0"/>
        <n v="4237.0"/>
        <n v="4228.0"/>
        <n v="4240.0"/>
        <n v="4229.0"/>
        <n v="4246.0"/>
        <n v="4244.0"/>
        <n v="4241.0"/>
        <n v="4247.0"/>
        <n v="4256.0"/>
        <n v="4259.0"/>
        <n v="4265.0"/>
        <n v="4261.0"/>
        <n v="4262.0"/>
        <n v="4267.0"/>
        <n v="4269.0"/>
        <n v="4275.0"/>
        <n v="4279.0"/>
        <n v="4282.0"/>
        <n v="4283.0"/>
        <n v="4289.0"/>
        <n v="4291.0"/>
        <n v="4292.0"/>
        <n v="4295.0"/>
        <n v="4306.0"/>
        <n v="4309.0"/>
        <n v="4317.0"/>
        <n v="4318.0"/>
        <n v="4307.0"/>
        <n v="4320.0"/>
        <n v="4324.0"/>
        <n v="4333.0"/>
        <n v="4344.0"/>
        <n v="4334.0"/>
        <n v="4347.0"/>
        <n v="4352.0"/>
        <n v="4348.0"/>
        <n v="4353.0"/>
        <n v="4362.0"/>
        <n v="4367.0"/>
        <n v="4373.0"/>
        <n v="4382.0"/>
        <n v="4393.0"/>
        <n v="4394.0"/>
        <n v="4405.0"/>
        <n v="4407.0"/>
        <n v="4412.0"/>
        <n v="4424.0"/>
        <n v="4437.0"/>
        <n v="4436.0"/>
        <n v="4432.0"/>
        <n v="4429.0"/>
        <n v="4449.0"/>
        <n v="4453.0"/>
        <n v="4460.0"/>
        <n v="4474.0"/>
        <n v="4466.0"/>
        <n v="4473.0"/>
        <n v="4477.0"/>
        <n v="4493.0"/>
        <n v="4494.0"/>
        <n v="4490.0"/>
        <n v="4508.0"/>
        <n v="4495.0"/>
        <n v="4513.0"/>
        <n v="4502.0"/>
        <n v="4528.0"/>
        <n v="4526.0"/>
        <n v="4522.0"/>
        <n v="4537.0"/>
        <n v="4541.0"/>
        <n v="4550.0"/>
        <n v="4554.0"/>
        <n v="4551.0"/>
        <n v="4553.0"/>
        <n v="4565.0"/>
        <n v="4549.0"/>
        <n v="4548.0"/>
        <n v="4555.0"/>
        <n v="4559.0"/>
        <n v="4564.0"/>
        <n v="4587.0"/>
        <n v="4584.0"/>
        <n v="4585.0"/>
        <n v="4583.0"/>
        <n v="4582.0"/>
        <n v="4589.0"/>
        <n v="4596.0"/>
        <n v="4595.0"/>
        <n v="4591.0"/>
        <n v="4597.0"/>
        <n v="4598.0"/>
        <n v="4590.0"/>
        <n v="4606.0"/>
        <n v="4608.0"/>
        <n v="4604.0"/>
        <n v="4613.0"/>
        <n v="4616.0"/>
        <n v="4622.0"/>
        <n v="4617.0"/>
        <n v="4619.0"/>
        <n v="4629.0"/>
        <n v="4633.0"/>
        <n v="4634.0"/>
        <n v="4636.0"/>
        <n v="4640.0"/>
        <n v="4647.0"/>
        <n v="4650.0"/>
        <n v="4662.0"/>
        <n v="4660.0"/>
        <n v="4666.0"/>
        <n v="4670.0"/>
        <n v="4675.0"/>
        <n v="4676.0"/>
        <n v="4682.0"/>
        <n v="4678.0"/>
        <n v="4688.0"/>
        <n v="4692.0"/>
        <n v="4689.0"/>
        <n v="4697.0"/>
        <n v="4705.0"/>
        <n v="4707.0"/>
        <n v="4704.0"/>
        <n v="4708.0"/>
        <n v="4703.0"/>
        <n v="4725.0"/>
        <n v="4734.0"/>
        <n v="4742.0"/>
        <n v="4744.0"/>
        <n v="4746.0"/>
        <n v="4749.0"/>
        <n v="4764.0"/>
        <n v="4763.0"/>
        <n v="4772.0"/>
        <n v="4778.0"/>
        <n v="4781.0"/>
        <n v="4782.0"/>
        <n v="4785.0"/>
        <n v="4789.0"/>
        <n v="4793.0"/>
        <n v="4794.0"/>
        <n v="4804.0"/>
        <n v="4806.0"/>
        <n v="4808.0"/>
        <n v="4809.0"/>
        <n v="4816.0"/>
        <n v="4807.0"/>
        <n v="4817.0"/>
        <n v="4819.0"/>
        <n v="4811.0"/>
        <n v="4818.0"/>
        <n v="4836.0"/>
        <n v="4821.0"/>
        <n v="4826.0"/>
        <n v="4824.0"/>
        <n v="4820.0"/>
        <n v="4827.0"/>
        <n v="4832.0"/>
        <n v="4838.0"/>
        <n v="4840.0"/>
        <n v="4835.0"/>
        <n v="4841.0"/>
        <n v="4843.0"/>
        <n v="4839.0"/>
        <n v="4844.0"/>
        <n v="4833.0"/>
        <n v="4837.0"/>
        <n v="4853.0"/>
        <n v="4852.0"/>
        <n v="4856.0"/>
        <n v="4855.0"/>
        <n v="4861.0"/>
        <n v="4846.0"/>
        <n v="4864.0"/>
        <n v="4842.0"/>
        <n v="4851.0"/>
        <n v="4845.0"/>
        <n v="4860.0"/>
        <n v="4871.0"/>
        <n v="4870.0"/>
        <n v="4873.0"/>
        <n v="4868.0"/>
        <n v="4874.0"/>
        <n v="4867.0"/>
        <n v="4878.0"/>
        <n v="4872.0"/>
        <n v="4877.0"/>
        <n v="4888.0"/>
        <n v="4882.0"/>
        <n v="4891.0"/>
        <n v="4881.0"/>
        <n v="4883.0"/>
        <n v="4887.0"/>
        <n v="4896.0"/>
        <n v="4893.0"/>
        <n v="4897.0"/>
        <n v="4910.0"/>
        <n v="4900.0"/>
        <n v="4894.0"/>
        <n v="4895.0"/>
        <n v="4914.0"/>
        <n v="4907.0"/>
        <n v="4903.0"/>
        <n v="4913.0"/>
        <n v="4912.0"/>
        <n v="4917.0"/>
        <n v="4918.0"/>
        <n v="4923.0"/>
        <n v="4916.0"/>
        <n v="4924.0"/>
        <n v="4920.0"/>
        <n v="4922.0"/>
        <n v="4927.0"/>
        <n v="4925.0"/>
        <n v="4934.0"/>
        <n v="4930.0"/>
        <n v="4935.0"/>
        <n v="4946.0"/>
        <n v="4942.0"/>
        <n v="4939.0"/>
        <n v="4945.0"/>
        <n v="4952.0"/>
        <n v="4956.0"/>
        <n v="4947.0"/>
        <n v="4955.0"/>
        <n v="4959.0"/>
        <n v="4962.0"/>
        <n v="4961.0"/>
        <n v="4957.0"/>
        <n v="4960.0"/>
        <n v="4953.0"/>
        <n v="4951.0"/>
        <n v="4967.0"/>
        <n v="4954.0"/>
        <n v="4965.0"/>
        <n v="4972.0"/>
        <n v="4983.0"/>
        <n v="4989.0"/>
        <n v="4973.0"/>
        <n v="4980.0"/>
        <n v="4982.0"/>
        <n v="4970.0"/>
        <n v="4984.0"/>
        <n v="4990.0"/>
        <n v="4985.0"/>
        <n v="4992.0"/>
        <n v="4991.0"/>
        <n v="4979.0"/>
        <n v="4994.0"/>
        <n v="4993.0"/>
        <n v="4988.0"/>
        <n v="4995.0"/>
        <n v="5000.0"/>
        <n v="5002.0"/>
        <n v="5004.0"/>
        <n v="5006.0"/>
        <n v="5007.0"/>
        <n v="5003.0"/>
        <n v="5009.0"/>
        <n v="4999.0"/>
        <n v="5008.0"/>
        <n v="5011.0"/>
        <n v="5014.0"/>
        <n v="5015.0"/>
        <n v="5005.0"/>
        <n v="5010.0"/>
        <n v="5026.0"/>
        <n v="5022.0"/>
        <n v="5016.0"/>
        <n v="5021.0"/>
        <n v="5020.0"/>
        <n v="5018.0"/>
        <n v="5037.0"/>
        <n v="5027.0"/>
        <n v="5030.0"/>
        <n v="5034.0"/>
        <n v="5028.0"/>
        <n v="5036.0"/>
        <n v="5048.0"/>
        <n v="5035.0"/>
        <n v="5040.0"/>
        <n v="5043.0"/>
        <n v="5059.0"/>
        <n v="5047.0"/>
        <n v="5045.0"/>
        <n v="5055.0"/>
        <n v="5044.0"/>
        <n v="5062.0"/>
        <n v="5057.0"/>
        <n v="5049.0"/>
        <n v="5054.0"/>
        <n v="5052.0"/>
        <n v="5046.0"/>
        <n v="5058.0"/>
        <n v="5053.0"/>
        <n v="5063.0"/>
        <n v="5068.0"/>
        <n v="5065.0"/>
        <n v="5069.0"/>
        <n v="5067.0"/>
        <n v="5074.0"/>
        <n v="5073.0"/>
        <n v="5072.0"/>
        <n v="5078.0"/>
        <n v="5083.0"/>
        <n v="5080.0"/>
        <n v="5085.0"/>
        <n v="5077.0"/>
        <n v="5084.0"/>
        <n v="5090.0"/>
        <n v="5092.0"/>
        <n v="5082.0"/>
        <n v="5091.0"/>
        <n v="5087.0"/>
        <n v="5093.0"/>
        <n v="5081.0"/>
        <n v="5102.0"/>
        <n v="5114.0"/>
        <n v="5094.0"/>
        <n v="5103.0"/>
        <n v="5101.0"/>
        <n v="5107.0"/>
        <n v="5119.0"/>
        <n v="5104.0"/>
        <n v="5109.0"/>
        <n v="5112.0"/>
        <n v="5117.0"/>
        <n v="5099.0"/>
        <n v="5118.0"/>
        <n v="5106.0"/>
        <n v="5110.0"/>
        <n v="5111.0"/>
        <n v="5120.0"/>
        <n v="5121.0"/>
        <n v="5123.0"/>
        <n v="5124.0"/>
        <n v="5127.0"/>
        <n v="5126.0"/>
        <n v="5125.0"/>
        <n v="5113.0"/>
        <n v="5130.0"/>
        <n v="5129.0"/>
        <n v="5138.0"/>
        <n v="5128.0"/>
        <n v="5131.0"/>
        <n v="5134.0"/>
        <n v="5137.0"/>
        <n v="5143.0"/>
        <n v="5140.0"/>
        <n v="5139.0"/>
        <n v="5135.0"/>
        <n v="5146.0"/>
        <n v="5148.0"/>
        <n v="5151.0"/>
        <n v="5136.0"/>
        <n v="5147.0"/>
        <n v="5159.0"/>
        <n v="5152.0"/>
        <n v="5162.0"/>
        <n v="5161.0"/>
        <n v="5150.0"/>
        <n v="5156.0"/>
        <n v="5155.0"/>
        <n v="5158.0"/>
        <n v="5170.0"/>
        <n v="5165.0"/>
        <n v="5169.0"/>
        <n v="5157.0"/>
        <n v="5177.0"/>
        <n v="5167.0"/>
        <n v="5173.0"/>
        <n v="5168.0"/>
        <n v="5166.0"/>
        <n v="5183.0"/>
        <n v="5178.0"/>
        <n v="5180.0"/>
        <n v="5179.0"/>
        <n v="5172.0"/>
        <n v="5182.0"/>
        <n v="5181.0"/>
        <n v="5187.0"/>
        <n v="5189.0"/>
        <n v="5186.0"/>
        <n v="5191.0"/>
        <n v="5188.0"/>
        <n v="5196.0"/>
        <n v="5190.0"/>
        <n v="5201.0"/>
        <n v="5197.0"/>
        <n v="5195.0"/>
        <n v="5192.0"/>
        <n v="5211.0"/>
        <n v="5204.0"/>
        <n v="5203.0"/>
        <n v="5206.0"/>
        <n v="5212.0"/>
        <n v="5218.0"/>
        <n v="5205.0"/>
        <n v="5215.0"/>
        <n v="5213.0"/>
        <n v="5229.0"/>
        <n v="5223.0"/>
        <n v="5220.0"/>
        <n v="5222.0"/>
        <n v="5226.0"/>
        <n v="5238.0"/>
        <n v="5236.0"/>
        <n v="5231.0"/>
        <n v="5230.0"/>
        <n v="5237.0"/>
        <n v="5232.0"/>
        <n v="5240.0"/>
        <n v="5233.0"/>
        <n v="5239.0"/>
        <n v="5242.0"/>
        <n v="5246.0"/>
        <n v="5228.0"/>
        <n v="5249.0"/>
        <n v="5245.0"/>
        <n v="5257.0"/>
        <n v="5247.0"/>
        <n v="5244.0"/>
        <n v="5252.0"/>
        <n v="5250.0"/>
        <n v="5253.0"/>
        <n v="5256.0"/>
        <n v="5261.0"/>
        <n v="5260.0"/>
        <n v="5258.0"/>
        <n v="5267.0"/>
        <n v="5262.0"/>
        <n v="5259.0"/>
        <n v="5265.0"/>
        <n v="5280.0"/>
        <n v="5279.0"/>
        <n v="5264.0"/>
        <n v="5281.0"/>
        <n v="5269.0"/>
        <n v="5277.0"/>
        <n v="5282.0"/>
        <n v="5278.0"/>
        <n v="5283.0"/>
        <n v="5274.0"/>
        <n v="5301.0"/>
        <n v="5296.0"/>
        <n v="5299.0"/>
        <n v="5293.0"/>
        <n v="5292.0"/>
        <n v="5302.0"/>
        <n v="5303.0"/>
        <n v="5298.0"/>
        <n v="5304.0"/>
        <n v="5305.0"/>
        <n v="5308.0"/>
        <n v="5309.0"/>
        <n v="5312.0"/>
        <n v="5311.0"/>
        <n v="5306.0"/>
        <n v="5307.0"/>
        <n v="5310.0"/>
        <n v="5315.0"/>
        <n v="5314.0"/>
        <n v="5322.0"/>
        <n v="5316.0"/>
        <n v="5319.0"/>
        <n v="5317.0"/>
        <n v="5323.0"/>
        <n v="5320.0"/>
        <n v="5324.0"/>
        <n v="5329.0"/>
        <n v="5330.0"/>
        <n v="5331.0"/>
        <n v="5333.0"/>
        <n v="5332.0"/>
        <n v="5334.0"/>
        <n v="5339.0"/>
        <n v="5343.0"/>
        <n v="5346.0"/>
        <n v="5353.0"/>
        <n v="5351.0"/>
        <n v="5356.0"/>
        <n v="5355.0"/>
        <n v="5363.0"/>
        <n v="5362.0"/>
        <n v="5361.0"/>
        <n v="5365.0"/>
        <n v="5372.0"/>
        <n v="5369.0"/>
        <n v="5371.0"/>
        <n v="5375.0"/>
        <n v="5376.0"/>
        <n v="5378.0"/>
        <n v="6765.0"/>
        <n v="5388.0"/>
        <n v="5387.0"/>
        <n v="5389.0"/>
        <n v="5386.0"/>
        <n v="5390.0"/>
        <n v="5391.0"/>
        <n v="5393.0"/>
        <n v="5397.0"/>
        <n v="5395.0"/>
        <n v="5398.0"/>
        <n v="5401.0"/>
        <n v="5403.0"/>
        <n v="5405.0"/>
        <n v="5406.0"/>
        <n v="5407.0"/>
        <n v="5408.0"/>
        <n v="5411.0"/>
        <n v="5412.0"/>
        <n v="5413.0"/>
        <n v="5414.0"/>
        <n v="5415.0"/>
        <n v="5416.0"/>
        <n v="5417.0"/>
        <n v="5420.0"/>
        <n v="5427.0"/>
        <n v="5426.0"/>
        <n v="5429.0"/>
        <n v="5433.0"/>
        <n v="5432.0"/>
        <n v="5438.0"/>
        <n v="5436.0"/>
        <n v="5443.0"/>
        <n v="5441.0"/>
        <n v="5445.0"/>
        <n v="5442.0"/>
        <n v="5439.0"/>
        <n v="5449.0"/>
        <n v="5447.0"/>
        <n v="5450.0"/>
        <n v="5451.0"/>
        <n v="5446.0"/>
        <n v="5452.0"/>
        <n v="5456.0"/>
        <n v="5454.0"/>
        <n v="5458.0"/>
        <n v="5459.0"/>
        <n v="5461.0"/>
        <n v="5462.0"/>
        <n v="5463.0"/>
        <n v="5464.0"/>
        <n v="5465.0"/>
        <n v="5466.0"/>
        <n v="5468.0"/>
        <n v="5467.0"/>
        <n v="5490.0"/>
        <n v="5483.0"/>
        <n v="5482.0"/>
        <n v="5485.0"/>
        <n v="5491.0"/>
        <n v="5492.0"/>
        <n v="5504.0"/>
        <n v="5507.0"/>
        <n v="5509.0"/>
        <n v="5516.0"/>
        <n v="5527.0"/>
        <n v="5530.0"/>
        <n v="5528.0"/>
        <n v="5523.0"/>
        <n v="5532.0"/>
        <n v="5539.0"/>
        <n v="5542.0"/>
        <n v="5541.0"/>
        <n v="5546.0"/>
        <n v="5550.0"/>
        <n v="5561.0"/>
        <n v="5562.0"/>
        <n v="5563.0"/>
        <n v="5567.0"/>
        <n v="5571.0"/>
        <n v="5589.0"/>
        <n v="5574.0"/>
        <n v="5579.0"/>
        <n v="5588.0"/>
        <n v="5593.0"/>
        <n v="5599.0"/>
        <n v="5601.0"/>
        <n v="5595.0"/>
        <n v="5602.0"/>
        <n v="5592.0"/>
        <n v="5610.0"/>
        <n v="5607.0"/>
        <n v="5616.0"/>
        <n v="5611.0"/>
        <n v="5624.0"/>
        <n v="5625.0"/>
        <n v="5620.0"/>
        <n v="5633.0"/>
        <n v="5670.0"/>
        <n v="5657.0"/>
        <n v="5669.0"/>
        <n v="5658.0"/>
        <n v="5667.0"/>
        <n v="5680.0"/>
        <n v="5684.0"/>
        <n v="5695.0"/>
        <n v="5692.0"/>
        <n v="5693.0"/>
        <n v="5722.0"/>
        <n v="5712.0"/>
        <n v="5721.0"/>
        <n v="5727.0"/>
        <n v="5725.0"/>
        <n v="5726.0"/>
        <n v="5739.0"/>
        <n v="5744.0"/>
        <n v="5745.0"/>
        <n v="5747.0"/>
        <n v="5743.0"/>
        <n v="5758.0"/>
        <n v="5770.0"/>
        <n v="5762.0"/>
        <n v="5773.0"/>
        <n v="5776.0"/>
        <n v="5777.0"/>
        <n v="5779.0"/>
        <n v="5797.0"/>
        <n v="5803.0"/>
        <n v="5796.0"/>
        <n v="5804.0"/>
        <n v="5813.0"/>
        <n v="5810.0"/>
        <n v="5818.0"/>
        <n v="5819.0"/>
        <n v="5837.0"/>
        <n v="5829.0"/>
        <n v="5845.0"/>
        <n v="5841.0"/>
        <n v="5852.0"/>
        <n v="5840.0"/>
        <n v="5859.0"/>
        <n v="5858.0"/>
        <n v="5863.0"/>
        <n v="5882.0"/>
        <n v="5885.0"/>
        <n v="5881.0"/>
        <n v="5889.0"/>
        <n v="5909.0"/>
        <n v="5922.0"/>
        <n v="5931.0"/>
        <n v="5930.0"/>
        <n v="5934.0"/>
        <n v="5939.0"/>
        <n v="5937.0"/>
        <n v="5941.0"/>
        <n v="5946.0"/>
        <n v="5943.0"/>
        <n v="5954.0"/>
        <n v="5951.0"/>
        <n v="5959.0"/>
        <n v="5969.0"/>
        <n v="5965.0"/>
        <n v="5963.0"/>
        <n v="5968.0"/>
        <n v="5974.0"/>
        <n v="5975.0"/>
        <n v="5982.0"/>
        <n v="5985.0"/>
        <n v="5984.0"/>
        <n v="5995.0"/>
        <n v="5991.0"/>
        <n v="5997.0"/>
        <n v="5993.0"/>
        <n v="5999.0"/>
        <n v="5998.0"/>
        <n v="6005.0"/>
        <n v="6008.0"/>
        <n v="6011.0"/>
        <n v="6015.0"/>
        <n v="6012.0"/>
        <n v="6018.0"/>
        <n v="6019.0"/>
        <n v="6023.0"/>
        <n v="6025.0"/>
        <n v="6022.0"/>
        <n v="6029.0"/>
        <n v="6028.0"/>
        <n v="6034.0"/>
        <n v="6036.0"/>
        <n v="6040.0"/>
        <n v="6041.0"/>
        <n v="6038.0"/>
        <n v="6043.0"/>
        <n v="6044.0"/>
        <n v="6047.0"/>
        <n v="6048.0"/>
        <n v="6051.0"/>
        <n v="6052.0"/>
        <n v="6054.0"/>
        <n v="6053.0"/>
        <n v="6061.0"/>
        <n v="6059.0"/>
        <n v="6060.0"/>
        <n v="6065.0"/>
        <n v="6068.0"/>
        <n v="6071.0"/>
        <n v="6070.0"/>
        <n v="6072.0"/>
        <n v="6069.0"/>
        <n v="6077.0"/>
        <n v="6075.0"/>
        <n v="6078.0"/>
        <n v="6084.0"/>
        <n v="6085.0"/>
        <n v="6083.0"/>
        <n v="6094.0"/>
        <n v="6097.0"/>
        <n v="6092.0"/>
        <n v="6096.0"/>
        <n v="6095.0"/>
        <n v="6099.0"/>
        <n v="6109.0"/>
        <n v="6105.0"/>
        <n v="6110.0"/>
        <n v="6104.0"/>
        <n v="6115.0"/>
        <n v="6119.0"/>
        <n v="6121.0"/>
        <n v="6126.0"/>
        <n v="6123.0"/>
        <n v="6125.0"/>
        <n v="6127.0"/>
        <n v="6130.0"/>
        <n v="6128.0"/>
        <n v="6135.0"/>
        <n v="6134.0"/>
        <n v="6136.0"/>
        <n v="6137.0"/>
        <n v="6138.0"/>
        <n v="6143.0"/>
        <n v="6144.0"/>
        <n v="6149.0"/>
        <n v="6146.0"/>
        <n v="6148.0"/>
        <n v="6155.0"/>
        <n v="6151.0"/>
        <n v="6154.0"/>
        <n v="6156.0"/>
        <n v="6162.0"/>
        <n v="6163.0"/>
        <n v="6161.0"/>
        <n v="6168.0"/>
        <n v="6169.0"/>
        <n v="6164.0"/>
        <n v="6165.0"/>
        <n v="6170.0"/>
        <n v="6166.0"/>
        <n v="6172.0"/>
        <n v="6171.0"/>
        <n v="6174.0"/>
        <n v="6177.0"/>
        <n v="6181.0"/>
        <n v="6178.0"/>
        <n v="6186.0"/>
        <n v="6184.0"/>
        <n v="6185.0"/>
        <n v="6195.0"/>
        <n v="6194.0"/>
        <n v="6183.0"/>
        <n v="6201.0"/>
        <n v="6188.0"/>
        <n v="6189.0"/>
        <n v="6206.0"/>
        <n v="6202.0"/>
        <n v="6200.0"/>
        <n v="6204.0"/>
        <n v="6207.0"/>
        <n v="6212.0"/>
        <n v="6222.0"/>
        <n v="6225.0"/>
        <n v="6218.0"/>
        <n v="6210.0"/>
        <n v="6215.0"/>
        <n v="6224.0"/>
        <n v="6220.0"/>
        <n v="6216.0"/>
        <n v="6223.0"/>
        <n v="6211.0"/>
        <n v="6219.0"/>
        <n v="6227.0"/>
        <n v="6238.0"/>
        <n v="6230.0"/>
        <n v="6244.0"/>
        <n v="6233.0"/>
        <n v="6240.0"/>
        <n v="6236.0"/>
        <n v="6234.0"/>
        <n v="6239.0"/>
        <n v="6241.0"/>
        <n v="6246.0"/>
        <n v="6255.0"/>
        <n v="6256.0"/>
        <n v="6251.0"/>
        <n v="6263.0"/>
        <n v="6258.0"/>
        <n v="6243.0"/>
        <n v="6259.0"/>
        <n v="6260.0"/>
        <n v="6268.0"/>
        <n v="6247.0"/>
        <n v="6269.0"/>
        <n v="6265.0"/>
        <n v="6266.0"/>
        <n v="6277.0"/>
        <n v="6282.0"/>
        <n v="6272.0"/>
        <n v="6275.0"/>
        <n v="6280.0"/>
        <n v="6283.0"/>
        <n v="6279.0"/>
        <n v="6264.0"/>
        <n v="6290.0"/>
        <n v="6276.0"/>
        <n v="6294.0"/>
        <n v="6285.0"/>
        <n v="6296.0"/>
        <n v="6287.0"/>
        <n v="6286.0"/>
        <n v="6289.0"/>
        <n v="6291.0"/>
        <n v="6293.0"/>
        <n v="6298.0"/>
        <n v="6295.0"/>
        <n v="6292.0"/>
        <n v="6312.0"/>
        <n v="6305.0"/>
        <n v="6307.0"/>
        <n v="6306.0"/>
        <n v="6315.0"/>
        <n v="6313.0"/>
        <n v="6308.0"/>
        <n v="6319.0"/>
        <n v="6320.0"/>
        <n v="6325.0"/>
        <n v="6311.0"/>
        <n v="6318.0"/>
        <n v="6322.0"/>
        <n v="6324.0"/>
        <n v="6327.0"/>
        <n v="6328.0"/>
        <n v="6330.0"/>
        <n v="6331.0"/>
        <n v="6337.0"/>
        <n v="6339.0"/>
        <n v="6342.0"/>
        <n v="6326.0"/>
        <n v="6340.0"/>
        <n v="6336.0"/>
        <n v="6332.0"/>
        <n v="6341.0"/>
        <n v="6347.0"/>
        <n v="6344.0"/>
        <n v="6349.0"/>
        <n v="6351.0"/>
        <n v="6356.0"/>
        <n v="6355.0"/>
        <n v="6358.0"/>
        <n v="6359.0"/>
        <n v="6357.0"/>
        <n v="6352.0"/>
        <n v="6360.0"/>
        <n v="6373.0"/>
        <n v="6361.0"/>
        <n v="6368.0"/>
        <n v="6365.0"/>
        <n v="6371.0"/>
        <n v="6366.0"/>
        <n v="6370.0"/>
        <n v="6378.0"/>
        <n v="6369.0"/>
        <n v="6381.0"/>
        <n v="6388.0"/>
        <n v="6391.0"/>
        <n v="6389.0"/>
        <n v="6394.0"/>
        <n v="6395.0"/>
        <n v="6396.0"/>
        <n v="6387.0"/>
        <n v="6383.0"/>
        <n v="6386.0"/>
        <n v="6406.0"/>
        <n v="6407.0"/>
        <n v="6405.0"/>
        <n v="6408.0"/>
        <n v="6410.0"/>
        <n v="6412.0"/>
        <n v="6421.0"/>
        <n v="6411.0"/>
        <n v="6409.0"/>
        <n v="6414.0"/>
        <n v="6422.0"/>
        <n v="6415.0"/>
        <n v="6420.0"/>
        <n v="6424.0"/>
        <n v="6423.0"/>
        <n v="6426.0"/>
        <n v="6428.0"/>
        <n v="6440.0"/>
        <n v="6431.0"/>
        <n v="6436.0"/>
        <n v="6427.0"/>
        <n v="6443.0"/>
        <n v="6439.0"/>
        <n v="6441.0"/>
        <n v="6444.0"/>
        <n v="6447.0"/>
        <n v="6442.0"/>
        <n v="6449.0"/>
        <n v="6456.0"/>
        <n v="6454.0"/>
        <n v="6455.0"/>
        <n v="6459.0"/>
        <n v="6463.0"/>
        <n v="6473.0"/>
        <n v="6464.0"/>
        <n v="6468.0"/>
        <n v="6458.0"/>
        <n v="6469.0"/>
        <n v="6465.0"/>
        <n v="6467.0"/>
        <n v="6466.0"/>
        <n v="6474.0"/>
        <n v="6476.0"/>
        <n v="6481.0"/>
        <n v="6472.0"/>
        <n v="6480.0"/>
        <n v="6479.0"/>
        <n v="6482.0"/>
        <n v="6485.0"/>
        <n v="6483.0"/>
        <n v="6493.0"/>
        <n v="6494.0"/>
        <n v="6489.0"/>
        <n v="6495.0"/>
        <n v="6504.0"/>
        <n v="6498.0"/>
        <n v="6500.0"/>
        <n v="6512.0"/>
        <n v="6511.0"/>
        <n v="6502.0"/>
        <n v="6506.0"/>
        <n v="6507.0"/>
        <n v="6510.0"/>
        <n v="6501.0"/>
        <n v="6513.0"/>
        <n v="6517.0"/>
        <n v="6516.0"/>
        <n v="6518.0"/>
        <n v="6514.0"/>
        <n v="6515.0"/>
        <n v="6521.0"/>
        <n v="6522.0"/>
        <n v="6524.0"/>
        <n v="6529.0"/>
        <n v="6532.0"/>
        <n v="6520.0"/>
        <n v="6525.0"/>
        <n v="6536.0"/>
        <n v="6526.0"/>
        <n v="6535.0"/>
        <n v="6528.0"/>
        <n v="6523.0"/>
        <n v="6545.0"/>
        <n v="6544.0"/>
        <n v="6534.0"/>
        <n v="6542.0"/>
        <n v="6539.0"/>
        <n v="6547.0"/>
        <n v="6546.0"/>
        <n v="6549.0"/>
        <n v="6550.0"/>
        <n v="6555.0"/>
        <n v="6553.0"/>
        <n v="6564.0"/>
        <n v="6552.0"/>
        <n v="6565.0"/>
        <n v="6570.0"/>
        <n v="6567.0"/>
        <n v="6566.0"/>
        <n v="6569.0"/>
        <n v="6579.0"/>
        <n v="6574.0"/>
        <n v="6578.0"/>
        <n v="6576.0"/>
        <n v="6581.0"/>
        <n v="6586.0"/>
        <n v="6583.0"/>
        <n v="6585.0"/>
        <n v="6580.0"/>
        <n v="6588.0"/>
        <n v="6584.0"/>
        <n v="6593.0"/>
        <n v="6589.0"/>
        <n v="6595.0"/>
        <n v="6591.0"/>
        <n v="6599.0"/>
        <n v="6592.0"/>
        <n v="6594.0"/>
        <n v="6601.0"/>
        <n v="6603.0"/>
        <n v="6598.0"/>
        <n v="6600.0"/>
        <n v="6607.0"/>
        <n v="6602.0"/>
        <n v="6606.0"/>
        <n v="6605.0"/>
        <n v="6611.0"/>
        <n v="6626.0"/>
        <n v="6627.0"/>
        <n v="6618.0"/>
        <n v="6625.0"/>
        <n v="6629.0"/>
        <n v="6628.0"/>
        <n v="6624.0"/>
        <n v="6632.0"/>
        <n v="6637.0"/>
        <n v="6640.0"/>
        <n v="6641.0"/>
        <n v="6631.0"/>
        <n v="6652.0"/>
        <n v="6639.0"/>
        <n v="6636.0"/>
        <n v="6646.0"/>
        <n v="6650.0"/>
        <n v="6644.0"/>
        <n v="6655.0"/>
        <n v="6666.0"/>
        <n v="6662.0"/>
        <n v="6668.0"/>
        <n v="6670.0"/>
        <n v="6667.0"/>
        <n v="6654.0"/>
        <n v="6664.0"/>
        <n v="6665.0"/>
        <n v="6671.0"/>
        <n v="6672.0"/>
        <n v="6678.0"/>
        <n v="6673.0"/>
        <n v="6680.0"/>
        <n v="6687.0"/>
        <n v="6683.0"/>
        <n v="6686.0"/>
        <n v="6688.0"/>
        <n v="6689.0"/>
        <n v="6693.0"/>
        <n v="6696.0"/>
        <n v="6697.0"/>
        <n v="6709.0"/>
        <n v="6706.0"/>
        <n v="6708.0"/>
        <n v="6713.0"/>
        <n v="6715.0"/>
        <n v="6716.0"/>
        <n v="6718.0"/>
        <n v="6720.0"/>
        <n v="6722.0"/>
        <n v="6725.0"/>
        <n v="6728.0"/>
        <n v="6730.0"/>
        <n v="6732.0"/>
        <n v="6737.0"/>
        <n v="6744.0"/>
        <n v="6740.0"/>
        <n v="6746.0"/>
        <n v="6739.0"/>
        <n v="6745.0"/>
        <n v="6752.0"/>
        <n v="6751.0"/>
        <n v="6754.0"/>
        <n v="6753.0"/>
      </sharedItems>
    </cacheField>
    <cacheField name="Pickup point" numFmtId="0">
      <sharedItems>
        <s v="Airport"/>
        <s v="City"/>
      </sharedItems>
    </cacheField>
    <cacheField name="Driver id">
      <sharedItems containsMixedTypes="1" containsNumber="1" containsInteger="1">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n v="54.0"/>
        <n v="55.0"/>
        <n v="56.0"/>
        <n v="57.0"/>
        <n v="58.0"/>
        <n v="59.0"/>
        <n v="60.0"/>
        <n v="61.0"/>
        <n v="62.0"/>
        <n v="63.0"/>
        <n v="64.0"/>
        <n v="65.0"/>
        <n v="66.0"/>
        <n v="67.0"/>
        <n v="68.0"/>
        <n v="69.0"/>
        <n v="70.0"/>
        <n v="71.0"/>
        <n v="72.0"/>
        <n v="73.0"/>
        <n v="74.0"/>
        <n v="75.0"/>
        <n v="76.0"/>
        <n v="77.0"/>
        <n v="78.0"/>
        <n v="79.0"/>
        <n v="80.0"/>
        <n v="81.0"/>
        <n v="82.0"/>
        <n v="83.0"/>
        <n v="84.0"/>
        <n v="85.0"/>
        <n v="86.0"/>
        <n v="87.0"/>
        <n v="88.0"/>
        <n v="89.0"/>
        <n v="90.0"/>
        <n v="91.0"/>
        <n v="92.0"/>
        <n v="93.0"/>
        <n v="94.0"/>
        <n v="95.0"/>
        <n v="96.0"/>
        <n v="97.0"/>
        <n v="98.0"/>
        <n v="99.0"/>
        <n v="100.0"/>
        <n v="101.0"/>
        <n v="102.0"/>
        <n v="103.0"/>
        <n v="104.0"/>
        <n v="105.0"/>
        <n v="106.0"/>
        <n v="107.0"/>
        <n v="108.0"/>
        <n v="109.0"/>
        <n v="110.0"/>
        <n v="111.0"/>
        <n v="112.0"/>
        <n v="113.0"/>
        <n v="114.0"/>
        <n v="115.0"/>
        <n v="116.0"/>
        <n v="117.0"/>
        <n v="118.0"/>
        <n v="119.0"/>
        <n v="120.0"/>
        <n v="121.0"/>
        <n v="122.0"/>
        <n v="123.0"/>
        <n v="124.0"/>
        <n v="125.0"/>
        <n v="126.0"/>
        <n v="127.0"/>
        <n v="128.0"/>
        <n v="129.0"/>
        <n v="130.0"/>
        <n v="131.0"/>
        <n v="132.0"/>
        <n v="133.0"/>
        <n v="134.0"/>
        <n v="135.0"/>
        <n v="136.0"/>
        <n v="137.0"/>
        <n v="138.0"/>
        <n v="139.0"/>
        <n v="140.0"/>
        <n v="141.0"/>
        <n v="142.0"/>
        <n v="143.0"/>
        <n v="144.0"/>
        <n v="145.0"/>
        <n v="146.0"/>
        <n v="147.0"/>
        <n v="148.0"/>
        <n v="149.0"/>
        <n v="150.0"/>
        <n v="151.0"/>
        <n v="152.0"/>
        <n v="153.0"/>
        <n v="154.0"/>
        <n v="155.0"/>
        <n v="156.0"/>
        <n v="157.0"/>
        <n v="158.0"/>
        <n v="159.0"/>
        <n v="160.0"/>
        <n v="161.0"/>
        <n v="162.0"/>
        <n v="163.0"/>
        <n v="164.0"/>
        <n v="165.0"/>
        <n v="166.0"/>
        <n v="167.0"/>
        <n v="168.0"/>
        <n v="169.0"/>
        <n v="170.0"/>
        <n v="171.0"/>
        <n v="172.0"/>
        <n v="173.0"/>
        <n v="174.0"/>
        <n v="175.0"/>
        <n v="176.0"/>
        <n v="177.0"/>
        <n v="178.0"/>
        <n v="179.0"/>
        <n v="180.0"/>
        <n v="181.0"/>
        <n v="182.0"/>
        <n v="183.0"/>
        <n v="184.0"/>
        <n v="185.0"/>
        <n v="186.0"/>
        <n v="187.0"/>
        <n v="188.0"/>
        <n v="189.0"/>
        <n v="190.0"/>
        <n v="191.0"/>
        <n v="192.0"/>
        <n v="193.0"/>
        <n v="194.0"/>
        <n v="195.0"/>
        <n v="196.0"/>
        <n v="197.0"/>
        <n v="198.0"/>
        <n v="199.0"/>
        <n v="200.0"/>
        <n v="201.0"/>
        <n v="202.0"/>
        <n v="203.0"/>
        <n v="204.0"/>
        <n v="205.0"/>
        <n v="206.0"/>
        <n v="207.0"/>
        <n v="208.0"/>
        <n v="209.0"/>
        <n v="210.0"/>
        <n v="211.0"/>
        <n v="212.0"/>
        <n v="213.0"/>
        <n v="214.0"/>
        <n v="215.0"/>
        <n v="216.0"/>
        <n v="217.0"/>
        <n v="218.0"/>
        <n v="219.0"/>
        <n v="220.0"/>
        <n v="221.0"/>
        <n v="222.0"/>
        <n v="223.0"/>
        <n v="224.0"/>
        <n v="225.0"/>
        <n v="226.0"/>
        <n v="227.0"/>
        <n v="228.0"/>
        <n v="229.0"/>
        <n v="230.0"/>
        <n v="231.0"/>
        <n v="232.0"/>
        <n v="233.0"/>
        <n v="234.0"/>
        <n v="235.0"/>
        <n v="236.0"/>
        <n v="237.0"/>
        <n v="238.0"/>
        <n v="239.0"/>
        <n v="240.0"/>
        <n v="241.0"/>
        <n v="242.0"/>
        <n v="243.0"/>
        <n v="244.0"/>
        <n v="245.0"/>
        <n v="246.0"/>
        <n v="247.0"/>
        <n v="248.0"/>
        <n v="249.0"/>
        <n v="250.0"/>
        <n v="251.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s v="NA"/>
      </sharedItems>
    </cacheField>
    <cacheField name="Status" numFmtId="0">
      <sharedItems>
        <s v="Trip Completed"/>
        <s v="Cancelled"/>
        <s v="No Cars Available"/>
      </sharedItems>
    </cacheField>
    <cacheField name="Request timestamp" numFmtId="165">
      <sharedItems containsSemiMixedTypes="0" containsDate="1" containsString="0">
        <d v="2016-07-11T11:51:00Z"/>
        <d v="2016-07-11T17:57:00Z"/>
        <d v="2016-07-12T09:17:00Z"/>
        <d v="2016-07-12T21:08:00Z"/>
        <d v="2016-07-13T08:33:16Z"/>
        <d v="2016-07-13T21:57:28Z"/>
        <d v="2016-07-14T06:15:32Z"/>
        <d v="2016-07-15T05:11:52Z"/>
        <d v="2016-07-15T17:57:27Z"/>
        <d v="2016-07-11T06:46:00Z"/>
        <d v="2016-07-12T05:08:00Z"/>
        <d v="2016-07-12T12:30:00Z"/>
        <d v="2016-07-13T04:49:20Z"/>
        <d v="2016-07-13T08:02:53Z"/>
        <d v="2016-07-13T14:23:02Z"/>
        <d v="2016-07-13T17:23:18Z"/>
        <d v="2016-07-14T12:01:02Z"/>
        <d v="2016-07-14T22:24:13Z"/>
        <d v="2016-07-11T10:00:00Z"/>
        <d v="2016-07-11T18:45:00Z"/>
        <d v="2016-07-12T11:17:00Z"/>
        <d v="2016-07-12T15:46:00Z"/>
        <d v="2016-07-12T18:00:00Z"/>
        <d v="2016-07-13T08:17:29Z"/>
        <d v="2016-07-13T21:54:18Z"/>
        <d v="2016-07-14T21:23:03Z"/>
        <d v="2016-07-15T02:41:38Z"/>
        <d v="2016-07-15T10:00:43Z"/>
        <d v="2016-07-11T13:08:00Z"/>
        <d v="2016-07-12T06:21:00Z"/>
        <d v="2016-07-12T09:27:00Z"/>
        <d v="2016-07-12T16:09:00Z"/>
        <d v="2016-07-13T05:34:20Z"/>
        <d v="2016-07-13T19:57:59Z"/>
        <d v="2016-07-14T02:17:35Z"/>
        <d v="2016-07-14T13:01:10Z"/>
        <d v="2016-07-15T08:30:06Z"/>
        <d v="2016-07-15T15:01:20Z"/>
        <d v="2016-07-11T07:27:00Z"/>
        <d v="2016-07-11T11:03:00Z"/>
        <d v="2016-07-11T20:58:00Z"/>
        <d v="2016-07-12T08:40:00Z"/>
        <d v="2016-07-12T14:48:00Z"/>
        <d v="2016-07-12T21:32:00Z"/>
        <d v="2016-07-13T07:28:14Z"/>
        <d v="2016-07-13T12:14:27Z"/>
        <d v="2016-07-14T06:43:01Z"/>
        <d v="2016-07-15T09:08:50Z"/>
        <d v="2016-07-15T22:41:41Z"/>
        <d v="2016-07-12T05:45:00Z"/>
        <d v="2016-07-12T13:02:00Z"/>
        <d v="2016-07-13T06:50:33Z"/>
        <d v="2016-07-13T21:53:03Z"/>
        <d v="2016-07-14T02:37:14Z"/>
        <d v="2016-07-14T14:50:07Z"/>
        <d v="2016-07-14T21:33:55Z"/>
        <d v="2016-07-15T00:03:39Z"/>
        <d v="2016-07-15T07:52:51Z"/>
        <d v="2016-07-15T14:28:50Z"/>
        <d v="2016-07-11T19:31:00Z"/>
        <d v="2016-07-11T22:07:00Z"/>
        <d v="2016-07-12T20:39:00Z"/>
        <d v="2016-07-14T03:39:38Z"/>
        <d v="2016-07-14T09:11:13Z"/>
        <d v="2016-07-14T18:52:32Z"/>
        <d v="2016-07-15T09:50:28Z"/>
        <d v="2016-07-15T15:50:15Z"/>
        <d v="2016-07-11T08:18:00Z"/>
        <d v="2016-07-11T19:39:00Z"/>
        <d v="2016-07-12T08:57:00Z"/>
        <d v="2016-07-12T21:05:00Z"/>
        <d v="2016-07-13T10:22:07Z"/>
        <d v="2016-07-14T11:55:10Z"/>
        <d v="2016-07-11T09:08:00Z"/>
        <d v="2016-07-11T17:46:00Z"/>
        <d v="2016-07-11T23:39:00Z"/>
        <d v="2016-07-12T05:13:00Z"/>
        <d v="2016-07-12T18:20:00Z"/>
        <d v="2016-07-13T08:04:57Z"/>
        <d v="2016-07-13T17:03:30Z"/>
        <d v="2016-07-13T20:41:24Z"/>
        <d v="2016-07-13T23:58:41Z"/>
        <d v="2016-07-14T04:21:42Z"/>
        <d v="2016-07-14T17:58:46Z"/>
        <d v="2016-07-15T05:47:49Z"/>
        <d v="2016-07-15T11:51:16Z"/>
        <d v="2016-07-12T09:13:00Z"/>
        <d v="2016-07-12T15:08:00Z"/>
        <d v="2016-07-13T09:47:06Z"/>
        <d v="2016-07-14T07:24:43Z"/>
        <d v="2016-07-14T13:31:24Z"/>
        <d v="2016-07-15T06:33:00Z"/>
        <d v="2016-07-15T16:32:51Z"/>
        <d v="2016-07-12T14:11:00Z"/>
        <d v="2016-07-13T10:00:17Z"/>
        <d v="2016-07-13T13:29:44Z"/>
        <d v="2016-07-14T06:42:36Z"/>
        <d v="2016-07-14T18:22:17Z"/>
        <d v="2016-07-15T07:08:50Z"/>
        <d v="2016-07-15T08:22:03Z"/>
        <d v="2016-07-15T19:46:40Z"/>
        <d v="2016-07-11T03:17:00Z"/>
        <d v="2016-07-11T06:51:00Z"/>
        <d v="2016-07-11T21:05:00Z"/>
        <d v="2016-07-12T05:59:00Z"/>
        <d v="2016-07-12T20:18:00Z"/>
        <d v="2016-07-12T22:28:00Z"/>
        <d v="2016-07-14T02:14:15Z"/>
        <d v="2016-07-14T10:35:14Z"/>
        <d v="2016-07-14T19:31:20Z"/>
        <d v="2016-07-15T07:04:55Z"/>
        <d v="2016-07-15T10:07:49Z"/>
        <d v="2016-07-15T19:04:46Z"/>
        <d v="2016-07-11T05:32:00Z"/>
        <d v="2016-07-11T07:24:00Z"/>
        <d v="2016-07-11T19:15:00Z"/>
        <d v="2016-07-12T08:01:00Z"/>
        <d v="2016-07-13T08:09:04Z"/>
        <d v="2016-07-14T05:32:14Z"/>
        <d v="2016-07-14T11:13:19Z"/>
        <d v="2016-07-14T21:43:24Z"/>
        <d v="2016-07-15T05:00:13Z"/>
        <d v="2016-07-15T22:08:42Z"/>
        <d v="2016-07-11T05:21:00Z"/>
        <d v="2016-07-11T06:15:00Z"/>
        <d v="2016-07-12T09:24:00Z"/>
        <d v="2016-07-12T21:03:00Z"/>
        <d v="2016-07-13T13:01:42Z"/>
        <d v="2016-07-14T21:45:50Z"/>
        <d v="2016-07-15T17:34:25Z"/>
        <d v="2016-07-15T23:32:44Z"/>
        <d v="2016-07-11T19:18:00Z"/>
        <d v="2016-07-12T23:43:00Z"/>
        <d v="2016-07-13T09:39:44Z"/>
        <d v="2016-07-13T21:52:05Z"/>
        <d v="2016-07-14T08:42:46Z"/>
        <d v="2016-07-14T20:34:30Z"/>
        <d v="2016-07-15T12:22:35Z"/>
        <d v="2016-07-15T20:02:54Z"/>
        <d v="2016-07-11T11:25:00Z"/>
        <d v="2016-07-11T14:16:00Z"/>
        <d v="2016-07-11T20:50:00Z"/>
        <d v="2016-07-12T23:23:00Z"/>
        <d v="2016-07-13T05:05:16Z"/>
        <d v="2016-07-13T10:12:51Z"/>
        <d v="2016-07-13T15:32:01Z"/>
        <d v="2016-07-13T22:26:26Z"/>
        <d v="2016-07-14T04:37:11Z"/>
        <d v="2016-07-14T08:36:24Z"/>
        <d v="2016-07-14T14:04:13Z"/>
        <d v="2016-07-14T22:51:47Z"/>
        <d v="2016-07-15T16:11:02Z"/>
        <d v="2016-07-15T20:33:00Z"/>
        <d v="2016-07-11T12:25:00Z"/>
        <d v="2016-07-11T18:25:00Z"/>
        <d v="2016-07-12T22:10:00Z"/>
        <d v="2016-07-13T07:33:20Z"/>
        <d v="2016-07-14T14:54:16Z"/>
        <d v="2016-07-14T18:47:42Z"/>
        <d v="2016-07-14T23:35:34Z"/>
        <d v="2016-07-15T04:48:57Z"/>
        <d v="2016-07-15T11:48:32Z"/>
        <d v="2016-07-15T20:21:26Z"/>
        <d v="2016-07-11T09:39:00Z"/>
        <d v="2016-07-11T20:42:00Z"/>
        <d v="2016-07-12T03:14:00Z"/>
        <d v="2016-07-12T09:12:00Z"/>
        <d v="2016-07-12T11:32:00Z"/>
        <d v="2016-07-13T01:46:42Z"/>
        <d v="2016-07-13T05:28:29Z"/>
        <d v="2016-07-13T22:35:38Z"/>
        <d v="2016-07-14T16:47:15Z"/>
        <d v="2016-07-14T20:57:41Z"/>
        <d v="2016-07-15T09:43:57Z"/>
        <d v="2016-07-11T09:36:00Z"/>
        <d v="2016-07-12T05:21:00Z"/>
        <d v="2016-07-12T14:30:00Z"/>
        <d v="2016-07-12T21:29:00Z"/>
        <d v="2016-07-13T21:06:57Z"/>
        <d v="2016-07-14T06:11:51Z"/>
        <d v="2016-07-14T08:00:15Z"/>
        <d v="2016-07-15T10:03:42Z"/>
        <d v="2016-07-15T12:04:15Z"/>
        <d v="2016-07-11T09:20:00Z"/>
        <d v="2016-07-11T13:51:00Z"/>
        <d v="2016-07-12T16:08:00Z"/>
        <d v="2016-07-12T18:46:00Z"/>
        <d v="2016-07-13T12:40:58Z"/>
        <d v="2016-07-13T19:33:19Z"/>
        <d v="2016-07-14T08:45:13Z"/>
        <d v="2016-07-15T19:50:57Z"/>
        <d v="2016-07-12T10:20:00Z"/>
        <d v="2016-07-12T12:23:00Z"/>
        <d v="2016-07-13T20:28:11Z"/>
        <d v="2016-07-14T08:26:32Z"/>
        <d v="2016-07-15T13:11:04Z"/>
        <d v="2016-07-15T20:54:20Z"/>
        <d v="2016-07-11T05:05:00Z"/>
        <d v="2016-07-11T08:01:00Z"/>
        <d v="2016-07-11T13:02:00Z"/>
        <d v="2016-07-11T18:28:00Z"/>
        <d v="2016-07-11T21:01:00Z"/>
        <d v="2016-07-12T10:32:00Z"/>
        <d v="2016-07-12T21:01:00Z"/>
        <d v="2016-07-13T08:02:03Z"/>
        <d v="2016-07-13T12:24:41Z"/>
        <d v="2016-07-13T18:39:00Z"/>
        <d v="2016-07-14T15:39:24Z"/>
        <d v="2016-07-14T20:17:51Z"/>
        <d v="2016-07-14T23:27:22Z"/>
        <d v="2016-07-15T05:53:55Z"/>
        <d v="2016-07-15T09:52:57Z"/>
        <d v="2016-07-15T22:45:44Z"/>
        <d v="2016-07-11T09:48:00Z"/>
        <d v="2016-07-11T15:53:00Z"/>
        <d v="2016-07-12T00:22:00Z"/>
        <d v="2016-07-12T06:09:00Z"/>
        <d v="2016-07-12T07:52:00Z"/>
        <d v="2016-07-12T16:36:00Z"/>
        <d v="2016-07-13T03:07:37Z"/>
        <d v="2016-07-14T06:17:01Z"/>
        <d v="2016-07-14T12:25:02Z"/>
        <d v="2016-07-15T02:23:56Z"/>
        <d v="2016-07-15T04:53:42Z"/>
        <d v="2016-07-15T08:35:47Z"/>
        <d v="2016-07-15T10:54:27Z"/>
        <d v="2016-07-15T15:26:06Z"/>
        <d v="2016-07-11T08:00:00Z"/>
        <d v="2016-07-11T19:52:00Z"/>
        <d v="2016-07-13T00:34:03Z"/>
        <d v="2016-07-13T04:56:20Z"/>
        <d v="2016-07-13T12:23:02Z"/>
        <d v="2016-07-13T15:52:07Z"/>
        <d v="2016-07-13T20:35:24Z"/>
        <d v="2016-07-14T04:48:09Z"/>
        <d v="2016-07-14T12:06:27Z"/>
        <d v="2016-07-14T18:21:52Z"/>
        <d v="2016-07-14T21:29:35Z"/>
        <d v="2016-07-15T08:46:30Z"/>
        <d v="2016-07-15T15:45:16Z"/>
        <d v="2016-07-15T18:41:22Z"/>
        <d v="2016-07-11T16:23:00Z"/>
        <d v="2016-07-11T20:20:00Z"/>
        <d v="2016-07-12T23:35:00Z"/>
        <d v="2016-07-13T05:27:26Z"/>
        <d v="2016-07-13T14:59:08Z"/>
        <d v="2016-07-13T18:31:29Z"/>
        <d v="2016-07-13T20:38:10Z"/>
        <d v="2016-07-14T09:48:56Z"/>
        <d v="2016-07-14T17:37:44Z"/>
        <d v="2016-07-15T05:41:11Z"/>
        <d v="2016-07-15T17:11:08Z"/>
        <d v="2016-07-15T22:07:14Z"/>
        <d v="2016-07-11T07:31:00Z"/>
        <d v="2016-07-11T17:04:00Z"/>
        <d v="2016-07-11T18:14:00Z"/>
        <d v="2016-07-11T21:51:00Z"/>
        <d v="2016-07-13T05:20:16Z"/>
        <d v="2016-07-13T08:54:04Z"/>
        <d v="2016-07-13T16:12:53Z"/>
        <d v="2016-07-13T22:50:42Z"/>
        <d v="2016-07-15T19:33:00Z"/>
        <d v="2016-07-11T06:04:00Z"/>
        <d v="2016-07-11T12:20:00Z"/>
        <d v="2016-07-11T16:19:00Z"/>
        <d v="2016-07-12T09:03:00Z"/>
        <d v="2016-07-12T12:10:00Z"/>
        <d v="2016-07-12T15:51:00Z"/>
        <d v="2016-07-12T20:43:00Z"/>
        <d v="2016-07-13T05:50:09Z"/>
        <d v="2016-07-13T20:24:23Z"/>
        <d v="2016-07-14T08:26:29Z"/>
        <d v="2016-07-14T21:09:47Z"/>
        <d v="2016-07-15T18:59:01Z"/>
        <d v="2016-07-15T21:59:10Z"/>
        <d v="2016-07-11T04:50:00Z"/>
        <d v="2016-07-11T21:17:00Z"/>
        <d v="2016-07-12T07:44:00Z"/>
        <d v="2016-07-13T04:33:38Z"/>
        <d v="2016-07-13T09:51:41Z"/>
        <d v="2016-07-13T19:56:20Z"/>
        <d v="2016-07-14T18:02:23Z"/>
        <d v="2016-07-15T20:54:01Z"/>
        <d v="2016-07-15T23:02:36Z"/>
        <d v="2016-07-12T06:26:00Z"/>
        <d v="2016-07-12T12:05:00Z"/>
        <d v="2016-07-13T05:18:31Z"/>
        <d v="2016-07-13T06:34:13Z"/>
        <d v="2016-07-13T13:47:14Z"/>
        <d v="2016-07-13T18:07:42Z"/>
        <d v="2016-07-13T20:30:08Z"/>
        <d v="2016-07-14T09:48:17Z"/>
        <d v="2016-07-15T18:29:54Z"/>
        <d v="2016-07-15T19:53:52Z"/>
        <d v="2016-07-11T09:45:00Z"/>
        <d v="2016-07-12T03:02:00Z"/>
        <d v="2016-07-12T07:18:00Z"/>
        <d v="2016-07-12T16:14:00Z"/>
        <d v="2016-07-12T22:46:00Z"/>
        <d v="2016-07-13T08:41:49Z"/>
        <d v="2016-07-13T20:15:54Z"/>
        <d v="2016-07-14T08:13:15Z"/>
        <d v="2016-07-14T16:43:53Z"/>
        <d v="2016-07-15T04:59:58Z"/>
        <d v="2016-07-15T20:19:45Z"/>
        <d v="2016-07-15T23:23:55Z"/>
        <d v="2016-07-11T12:14:00Z"/>
        <d v="2016-07-11T15:48:00Z"/>
        <d v="2016-07-11T19:53:00Z"/>
        <d v="2016-07-12T10:10:00Z"/>
        <d v="2016-07-15T06:18:36Z"/>
        <d v="2016-07-15T09:37:21Z"/>
        <d v="2016-07-15T14:44:32Z"/>
        <d v="2016-07-15T22:15:45Z"/>
        <d v="2016-07-12T17:34:00Z"/>
        <d v="2016-07-13T11:23:36Z"/>
        <d v="2016-07-13T19:33:18Z"/>
        <d v="2016-07-14T16:41:52Z"/>
        <d v="2016-07-15T09:47:11Z"/>
        <d v="2016-07-15T17:11:33Z"/>
        <d v="2016-07-15T21:03:02Z"/>
        <d v="2016-07-11T15:27:00Z"/>
        <d v="2016-07-11T18:22:00Z"/>
        <d v="2016-07-12T05:16:00Z"/>
        <d v="2016-07-12T11:45:00Z"/>
        <d v="2016-07-13T08:15:34Z"/>
        <d v="2016-07-13T23:13:54Z"/>
        <d v="2016-07-14T05:11:15Z"/>
        <d v="2016-07-15T17:50:37Z"/>
        <d v="2016-07-11T15:30:00Z"/>
        <d v="2016-07-13T02:38:48Z"/>
        <d v="2016-07-13T05:46:42Z"/>
        <d v="2016-07-13T17:50:59Z"/>
        <d v="2016-07-14T11:58:46Z"/>
        <d v="2016-07-14T19:21:16Z"/>
        <d v="2016-07-11T08:02:00Z"/>
        <d v="2016-07-11T22:01:00Z"/>
        <d v="2016-07-12T05:41:00Z"/>
        <d v="2016-07-12T12:22:00Z"/>
        <d v="2016-07-13T05:53:33Z"/>
        <d v="2016-07-13T14:52:52Z"/>
        <d v="2016-07-13T18:25:52Z"/>
        <d v="2016-07-14T04:28:35Z"/>
        <d v="2016-07-14T14:52:43Z"/>
        <d v="2016-07-15T21:09:57Z"/>
        <d v="2016-07-15T22:29:56Z"/>
        <d v="2016-07-11T20:17:00Z"/>
        <d v="2016-07-12T06:39:00Z"/>
        <d v="2016-07-12T09:35:00Z"/>
        <d v="2016-07-12T16:19:00Z"/>
        <d v="2016-07-13T03:50:03Z"/>
        <d v="2016-07-13T07:26:03Z"/>
        <d v="2016-07-13T15:16:52Z"/>
        <d v="2016-07-13T21:34:21Z"/>
        <d v="2016-07-14T08:39:44Z"/>
        <d v="2016-07-14T20:50:52Z"/>
        <d v="2016-07-15T06:15:54Z"/>
        <d v="2016-07-15T21:40:39Z"/>
        <d v="2016-07-11T05:55:00Z"/>
        <d v="2016-07-11T07:43:00Z"/>
        <d v="2016-07-11T09:35:00Z"/>
        <d v="2016-07-12T08:58:00Z"/>
        <d v="2016-07-12T18:12:00Z"/>
        <d v="2016-07-14T05:37:01Z"/>
        <d v="2016-07-14T13:52:52Z"/>
        <d v="2016-07-14T19:52:54Z"/>
        <d v="2016-07-14T23:01:45Z"/>
        <d v="2016-07-15T12:43:09Z"/>
        <d v="2016-07-15T17:19:56Z"/>
        <d v="2016-07-15T18:21:09Z"/>
        <d v="2016-07-11T05:12:00Z"/>
        <d v="2016-07-12T06:49:00Z"/>
        <d v="2016-07-12T09:19:00Z"/>
        <d v="2016-07-13T08:12:39Z"/>
        <d v="2016-07-13T14:40:53Z"/>
        <d v="2016-07-14T05:38:17Z"/>
        <d v="2016-07-15T08:12:21Z"/>
        <d v="2016-07-15T10:48:38Z"/>
        <d v="2016-07-15T18:31:06Z"/>
        <d v="2016-07-11T06:31:00Z"/>
        <d v="2016-07-11T15:05:00Z"/>
        <d v="2016-07-13T07:38:51Z"/>
        <d v="2016-07-13T18:54:52Z"/>
        <d v="2016-07-14T06:22:04Z"/>
        <d v="2016-07-14T14:43:10Z"/>
        <d v="2016-07-11T23:51:00Z"/>
        <d v="2016-07-12T06:18:00Z"/>
        <d v="2016-07-12T20:38:00Z"/>
        <d v="2016-07-13T19:39:52Z"/>
        <d v="2016-07-14T14:06:18Z"/>
        <d v="2016-07-14T22:50:55Z"/>
        <d v="2016-07-15T20:52:18Z"/>
        <d v="2016-07-12T11:29:00Z"/>
        <d v="2016-07-13T20:33:01Z"/>
        <d v="2016-07-14T06:02:47Z"/>
        <d v="2016-07-14T13:42:45Z"/>
        <d v="2016-07-15T07:16:19Z"/>
        <d v="2016-07-15T18:44:07Z"/>
        <d v="2016-07-15T23:22:28Z"/>
        <d v="2016-07-11T06:27:00Z"/>
        <d v="2016-07-12T22:16:00Z"/>
        <d v="2016-07-13T04:54:46Z"/>
        <d v="2016-07-13T23:24:52Z"/>
        <d v="2016-07-14T18:44:58Z"/>
        <d v="2016-07-15T04:43:40Z"/>
        <d v="2016-07-15T06:46:40Z"/>
        <d v="2016-07-11T12:12:00Z"/>
        <d v="2016-07-12T08:45:00Z"/>
        <d v="2016-07-12T15:49:00Z"/>
        <d v="2016-07-13T18:13:10Z"/>
        <d v="2016-07-13T22:43:45Z"/>
        <d v="2016-07-14T05:36:10Z"/>
        <d v="2016-07-14T11:54:26Z"/>
        <d v="2016-07-15T08:43:57Z"/>
        <d v="2016-07-15T13:48:40Z"/>
        <d v="2016-07-11T05:11:00Z"/>
        <d v="2016-07-11T07:49:00Z"/>
        <d v="2016-07-11T20:27:00Z"/>
        <d v="2016-07-12T20:33:00Z"/>
        <d v="2016-07-13T07:56:53Z"/>
        <d v="2016-07-13T19:18:27Z"/>
        <d v="2016-07-14T06:56:17Z"/>
        <d v="2016-07-15T07:07:07Z"/>
        <d v="2016-07-12T07:56:00Z"/>
        <d v="2016-07-12T16:12:00Z"/>
        <d v="2016-07-13T02:37:50Z"/>
        <d v="2016-07-13T06:21:57Z"/>
        <d v="2016-07-13T09:00:37Z"/>
        <d v="2016-07-13T13:30:22Z"/>
        <d v="2016-07-15T02:52:10Z"/>
        <d v="2016-07-15T07:41:01Z"/>
        <d v="2016-07-11T22:05:00Z"/>
        <d v="2016-07-12T06:16:00Z"/>
        <d v="2016-07-13T06:14:46Z"/>
        <d v="2016-07-13T15:28:23Z"/>
        <d v="2016-07-13T19:09:50Z"/>
        <d v="2016-07-14T20:11:42Z"/>
        <d v="2016-07-15T02:09:09Z"/>
        <d v="2016-07-15T07:40:09Z"/>
        <d v="2016-07-15T12:50:41Z"/>
        <d v="2016-07-15T19:42:15Z"/>
        <d v="2016-07-11T19:11:00Z"/>
        <d v="2016-07-12T08:56:00Z"/>
        <d v="2016-07-13T02:36:56Z"/>
        <d v="2016-07-13T15:31:59Z"/>
        <d v="2016-07-14T06:35:07Z"/>
        <d v="2016-07-14T18:59:54Z"/>
        <d v="2016-07-15T00:05:00Z"/>
        <d v="2016-07-15T06:40:51Z"/>
        <d v="2016-07-15T17:17:50Z"/>
        <d v="2016-07-11T09:05:00Z"/>
        <d v="2016-07-11T22:22:00Z"/>
        <d v="2016-07-12T07:09:00Z"/>
        <d v="2016-07-12T16:03:00Z"/>
        <d v="2016-07-12T19:22:00Z"/>
        <d v="2016-07-13T08:10:39Z"/>
        <d v="2016-07-13T18:08:02Z"/>
        <d v="2016-07-13T20:55:06Z"/>
        <d v="2016-07-13T23:16:52Z"/>
        <d v="2016-07-14T02:37:56Z"/>
        <d v="2016-07-14T12:36:18Z"/>
        <d v="2016-07-14T18:22:21Z"/>
        <d v="2016-07-15T06:05:47Z"/>
        <d v="2016-07-11T09:56:00Z"/>
        <d v="2016-07-12T05:56:00Z"/>
        <d v="2016-07-12T19:31:00Z"/>
        <d v="2016-07-12T22:00:00Z"/>
        <d v="2016-07-13T06:56:35Z"/>
        <d v="2016-07-13T23:39:25Z"/>
        <d v="2016-07-14T07:26:46Z"/>
        <d v="2016-07-14T10:51:16Z"/>
        <d v="2016-07-14T21:08:55Z"/>
        <d v="2016-07-15T11:35:28Z"/>
        <d v="2016-07-15T16:08:41Z"/>
        <d v="2016-07-15T19:07:09Z"/>
        <d v="2016-07-12T20:40:00Z"/>
        <d v="2016-07-13T12:28:51Z"/>
        <d v="2016-07-13T22:07:15Z"/>
        <d v="2016-07-14T08:12:46Z"/>
        <d v="2016-07-14T18:35:40Z"/>
        <d v="2016-07-14T21:12:10Z"/>
        <d v="2016-07-15T07:32:38Z"/>
        <d v="2016-07-15T09:22:59Z"/>
        <d v="2016-07-15T20:51:59Z"/>
        <d v="2016-07-11T13:44:00Z"/>
        <d v="2016-07-11T16:41:00Z"/>
        <d v="2016-07-12T04:56:00Z"/>
        <d v="2016-07-12T10:38:00Z"/>
        <d v="2016-07-12T20:15:00Z"/>
        <d v="2016-07-13T06:52:35Z"/>
        <d v="2016-07-13T22:53:20Z"/>
        <d v="2016-07-14T05:24:02Z"/>
        <d v="2016-07-14T12:44:59Z"/>
        <d v="2016-07-14T18:57:20Z"/>
        <d v="2016-07-15T06:09:20Z"/>
        <d v="2016-07-15T21:35:04Z"/>
        <d v="2016-07-11T04:16:00Z"/>
        <d v="2016-07-11T13:41:00Z"/>
        <d v="2016-07-12T07:01:00Z"/>
        <d v="2016-07-12T11:41:00Z"/>
        <d v="2016-07-12T17:32:00Z"/>
        <d v="2016-07-12T21:04:00Z"/>
        <d v="2016-07-13T06:01:37Z"/>
        <d v="2016-07-13T20:21:38Z"/>
        <d v="2016-07-14T14:37:56Z"/>
        <d v="2016-07-14T19:28:03Z"/>
        <d v="2016-07-11T07:26:00Z"/>
        <d v="2016-07-12T16:18:00Z"/>
        <d v="2016-07-13T05:12:03Z"/>
        <d v="2016-07-13T06:28:49Z"/>
        <d v="2016-07-13T18:34:17Z"/>
        <d v="2016-07-14T15:19:28Z"/>
        <d v="2016-07-15T22:32:05Z"/>
        <d v="2016-07-11T08:48:00Z"/>
        <d v="2016-07-12T05:58:00Z"/>
        <d v="2016-07-12T07:41:00Z"/>
        <d v="2016-07-12T18:07:00Z"/>
        <d v="2016-07-13T10:27:35Z"/>
        <d v="2016-07-13T17:53:27Z"/>
        <d v="2016-07-14T15:36:30Z"/>
        <d v="2016-07-11T10:01:00Z"/>
        <d v="2016-07-12T08:10:00Z"/>
        <d v="2016-07-12T23:30:00Z"/>
        <d v="2016-07-13T06:40:10Z"/>
        <d v="2016-07-13T20:47:32Z"/>
        <d v="2016-07-14T01:03:12Z"/>
        <d v="2016-07-14T02:31:51Z"/>
        <d v="2016-07-14T05:51:41Z"/>
        <d v="2016-07-14T17:53:38Z"/>
        <d v="2016-07-15T18:57:26Z"/>
        <d v="2016-07-12T10:42:00Z"/>
        <d v="2016-07-13T09:38:10Z"/>
        <d v="2016-07-13T16:40:59Z"/>
        <d v="2016-07-14T11:13:24Z"/>
        <d v="2016-07-15T02:03:39Z"/>
        <d v="2016-07-15T06:56:12Z"/>
        <d v="2016-07-11T11:49:00Z"/>
        <d v="2016-07-11T23:22:00Z"/>
        <d v="2016-07-12T06:27:00Z"/>
        <d v="2016-07-12T12:19:00Z"/>
        <d v="2016-07-12T21:52:00Z"/>
        <d v="2016-07-14T13:04:08Z"/>
        <d v="2016-07-15T18:10:03Z"/>
        <d v="2016-07-11T12:55:00Z"/>
        <d v="2016-07-11T18:34:00Z"/>
        <d v="2016-07-12T04:45:00Z"/>
        <d v="2016-07-13T07:53:05Z"/>
        <d v="2016-07-13T16:26:57Z"/>
        <d v="2016-07-14T09:05:45Z"/>
        <d v="2016-07-14T15:57:43Z"/>
        <d v="2016-07-14T16:55:26Z"/>
        <d v="2016-07-14T18:02:53Z"/>
        <d v="2016-07-11T05:41:00Z"/>
        <d v="2016-07-11T09:46:00Z"/>
        <d v="2016-07-11T17:38:00Z"/>
        <d v="2016-07-11T19:58:00Z"/>
        <d v="2016-07-12T15:36:00Z"/>
        <d v="2016-07-14T00:08:01Z"/>
        <d v="2016-07-14T04:22:12Z"/>
        <d v="2016-07-14T11:00:10Z"/>
        <d v="2016-07-11T12:04:00Z"/>
        <d v="2016-07-11T22:18:00Z"/>
        <d v="2016-07-12T20:45:00Z"/>
        <d v="2016-07-13T19:28:50Z"/>
        <d v="2016-07-13T22:51:04Z"/>
        <d v="2016-07-14T12:10:38Z"/>
        <d v="2016-07-14T19:26:16Z"/>
        <d v="2016-07-15T10:29:33Z"/>
        <d v="2016-07-11T23:41:00Z"/>
        <d v="2016-07-12T17:44:00Z"/>
        <d v="2016-07-12T19:06:00Z"/>
        <d v="2016-07-13T02:00:13Z"/>
        <d v="2016-07-13T12:36:47Z"/>
        <d v="2016-07-14T08:44:24Z"/>
        <d v="2016-07-14T16:40:36Z"/>
        <d v="2016-07-14T19:09:05Z"/>
        <d v="2016-07-15T05:51:48Z"/>
        <d v="2016-07-15T13:54:34Z"/>
        <d v="2016-07-11T08:42:00Z"/>
        <d v="2016-07-11T11:57:00Z"/>
        <d v="2016-07-12T09:40:00Z"/>
        <d v="2016-07-13T23:40:41Z"/>
        <d v="2016-07-15T08:35:12Z"/>
        <d v="2016-07-15T20:56:32Z"/>
        <d v="2016-07-11T05:13:00Z"/>
        <d v="2016-07-11T10:44:00Z"/>
        <d v="2016-07-12T20:23:00Z"/>
        <d v="2016-07-13T05:13:32Z"/>
        <d v="2016-07-13T17:42:32Z"/>
        <d v="2016-07-14T19:01:56Z"/>
        <d v="2016-07-15T03:56:41Z"/>
        <d v="2016-07-15T10:18:26Z"/>
        <d v="2016-07-15T17:24:24Z"/>
        <d v="2016-07-15T22:15:00Z"/>
        <d v="2016-07-11T11:14:00Z"/>
        <d v="2016-07-12T08:32:00Z"/>
        <d v="2016-07-12T14:17:00Z"/>
        <d v="2016-07-13T09:07:00Z"/>
        <d v="2016-07-13T22:56:09Z"/>
        <d v="2016-07-14T07:49:20Z"/>
        <d v="2016-07-14T21:07:44Z"/>
        <d v="2016-07-15T00:47:57Z"/>
        <d v="2016-07-15T05:10:13Z"/>
        <d v="2016-07-11T15:41:00Z"/>
        <d v="2016-07-12T07:13:00Z"/>
        <d v="2016-07-12T10:43:00Z"/>
        <d v="2016-07-12T21:59:00Z"/>
        <d v="2016-07-13T16:59:22Z"/>
        <d v="2016-07-13T18:14:34Z"/>
        <d v="2016-07-14T20:56:47Z"/>
        <d v="2016-07-15T05:48:54Z"/>
        <d v="2016-07-15T10:42:35Z"/>
        <d v="2016-07-15T14:34:33Z"/>
        <d v="2016-07-15T23:48:42Z"/>
        <d v="2016-07-11T06:29:00Z"/>
        <d v="2016-07-11T16:40:00Z"/>
        <d v="2016-07-12T07:53:00Z"/>
        <d v="2016-07-13T22:21:56Z"/>
        <d v="2016-07-14T21:33:30Z"/>
        <d v="2016-07-15T09:55:05Z"/>
        <d v="2016-07-15T18:09:45Z"/>
        <d v="2016-07-11T12:16:00Z"/>
        <d v="2016-07-11T13:22:00Z"/>
        <d v="2016-07-11T16:46:00Z"/>
        <d v="2016-07-11T23:10:00Z"/>
        <d v="2016-07-12T08:14:00Z"/>
        <d v="2016-07-13T08:21:01Z"/>
        <d v="2016-07-14T13:21:10Z"/>
        <d v="2016-07-14T18:28:34Z"/>
        <d v="2016-07-15T06:04:49Z"/>
        <d v="2016-07-15T23:47:37Z"/>
        <d v="2016-07-12T05:15:00Z"/>
        <d v="2016-07-12T13:35:00Z"/>
        <d v="2016-07-13T05:45:19Z"/>
        <d v="2016-07-13T14:17:32Z"/>
        <d v="2016-07-14T03:56:10Z"/>
        <d v="2016-07-14T07:38:59Z"/>
        <d v="2016-07-14T16:41:13Z"/>
        <d v="2016-07-11T04:53:00Z"/>
        <d v="2016-07-11T08:31:00Z"/>
        <d v="2016-07-11T10:56:00Z"/>
        <d v="2016-07-11T15:25:00Z"/>
        <d v="2016-07-11T18:38:00Z"/>
        <d v="2016-07-12T10:14:00Z"/>
        <d v="2016-07-12T14:40:00Z"/>
        <d v="2016-07-12T23:26:00Z"/>
        <d v="2016-07-13T06:28:33Z"/>
        <d v="2016-07-13T20:22:06Z"/>
        <d v="2016-07-14T08:53:30Z"/>
        <d v="2016-07-14T13:41:23Z"/>
        <d v="2016-07-14T18:05:13Z"/>
        <d v="2016-07-15T18:13:31Z"/>
        <d v="2016-07-11T14:11:00Z"/>
        <d v="2016-07-11T18:37:00Z"/>
        <d v="2016-07-12T18:26:00Z"/>
        <d v="2016-07-13T05:59:51Z"/>
        <d v="2016-07-13T18:31:39Z"/>
        <d v="2016-07-14T06:10:32Z"/>
        <d v="2016-07-14T08:03:25Z"/>
        <d v="2016-07-14T19:16:39Z"/>
        <d v="2016-07-15T05:37:40Z"/>
        <d v="2016-07-15T07:52:17Z"/>
        <d v="2016-07-15T11:35:04Z"/>
        <d v="2016-07-15T15:54:52Z"/>
        <d v="2016-07-15T20:58:09Z"/>
        <d v="2016-07-11T11:54:00Z"/>
        <d v="2016-07-11T17:11:00Z"/>
        <d v="2016-07-12T06:31:00Z"/>
        <d v="2016-07-12T11:06:00Z"/>
        <d v="2016-07-12T21:11:00Z"/>
        <d v="2016-07-13T07:55:48Z"/>
        <d v="2016-07-14T19:12:52Z"/>
        <d v="2016-07-11T05:38:00Z"/>
        <d v="2016-07-12T14:16:00Z"/>
        <d v="2016-07-12T21:16:00Z"/>
        <d v="2016-07-13T06:28:03Z"/>
        <d v="2016-07-14T15:40:51Z"/>
        <d v="2016-07-14T22:55:36Z"/>
        <d v="2016-07-15T01:36:28Z"/>
        <d v="2016-07-15T22:47:43Z"/>
        <d v="2016-07-11T04:47:00Z"/>
        <d v="2016-07-11T08:06:00Z"/>
        <d v="2016-07-11T17:07:00Z"/>
        <d v="2016-07-11T22:31:00Z"/>
        <d v="2016-07-12T09:11:00Z"/>
        <d v="2016-07-12T20:05:00Z"/>
        <d v="2016-07-13T02:18:57Z"/>
        <d v="2016-07-13T10:06:24Z"/>
        <d v="2016-07-13T15:48:23Z"/>
        <d v="2016-07-14T05:29:47Z"/>
        <d v="2016-07-15T06:25:50Z"/>
        <d v="2016-07-15T10:09:21Z"/>
        <d v="2016-07-15T22:47:07Z"/>
        <d v="2016-07-11T07:02:00Z"/>
        <d v="2016-07-11T16:06:00Z"/>
        <d v="2016-07-12T04:53:00Z"/>
        <d v="2016-07-13T03:58:16Z"/>
        <d v="2016-07-13T05:39:10Z"/>
        <d v="2016-07-13T07:36:39Z"/>
        <d v="2016-07-13T22:20:43Z"/>
        <d v="2016-07-14T09:00:12Z"/>
        <d v="2016-07-14T18:52:05Z"/>
        <d v="2016-07-14T20:11:45Z"/>
        <d v="2016-07-15T09:39:16Z"/>
        <d v="2016-07-15T19:29:36Z"/>
        <d v="2016-07-11T09:14:00Z"/>
        <d v="2016-07-11T17:32:00Z"/>
        <d v="2016-07-12T09:06:00Z"/>
        <d v="2016-07-12T13:36:00Z"/>
        <d v="2016-07-12T17:31:00Z"/>
        <d v="2016-07-12T22:08:00Z"/>
        <d v="2016-07-13T06:54:38Z"/>
        <d v="2016-07-13T10:47:18Z"/>
        <d v="2016-07-13T17:54:21Z"/>
        <d v="2016-07-15T05:33:21Z"/>
        <d v="2016-07-15T22:11:53Z"/>
        <d v="2016-07-11T04:54:00Z"/>
        <d v="2016-07-11T06:09:00Z"/>
        <d v="2016-07-11T17:49:00Z"/>
        <d v="2016-07-12T06:30:00Z"/>
        <d v="2016-07-12T16:33:00Z"/>
        <d v="2016-07-13T04:58:26Z"/>
        <d v="2016-07-13T07:57:03Z"/>
        <d v="2016-07-13T19:05:17Z"/>
        <d v="2016-07-14T05:06:45Z"/>
        <d v="2016-07-14T17:59:40Z"/>
        <d v="2016-07-14T19:20:13Z"/>
        <d v="2016-07-15T19:44:20Z"/>
        <d v="2016-07-11T08:11:00Z"/>
        <d v="2016-07-11T18:09:00Z"/>
        <d v="2016-07-11T20:15:00Z"/>
        <d v="2016-07-12T04:43:00Z"/>
        <d v="2016-07-12T12:50:00Z"/>
        <d v="2016-07-12T19:59:00Z"/>
        <d v="2016-07-13T12:25:28Z"/>
        <d v="2016-07-13T17:53:17Z"/>
        <d v="2016-07-14T07:04:32Z"/>
        <d v="2016-07-15T09:11:35Z"/>
        <d v="2016-07-15T20:44:17Z"/>
        <d v="2016-07-11T02:20:00Z"/>
        <d v="2016-07-11T12:24:00Z"/>
        <d v="2016-07-11T19:07:00Z"/>
        <d v="2016-07-11T22:28:00Z"/>
        <d v="2016-07-12T07:35:00Z"/>
        <d v="2016-07-12T10:45:00Z"/>
        <d v="2016-07-13T10:21:02Z"/>
        <d v="2016-07-13T18:02:46Z"/>
        <d v="2016-07-13T23:13:11Z"/>
        <d v="2016-07-14T06:46:29Z"/>
        <d v="2016-07-14T12:48:45Z"/>
        <d v="2016-07-14T17:17:14Z"/>
        <d v="2016-07-15T11:06:13Z"/>
        <d v="2016-07-11T12:39:00Z"/>
        <d v="2016-07-11T15:18:00Z"/>
        <d v="2016-07-11T21:33:00Z"/>
        <d v="2016-07-12T04:46:00Z"/>
        <d v="2016-07-12T14:39:00Z"/>
        <d v="2016-07-12T20:07:00Z"/>
        <d v="2016-07-13T22:33:08Z"/>
        <d v="2016-07-14T07:37:30Z"/>
        <d v="2016-07-14T19:33:31Z"/>
        <d v="2016-07-15T08:53:59Z"/>
        <d v="2016-07-15T23:19:28Z"/>
        <d v="2016-07-11T00:24:00Z"/>
        <d v="2016-07-11T04:34:00Z"/>
        <d v="2016-07-11T06:44:00Z"/>
        <d v="2016-07-11T14:07:00Z"/>
        <d v="2016-07-11T16:21:00Z"/>
        <d v="2016-07-11T22:04:00Z"/>
        <d v="2016-07-12T15:00:00Z"/>
        <d v="2016-07-12T19:51:00Z"/>
        <d v="2016-07-13T17:08:17Z"/>
        <d v="2016-07-13T21:16:30Z"/>
        <d v="2016-07-14T00:03:40Z"/>
        <d v="2016-07-15T20:09:35Z"/>
        <d v="2016-07-11T07:50:00Z"/>
        <d v="2016-07-11T21:38:00Z"/>
        <d v="2016-07-12T07:21:00Z"/>
        <d v="2016-07-12T11:58:00Z"/>
        <d v="2016-07-12T19:32:00Z"/>
        <d v="2016-07-13T07:17:33Z"/>
        <d v="2016-07-13T11:55:29Z"/>
        <d v="2016-07-13T14:34:59Z"/>
        <d v="2016-07-14T05:27:03Z"/>
        <d v="2016-07-15T07:42:06Z"/>
        <d v="2016-07-15T14:37:20Z"/>
        <d v="2016-07-15T23:45:24Z"/>
        <d v="2016-07-11T06:58:00Z"/>
        <d v="2016-07-11T10:58:00Z"/>
        <d v="2016-07-12T07:26:00Z"/>
        <d v="2016-07-12T20:01:00Z"/>
        <d v="2016-07-13T14:03:18Z"/>
        <d v="2016-07-14T05:40:49Z"/>
        <d v="2016-07-15T20:26:16Z"/>
        <d v="2016-07-11T09:47:00Z"/>
        <d v="2016-07-11T22:13:00Z"/>
        <d v="2016-07-13T14:51:48Z"/>
        <d v="2016-07-13T17:43:14Z"/>
        <d v="2016-07-14T18:52:48Z"/>
        <d v="2016-07-14T23:42:02Z"/>
        <d v="2016-07-15T08:16:35Z"/>
        <d v="2016-07-13T07:31:14Z"/>
        <d v="2016-07-13T20:03:07Z"/>
        <d v="2016-07-14T03:15:23Z"/>
        <d v="2016-07-14T20:42:24Z"/>
        <d v="2016-07-15T01:12:58Z"/>
        <d v="2016-07-15T05:18:23Z"/>
        <d v="2016-07-15T19:24:23Z"/>
        <d v="2016-07-11T11:43:00Z"/>
        <d v="2016-07-13T06:16:45Z"/>
        <d v="2016-07-13T16:07:30Z"/>
        <d v="2016-07-13T16:57:25Z"/>
        <d v="2016-07-13T20:58:30Z"/>
        <d v="2016-07-13T22:39:30Z"/>
        <d v="2016-07-14T06:54:47Z"/>
        <d v="2016-07-14T13:36:45Z"/>
        <d v="2016-07-15T08:31:42Z"/>
        <d v="2016-07-15T17:26:43Z"/>
        <d v="2016-07-15T23:25:29Z"/>
        <d v="2016-07-11T03:34:00Z"/>
        <d v="2016-07-11T09:07:00Z"/>
        <d v="2016-07-12T01:01:00Z"/>
        <d v="2016-07-12T07:15:00Z"/>
        <d v="2016-07-12T17:25:00Z"/>
        <d v="2016-07-13T08:45:44Z"/>
        <d v="2016-07-13T13:45:51Z"/>
        <d v="2016-07-14T11:21:39Z"/>
        <d v="2016-07-15T10:09:09Z"/>
        <d v="2016-07-15T15:43:08Z"/>
        <d v="2016-07-15T18:35:07Z"/>
        <d v="2016-07-15T21:44:29Z"/>
        <d v="2016-07-11T06:35:00Z"/>
        <d v="2016-07-11T19:00:00Z"/>
        <d v="2016-07-12T07:38:00Z"/>
        <d v="2016-07-14T10:59:15Z"/>
        <d v="2016-07-14T17:33:47Z"/>
        <d v="2016-07-15T01:06:24Z"/>
        <d v="2016-07-15T11:04:56Z"/>
        <d v="2016-07-15T15:15:03Z"/>
        <d v="2016-07-15T20:40:24Z"/>
        <d v="2016-07-11T15:47:00Z"/>
        <d v="2016-07-12T05:31:00Z"/>
        <d v="2016-07-13T05:20:59Z"/>
        <d v="2016-07-14T07:52:04Z"/>
        <d v="2016-07-14T13:09:42Z"/>
        <d v="2016-07-14T20:29:51Z"/>
        <d v="2016-07-15T15:17:12Z"/>
        <d v="2016-07-15T20:01:09Z"/>
        <d v="2016-07-11T06:38:00Z"/>
        <d v="2016-07-11T18:10:00Z"/>
        <d v="2016-07-12T08:33:00Z"/>
        <d v="2016-07-12T22:09:00Z"/>
        <d v="2016-07-13T23:21:15Z"/>
        <d v="2016-07-14T21:42:42Z"/>
        <d v="2016-07-15T20:12:18Z"/>
        <d v="2016-07-12T17:56:00Z"/>
        <d v="2016-07-13T19:08:59Z"/>
        <d v="2016-07-13T23:36:34Z"/>
        <d v="2016-07-14T07:19:07Z"/>
        <d v="2016-07-14T15:26:32Z"/>
        <d v="2016-07-15T12:07:54Z"/>
        <d v="2016-07-11T21:04:00Z"/>
        <d v="2016-07-12T04:41:00Z"/>
        <d v="2016-07-12T16:07:00Z"/>
        <d v="2016-07-13T02:43:10Z"/>
        <d v="2016-07-13T18:56:23Z"/>
        <d v="2016-07-14T13:43:28Z"/>
        <d v="2016-07-14T15:03:23Z"/>
        <d v="2016-07-12T16:53:00Z"/>
        <d v="2016-07-12T20:31:00Z"/>
        <d v="2016-07-12T22:05:00Z"/>
        <d v="2016-07-13T09:12:04Z"/>
        <d v="2016-07-13T10:59:12Z"/>
        <d v="2016-07-13T12:09:28Z"/>
        <d v="2016-07-15T05:58:43Z"/>
        <d v="2016-07-15T17:47:05Z"/>
        <d v="2016-07-11T18:18:00Z"/>
        <d v="2016-07-12T09:43:00Z"/>
        <d v="2016-07-13T08:34:53Z"/>
        <d v="2016-07-13T14:46:13Z"/>
        <d v="2016-07-14T13:50:32Z"/>
        <d v="2016-07-11T13:49:00Z"/>
        <d v="2016-07-11T23:44:00Z"/>
        <d v="2016-07-12T09:09:00Z"/>
        <d v="2016-07-12T20:16:00Z"/>
        <d v="2016-07-13T09:48:28Z"/>
        <d v="2016-07-13T12:45:18Z"/>
        <d v="2016-07-13T18:38:49Z"/>
        <d v="2016-07-11T03:30:00Z"/>
        <d v="2016-07-13T18:14:56Z"/>
        <d v="2016-07-14T06:10:44Z"/>
        <d v="2016-07-14T17:49:44Z"/>
        <d v="2016-07-15T05:24:22Z"/>
        <d v="2016-07-15T06:32:35Z"/>
        <d v="2016-07-15T22:10:21Z"/>
        <d v="2016-07-11T05:35:00Z"/>
        <d v="2016-07-11T07:53:00Z"/>
        <d v="2016-07-11T18:54:00Z"/>
        <d v="2016-07-11T23:35:00Z"/>
        <d v="2016-07-12T05:50:00Z"/>
        <d v="2016-07-12T17:15:00Z"/>
        <d v="2016-07-13T07:28:45Z"/>
        <d v="2016-07-13T22:14:24Z"/>
        <d v="2016-07-14T06:18:59Z"/>
        <d v="2016-07-14T12:35:29Z"/>
        <d v="2016-07-15T17:23:01Z"/>
        <d v="2016-07-11T10:37:00Z"/>
        <d v="2016-07-12T06:58:00Z"/>
        <d v="2016-07-13T17:37:40Z"/>
        <d v="2016-07-13T20:37:56Z"/>
        <d v="2016-07-14T11:50:27Z"/>
        <d v="2016-07-14T15:06:01Z"/>
        <d v="2016-07-14T23:07:32Z"/>
        <d v="2016-07-15T10:42:09Z"/>
        <d v="2016-07-15T21:19:03Z"/>
        <d v="2016-07-12T12:17:00Z"/>
        <d v="2016-07-13T07:15:27Z"/>
        <d v="2016-07-13T09:33:26Z"/>
        <d v="2016-07-13T17:38:17Z"/>
        <d v="2016-07-13T22:47:55Z"/>
        <d v="2016-07-14T07:27:05Z"/>
        <d v="2016-07-14T16:52:26Z"/>
        <d v="2016-07-15T10:45:56Z"/>
        <d v="2016-07-15T15:17:13Z"/>
        <d v="2016-07-15T18:00:40Z"/>
        <d v="2016-07-11T05:08:00Z"/>
        <d v="2016-07-11T23:11:00Z"/>
        <d v="2016-07-13T09:52:49Z"/>
        <d v="2016-07-14T18:14:26Z"/>
        <d v="2016-07-14T23:42:23Z"/>
        <d v="2016-07-15T21:49:41Z"/>
        <d v="2016-07-11T03:22:00Z"/>
        <d v="2016-07-11T05:01:00Z"/>
        <d v="2016-07-11T06:08:00Z"/>
        <d v="2016-07-11T09:40:00Z"/>
        <d v="2016-07-12T06:10:00Z"/>
        <d v="2016-07-12T17:59:00Z"/>
        <d v="2016-07-14T00:13:43Z"/>
        <d v="2016-07-14T07:36:53Z"/>
        <d v="2016-07-15T08:54:03Z"/>
        <d v="2016-07-11T12:28:00Z"/>
        <d v="2016-07-12T19:15:00Z"/>
        <d v="2016-07-12T21:35:00Z"/>
        <d v="2016-07-13T12:29:20Z"/>
        <d v="2016-07-13T22:08:13Z"/>
        <d v="2016-07-14T09:16:24Z"/>
        <d v="2016-07-15T21:42:04Z"/>
        <d v="2016-07-11T08:09:00Z"/>
        <d v="2016-07-11T23:23:00Z"/>
        <d v="2016-07-12T09:33:00Z"/>
        <d v="2016-07-12T18:33:00Z"/>
        <d v="2016-07-13T09:52:22Z"/>
        <d v="2016-07-14T22:09:50Z"/>
        <d v="2016-07-15T05:17:46Z"/>
        <d v="2016-07-15T09:04:30Z"/>
        <d v="2016-07-15T19:49:10Z"/>
        <d v="2016-07-15T22:58:01Z"/>
        <d v="2016-07-12T15:02:00Z"/>
        <d v="2016-07-13T20:03:45Z"/>
        <d v="2016-07-14T09:01:49Z"/>
        <d v="2016-07-14T20:29:19Z"/>
        <d v="2016-07-15T20:49:25Z"/>
        <d v="2016-07-12T09:45:00Z"/>
        <d v="2016-07-13T05:31:53Z"/>
        <d v="2016-07-14T23:50:28Z"/>
        <d v="2016-07-15T10:04:16Z"/>
        <d v="2016-07-11T05:36:00Z"/>
        <d v="2016-07-11T20:18:00Z"/>
        <d v="2016-07-12T08:44:00Z"/>
        <d v="2016-07-12T19:55:00Z"/>
        <d v="2016-07-13T01:22:32Z"/>
        <d v="2016-07-13T07:07:32Z"/>
        <d v="2016-07-13T23:31:47Z"/>
        <d v="2016-07-14T13:52:36Z"/>
        <d v="2016-07-14T20:21:02Z"/>
        <d v="2016-07-15T05:46:37Z"/>
        <d v="2016-07-15T07:50:35Z"/>
        <d v="2016-07-15T10:16:24Z"/>
        <d v="2016-07-15T18:25:54Z"/>
        <d v="2016-07-15T22:45:03Z"/>
        <d v="2016-07-11T20:37:00Z"/>
        <d v="2016-07-13T10:39:32Z"/>
        <d v="2016-07-14T02:10:33Z"/>
        <d v="2016-07-14T05:18:01Z"/>
        <d v="2016-07-14T16:16:30Z"/>
        <d v="2016-07-14T18:02:51Z"/>
        <d v="2016-07-11T02:36:00Z"/>
        <d v="2016-07-11T17:30:00Z"/>
        <d v="2016-07-11T19:59:00Z"/>
        <d v="2016-07-12T20:53:00Z"/>
        <d v="2016-07-13T08:58:47Z"/>
        <d v="2016-07-13T11:37:32Z"/>
        <d v="2016-07-13T18:40:02Z"/>
        <d v="2016-07-14T04:51:03Z"/>
        <d v="2016-07-14T07:29:29Z"/>
        <d v="2016-07-14T11:44:26Z"/>
        <d v="2016-07-14T15:19:35Z"/>
        <d v="2016-07-14T17:39:27Z"/>
        <d v="2016-07-15T17:25:23Z"/>
        <d v="2016-07-11T23:25:00Z"/>
        <d v="2016-07-12T04:54:00Z"/>
        <d v="2016-07-14T07:17:09Z"/>
        <d v="2016-07-15T00:06:56Z"/>
        <d v="2016-07-15T17:30:09Z"/>
        <d v="2016-07-11T02:47:00Z"/>
        <d v="2016-07-11T18:39:00Z"/>
        <d v="2016-07-11T21:13:00Z"/>
        <d v="2016-07-12T11:38:00Z"/>
        <d v="2016-07-13T10:28:01Z"/>
        <d v="2016-07-13T17:32:20Z"/>
        <d v="2016-07-13T22:00:50Z"/>
        <d v="2016-07-14T10:13:30Z"/>
        <d v="2016-07-14T11:02:21Z"/>
        <d v="2016-07-14T19:29:16Z"/>
        <d v="2016-07-14T23:21:57Z"/>
        <d v="2016-07-15T16:53:17Z"/>
        <d v="2016-07-11T09:24:00Z"/>
        <d v="2016-07-11T18:17:00Z"/>
        <d v="2016-07-12T01:30:00Z"/>
        <d v="2016-07-12T11:16:00Z"/>
        <d v="2016-07-13T10:03:58Z"/>
        <d v="2016-07-13T16:52:29Z"/>
        <d v="2016-07-14T09:04:43Z"/>
        <d v="2016-07-14T22:10:37Z"/>
        <d v="2016-07-15T05:53:20Z"/>
        <d v="2016-07-15T15:06:46Z"/>
        <d v="2016-07-15T19:54:08Z"/>
        <d v="2016-07-11T14:17:00Z"/>
        <d v="2016-07-11T20:32:00Z"/>
        <d v="2016-07-13T06:48:57Z"/>
        <d v="2016-07-13T15:55:17Z"/>
        <d v="2016-07-14T00:56:22Z"/>
        <d v="2016-07-15T00:58:19Z"/>
        <d v="2016-07-15T07:50:12Z"/>
        <d v="2016-07-11T05:48:00Z"/>
        <d v="2016-07-12T07:54:00Z"/>
        <d v="2016-07-12T18:47:00Z"/>
        <d v="2016-07-13T18:59:56Z"/>
        <d v="2016-07-13T23:18:14Z"/>
        <d v="2016-07-14T08:21:49Z"/>
        <d v="2016-07-14T20:03:46Z"/>
        <d v="2016-07-15T05:32:12Z"/>
        <d v="2016-07-15T08:52:58Z"/>
        <d v="2016-07-15T13:48:53Z"/>
        <d v="2016-07-15T22:47:31Z"/>
        <d v="2016-07-11T05:45:00Z"/>
        <d v="2016-07-11T23:06:00Z"/>
        <d v="2016-07-13T06:27:11Z"/>
        <d v="2016-07-13T22:58:36Z"/>
        <d v="2016-07-14T11:47:32Z"/>
        <d v="2016-07-14T19:41:45Z"/>
        <d v="2016-07-15T21:11:01Z"/>
        <d v="2016-07-15T23:57:32Z"/>
        <d v="2016-07-12T05:22:00Z"/>
        <d v="2016-07-12T16:44:00Z"/>
        <d v="2016-07-12T20:04:00Z"/>
        <d v="2016-07-13T06:00:19Z"/>
        <d v="2016-07-13T11:06:44Z"/>
        <d v="2016-07-13T21:38:18Z"/>
        <d v="2016-07-14T06:49:43Z"/>
        <d v="2016-07-14T22:11:41Z"/>
        <d v="2016-07-15T09:56:43Z"/>
        <d v="2016-07-15T13:27:33Z"/>
        <d v="2016-07-11T12:58:00Z"/>
        <d v="2016-07-11T15:52:00Z"/>
        <d v="2016-07-12T11:33:00Z"/>
        <d v="2016-07-13T07:08:16Z"/>
        <d v="2016-07-13T10:27:47Z"/>
        <d v="2016-07-14T07:25:12Z"/>
        <d v="2016-07-14T13:48:48Z"/>
        <d v="2016-07-14T19:07:33Z"/>
        <d v="2016-07-15T10:08:04Z"/>
        <d v="2016-07-12T09:29:00Z"/>
        <d v="2016-07-12T13:39:00Z"/>
        <d v="2016-07-13T09:57:52Z"/>
        <d v="2016-07-13T14:19:59Z"/>
        <d v="2016-07-13T21:55:01Z"/>
        <d v="2016-07-14T17:26:14Z"/>
        <d v="2016-07-15T10:23:18Z"/>
        <d v="2016-07-15T17:58:28Z"/>
        <d v="2016-07-13T22:42:16Z"/>
        <d v="2016-07-14T01:56:01Z"/>
        <d v="2016-07-14T13:01:57Z"/>
        <d v="2016-07-15T16:23:13Z"/>
        <d v="2016-07-11T06:45:00Z"/>
        <d v="2016-07-11T19:55:00Z"/>
        <d v="2016-07-11T22:54:00Z"/>
        <d v="2016-07-12T08:42:00Z"/>
        <d v="2016-07-12T15:44:00Z"/>
        <d v="2016-07-13T07:38:41Z"/>
        <d v="2016-07-13T11:32:01Z"/>
        <d v="2016-07-13T12:58:15Z"/>
        <d v="2016-07-13T20:59:37Z"/>
        <d v="2016-07-14T06:03:18Z"/>
        <d v="2016-07-14T19:52:09Z"/>
        <d v="2016-07-15T09:48:14Z"/>
        <d v="2016-07-15T18:16:59Z"/>
        <d v="2016-07-15T20:29:43Z"/>
        <d v="2016-07-11T01:08:00Z"/>
        <d v="2016-07-12T10:36:00Z"/>
        <d v="2016-07-13T08:03:34Z"/>
        <d v="2016-07-13T16:27:50Z"/>
        <d v="2016-07-13T19:13:47Z"/>
        <d v="2016-07-14T03:06:29Z"/>
        <d v="2016-07-14T07:13:49Z"/>
        <d v="2016-07-14T15:18:12Z"/>
        <d v="2016-07-15T10:12:18Z"/>
        <d v="2016-07-12T02:48:00Z"/>
        <d v="2016-07-12T06:40:00Z"/>
        <d v="2016-07-13T01:12:24Z"/>
        <d v="2016-07-13T07:13:58Z"/>
        <d v="2016-07-14T17:34:19Z"/>
        <d v="2016-07-15T22:20:23Z"/>
        <d v="2016-07-11T11:36:00Z"/>
        <d v="2016-07-11T15:00:00Z"/>
        <d v="2016-07-12T15:06:00Z"/>
        <d v="2016-07-13T01:04:42Z"/>
        <d v="2016-07-13T15:59:29Z"/>
        <d v="2016-07-13T19:07:39Z"/>
        <d v="2016-07-14T18:36:12Z"/>
        <d v="2016-07-15T04:45:24Z"/>
        <d v="2016-07-15T14:29:35Z"/>
        <d v="2016-07-15T23:12:34Z"/>
        <d v="2016-07-11T19:20:00Z"/>
        <d v="2016-07-12T04:52:00Z"/>
        <d v="2016-07-13T07:43:26Z"/>
        <d v="2016-07-14T13:13:14Z"/>
        <d v="2016-07-14T17:23:33Z"/>
        <d v="2016-07-15T10:06:21Z"/>
        <d v="2016-07-11T09:55:00Z"/>
        <d v="2016-07-12T00:07:00Z"/>
        <d v="2016-07-12T20:55:00Z"/>
        <d v="2016-07-13T06:47:53Z"/>
        <d v="2016-07-13T18:55:13Z"/>
        <d v="2016-07-14T23:43:29Z"/>
        <d v="2016-07-11T06:54:00Z"/>
        <d v="2016-07-11T19:14:00Z"/>
        <d v="2016-07-12T19:35:00Z"/>
        <d v="2016-07-13T18:29:45Z"/>
        <d v="2016-07-14T11:45:40Z"/>
        <d v="2016-07-14T21:00:35Z"/>
        <d v="2016-07-15T05:39:41Z"/>
        <d v="2016-07-11T12:19:00Z"/>
        <d v="2016-07-11T16:29:00Z"/>
        <d v="2016-07-11T19:08:00Z"/>
        <d v="2016-07-12T12:51:00Z"/>
        <d v="2016-07-12T18:23:00Z"/>
        <d v="2016-07-12T21:15:00Z"/>
        <d v="2016-07-13T07:33:22Z"/>
        <d v="2016-07-13T15:42:30Z"/>
        <d v="2016-07-13T23:18:16Z"/>
        <d v="2016-07-14T08:38:20Z"/>
        <d v="2016-07-14T18:46:09Z"/>
        <d v="2016-07-15T09:16:06Z"/>
        <d v="2016-07-15T19:40:26Z"/>
        <d v="2016-07-15T20:52:48Z"/>
        <d v="2016-07-11T09:53:00Z"/>
        <d v="2016-07-12T08:46:00Z"/>
        <d v="2016-07-12T17:21:00Z"/>
        <d v="2016-07-13T10:11:48Z"/>
        <d v="2016-07-13T14:25:14Z"/>
        <d v="2016-07-13T19:11:20Z"/>
        <d v="2016-07-13T22:37:48Z"/>
        <d v="2016-07-14T09:23:37Z"/>
        <d v="2016-07-14T13:50:06Z"/>
        <d v="2016-07-14T20:37:58Z"/>
        <d v="2016-07-15T18:46:41Z"/>
        <d v="2016-07-15T21:00:35Z"/>
        <d v="2016-07-11T12:27:00Z"/>
        <d v="2016-07-11T21:24:00Z"/>
        <d v="2016-07-12T09:48:00Z"/>
        <d v="2016-07-13T11:42:51Z"/>
        <d v="2016-07-13T19:13:25Z"/>
        <d v="2016-07-15T12:46:16Z"/>
        <d v="2016-07-15T22:35:23Z"/>
        <d v="2016-07-12T07:05:00Z"/>
        <d v="2016-07-12T20:06:00Z"/>
        <d v="2016-07-13T06:46:54Z"/>
        <d v="2016-07-13T10:38:37Z"/>
        <d v="2016-07-14T05:38:07Z"/>
        <d v="2016-07-14T08:32:04Z"/>
        <d v="2016-07-14T14:13:45Z"/>
        <d v="2016-07-14T19:09:39Z"/>
        <d v="2016-07-15T08:41:47Z"/>
        <d v="2016-07-15T22:25:17Z"/>
        <d v="2016-07-11T07:57:00Z"/>
        <d v="2016-07-12T06:28:00Z"/>
        <d v="2016-07-12T11:43:00Z"/>
        <d v="2016-07-13T16:11:34Z"/>
        <d v="2016-07-14T20:45:13Z"/>
        <d v="2016-07-15T05:44:27Z"/>
        <d v="2016-07-15T07:06:23Z"/>
        <d v="2016-07-15T21:33:21Z"/>
        <d v="2016-07-11T09:27:00Z"/>
        <d v="2016-07-11T22:42:00Z"/>
        <d v="2016-07-12T07:37:00Z"/>
        <d v="2016-07-12T11:26:00Z"/>
        <d v="2016-07-13T14:24:58Z"/>
        <d v="2016-07-14T06:33:45Z"/>
        <d v="2016-07-15T23:37:11Z"/>
        <d v="2016-07-11T07:01:00Z"/>
        <d v="2016-07-12T10:34:00Z"/>
        <d v="2016-07-13T00:44:02Z"/>
        <d v="2016-07-14T08:21:08Z"/>
        <d v="2016-07-14T16:31:49Z"/>
        <d v="2016-07-14T19:52:18Z"/>
        <d v="2016-07-11T08:29:00Z"/>
        <d v="2016-07-11T11:16:00Z"/>
        <d v="2016-07-11T15:14:00Z"/>
        <d v="2016-07-12T07:33:00Z"/>
        <d v="2016-07-13T00:07:58Z"/>
        <d v="2016-07-13T05:49:57Z"/>
        <d v="2016-07-13T20:35:07Z"/>
        <d v="2016-07-15T10:36:47Z"/>
        <d v="2016-07-15T12:46:48Z"/>
        <d v="2016-07-11T14:01:00Z"/>
        <d v="2016-07-12T15:04:00Z"/>
        <d v="2016-07-12T18:30:00Z"/>
        <d v="2016-07-14T08:24:55Z"/>
        <d v="2016-07-14T13:26:42Z"/>
        <d v="2016-07-15T07:47:52Z"/>
        <d v="2016-07-11T05:25:00Z"/>
        <d v="2016-07-11T08:49:00Z"/>
        <d v="2016-07-11T11:47:00Z"/>
        <d v="2016-07-12T09:41:00Z"/>
        <d v="2016-07-12T18:19:00Z"/>
        <d v="2016-07-12T22:18:00Z"/>
        <d v="2016-07-13T23:54:19Z"/>
        <d v="2016-07-14T19:20:34Z"/>
        <d v="2016-07-15T00:03:52Z"/>
        <d v="2016-07-15T07:17:21Z"/>
        <d v="2016-07-15T18:01:55Z"/>
        <d v="2016-07-15T21:05:27Z"/>
        <d v="2016-07-11T10:19:00Z"/>
        <d v="2016-07-11T11:38:00Z"/>
        <d v="2016-07-12T08:54:00Z"/>
        <d v="2016-07-13T13:27:44Z"/>
        <d v="2016-07-14T08:02:46Z"/>
        <d v="2016-07-11T00:00:00Z"/>
        <d v="2016-07-11T12:05:00Z"/>
        <d v="2016-07-12T07:17:00Z"/>
        <d v="2016-07-12T18:22:00Z"/>
        <d v="2016-07-13T17:13:14Z"/>
        <d v="2016-07-14T08:04:44Z"/>
        <d v="2016-07-11T09:12:00Z"/>
        <d v="2016-07-11T13:32:00Z"/>
        <d v="2016-07-12T10:23:00Z"/>
        <d v="2016-07-13T08:43:36Z"/>
        <d v="2016-07-13T22:23:42Z"/>
        <d v="2016-07-14T18:27:08Z"/>
        <d v="2016-07-15T05:28:13Z"/>
        <d v="2016-07-15T18:25:32Z"/>
        <d v="2016-07-15T21:24:21Z"/>
        <d v="2016-07-15T23:57:25Z"/>
        <d v="2016-07-11T22:00:00Z"/>
        <d v="2016-07-12T16:41:00Z"/>
        <d v="2016-07-13T06:09:40Z"/>
        <d v="2016-07-13T16:07:50Z"/>
        <d v="2016-07-15T10:04:07Z"/>
        <d v="2016-07-15T17:12:21Z"/>
        <d v="2016-07-15T22:57:10Z"/>
        <d v="2016-07-12T09:50:00Z"/>
        <d v="2016-07-12T13:55:00Z"/>
        <d v="2016-07-13T04:17:53Z"/>
        <d v="2016-07-13T07:59:39Z"/>
        <d v="2016-07-13T12:02:32Z"/>
        <d v="2016-07-14T02:44:19Z"/>
        <d v="2016-07-14T17:33:22Z"/>
        <d v="2016-07-15T05:43:35Z"/>
        <d v="2016-07-15T19:21:28Z"/>
        <d v="2016-07-12T13:01:00Z"/>
        <d v="2016-07-13T17:23:24Z"/>
        <d v="2016-07-13T23:20:17Z"/>
        <d v="2016-07-14T09:29:03Z"/>
        <d v="2016-07-15T05:15:31Z"/>
        <d v="2016-07-15T09:22:44Z"/>
        <d v="2016-07-11T03:57:00Z"/>
        <d v="2016-07-11T06:56:00Z"/>
        <d v="2016-07-12T06:55:00Z"/>
        <d v="2016-07-12T19:13:00Z"/>
        <d v="2016-07-13T05:14:11Z"/>
        <d v="2016-07-13T15:28:43Z"/>
        <d v="2016-07-14T04:51:04Z"/>
        <d v="2016-07-14T11:29:06Z"/>
        <d v="2016-07-14T14:04:28Z"/>
        <d v="2016-07-14T22:08:44Z"/>
        <d v="2016-07-15T21:52:30Z"/>
        <d v="2016-07-11T09:09:00Z"/>
        <d v="2016-07-11T21:59:00Z"/>
        <d v="2016-07-12T12:18:00Z"/>
        <d v="2016-07-12T16:01:00Z"/>
        <d v="2016-07-13T02:33:50Z"/>
        <d v="2016-07-14T00:03:46Z"/>
        <d v="2016-07-14T05:07:48Z"/>
        <d v="2016-07-14T15:31:28Z"/>
        <d v="2016-07-15T20:02:19Z"/>
        <d v="2016-07-15T21:49:16Z"/>
        <d v="2016-07-11T12:30:00Z"/>
        <d v="2016-07-12T07:16:00Z"/>
        <d v="2016-07-12T14:25:00Z"/>
        <d v="2016-07-13T04:55:18Z"/>
        <d v="2016-07-13T09:13:30Z"/>
        <d v="2016-07-15T21:00:38Z"/>
        <d v="2016-07-11T06:34:00Z"/>
        <d v="2016-07-11T07:12:00Z"/>
        <d v="2016-07-11T13:26:00Z"/>
        <d v="2016-07-11T23:54:00Z"/>
        <d v="2016-07-12T19:45:00Z"/>
        <d v="2016-07-13T18:52:47Z"/>
        <d v="2016-07-14T16:56:18Z"/>
        <d v="2016-07-14T21:13:16Z"/>
        <d v="2016-07-15T19:19:21Z"/>
        <d v="2016-07-11T19:01:00Z"/>
        <d v="2016-07-11T22:12:00Z"/>
        <d v="2016-07-12T14:43:00Z"/>
        <d v="2016-07-12T20:03:00Z"/>
        <d v="2016-07-13T09:11:48Z"/>
        <d v="2016-07-13T09:51:05Z"/>
        <d v="2016-07-14T03:11:51Z"/>
        <d v="2016-07-14T18:00:53Z"/>
        <d v="2016-07-15T06:27:02Z"/>
        <d v="2016-07-11T07:28:00Z"/>
        <d v="2016-07-11T10:15:00Z"/>
        <d v="2016-07-12T19:50:00Z"/>
        <d v="2016-07-14T09:40:19Z"/>
        <d v="2016-07-15T05:00:18Z"/>
        <d v="2016-07-15T19:15:16Z"/>
        <d v="2016-07-15T21:18:53Z"/>
        <d v="2016-07-12T15:56:00Z"/>
        <d v="2016-07-13T08:15:35Z"/>
        <d v="2016-07-14T17:17:11Z"/>
        <d v="2016-07-14T20:25:24Z"/>
        <d v="2016-07-15T22:47:49Z"/>
        <d v="2016-07-11T08:54:00Z"/>
        <d v="2016-07-12T00:10:00Z"/>
        <d v="2016-07-13T09:11:21Z"/>
        <d v="2016-07-13T15:04:14Z"/>
        <d v="2016-07-13T21:53:41Z"/>
        <d v="2016-07-14T04:58:39Z"/>
        <d v="2016-07-14T14:44:09Z"/>
        <d v="2016-07-14T18:35:15Z"/>
        <d v="2016-07-11T18:29:00Z"/>
        <d v="2016-07-12T05:09:00Z"/>
        <d v="2016-07-12T23:54:00Z"/>
        <d v="2016-07-13T06:12:41Z"/>
        <d v="2016-07-14T12:16:57Z"/>
        <d v="2016-07-15T23:42:11Z"/>
        <d v="2016-07-11T03:14:00Z"/>
        <d v="2016-07-11T17:43:00Z"/>
        <d v="2016-07-12T07:29:00Z"/>
        <d v="2016-07-12T14:14:00Z"/>
        <d v="2016-07-13T17:38:09Z"/>
        <d v="2016-07-13T20:45:38Z"/>
        <d v="2016-07-15T17:02:22Z"/>
        <d v="2016-07-15T21:46:01Z"/>
        <d v="2016-07-11T17:16:00Z"/>
        <d v="2016-07-12T15:31:00Z"/>
        <d v="2016-07-13T05:14:57Z"/>
        <d v="2016-07-13T14:36:48Z"/>
        <d v="2016-07-14T06:46:52Z"/>
        <d v="2016-07-15T05:29:41Z"/>
        <d v="2016-07-15T18:18:32Z"/>
        <d v="2016-07-15T19:25:57Z"/>
        <d v="2016-07-15T22:34:04Z"/>
        <d v="2016-07-11T09:10:00Z"/>
        <d v="2016-07-11T11:20:00Z"/>
        <d v="2016-07-11T13:16:00Z"/>
        <d v="2016-07-12T00:15:00Z"/>
        <d v="2016-07-12T07:51:00Z"/>
        <d v="2016-07-13T05:38:59Z"/>
        <d v="2016-07-13T13:25:02Z"/>
        <d v="2016-07-14T20:15:33Z"/>
        <d v="2016-07-15T04:06:50Z"/>
        <d v="2016-07-15T10:00:46Z"/>
        <d v="2016-07-15T11:10:28Z"/>
        <d v="2016-07-11T14:12:00Z"/>
        <d v="2016-07-11T16:49:00Z"/>
        <d v="2016-07-13T06:09:39Z"/>
        <d v="2016-07-13T13:37:08Z"/>
        <d v="2016-07-13T19:23:18Z"/>
        <d v="2016-07-14T11:05:37Z"/>
        <d v="2016-07-11T11:44:00Z"/>
        <d v="2016-07-12T05:03:00Z"/>
        <d v="2016-07-12T09:18:00Z"/>
        <d v="2016-07-12T13:25:00Z"/>
        <d v="2016-07-12T17:30:00Z"/>
        <d v="2016-07-14T23:51:31Z"/>
        <d v="2016-07-11T00:05:00Z"/>
        <d v="2016-07-12T07:47:00Z"/>
        <d v="2016-07-13T04:49:07Z"/>
        <d v="2016-07-13T22:33:31Z"/>
        <d v="2016-07-14T05:29:40Z"/>
        <d v="2016-07-14T20:29:43Z"/>
        <d v="2016-07-15T04:51:02Z"/>
        <d v="2016-07-15T09:39:54Z"/>
        <d v="2016-07-15T12:26:51Z"/>
        <d v="2016-07-12T11:21:00Z"/>
        <d v="2016-07-12T17:06:00Z"/>
        <d v="2016-07-13T12:42:45Z"/>
        <d v="2016-07-13T17:16:47Z"/>
        <d v="2016-07-13T23:24:37Z"/>
        <d v="2016-07-14T05:46:40Z"/>
        <d v="2016-07-15T07:45:50Z"/>
        <d v="2016-07-11T05:24:00Z"/>
        <d v="2016-07-11T16:50:00Z"/>
        <d v="2016-07-11T19:17:00Z"/>
        <d v="2016-07-13T06:28:12Z"/>
        <d v="2016-07-14T02:10:36Z"/>
        <d v="2016-07-14T15:18:31Z"/>
        <d v="2016-07-14T21:38:10Z"/>
        <d v="2016-07-12T13:34:00Z"/>
        <d v="2016-07-12T19:37:00Z"/>
        <d v="2016-07-13T09:32:25Z"/>
        <d v="2016-07-13T13:51:00Z"/>
        <d v="2016-07-13T22:45:09Z"/>
        <d v="2016-07-14T09:22:47Z"/>
        <d v="2016-07-14T18:33:03Z"/>
        <d v="2016-07-15T13:03:25Z"/>
        <d v="2016-07-15T19:19:47Z"/>
        <d v="2016-07-11T08:26:00Z"/>
        <d v="2016-07-13T23:15:18Z"/>
        <d v="2016-07-14T16:29:40Z"/>
        <d v="2016-07-15T03:38:02Z"/>
        <d v="2016-07-15T08:41:35Z"/>
        <d v="2016-07-15T14:07:10Z"/>
        <d v="2016-07-15T22:06:53Z"/>
        <d v="2016-07-11T06:13:00Z"/>
        <d v="2016-07-11T13:30:00Z"/>
        <d v="2016-07-12T11:18:00Z"/>
        <d v="2016-07-12T17:42:00Z"/>
        <d v="2016-07-13T09:48:30Z"/>
        <d v="2016-07-13T21:08:10Z"/>
        <d v="2016-07-14T17:22:20Z"/>
        <d v="2016-07-15T02:38:30Z"/>
        <d v="2016-07-15T18:57:01Z"/>
        <d v="2016-07-11T21:30:00Z"/>
        <d v="2016-07-12T02:35:00Z"/>
        <d v="2016-07-12T10:01:00Z"/>
        <d v="2016-07-12T23:18:00Z"/>
        <d v="2016-07-13T07:41:17Z"/>
        <d v="2016-07-13T11:41:40Z"/>
        <d v="2016-07-13T17:18:05Z"/>
        <d v="2016-07-14T07:34:57Z"/>
        <d v="2016-07-11T09:06:00Z"/>
        <d v="2016-07-11T20:10:00Z"/>
        <d v="2016-07-12T11:53:00Z"/>
        <d v="2016-07-13T09:49:32Z"/>
        <d v="2016-07-13T23:36:23Z"/>
        <d v="2016-07-14T07:51:59Z"/>
        <d v="2016-07-14T14:31:20Z"/>
        <d v="2016-07-14T21:48:06Z"/>
        <d v="2016-07-14T22:52:35Z"/>
        <d v="2016-07-15T08:27:01Z"/>
        <d v="2016-07-11T13:24:00Z"/>
        <d v="2016-07-12T12:57:00Z"/>
        <d v="2016-07-13T22:58:22Z"/>
        <d v="2016-07-14T07:56:05Z"/>
        <d v="2016-07-14T22:09:30Z"/>
        <d v="2016-07-15T11:42:14Z"/>
        <d v="2016-07-15T16:15:34Z"/>
        <d v="2016-07-15T18:35:57Z"/>
        <d v="2016-07-11T22:57:00Z"/>
        <d v="2016-07-12T16:32:00Z"/>
        <d v="2016-07-12T19:34:00Z"/>
        <d v="2016-07-13T05:29:42Z"/>
        <d v="2016-07-14T09:47:53Z"/>
        <d v="2016-07-14T19:48:45Z"/>
        <d v="2016-07-11T15:39:00Z"/>
        <d v="2016-07-12T09:59:00Z"/>
        <d v="2016-07-12T17:14:00Z"/>
        <d v="2016-07-13T17:04:19Z"/>
        <d v="2016-07-13T19:47:15Z"/>
        <d v="2016-07-14T18:59:05Z"/>
        <d v="2016-07-11T23:01:00Z"/>
        <d v="2016-07-12T21:22:00Z"/>
        <d v="2016-07-13T21:44:48Z"/>
        <d v="2016-07-14T07:14:05Z"/>
        <d v="2016-07-14T15:24:45Z"/>
        <d v="2016-07-15T21:48:02Z"/>
        <d v="2016-07-11T09:38:00Z"/>
        <d v="2016-07-13T08:10:03Z"/>
        <d v="2016-07-13T17:19:57Z"/>
        <d v="2016-07-14T09:35:42Z"/>
        <d v="2016-07-14T16:43:10Z"/>
        <d v="2016-07-14T21:30:34Z"/>
        <d v="2016-07-12T07:46:00Z"/>
        <d v="2016-07-12T18:38:00Z"/>
        <d v="2016-07-13T03:17:00Z"/>
        <d v="2016-07-13T13:56:50Z"/>
        <d v="2016-07-13T20:14:21Z"/>
        <d v="2016-07-14T06:10:03Z"/>
        <d v="2016-07-15T06:08:33Z"/>
        <d v="2016-07-15T10:55:52Z"/>
        <d v="2016-07-15T19:45:28Z"/>
        <d v="2016-07-11T16:16:00Z"/>
        <d v="2016-07-12T21:09:00Z"/>
        <d v="2016-07-13T04:13:56Z"/>
        <d v="2016-07-14T19:30:33Z"/>
        <d v="2016-07-14T21:46:45Z"/>
        <d v="2016-07-11T02:17:00Z"/>
        <d v="2016-07-13T00:42:20Z"/>
        <d v="2016-07-13T05:19:47Z"/>
        <d v="2016-07-13T08:37:13Z"/>
        <d v="2016-07-13T17:12:20Z"/>
        <d v="2016-07-13T21:34:05Z"/>
        <d v="2016-07-14T07:17:34Z"/>
        <d v="2016-07-14T08:13:37Z"/>
        <d v="2016-07-15T08:03:01Z"/>
        <d v="2016-07-15T09:56:35Z"/>
        <d v="2016-07-11T14:02:00Z"/>
        <d v="2016-07-11T17:34:00Z"/>
        <d v="2016-07-12T15:41:00Z"/>
        <d v="2016-07-12T19:17:00Z"/>
        <d v="2016-07-13T01:12:32Z"/>
        <d v="2016-07-13T06:04:24Z"/>
        <d v="2016-07-13T17:19:55Z"/>
        <d v="2016-07-13T20:19:50Z"/>
        <d v="2016-07-14T20:58:21Z"/>
        <d v="2016-07-15T22:25:32Z"/>
        <d v="2016-07-11T14:28:00Z"/>
        <d v="2016-07-11T17:01:00Z"/>
        <d v="2016-07-11T23:26:00Z"/>
        <d v="2016-07-12T08:22:00Z"/>
        <d v="2016-07-12T12:08:00Z"/>
        <d v="2016-07-12T22:19:00Z"/>
        <d v="2016-07-13T06:30:08Z"/>
        <d v="2016-07-13T08:50:45Z"/>
        <d v="2016-07-14T09:11:02Z"/>
        <d v="2016-07-14T10:14:36Z"/>
        <d v="2016-07-15T10:17:39Z"/>
        <d v="2016-07-15T21:49:39Z"/>
        <d v="2016-07-11T16:03:00Z"/>
        <d v="2016-07-11T23:17:00Z"/>
        <d v="2016-07-12T09:37:00Z"/>
        <d v="2016-07-12T20:24:00Z"/>
        <d v="2016-07-13T17:46:30Z"/>
        <d v="2016-07-13T21:16:33Z"/>
        <d v="2016-07-14T04:46:17Z"/>
        <d v="2016-07-14T13:08:15Z"/>
        <d v="2016-07-15T04:54:59Z"/>
        <d v="2016-07-15T09:53:30Z"/>
        <d v="2016-07-15T22:03:00Z"/>
        <d v="2016-07-11T22:52:00Z"/>
        <d v="2016-07-12T06:32:00Z"/>
        <d v="2016-07-12T19:38:00Z"/>
        <d v="2016-07-14T08:09:40Z"/>
        <d v="2016-07-14T15:42:35Z"/>
        <d v="2016-07-14T20:27:10Z"/>
        <d v="2016-07-15T07:03:49Z"/>
        <d v="2016-07-11T10:06:00Z"/>
        <d v="2016-07-11T16:39:00Z"/>
        <d v="2016-07-11T22:26:00Z"/>
        <d v="2016-07-12T07:23:00Z"/>
        <d v="2016-07-12T20:29:00Z"/>
        <d v="2016-07-13T05:49:52Z"/>
        <d v="2016-07-13T10:21:04Z"/>
        <d v="2016-07-13T22:22:46Z"/>
        <d v="2016-07-15T08:29:25Z"/>
        <d v="2016-07-11T18:26:00Z"/>
        <d v="2016-07-12T17:04:00Z"/>
        <d v="2016-07-13T04:53:36Z"/>
        <d v="2016-07-13T08:48:27Z"/>
        <d v="2016-07-13T17:48:26Z"/>
        <d v="2016-07-13T22:26:29Z"/>
        <d v="2016-07-14T02:52:39Z"/>
        <d v="2016-07-14T13:14:44Z"/>
        <d v="2016-07-15T03:22:27Z"/>
        <d v="2016-07-15T06:51:10Z"/>
        <d v="2016-07-15T09:19:29Z"/>
        <d v="2016-07-15T14:21:50Z"/>
        <d v="2016-07-15T22:04:52Z"/>
        <d v="2016-07-11T17:55:00Z"/>
        <d v="2016-07-11T22:59:00Z"/>
        <d v="2016-07-12T09:15:00Z"/>
        <d v="2016-07-13T07:10:45Z"/>
        <d v="2016-07-13T12:57:34Z"/>
        <d v="2016-07-13T18:57:24Z"/>
        <d v="2016-07-14T06:48:51Z"/>
        <d v="2016-07-14T15:09:22Z"/>
        <d v="2016-07-14T20:35:30Z"/>
        <d v="2016-07-15T11:27:18Z"/>
        <d v="2016-07-15T14:02:35Z"/>
        <d v="2016-07-11T09:17:00Z"/>
        <d v="2016-07-11T12:45:00Z"/>
        <d v="2016-07-11T15:38:00Z"/>
        <d v="2016-07-11T17:35:00Z"/>
        <d v="2016-07-12T07:58:00Z"/>
        <d v="2016-07-12T12:24:00Z"/>
        <d v="2016-07-12T18:39:00Z"/>
        <d v="2016-07-13T08:25:17Z"/>
        <d v="2016-07-13T21:54:09Z"/>
        <d v="2016-07-14T06:05:14Z"/>
        <d v="2016-07-14T11:49:01Z"/>
        <d v="2016-07-15T05:35:45Z"/>
        <d v="2016-07-11T09:26:00Z"/>
        <d v="2016-07-12T18:34:00Z"/>
        <d v="2016-07-13T00:06:34Z"/>
        <d v="2016-07-13T06:39:09Z"/>
        <d v="2016-07-14T11:16:57Z"/>
        <d v="2016-07-14T20:48:33Z"/>
        <d v="2016-07-15T07:40:48Z"/>
        <d v="2016-07-15T19:24:48Z"/>
        <d v="2016-07-15T20:06:18Z"/>
        <d v="2016-07-11T16:53:00Z"/>
        <d v="2016-07-12T06:08:00Z"/>
        <d v="2016-07-12T15:20:00Z"/>
        <d v="2016-07-12T21:43:00Z"/>
        <d v="2016-07-13T06:41:04Z"/>
        <d v="2016-07-13T19:11:32Z"/>
        <d v="2016-07-13T22:36:27Z"/>
        <d v="2016-07-15T05:10:25Z"/>
        <d v="2016-07-15T08:02:05Z"/>
        <d v="2016-07-15T19:05:36Z"/>
        <d v="2016-07-11T20:40:00Z"/>
        <d v="2016-07-12T09:16:00Z"/>
        <d v="2016-07-12T11:28:00Z"/>
        <d v="2016-07-13T10:10:00Z"/>
        <d v="2016-07-13T16:03:13Z"/>
        <d v="2016-07-13T19:00:49Z"/>
        <d v="2016-07-14T10:09:16Z"/>
        <d v="2016-07-15T07:32:41Z"/>
        <d v="2016-07-15T13:35:56Z"/>
        <d v="2016-07-11T07:34:00Z"/>
        <d v="2016-07-11T22:41:00Z"/>
        <d v="2016-07-12T07:42:00Z"/>
        <d v="2016-07-13T05:42:33Z"/>
        <d v="2016-07-13T15:00:02Z"/>
        <d v="2016-07-14T00:38:21Z"/>
        <d v="2016-07-14T03:09:17Z"/>
        <d v="2016-07-14T09:50:59Z"/>
        <d v="2016-07-14T19:59:57Z"/>
        <d v="2016-07-11T10:57:00Z"/>
        <d v="2016-07-11T16:54:00Z"/>
        <d v="2016-07-12T05:48:00Z"/>
        <d v="2016-07-13T04:54:15Z"/>
        <d v="2016-07-13T08:52:45Z"/>
        <d v="2016-07-13T22:15:07Z"/>
        <d v="2016-07-14T07:38:26Z"/>
        <d v="2016-07-15T18:44:57Z"/>
        <d v="2016-07-11T10:05:00Z"/>
        <d v="2016-07-12T01:15:00Z"/>
        <d v="2016-07-12T18:48:00Z"/>
        <d v="2016-07-13T08:22:49Z"/>
        <d v="2016-07-13T11:18:02Z"/>
        <d v="2016-07-13T16:33:05Z"/>
        <d v="2016-07-13T19:22:51Z"/>
        <d v="2016-07-14T13:01:23Z"/>
        <d v="2016-07-14T20:59:09Z"/>
        <d v="2016-07-15T05:53:21Z"/>
        <d v="2016-07-15T12:09:01Z"/>
        <d v="2016-07-15T22:22:03Z"/>
        <d v="2016-07-11T19:49:00Z"/>
        <d v="2016-07-12T22:37:00Z"/>
        <d v="2016-07-13T11:10:05Z"/>
        <d v="2016-07-13T22:50:47Z"/>
        <d v="2016-07-13T23:46:19Z"/>
        <d v="2016-07-14T05:59:10Z"/>
        <d v="2016-07-14T07:50:14Z"/>
        <d v="2016-07-14T18:34:51Z"/>
        <d v="2016-07-15T05:23:42Z"/>
        <d v="2016-07-15T17:33:50Z"/>
        <d v="2016-07-11T23:37:00Z"/>
        <d v="2016-07-12T09:56:00Z"/>
        <d v="2016-07-12T20:02:00Z"/>
        <d v="2016-07-13T07:59:50Z"/>
        <d v="2016-07-13T16:52:55Z"/>
        <d v="2016-07-14T00:22:54Z"/>
        <d v="2016-07-14T08:27:23Z"/>
        <d v="2016-07-15T05:19:12Z"/>
        <d v="2016-07-15T09:00:26Z"/>
        <d v="2016-07-15T11:43:12Z"/>
        <d v="2016-07-15T17:57:37Z"/>
        <d v="2016-07-11T07:32:00Z"/>
        <d v="2016-07-11T14:52:00Z"/>
        <d v="2016-07-12T15:32:00Z"/>
        <d v="2016-07-14T09:57:29Z"/>
        <d v="2016-07-15T05:11:38Z"/>
        <d v="2016-07-11T14:00:00Z"/>
        <d v="2016-07-12T14:29:00Z"/>
        <d v="2016-07-12T20:34:00Z"/>
        <d v="2016-07-12T23:53:00Z"/>
        <d v="2016-07-13T07:37:29Z"/>
        <d v="2016-07-13T23:40:51Z"/>
        <d v="2016-07-14T04:40:41Z"/>
        <d v="2016-07-14T10:34:17Z"/>
        <d v="2016-07-14T18:42:37Z"/>
        <d v="2016-07-15T07:03:01Z"/>
        <d v="2016-07-15T12:17:49Z"/>
        <d v="2016-07-15T18:43:35Z"/>
        <d v="2016-07-13T04:46:08Z"/>
        <d v="2016-07-14T05:38:23Z"/>
        <d v="2016-07-14T13:18:22Z"/>
        <d v="2016-07-14T17:22:06Z"/>
        <d v="2016-07-15T16:55:44Z"/>
        <d v="2016-07-13T01:52:50Z"/>
        <d v="2016-07-13T08:11:13Z"/>
        <d v="2016-07-13T17:10:30Z"/>
        <d v="2016-07-14T08:40:30Z"/>
        <d v="2016-07-14T13:07:35Z"/>
        <d v="2016-07-14T19:50:28Z"/>
        <d v="2016-07-15T23:07:06Z"/>
        <d v="2016-07-11T05:29:00Z"/>
        <d v="2016-07-11T12:43:00Z"/>
        <d v="2016-07-12T18:16:00Z"/>
        <d v="2016-07-13T14:42:19Z"/>
        <d v="2016-07-14T09:54:17Z"/>
        <d v="2016-07-14T18:17:33Z"/>
        <d v="2016-07-15T02:01:30Z"/>
        <d v="2016-07-15T08:19:48Z"/>
        <d v="2016-07-15T18:07:05Z"/>
        <d v="2016-07-11T17:13:00Z"/>
        <d v="2016-07-12T05:19:00Z"/>
        <d v="2016-07-13T21:27:22Z"/>
        <d v="2016-07-14T08:32:09Z"/>
        <d v="2016-07-14T16:34:22Z"/>
        <d v="2016-07-11T08:23:00Z"/>
        <d v="2016-07-11T12:47:00Z"/>
        <d v="2016-07-11T22:09:00Z"/>
        <d v="2016-07-12T09:55:00Z"/>
        <d v="2016-07-12T10:41:00Z"/>
        <d v="2016-07-13T03:37:35Z"/>
        <d v="2016-07-13T14:33:34Z"/>
        <d v="2016-07-14T18:12:32Z"/>
        <d v="2016-07-15T10:46:03Z"/>
        <d v="2016-07-15T11:54:17Z"/>
        <d v="2016-07-15T16:30:16Z"/>
        <d v="2016-07-11T01:29:00Z"/>
        <d v="2016-07-11T05:06:00Z"/>
        <d v="2016-07-11T22:44:00Z"/>
        <d v="2016-07-13T03:14:15Z"/>
        <d v="2016-07-13T08:48:42Z"/>
        <d v="2016-07-13T12:06:57Z"/>
        <d v="2016-07-14T05:04:53Z"/>
        <d v="2016-07-14T22:32:15Z"/>
        <d v="2016-07-15T18:03:39Z"/>
        <d v="2016-07-11T10:20:00Z"/>
        <d v="2016-07-13T04:07:13Z"/>
        <d v="2016-07-13T19:11:00Z"/>
        <d v="2016-07-14T17:37:10Z"/>
        <d v="2016-07-15T13:35:34Z"/>
        <d v="2016-07-15T22:26:08Z"/>
        <d v="2016-07-11T09:29:00Z"/>
        <d v="2016-07-12T21:20:00Z"/>
        <d v="2016-07-13T12:35:14Z"/>
        <d v="2016-07-14T00:32:45Z"/>
        <d v="2016-07-14T09:59:09Z"/>
        <d v="2016-07-14T12:23:06Z"/>
        <d v="2016-07-14T15:20:35Z"/>
        <d v="2016-07-15T09:10:25Z"/>
        <d v="2016-07-15T13:19:25Z"/>
        <d v="2016-07-15T23:35:13Z"/>
        <d v="2016-07-11T07:39:00Z"/>
        <d v="2016-07-12T08:08:00Z"/>
        <d v="2016-07-13T06:53:25Z"/>
        <d v="2016-07-13T19:04:23Z"/>
        <d v="2016-07-14T08:50:51Z"/>
        <d v="2016-07-14T18:41:23Z"/>
        <d v="2016-07-15T07:49:45Z"/>
        <d v="2016-07-15T14:57:52Z"/>
        <d v="2016-07-15T23:23:48Z"/>
        <d v="2016-07-11T01:00:00Z"/>
        <d v="2016-07-11T09:43:00Z"/>
        <d v="2016-07-12T12:49:00Z"/>
        <d v="2016-07-12T20:46:00Z"/>
        <d v="2016-07-12T22:26:00Z"/>
        <d v="2016-07-13T18:00:59Z"/>
        <d v="2016-07-14T14:12:00Z"/>
        <d v="2016-07-14T18:46:48Z"/>
        <d v="2016-07-15T08:32:39Z"/>
        <d v="2016-07-15T12:54:09Z"/>
        <d v="2016-07-15T21:51:29Z"/>
        <d v="2016-07-11T05:39:00Z"/>
        <d v="2016-07-12T08:11:00Z"/>
        <d v="2016-07-12T09:31:00Z"/>
        <d v="2016-07-12T22:13:00Z"/>
        <d v="2016-07-14T21:02:35Z"/>
        <d v="2016-07-14T23:40:04Z"/>
        <d v="2016-07-15T08:56:31Z"/>
        <d v="2016-07-15T12:15:42Z"/>
        <d v="2016-07-15T23:36:53Z"/>
        <d v="2016-07-11T20:03:00Z"/>
        <d v="2016-07-12T13:24:00Z"/>
        <d v="2016-07-12T19:41:00Z"/>
        <d v="2016-07-13T06:13:27Z"/>
        <d v="2016-07-13T16:56:55Z"/>
        <d v="2016-07-14T05:18:07Z"/>
        <d v="2016-07-14T20:04:32Z"/>
        <d v="2016-07-15T05:23:07Z"/>
        <d v="2016-07-15T21:22:16Z"/>
        <d v="2016-07-11T08:36:00Z"/>
        <d v="2016-07-11T15:35:00Z"/>
        <d v="2016-07-11T22:48:00Z"/>
        <d v="2016-07-12T06:04:00Z"/>
        <d v="2016-07-12T11:59:00Z"/>
        <d v="2016-07-13T14:12:23Z"/>
        <d v="2016-07-13T17:58:52Z"/>
        <d v="2016-07-14T12:29:14Z"/>
        <d v="2016-07-14T22:25:11Z"/>
        <d v="2016-07-15T07:44:41Z"/>
        <d v="2016-07-11T06:00:00Z"/>
        <d v="2016-07-11T17:29:00Z"/>
        <d v="2016-07-12T05:52:00Z"/>
        <d v="2016-07-13T09:54:42Z"/>
        <d v="2016-07-14T11:38:13Z"/>
        <d v="2016-07-14T19:45:45Z"/>
        <d v="2016-07-15T03:47:48Z"/>
        <d v="2016-07-15T07:53:45Z"/>
        <d v="2016-07-15T16:43:19Z"/>
        <d v="2016-07-11T06:11:00Z"/>
        <d v="2016-07-11T18:16:00Z"/>
        <d v="2016-07-11T22:39:00Z"/>
        <d v="2016-07-13T07:16:45Z"/>
        <d v="2016-07-13T15:28:02Z"/>
        <d v="2016-07-13T20:49:13Z"/>
        <d v="2016-07-14T05:49:34Z"/>
        <d v="2016-07-15T20:29:24Z"/>
        <d v="2016-07-15T23:02:31Z"/>
        <d v="2016-07-11T11:08:00Z"/>
        <d v="2016-07-11T16:25:00Z"/>
        <d v="2016-07-12T12:32:00Z"/>
        <d v="2016-07-13T04:49:55Z"/>
        <d v="2016-07-13T06:42:12Z"/>
        <d v="2016-07-14T09:18:42Z"/>
        <d v="2016-07-14T12:47:46Z"/>
        <d v="2016-07-14T19:20:06Z"/>
        <d v="2016-07-15T16:55:46Z"/>
        <d v="2016-07-11T11:42:00Z"/>
        <d v="2016-07-12T10:35:00Z"/>
        <d v="2016-07-13T19:19:23Z"/>
        <d v="2016-07-14T06:06:21Z"/>
        <d v="2016-07-14T22:21:28Z"/>
        <d v="2016-07-15T02:35:11Z"/>
        <d v="2016-07-15T21:58:19Z"/>
        <d v="2016-07-11T07:13:00Z"/>
        <d v="2016-07-11T09:37:00Z"/>
        <d v="2016-07-12T19:19:00Z"/>
        <d v="2016-07-13T07:32:12Z"/>
        <d v="2016-07-14T17:02:43Z"/>
        <d v="2016-07-15T09:42:11Z"/>
        <d v="2016-07-11T17:58:00Z"/>
        <d v="2016-07-11T22:51:00Z"/>
        <d v="2016-07-12T19:25:00Z"/>
        <d v="2016-07-13T15:24:47Z"/>
        <d v="2016-07-13T19:42:01Z"/>
        <d v="2016-07-14T02:42:00Z"/>
        <d v="2016-07-14T11:04:55Z"/>
        <d v="2016-07-14T17:35:53Z"/>
        <d v="2016-07-11T22:03:00Z"/>
        <d v="2016-07-12T14:13:00Z"/>
        <d v="2016-07-12T21:37:00Z"/>
        <d v="2016-07-13T05:20:05Z"/>
        <d v="2016-07-13T06:20:10Z"/>
        <d v="2016-07-13T13:37:26Z"/>
        <d v="2016-07-15T06:27:11Z"/>
        <d v="2016-07-12T13:23:00Z"/>
        <d v="2016-07-13T07:32:39Z"/>
        <d v="2016-07-13T17:31:22Z"/>
        <d v="2016-07-14T19:40:11Z"/>
        <d v="2016-07-15T10:56:15Z"/>
        <d v="2016-07-15T19:10:20Z"/>
        <d v="2016-07-12T14:24:00Z"/>
        <d v="2016-07-12T23:40:00Z"/>
        <d v="2016-07-13T13:12:47Z"/>
        <d v="2016-07-13T17:45:55Z"/>
        <d v="2016-07-14T05:35:58Z"/>
        <d v="2016-07-15T18:48:48Z"/>
        <d v="2016-07-15T19:52:00Z"/>
        <d v="2016-07-12T13:43:00Z"/>
        <d v="2016-07-14T08:49:48Z"/>
        <d v="2016-07-14T11:31:09Z"/>
        <d v="2016-07-14T18:02:12Z"/>
        <d v="2016-07-14T23:09:23Z"/>
        <d v="2016-07-15T17:35:20Z"/>
        <d v="2016-07-11T10:59:00Z"/>
        <d v="2016-07-11T15:58:00Z"/>
        <d v="2016-07-11T19:06:00Z"/>
        <d v="2016-07-12T10:08:00Z"/>
        <d v="2016-07-13T05:43:57Z"/>
        <d v="2016-07-13T08:40:06Z"/>
        <d v="2016-07-13T11:41:45Z"/>
        <d v="2016-07-13T23:40:57Z"/>
        <d v="2016-07-14T08:30:35Z"/>
        <d v="2016-07-15T19:12:24Z"/>
        <d v="2016-07-15T21:46:05Z"/>
        <d v="2016-07-11T04:46:00Z"/>
        <d v="2016-07-11T20:55:00Z"/>
        <d v="2016-07-12T21:07:00Z"/>
        <d v="2016-07-13T15:52:40Z"/>
        <d v="2016-07-14T00:07:29Z"/>
        <d v="2016-07-14T11:41:55Z"/>
        <d v="2016-07-14T17:34:36Z"/>
        <d v="2016-07-15T07:21:55Z"/>
        <d v="2016-07-12T14:50:00Z"/>
        <d v="2016-07-12T18:25:00Z"/>
        <d v="2016-07-13T06:35:59Z"/>
        <d v="2016-07-13T21:21:52Z"/>
        <d v="2016-07-14T08:08:15Z"/>
        <d v="2016-07-15T09:53:12Z"/>
        <d v="2016-07-11T20:30:00Z"/>
        <d v="2016-07-12T19:12:00Z"/>
        <d v="2016-07-13T07:10:57Z"/>
        <d v="2016-07-13T19:24:22Z"/>
        <d v="2016-07-14T08:46:16Z"/>
        <d v="2016-07-14T15:34:27Z"/>
        <d v="2016-07-15T05:02:55Z"/>
        <d v="2016-07-15T09:03:38Z"/>
        <d v="2016-07-11T17:50:00Z"/>
        <d v="2016-07-13T01:27:34Z"/>
        <d v="2016-07-15T05:35:47Z"/>
        <d v="2016-07-15T06:55:43Z"/>
        <d v="2016-07-11T05:10:00Z"/>
        <d v="2016-07-11T09:22:00Z"/>
        <d v="2016-07-13T17:12:42Z"/>
        <d v="2016-07-14T16:07:20Z"/>
        <d v="2016-07-11T19:51:00Z"/>
        <d v="2016-07-12T04:58:00Z"/>
        <d v="2016-07-13T13:36:11Z"/>
        <d v="2016-07-13T23:21:24Z"/>
        <d v="2016-07-14T07:13:44Z"/>
        <d v="2016-07-14T18:03:42Z"/>
        <d v="2016-07-14T23:19:15Z"/>
        <d v="2016-07-15T07:03:13Z"/>
        <d v="2016-07-15T11:27:33Z"/>
        <d v="2016-07-15T23:38:20Z"/>
        <d v="2016-07-11T07:05:00Z"/>
        <d v="2016-07-11T23:40:00Z"/>
        <d v="2016-07-13T01:17:55Z"/>
        <d v="2016-07-13T06:26:22Z"/>
        <d v="2016-07-14T09:29:54Z"/>
        <d v="2016-07-14T13:22:22Z"/>
        <d v="2016-07-14T17:17:31Z"/>
        <d v="2016-07-15T09:33:34Z"/>
        <d v="2016-07-15T14:13:38Z"/>
        <d v="2016-07-11T11:52:00Z"/>
        <d v="2016-07-12T03:25:00Z"/>
        <d v="2016-07-12T15:42:00Z"/>
        <d v="2016-07-13T04:51:23Z"/>
        <d v="2016-07-13T20:35:37Z"/>
        <d v="2016-07-14T03:00:20Z"/>
        <d v="2016-07-14T07:32:52Z"/>
        <d v="2016-07-14T10:26:23Z"/>
        <d v="2016-07-14T18:28:29Z"/>
        <d v="2016-07-15T12:12:56Z"/>
        <d v="2016-07-11T07:21:00Z"/>
        <d v="2016-07-11T14:05:00Z"/>
        <d v="2016-07-12T10:56:00Z"/>
        <d v="2016-07-12T15:13:00Z"/>
        <d v="2016-07-13T19:02:42Z"/>
        <d v="2016-07-14T07:10:55Z"/>
        <d v="2016-07-14T17:50:24Z"/>
        <d v="2016-07-14T20:03:55Z"/>
        <d v="2016-07-15T07:15:56Z"/>
        <d v="2016-07-15T11:10:14Z"/>
        <d v="2016-07-15T17:43:20Z"/>
        <d v="2016-07-15T20:14:02Z"/>
        <d v="2016-07-11T22:25:00Z"/>
        <d v="2016-07-12T17:12:00Z"/>
        <d v="2016-07-13T02:10:23Z"/>
        <d v="2016-07-13T07:30:01Z"/>
        <d v="2016-07-14T01:54:08Z"/>
        <d v="2016-07-14T18:09:46Z"/>
        <d v="2016-07-14T22:27:13Z"/>
        <d v="2016-07-15T14:22:11Z"/>
        <d v="2016-07-15T20:06:36Z"/>
        <d v="2016-07-11T12:10:00Z"/>
        <d v="2016-07-11T17:52:00Z"/>
        <d v="2016-07-13T08:22:37Z"/>
        <d v="2016-07-13T13:03:19Z"/>
        <d v="2016-07-14T08:18:15Z"/>
        <d v="2016-07-14T20:45:20Z"/>
        <d v="2016-07-14T23:36:12Z"/>
        <d v="2016-07-15T05:04:25Z"/>
        <d v="2016-07-15T07:52:18Z"/>
        <d v="2016-07-15T14:57:34Z"/>
        <d v="2016-07-15T23:19:07Z"/>
        <d v="2016-07-11T18:11:00Z"/>
        <d v="2016-07-12T04:59:00Z"/>
        <d v="2016-07-13T05:12:15Z"/>
        <d v="2016-07-13T12:51:25Z"/>
        <d v="2016-07-13T19:20:55Z"/>
        <d v="2016-07-14T19:07:43Z"/>
        <d v="2016-07-15T00:04:44Z"/>
        <d v="2016-07-15T06:51:58Z"/>
        <d v="2016-07-15T19:51:39Z"/>
        <d v="2016-07-11T05:46:00Z"/>
        <d v="2016-07-11T12:07:00Z"/>
        <d v="2016-07-11T18:42:00Z"/>
        <d v="2016-07-12T04:07:00Z"/>
        <d v="2016-07-12T10:19:00Z"/>
        <d v="2016-07-12T18:58:00Z"/>
        <d v="2016-07-13T10:08:23Z"/>
        <d v="2016-07-13T12:17:16Z"/>
        <d v="2016-07-13T22:57:04Z"/>
        <d v="2016-07-14T06:44:29Z"/>
        <d v="2016-07-14T23:17:20Z"/>
        <d v="2016-07-15T08:38:57Z"/>
        <d v="2016-07-15T17:19:51Z"/>
        <d v="2016-07-11T12:34:00Z"/>
        <d v="2016-07-11T20:31:00Z"/>
        <d v="2016-07-12T17:29:00Z"/>
        <d v="2016-07-13T05:36:44Z"/>
        <d v="2016-07-13T11:44:09Z"/>
        <d v="2016-07-14T06:33:47Z"/>
        <d v="2016-07-14T20:56:31Z"/>
        <d v="2016-07-15T01:05:20Z"/>
        <d v="2016-07-15T05:34:20Z"/>
        <d v="2016-07-15T12:53:26Z"/>
        <d v="2016-07-11T20:11:00Z"/>
        <d v="2016-07-12T21:50:00Z"/>
        <d v="2016-07-13T17:14:33Z"/>
        <d v="2016-07-13T22:23:24Z"/>
        <d v="2016-07-14T22:37:51Z"/>
        <d v="2016-07-15T22:57:48Z"/>
        <d v="2016-07-11T00:54:00Z"/>
        <d v="2016-07-11T08:19:00Z"/>
        <d v="2016-07-11T11:13:00Z"/>
        <d v="2016-07-11T14:13:00Z"/>
        <d v="2016-07-12T18:08:00Z"/>
        <d v="2016-07-13T12:03:56Z"/>
        <d v="2016-07-14T05:33:45Z"/>
        <d v="2016-07-15T17:59:51Z"/>
        <d v="2016-07-12T11:47:00Z"/>
        <d v="2016-07-13T17:08:08Z"/>
        <d v="2016-07-14T05:58:18Z"/>
        <d v="2016-07-14T09:09:21Z"/>
        <d v="2016-07-14T19:47:25Z"/>
        <d v="2016-07-15T10:46:39Z"/>
        <d v="2016-07-11T06:10:00Z"/>
        <d v="2016-07-11T17:48:00Z"/>
        <d v="2016-07-11T21:14:00Z"/>
        <d v="2016-07-12T06:38:00Z"/>
        <d v="2016-07-12T19:56:00Z"/>
        <d v="2016-07-14T06:40:36Z"/>
        <d v="2016-07-14T13:46:22Z"/>
        <d v="2016-07-14T17:54:45Z"/>
        <d v="2016-07-15T09:03:42Z"/>
        <d v="2016-07-15T18:27:59Z"/>
        <d v="2016-07-11T07:14:00Z"/>
        <d v="2016-07-11T22:27:00Z"/>
        <d v="2016-07-12T12:20:00Z"/>
        <d v="2016-07-13T11:47:13Z"/>
        <d v="2016-07-13T22:49:28Z"/>
        <d v="2016-07-14T05:32:23Z"/>
        <d v="2016-07-14T15:55:15Z"/>
        <d v="2016-07-14T20:53:25Z"/>
        <d v="2016-07-15T09:23:39Z"/>
        <d v="2016-07-15T10:52:25Z"/>
        <d v="2016-07-15T14:18:11Z"/>
        <d v="2016-07-11T06:07:00Z"/>
        <d v="2016-07-11T11:31:00Z"/>
        <d v="2016-07-12T18:56:00Z"/>
        <d v="2016-07-13T05:53:50Z"/>
        <d v="2016-07-13T18:29:57Z"/>
        <d v="2016-07-14T09:16:06Z"/>
        <d v="2016-07-15T06:38:59Z"/>
        <d v="2016-07-15T15:37:04Z"/>
        <d v="2016-07-15T20:57:08Z"/>
        <d v="2016-07-11T07:17:00Z"/>
        <d v="2016-07-12T03:13:00Z"/>
        <d v="2016-07-12T10:00:00Z"/>
        <d v="2016-07-12T16:25:00Z"/>
        <d v="2016-07-12T19:27:00Z"/>
        <d v="2016-07-13T09:44:54Z"/>
        <d v="2016-07-13T11:44:02Z"/>
        <d v="2016-07-14T04:30:34Z"/>
        <d v="2016-07-14T12:48:16Z"/>
        <d v="2016-07-15T04:45:25Z"/>
        <d v="2016-07-15T15:17:34Z"/>
        <d v="2016-07-15T19:20:44Z"/>
        <d v="2016-07-15T22:08:28Z"/>
        <d v="2016-07-11T04:49:00Z"/>
        <d v="2016-07-11T16:04:00Z"/>
        <d v="2016-07-12T07:48:00Z"/>
        <d v="2016-07-12T14:42:00Z"/>
        <d v="2016-07-13T05:39:33Z"/>
        <d v="2016-07-13T19:02:02Z"/>
        <d v="2016-07-14T06:54:05Z"/>
        <d v="2016-07-14T23:24:48Z"/>
        <d v="2016-07-15T06:15:03Z"/>
        <d v="2016-07-11T00:45:00Z"/>
        <d v="2016-07-11T09:13:00Z"/>
        <d v="2016-07-11T21:18:00Z"/>
        <d v="2016-07-12T13:28:00Z"/>
        <d v="2016-07-14T06:46:32Z"/>
        <d v="2016-07-14T12:59:26Z"/>
        <d v="2016-07-14T18:24:42Z"/>
        <d v="2016-07-14T20:27:44Z"/>
        <d v="2016-07-15T08:05:17Z"/>
        <d v="2016-07-15T11:55:21Z"/>
        <d v="2016-07-15T19:52:36Z"/>
        <d v="2016-07-15T21:04:00Z"/>
        <d v="2016-07-12T12:59:00Z"/>
        <d v="2016-07-13T14:23:37Z"/>
        <d v="2016-07-14T01:37:38Z"/>
        <d v="2016-07-14T05:17:09Z"/>
        <d v="2016-07-14T11:30:28Z"/>
        <d v="2016-07-15T21:08:42Z"/>
        <d v="2016-07-15T23:44:23Z"/>
        <d v="2016-07-12T05:43:00Z"/>
        <d v="2016-07-12T22:54:00Z"/>
        <d v="2016-07-13T04:54:29Z"/>
        <d v="2016-07-13T07:22:01Z"/>
        <d v="2016-07-13T21:36:57Z"/>
        <d v="2016-07-14T10:28:45Z"/>
        <d v="2016-07-14T11:57:13Z"/>
        <d v="2016-07-14T18:23:42Z"/>
        <d v="2016-07-12T09:44:00Z"/>
        <d v="2016-07-12T18:35:00Z"/>
        <d v="2016-07-13T08:00:19Z"/>
        <d v="2016-07-14T00:38:22Z"/>
        <d v="2016-07-14T08:31:12Z"/>
        <d v="2016-07-15T12:44:52Z"/>
        <d v="2016-07-11T04:38:00Z"/>
        <d v="2016-07-12T11:48:00Z"/>
        <d v="2016-07-13T15:44:39Z"/>
        <d v="2016-07-13T18:47:13Z"/>
        <d v="2016-07-14T08:57:14Z"/>
        <d v="2016-07-15T07:10:20Z"/>
        <d v="2016-07-15T21:33:54Z"/>
        <d v="2016-07-12T05:33:00Z"/>
        <d v="2016-07-12T21:47:00Z"/>
        <d v="2016-07-13T19:26:50Z"/>
        <d v="2016-07-14T18:42:23Z"/>
        <d v="2016-07-15T04:50:54Z"/>
        <d v="2016-07-15T18:08:33Z"/>
        <d v="2016-07-11T18:03:00Z"/>
        <d v="2016-07-12T05:29:00Z"/>
        <d v="2016-07-12T11:08:00Z"/>
        <d v="2016-07-13T23:44:47Z"/>
        <d v="2016-07-14T15:23:51Z"/>
        <d v="2016-07-14T18:20:30Z"/>
        <d v="2016-07-11T12:41:00Z"/>
        <d v="2016-07-11T20:49:00Z"/>
        <d v="2016-07-11T23:45:00Z"/>
        <d v="2016-07-12T10:29:00Z"/>
        <d v="2016-07-12T17:39:00Z"/>
        <d v="2016-07-13T07:42:07Z"/>
        <d v="2016-07-13T09:47:21Z"/>
        <d v="2016-07-13T21:22:27Z"/>
        <d v="2016-07-15T07:31:47Z"/>
        <d v="2016-07-15T22:13:11Z"/>
        <d v="2016-07-11T06:53:00Z"/>
        <d v="2016-07-11T21:43:00Z"/>
        <d v="2016-07-13T08:55:14Z"/>
        <d v="2016-07-13T12:37:22Z"/>
        <d v="2016-07-13T17:36:08Z"/>
        <d v="2016-07-14T07:10:09Z"/>
        <d v="2016-07-15T00:06:12Z"/>
        <d v="2016-07-15T02:08:39Z"/>
        <d v="2016-07-15T15:02:26Z"/>
        <d v="2016-07-15T19:16:21Z"/>
        <d v="2016-07-11T12:57:00Z"/>
        <d v="2016-07-11T14:40:00Z"/>
        <d v="2016-07-11T20:02:00Z"/>
        <d v="2016-07-12T05:37:00Z"/>
        <d v="2016-07-13T07:40:16Z"/>
        <d v="2016-07-14T05:45:04Z"/>
        <d v="2016-07-15T10:00:27Z"/>
        <d v="2016-07-15T13:49:37Z"/>
        <d v="2016-07-11T06:16:00Z"/>
        <d v="2016-07-11T20:47:00Z"/>
        <d v="2016-07-12T17:55:00Z"/>
        <d v="2016-07-13T06:42:13Z"/>
        <d v="2016-07-14T11:10:13Z"/>
        <d v="2016-07-15T00:29:15Z"/>
        <d v="2016-07-15T15:13:06Z"/>
        <d v="2016-07-11T15:36:00Z"/>
        <d v="2016-07-11T17:40:00Z"/>
        <d v="2016-07-11T20:57:00Z"/>
        <d v="2016-07-12T04:19:00Z"/>
        <d v="2016-07-12T19:09:00Z"/>
        <d v="2016-07-12T21:18:00Z"/>
        <d v="2016-07-13T06:46:08Z"/>
        <d v="2016-07-14T09:37:03Z"/>
        <d v="2016-07-14T21:41:42Z"/>
        <d v="2016-07-15T20:33:06Z"/>
        <d v="2016-07-11T06:20:00Z"/>
        <d v="2016-07-11T14:51:00Z"/>
        <d v="2016-07-12T15:18:00Z"/>
        <d v="2016-07-13T10:42:45Z"/>
        <d v="2016-07-13T20:50:24Z"/>
        <d v="2016-07-14T10:51:47Z"/>
        <d v="2016-07-15T18:23:00Z"/>
        <d v="2016-07-11T12:54:00Z"/>
        <d v="2016-07-11T21:10:00Z"/>
        <d v="2016-07-12T05:42:00Z"/>
        <d v="2016-07-12T19:33:00Z"/>
        <d v="2016-07-13T11:53:57Z"/>
        <d v="2016-07-15T22:49:53Z"/>
        <d v="2016-07-11T06:03:00Z"/>
        <d v="2016-07-11T15:07:00Z"/>
        <d v="2016-07-11T20:12:00Z"/>
        <d v="2016-07-13T07:03:54Z"/>
        <d v="2016-07-13T17:28:59Z"/>
        <d v="2016-07-14T18:41:20Z"/>
        <d v="2016-07-15T21:52:03Z"/>
        <d v="2016-07-12T08:28:00Z"/>
        <d v="2016-07-13T11:54:15Z"/>
        <d v="2016-07-13T16:56:31Z"/>
        <d v="2016-07-13T23:50:07Z"/>
        <d v="2016-07-15T03:05:44Z"/>
        <d v="2016-07-15T07:35:57Z"/>
        <d v="2016-07-15T09:53:16Z"/>
        <d v="2016-07-15T21:14:11Z"/>
        <d v="2016-07-11T13:56:00Z"/>
        <d v="2016-07-12T21:49:00Z"/>
        <d v="2016-07-13T07:21:23Z"/>
        <d v="2016-07-13T10:45:15Z"/>
        <d v="2016-07-13T12:29:10Z"/>
        <d v="2016-07-13T21:51:23Z"/>
        <d v="2016-07-14T06:35:37Z"/>
        <d v="2016-07-14T20:19:57Z"/>
        <d v="2016-07-15T05:56:46Z"/>
        <d v="2016-07-15T12:04:14Z"/>
        <d v="2016-07-15T20:24:57Z"/>
        <d v="2016-07-15T23:59:58Z"/>
        <d v="2016-07-11T05:49:00Z"/>
        <d v="2016-07-12T01:03:00Z"/>
        <d v="2016-07-12T10:26:00Z"/>
        <d v="2016-07-13T13:55:29Z"/>
        <d v="2016-07-14T09:08:30Z"/>
        <d v="2016-07-15T10:33:30Z"/>
        <d v="2016-07-15T15:53:16Z"/>
        <d v="2016-07-11T08:17:00Z"/>
        <d v="2016-07-12T14:15:00Z"/>
        <d v="2016-07-13T03:55:54Z"/>
        <d v="2016-07-13T05:35:41Z"/>
        <d v="2016-07-13T10:08:03Z"/>
        <d v="2016-07-14T19:26:06Z"/>
        <d v="2016-07-15T17:35:58Z"/>
        <d v="2016-07-11T07:42:00Z"/>
        <d v="2016-07-11T09:15:00Z"/>
        <d v="2016-07-11T12:42:00Z"/>
        <d v="2016-07-11T18:13:00Z"/>
        <d v="2016-07-11T22:40:00Z"/>
        <d v="2016-07-12T19:16:00Z"/>
        <d v="2016-07-14T00:42:59Z"/>
        <d v="2016-07-14T06:15:08Z"/>
        <d v="2016-07-14T16:39:13Z"/>
        <d v="2016-07-15T13:20:59Z"/>
        <d v="2016-07-15T17:06:36Z"/>
        <d v="2016-07-11T04:21:00Z"/>
        <d v="2016-07-12T11:02:00Z"/>
        <d v="2016-07-13T19:30:32Z"/>
        <d v="2016-07-14T07:24:48Z"/>
        <d v="2016-07-14T13:10:12Z"/>
        <d v="2016-07-14T22:02:14Z"/>
        <d v="2016-07-11T05:00:00Z"/>
        <d v="2016-07-12T23:22:00Z"/>
        <d v="2016-07-13T06:40:58Z"/>
        <d v="2016-07-14T15:10:47Z"/>
        <d v="2016-07-15T04:48:19Z"/>
        <d v="2016-07-15T14:36:44Z"/>
        <d v="2016-07-11T22:45:00Z"/>
        <d v="2016-07-12T05:34:00Z"/>
        <d v="2016-07-13T09:06:18Z"/>
        <d v="2016-07-13T10:21:25Z"/>
        <d v="2016-07-14T07:46:59Z"/>
        <d v="2016-07-15T16:34:16Z"/>
        <d v="2016-07-15T20:17:06Z"/>
        <d v="2016-07-15T23:17:35Z"/>
        <d v="2016-07-11T22:11:00Z"/>
        <d v="2016-07-12T00:11:00Z"/>
        <d v="2016-07-12T11:20:00Z"/>
        <d v="2016-07-13T15:41:05Z"/>
        <d v="2016-07-13T22:06:13Z"/>
        <d v="2016-07-14T12:21:00Z"/>
        <d v="2016-07-15T11:03:10Z"/>
        <d v="2016-07-15T17:44:41Z"/>
        <d v="2016-07-11T13:46:00Z"/>
        <d v="2016-07-13T07:14:14Z"/>
        <d v="2016-07-13T10:28:11Z"/>
        <d v="2016-07-14T17:49:21Z"/>
        <d v="2016-07-14T21:35:46Z"/>
        <d v="2016-07-15T22:15:02Z"/>
        <d v="2016-07-11T08:22:00Z"/>
        <d v="2016-07-12T04:49:00Z"/>
        <d v="2016-07-13T10:36:59Z"/>
        <d v="2016-07-14T19:21:59Z"/>
        <d v="2016-07-14T22:43:48Z"/>
        <d v="2016-07-15T20:35:13Z"/>
        <d v="2016-07-11T19:35:00Z"/>
        <d v="2016-07-12T07:04:00Z"/>
        <d v="2016-07-13T06:39:32Z"/>
        <d v="2016-07-13T17:41:23Z"/>
        <d v="2016-07-14T12:37:09Z"/>
        <d v="2016-07-15T08:30:58Z"/>
        <d v="2016-07-15T12:38:02Z"/>
        <d v="2016-07-15T21:46:33Z"/>
        <d v="2016-07-11T08:05:00Z"/>
        <d v="2016-07-11T20:07:00Z"/>
        <d v="2016-07-13T11:53:29Z"/>
        <d v="2016-07-14T14:26:10Z"/>
        <d v="2016-07-15T15:30:45Z"/>
        <d v="2016-07-11T16:00:00Z"/>
        <d v="2016-07-12T07:49:00Z"/>
        <d v="2016-07-12T22:33:00Z"/>
        <d v="2016-07-13T06:05:43Z"/>
        <d v="2016-07-13T15:27:17Z"/>
        <d v="2016-07-14T08:59:00Z"/>
        <d v="2016-07-15T20:17:05Z"/>
        <d v="2016-07-11T00:36:00Z"/>
        <d v="2016-07-11T08:10:00Z"/>
        <d v="2016-07-11T14:56:00Z"/>
        <d v="2016-07-12T20:26:00Z"/>
        <d v="2016-07-13T20:33:45Z"/>
        <d v="2016-07-14T09:15:54Z"/>
        <d v="2016-07-14T18:44:08Z"/>
        <d v="2016-07-11T04:59:00Z"/>
        <d v="2016-07-11T21:11:00Z"/>
        <d v="2016-07-12T07:07:00Z"/>
        <d v="2016-07-12T11:14:00Z"/>
        <d v="2016-07-15T20:07:23Z"/>
        <d v="2016-07-11T08:20:00Z"/>
        <d v="2016-07-11T14:31:00Z"/>
        <d v="2016-07-11T18:52:00Z"/>
        <d v="2016-07-12T09:14:00Z"/>
        <d v="2016-07-12T16:52:00Z"/>
        <d v="2016-07-13T14:26:01Z"/>
        <d v="2016-07-13T18:31:35Z"/>
        <d v="2016-07-14T13:01:58Z"/>
        <d v="2016-07-15T09:37:46Z"/>
        <d v="2016-07-15T12:59:50Z"/>
        <d v="2016-07-13T03:55:10Z"/>
        <d v="2016-07-13T17:37:32Z"/>
        <d v="2016-07-14T18:29:55Z"/>
        <d v="2016-07-15T00:07:29Z"/>
        <d v="2016-07-15T08:54:52Z"/>
        <d v="2016-07-11T06:36:00Z"/>
        <d v="2016-07-11T12:01:00Z"/>
        <d v="2016-07-12T06:34:00Z"/>
        <d v="2016-07-13T12:35:31Z"/>
        <d v="2016-07-13T22:41:50Z"/>
        <d v="2016-07-14T07:36:48Z"/>
        <d v="2016-07-14T13:30:24Z"/>
        <d v="2016-07-14T16:21:08Z"/>
        <d v="2016-07-15T06:30:21Z"/>
        <d v="2016-07-15T22:07:56Z"/>
        <d v="2016-07-11T11:30:00Z"/>
        <d v="2016-07-11T18:21:00Z"/>
        <d v="2016-07-12T08:39:00Z"/>
        <d v="2016-07-12T11:30:00Z"/>
        <d v="2016-07-13T05:09:48Z"/>
        <d v="2016-07-13T15:52:00Z"/>
        <d v="2016-07-14T09:27:27Z"/>
        <d v="2016-07-14T12:20:51Z"/>
        <d v="2016-07-15T05:20:37Z"/>
        <d v="2016-07-15T14:52:02Z"/>
        <d v="2016-07-11T18:35:00Z"/>
        <d v="2016-07-12T06:37:00Z"/>
        <d v="2016-07-12T20:32:00Z"/>
        <d v="2016-07-13T07:34:49Z"/>
        <d v="2016-07-13T20:39:10Z"/>
        <d v="2016-07-14T06:22:48Z"/>
        <d v="2016-07-14T12:08:47Z"/>
        <d v="2016-07-15T15:03:22Z"/>
        <d v="2016-07-11T10:14:00Z"/>
        <d v="2016-07-11T17:56:00Z"/>
        <d v="2016-07-12T08:19:00Z"/>
        <d v="2016-07-14T08:10:55Z"/>
        <d v="2016-07-15T05:20:08Z"/>
        <d v="2016-07-15T09:56:21Z"/>
        <d v="2016-07-12T03:37:00Z"/>
        <d v="2016-07-12T10:59:00Z"/>
        <d v="2016-07-14T21:40:48Z"/>
        <d v="2016-07-15T05:19:00Z"/>
        <d v="2016-07-15T09:51:06Z"/>
        <d v="2016-07-15T17:45:25Z"/>
        <d v="2016-07-11T15:03:00Z"/>
        <d v="2016-07-11T18:27:00Z"/>
        <d v="2016-07-12T05:30:00Z"/>
        <d v="2016-07-12T21:23:00Z"/>
        <d v="2016-07-13T20:47:31Z"/>
        <d v="2016-07-13T22:09:53Z"/>
        <d v="2016-07-14T04:04:43Z"/>
        <d v="2016-07-15T07:27:53Z"/>
        <d v="2016-07-15T09:38:06Z"/>
        <d v="2016-07-15T13:09:43Z"/>
        <d v="2016-07-15T16:21:43Z"/>
        <d v="2016-07-11T08:34:00Z"/>
        <d v="2016-07-11T19:50:00Z"/>
        <d v="2016-07-12T16:10:00Z"/>
        <d v="2016-07-12T18:42:00Z"/>
        <d v="2016-07-13T09:28:16Z"/>
        <d v="2016-07-13T15:26:37Z"/>
        <d v="2016-07-13T20:00:58Z"/>
        <d v="2016-07-14T10:41:28Z"/>
        <d v="2016-07-14T19:16:11Z"/>
        <d v="2016-07-15T08:17:31Z"/>
        <d v="2016-07-15T23:51:42Z"/>
        <d v="2016-07-11T16:01:00Z"/>
        <d v="2016-07-12T16:45:00Z"/>
        <d v="2016-07-13T05:10:28Z"/>
        <d v="2016-07-13T16:39:52Z"/>
        <d v="2016-07-13T19:43:33Z"/>
        <d v="2016-07-15T03:04:32Z"/>
        <d v="2016-07-15T14:31:47Z"/>
        <d v="2016-07-11T07:19:00Z"/>
        <d v="2016-07-11T10:16:00Z"/>
        <d v="2016-07-12T05:28:00Z"/>
        <d v="2016-07-12T07:27:00Z"/>
        <d v="2016-07-12T13:40:00Z"/>
        <d v="2016-07-12T19:57:00Z"/>
        <d v="2016-07-13T05:05:59Z"/>
        <d v="2016-07-13T21:10:35Z"/>
        <d v="2016-07-14T08:16:58Z"/>
        <d v="2016-07-15T07:05:19Z"/>
        <d v="2016-07-15T19:09:35Z"/>
        <d v="2016-07-15T21:03:48Z"/>
        <d v="2016-07-11T11:04:00Z"/>
        <d v="2016-07-11T13:45:00Z"/>
        <d v="2016-07-11T15:06:00Z"/>
        <d v="2016-07-13T22:52:41Z"/>
        <d v="2016-07-14T18:16:47Z"/>
        <d v="2016-07-15T18:43:20Z"/>
        <d v="2016-07-12T06:22:00Z"/>
        <d v="2016-07-12T17:53:00Z"/>
        <d v="2016-07-13T17:42:12Z"/>
        <d v="2016-07-14T10:01:28Z"/>
        <d v="2016-07-15T10:06:37Z"/>
        <d v="2016-07-15T18:45:58Z"/>
        <d v="2016-07-11T08:07:00Z"/>
        <d v="2016-07-13T05:22:17Z"/>
        <d v="2016-07-13T08:18:54Z"/>
        <d v="2016-07-13T15:37:16Z"/>
        <d v="2016-07-13T22:08:31Z"/>
        <d v="2016-07-14T08:29:44Z"/>
        <d v="2016-07-15T07:19:13Z"/>
        <d v="2016-07-15T15:21:39Z"/>
        <d v="2016-07-15T18:18:34Z"/>
        <d v="2016-07-15T19:11:18Z"/>
        <d v="2016-07-11T04:52:00Z"/>
        <d v="2016-07-11T17:19:00Z"/>
        <d v="2016-07-13T05:20:12Z"/>
        <d v="2016-07-13T11:44:06Z"/>
        <d v="2016-07-15T05:06:18Z"/>
        <d v="2016-07-15T16:35:35Z"/>
        <d v="2016-07-15T20:31:29Z"/>
        <d v="2016-07-11T11:18:00Z"/>
        <d v="2016-07-12T01:33:00Z"/>
        <d v="2016-07-12T19:00:00Z"/>
        <d v="2016-07-13T05:50:50Z"/>
        <d v="2016-07-13T10:51:27Z"/>
        <d v="2016-07-14T07:14:10Z"/>
        <d v="2016-07-14T19:05:58Z"/>
        <d v="2016-07-15T02:59:50Z"/>
        <d v="2016-07-15T06:56:07Z"/>
        <d v="2016-07-11T13:20:00Z"/>
        <d v="2016-07-12T06:25:00Z"/>
        <d v="2016-07-14T09:09:42Z"/>
        <d v="2016-07-14T15:22:12Z"/>
        <d v="2016-07-15T14:22:48Z"/>
        <d v="2016-07-15T20:30:34Z"/>
        <d v="2016-07-11T19:33:00Z"/>
        <d v="2016-07-12T20:57:00Z"/>
        <d v="2016-07-13T03:48:21Z"/>
        <d v="2016-07-13T07:07:29Z"/>
        <d v="2016-07-13T17:04:29Z"/>
        <d v="2016-07-13T21:14:26Z"/>
        <d v="2016-07-15T22:34:55Z"/>
        <d v="2016-07-11T08:37:00Z"/>
        <d v="2016-07-11T16:55:00Z"/>
        <d v="2016-07-13T06:25:15Z"/>
        <d v="2016-07-13T21:45:14Z"/>
        <d v="2016-07-14T06:36:01Z"/>
        <d v="2016-07-14T08:01:59Z"/>
        <d v="2016-07-14T19:58:08Z"/>
        <d v="2016-07-15T10:41:34Z"/>
        <d v="2016-07-15T22:55:07Z"/>
        <d v="2016-07-11T00:20:00Z"/>
        <d v="2016-07-12T11:00:00Z"/>
        <d v="2016-07-13T21:00:54Z"/>
        <d v="2016-07-14T17:46:11Z"/>
        <d v="2016-07-15T02:28:34Z"/>
        <d v="2016-07-15T20:07:33Z"/>
        <d v="2016-07-15T22:51:55Z"/>
        <d v="2016-07-11T05:07:00Z"/>
        <d v="2016-07-11T16:11:00Z"/>
        <d v="2016-07-11T21:23:00Z"/>
        <d v="2016-07-12T06:53:00Z"/>
        <d v="2016-07-12T09:42:00Z"/>
        <d v="2016-07-12T14:54:00Z"/>
        <d v="2016-07-13T05:23:09Z"/>
        <d v="2016-07-15T11:41:07Z"/>
        <d v="2016-07-15T12:31:42Z"/>
        <d v="2016-07-11T17:41:00Z"/>
        <d v="2016-07-12T09:36:00Z"/>
        <d v="2016-07-13T02:57:40Z"/>
        <d v="2016-07-13T18:57:45Z"/>
        <d v="2016-07-13T23:16:27Z"/>
        <d v="2016-07-15T07:59:14Z"/>
        <d v="2016-07-15T21:57:56Z"/>
        <d v="2016-07-11T22:30:00Z"/>
        <d v="2016-07-13T18:56:20Z"/>
        <d v="2016-07-14T01:09:39Z"/>
        <d v="2016-07-14T17:25:26Z"/>
        <d v="2016-07-11T22:23:00Z"/>
        <d v="2016-07-13T19:31:38Z"/>
        <d v="2016-07-14T09:10:51Z"/>
        <d v="2016-07-14T12:53:03Z"/>
        <d v="2016-07-15T06:09:26Z"/>
        <d v="2016-07-15T07:35:03Z"/>
        <d v="2016-07-15T10:52:02Z"/>
        <d v="2016-07-15T12:31:09Z"/>
        <d v="2016-07-15T17:19:42Z"/>
        <d v="2016-07-15T22:01:09Z"/>
        <d v="2016-07-12T22:39:00Z"/>
        <d v="2016-07-13T10:43:30Z"/>
        <d v="2016-07-13T17:23:53Z"/>
        <d v="2016-07-14T21:51:46Z"/>
        <d v="2016-07-15T08:43:21Z"/>
        <d v="2016-07-15T22:21:38Z"/>
        <d v="2016-07-12T13:56:00Z"/>
        <d v="2016-07-12T18:28:00Z"/>
        <d v="2016-07-13T19:46:35Z"/>
        <d v="2016-07-14T11:02:05Z"/>
        <d v="2016-07-14T18:03:53Z"/>
        <d v="2016-07-15T05:48:03Z"/>
        <d v="2016-07-15T19:24:59Z"/>
        <d v="2016-07-15T21:51:36Z"/>
        <d v="2016-07-15T23:45:13Z"/>
        <d v="2016-07-11T09:33:00Z"/>
        <d v="2016-07-12T08:09:00Z"/>
        <d v="2016-07-12T19:21:00Z"/>
        <d v="2016-07-13T12:51:13Z"/>
        <d v="2016-07-11T19:05:00Z"/>
        <d v="2016-07-12T20:12:00Z"/>
        <d v="2016-07-13T13:26:29Z"/>
        <d v="2016-07-13T20:23:33Z"/>
        <d v="2016-07-15T07:15:09Z"/>
        <d v="2016-07-15T23:20:36Z"/>
        <d v="2016-07-12T00:54:00Z"/>
        <d v="2016-07-12T06:45:00Z"/>
        <d v="2016-07-13T05:34:59Z"/>
        <d v="2016-07-13T10:41:55Z"/>
        <d v="2016-07-14T09:01:27Z"/>
        <d v="2016-07-14T20:42:51Z"/>
        <d v="2016-07-15T05:11:57Z"/>
        <d v="2016-07-15T20:32:52Z"/>
        <d v="2016-07-11T19:42:00Z"/>
        <d v="2016-07-13T09:02:47Z"/>
        <d v="2016-07-14T21:19:45Z"/>
        <d v="2016-07-15T20:20:10Z"/>
        <d v="2016-07-11T09:28:00Z"/>
        <d v="2016-07-11T12:35:00Z"/>
        <d v="2016-07-11T20:39:00Z"/>
        <d v="2016-07-12T07:24:00Z"/>
        <d v="2016-07-12T23:11:00Z"/>
        <d v="2016-07-13T06:01:11Z"/>
        <d v="2016-07-13T21:38:20Z"/>
        <d v="2016-07-14T22:38:38Z"/>
        <d v="2016-07-15T06:44:16Z"/>
        <d v="2016-07-11T02:04:00Z"/>
        <d v="2016-07-11T06:05:00Z"/>
        <d v="2016-07-12T08:53:00Z"/>
        <d v="2016-07-12T22:50:00Z"/>
        <d v="2016-07-13T06:58:03Z"/>
        <d v="2016-07-13T19:28:20Z"/>
        <d v="2016-07-14T00:38:29Z"/>
        <d v="2016-07-14T04:54:07Z"/>
        <d v="2016-07-14T17:34:16Z"/>
        <d v="2016-07-15T13:55:13Z"/>
        <d v="2016-07-12T20:00:00Z"/>
        <d v="2016-07-13T12:01:34Z"/>
        <d v="2016-07-13T18:16:19Z"/>
        <d v="2016-07-13T23:57:31Z"/>
        <d v="2016-07-14T04:29:45Z"/>
        <d v="2016-07-14T05:49:16Z"/>
        <d v="2016-07-14T17:16:21Z"/>
        <d v="2016-07-14T21:48:59Z"/>
        <d v="2016-07-14T23:56:41Z"/>
        <d v="2016-07-15T18:14:56Z"/>
        <d v="2016-07-12T18:24:00Z"/>
        <d v="2016-07-13T07:39:52Z"/>
        <d v="2016-07-13T21:12:43Z"/>
        <d v="2016-07-14T08:46:30Z"/>
        <d v="2016-07-14T20:28:32Z"/>
        <d v="2016-07-15T18:31:31Z"/>
        <d v="2016-07-13T06:31:22Z"/>
        <d v="2016-07-13T12:33:21Z"/>
        <d v="2016-07-13T22:26:08Z"/>
        <d v="2016-07-15T09:07:09Z"/>
        <d v="2016-07-13T06:08:41Z"/>
        <d v="2016-07-14T17:07:58Z"/>
        <d v="2016-07-14T20:51:37Z"/>
        <d v="2016-07-15T10:12:40Z"/>
        <d v="2016-07-12T19:14:00Z"/>
        <d v="2016-07-13T20:57:49Z"/>
        <d v="2016-07-14T08:38:38Z"/>
        <d v="2016-07-14T19:04:08Z"/>
        <d v="2016-07-14T07:48:31Z"/>
        <d v="2016-07-11T15:49:00Z"/>
        <d v="2016-07-11T21:53:00Z"/>
        <d v="2016-07-13T20:58:00Z"/>
        <d v="2016-07-14T06:33:09Z"/>
        <d v="2016-07-14T09:31:08Z"/>
        <d v="2016-07-13T10:01:57Z"/>
        <d v="2016-07-14T06:39:26Z"/>
        <d v="2016-07-13T07:56:25Z"/>
        <d v="2016-07-15T05:30:31Z"/>
        <d v="2016-07-15T07:25:53Z"/>
        <d v="2016-07-15T07:34:00Z"/>
        <d v="2016-07-11T06:33:00Z"/>
        <d v="2016-07-12T21:42:00Z"/>
        <d v="2016-07-13T09:21:36Z"/>
        <d v="2016-07-14T05:19:59Z"/>
        <d v="2016-07-14T07:13:52Z"/>
        <d v="2016-07-13T07:04:48Z"/>
        <d v="2016-07-13T18:03:30Z"/>
        <d v="2016-07-14T08:43:07Z"/>
        <d v="2016-07-14T05:22:51Z"/>
        <d v="2016-07-14T10:08:43Z"/>
        <d v="2016-07-14T12:23:07Z"/>
        <d v="2016-07-11T10:36:00Z"/>
        <d v="2016-07-13T17:46:24Z"/>
        <d v="2016-07-14T08:42:11Z"/>
        <d v="2016-07-13T04:59:16Z"/>
        <d v="2016-07-13T21:10:52Z"/>
        <d v="2016-07-14T08:32:41Z"/>
        <d v="2016-07-14T13:00:39Z"/>
        <d v="2016-07-11T07:20:00Z"/>
        <d v="2016-07-13T05:57:46Z"/>
        <d v="2016-07-13T08:50:25Z"/>
        <d v="2016-07-13T21:06:22Z"/>
        <d v="2016-07-14T09:59:40Z"/>
        <d v="2016-07-15T08:34:59Z"/>
        <d v="2016-07-12T07:20:00Z"/>
        <d v="2016-07-13T05:54:41Z"/>
        <d v="2016-07-14T06:23:43Z"/>
        <d v="2016-07-15T06:28:59Z"/>
        <d v="2016-07-15T07:32:18Z"/>
        <d v="2016-07-15T07:04:59Z"/>
        <d v="2016-07-13T05:37:28Z"/>
        <d v="2016-07-14T18:40:44Z"/>
        <d v="2016-07-11T07:54:00Z"/>
        <d v="2016-07-12T10:04:00Z"/>
        <d v="2016-07-13T09:09:56Z"/>
        <d v="2016-07-14T10:09:44Z"/>
        <d v="2016-07-14T20:55:57Z"/>
        <d v="2016-07-15T04:49:38Z"/>
        <d v="2016-07-11T04:58:00Z"/>
        <d v="2016-07-11T05:15:00Z"/>
        <d v="2016-07-13T05:59:57Z"/>
        <d v="2016-07-13T09:09:08Z"/>
        <d v="2016-07-11T06:26:00Z"/>
        <d v="2016-07-11T07:00:00Z"/>
        <d v="2016-07-11T10:13:00Z"/>
        <d v="2016-07-14T07:08:58Z"/>
        <d v="2016-07-15T07:44:45Z"/>
        <d v="2016-07-12T05:01:00Z"/>
        <d v="2016-07-11T06:32:00Z"/>
        <d v="2016-07-12T06:52:00Z"/>
        <d v="2016-07-13T08:13:10Z"/>
        <d v="2016-07-15T17:55:33Z"/>
        <d v="2016-07-14T09:34:22Z"/>
        <d v="2016-07-13T06:15:34Z"/>
        <d v="2016-07-11T06:52:00Z"/>
        <d v="2016-07-12T06:47:00Z"/>
        <d v="2016-07-13T08:59:46Z"/>
        <d v="2016-07-13T09:48:01Z"/>
        <d v="2016-07-14T09:22:12Z"/>
        <d v="2016-07-14T10:09:46Z"/>
        <d v="2016-07-15T04:45:54Z"/>
        <d v="2016-07-15T04:48:51Z"/>
        <d v="2016-07-15T09:05:17Z"/>
        <d v="2016-07-12T08:50:00Z"/>
        <d v="2016-07-12T10:58:00Z"/>
        <d v="2016-07-13T08:01:01Z"/>
        <d v="2016-07-14T16:55:27Z"/>
        <d v="2016-07-12T15:43:00Z"/>
        <d v="2016-07-13T09:16:05Z"/>
        <d v="2016-07-15T09:20:22Z"/>
        <d v="2016-07-11T06:14:00Z"/>
        <d v="2016-07-13T12:02:50Z"/>
        <d v="2016-07-12T05:12:00Z"/>
        <d v="2016-07-12T17:36:00Z"/>
        <d v="2016-07-13T20:42:07Z"/>
        <d v="2016-07-15T09:05:38Z"/>
        <d v="2016-07-15T09:22:33Z"/>
        <d v="2016-07-13T06:37:29Z"/>
        <d v="2016-07-14T08:18:30Z"/>
        <d v="2016-07-15T06:44:12Z"/>
        <d v="2016-07-15T09:02:38Z"/>
        <d v="2016-07-14T04:52:26Z"/>
        <d v="2016-07-14T06:03:16Z"/>
        <d v="2016-07-14T08:47:12Z"/>
        <d v="2016-07-12T21:53:00Z"/>
        <d v="2016-07-15T08:05:15Z"/>
        <d v="2016-07-12T05:54:00Z"/>
        <d v="2016-07-15T07:42:16Z"/>
        <d v="2016-07-13T08:43:10Z"/>
        <d v="2016-07-14T04:45:57Z"/>
        <d v="2016-07-14T08:17:14Z"/>
        <d v="2016-07-14T09:39:53Z"/>
        <d v="2016-07-15T06:17:34Z"/>
        <d v="2016-07-11T10:48:00Z"/>
        <d v="2016-07-14T08:01:16Z"/>
        <d v="2016-07-14T09:43:35Z"/>
        <d v="2016-07-14T09:52:32Z"/>
        <d v="2016-07-13T07:23:01Z"/>
        <d v="2016-07-14T08:46:34Z"/>
        <d v="2016-07-15T07:43:27Z"/>
        <d v="2016-07-15T09:19:04Z"/>
        <d v="2016-07-15T10:27:59Z"/>
        <d v="2016-07-11T08:55:00Z"/>
        <d v="2016-07-13T09:55:14Z"/>
        <d v="2016-07-15T05:58:15Z"/>
        <d v="2016-07-11T08:27:00Z"/>
        <d v="2016-07-13T06:34:48Z"/>
        <d v="2016-07-11T07:09:00Z"/>
        <d v="2016-07-13T06:56:12Z"/>
        <d v="2016-07-14T09:23:01Z"/>
        <d v="2016-07-15T08:55:31Z"/>
        <d v="2016-07-15T09:38:50Z"/>
        <d v="2016-07-12T09:10:00Z"/>
        <d v="2016-07-12T20:41:00Z"/>
        <d v="2016-07-14T06:49:09Z"/>
        <d v="2016-07-14T07:29:23Z"/>
        <d v="2016-07-15T07:37:00Z"/>
        <d v="2016-07-15T08:24:01Z"/>
        <d v="2016-07-11T08:47:00Z"/>
        <d v="2016-07-12T06:41:00Z"/>
        <d v="2016-07-14T21:52:23Z"/>
        <d v="2016-07-15T21:05:03Z"/>
        <d v="2016-07-12T21:06:00Z"/>
        <d v="2016-07-13T06:27:38Z"/>
        <d v="2016-07-11T05:20:00Z"/>
        <d v="2016-07-12T10:02:00Z"/>
        <d v="2016-07-14T18:03:24Z"/>
        <d v="2016-07-11T06:55:00Z"/>
        <d v="2016-07-12T01:07:00Z"/>
        <d v="2016-07-15T04:44:00Z"/>
        <d v="2016-07-15T04:50:42Z"/>
        <d v="2016-07-15T17:43:28Z"/>
        <d v="2016-07-13T06:35:21Z"/>
        <d v="2016-07-15T08:29:04Z"/>
        <d v="2016-07-12T09:01:00Z"/>
        <d v="2016-07-12T09:08:00Z"/>
        <d v="2016-07-14T04:57:22Z"/>
        <d v="2016-07-13T20:05:22Z"/>
        <d v="2016-07-14T17:37:48Z"/>
        <d v="2016-07-12T10:27:00Z"/>
        <d v="2016-07-12T15:40:00Z"/>
        <d v="2016-07-12T20:50:00Z"/>
        <d v="2016-07-13T05:05:12Z"/>
        <d v="2016-07-13T06:01:55Z"/>
        <d v="2016-07-13T07:34:14Z"/>
        <d v="2016-07-13T09:48:34Z"/>
        <d v="2016-07-14T07:23:36Z"/>
        <d v="2016-07-15T17:27:11Z"/>
        <d v="2016-07-15T21:16:46Z"/>
        <d v="2016-07-14T07:07:46Z"/>
        <d v="2016-07-14T15:30:06Z"/>
        <d v="2016-07-11T07:36:00Z"/>
        <d v="2016-07-11T08:43:00Z"/>
        <d v="2016-07-13T22:16:51Z"/>
        <d v="2016-07-14T08:03:39Z"/>
        <d v="2016-07-11T19:27:00Z"/>
        <d v="2016-07-12T06:02:00Z"/>
        <d v="2016-07-13T06:10:59Z"/>
        <d v="2016-07-13T07:34:01Z"/>
        <d v="2016-07-14T05:07:32Z"/>
        <d v="2016-07-15T01:45:43Z"/>
        <d v="2016-07-11T07:33:00Z"/>
        <d v="2016-07-14T07:31:35Z"/>
        <d v="2016-07-14T09:48:36Z"/>
        <d v="2016-07-15T07:33:52Z"/>
        <d v="2016-07-13T05:35:47Z"/>
        <d v="2016-07-15T05:45:17Z"/>
        <d v="2016-07-11T06:22:00Z"/>
        <d v="2016-07-12T16:20:00Z"/>
        <d v="2016-07-14T05:50:10Z"/>
        <d v="2016-07-11T05:37:00Z"/>
        <d v="2016-07-11T05:57:00Z"/>
        <d v="2016-07-13T07:11:45Z"/>
        <d v="2016-07-13T16:01:28Z"/>
        <d v="2016-07-15T05:31:14Z"/>
        <d v="2016-07-12T08:17:00Z"/>
        <d v="2016-07-13T06:54:58Z"/>
        <d v="2016-07-13T07:08:36Z"/>
        <d v="2016-07-13T21:40:55Z"/>
        <d v="2016-07-14T08:56:21Z"/>
        <d v="2016-07-14T10:22:45Z"/>
        <d v="2016-07-13T16:49:15Z"/>
        <d v="2016-07-14T07:08:40Z"/>
        <d v="2016-07-12T08:18:00Z"/>
        <d v="2016-07-13T10:20:35Z"/>
        <d v="2016-07-13T11:59:21Z"/>
        <d v="2016-07-13T19:25:29Z"/>
        <d v="2016-07-15T15:36:17Z"/>
        <d v="2016-07-12T05:44:00Z"/>
        <d v="2016-07-12T13:30:00Z"/>
        <d v="2016-07-13T06:31:03Z"/>
        <d v="2016-07-15T19:29:17Z"/>
        <d v="2016-07-11T05:42:00Z"/>
        <d v="2016-07-13T09:23:48Z"/>
        <d v="2016-07-13T10:04:18Z"/>
        <d v="2016-07-14T07:30:30Z"/>
        <d v="2016-07-15T23:12:21Z"/>
        <d v="2016-07-11T09:50:00Z"/>
        <d v="2016-07-12T21:24:00Z"/>
        <d v="2016-07-13T11:10:46Z"/>
        <d v="2016-07-15T08:36:49Z"/>
        <d v="2016-07-15T09:53:55Z"/>
        <d v="2016-07-13T09:05:57Z"/>
        <d v="2016-07-13T17:47:46Z"/>
        <d v="2016-07-14T06:26:10Z"/>
        <d v="2016-07-15T08:53:49Z"/>
        <d v="2016-07-11T05:34:00Z"/>
        <d v="2016-07-15T05:03:26Z"/>
        <d v="2016-07-15T06:50:34Z"/>
        <d v="2016-07-15T07:50:43Z"/>
        <d v="2016-07-13T20:58:40Z"/>
        <d v="2016-07-15T08:56:04Z"/>
        <d v="2016-07-15T11:39:58Z"/>
        <d v="2016-07-11T07:55:00Z"/>
        <d v="2016-07-12T09:39:00Z"/>
        <d v="2016-07-12T13:46:00Z"/>
        <d v="2016-07-15T09:33:07Z"/>
        <d v="2016-07-15T14:40:08Z"/>
        <d v="2016-07-13T05:28:12Z"/>
        <d v="2016-07-12T04:24:00Z"/>
        <d v="2016-07-13T06:52:10Z"/>
        <d v="2016-07-15T05:53:54Z"/>
        <d v="2016-07-12T07:59:00Z"/>
        <d v="2016-07-13T15:05:30Z"/>
        <d v="2016-07-14T06:40:29Z"/>
        <d v="2016-07-13T00:00:24Z"/>
        <d v="2016-07-13T09:44:52Z"/>
        <d v="2016-07-14T05:10:41Z"/>
        <d v="2016-07-14T05:54:41Z"/>
        <d v="2016-07-15T09:46:14Z"/>
        <d v="2016-07-15T22:02:02Z"/>
        <d v="2016-07-11T06:12:00Z"/>
        <d v="2016-07-11T08:35:00Z"/>
        <d v="2016-07-11T10:23:00Z"/>
        <d v="2016-07-11T17:47:00Z"/>
        <d v="2016-07-12T08:38:00Z"/>
        <d v="2016-07-13T05:17:08Z"/>
        <d v="2016-07-13T08:55:48Z"/>
        <d v="2016-07-14T08:59:45Z"/>
        <d v="2016-07-14T15:52:41Z"/>
        <d v="2016-07-15T05:01:35Z"/>
        <d v="2016-07-15T05:27:47Z"/>
        <d v="2016-07-12T13:19:00Z"/>
        <d v="2016-07-14T05:27:26Z"/>
        <d v="2016-07-14T09:43:37Z"/>
        <d v="2016-07-15T08:46:33Z"/>
        <d v="2016-07-13T10:01:02Z"/>
        <d v="2016-07-15T06:08:30Z"/>
        <d v="2016-07-12T06:17:00Z"/>
        <d v="2016-07-12T07:30:00Z"/>
        <d v="2016-07-12T13:45:00Z"/>
        <d v="2016-07-13T09:34:22Z"/>
        <d v="2016-07-15T06:59:47Z"/>
        <d v="2016-07-15T09:58:03Z"/>
        <d v="2016-07-15T17:32:54Z"/>
        <d v="2016-07-11T09:59:00Z"/>
        <d v="2016-07-11T20:33:00Z"/>
        <d v="2016-07-12T07:57:00Z"/>
        <d v="2016-07-13T03:24:24Z"/>
        <d v="2016-07-13T05:54:44Z"/>
        <d v="2016-07-13T09:32:18Z"/>
        <d v="2016-07-13T09:33:21Z"/>
        <d v="2016-07-13T17:51:15Z"/>
        <d v="2016-07-14T06:40:54Z"/>
        <d v="2016-07-14T08:55:30Z"/>
        <d v="2016-07-11T07:40:00Z"/>
        <d v="2016-07-13T13:20:21Z"/>
        <d v="2016-07-14T05:28:28Z"/>
        <d v="2016-07-15T07:17:02Z"/>
        <d v="2016-07-13T05:55:36Z"/>
        <d v="2016-07-14T06:46:41Z"/>
        <d v="2016-07-15T10:13:46Z"/>
        <d v="2016-07-11T09:11:00Z"/>
        <d v="2016-07-14T09:07:46Z"/>
        <d v="2016-07-11T08:52:00Z"/>
        <d v="2016-07-15T05:41:45Z"/>
        <d v="2016-07-15T07:05:11Z"/>
        <d v="2016-07-15T19:10:02Z"/>
        <d v="2016-07-15T06:15:40Z"/>
        <d v="2016-07-15T09:04:50Z"/>
        <d v="2016-07-11T10:03:00Z"/>
        <d v="2016-07-13T05:20:11Z"/>
        <d v="2016-07-13T07:05:55Z"/>
        <d v="2016-07-13T07:27:44Z"/>
        <d v="2016-07-14T05:06:35Z"/>
        <d v="2016-07-13T16:01:54Z"/>
        <d v="2016-07-14T05:13:45Z"/>
        <d v="2016-07-15T05:04:48Z"/>
        <d v="2016-07-15T07:49:27Z"/>
        <d v="2016-07-11T07:46:00Z"/>
        <d v="2016-07-13T07:43:49Z"/>
        <d v="2016-07-15T18:39:39Z"/>
        <d v="2016-07-15T20:11:36Z"/>
        <d v="2016-07-13T10:08:10Z"/>
        <d v="2016-07-14T09:01:54Z"/>
        <d v="2016-07-13T09:24:57Z"/>
        <d v="2016-07-14T05:08:03Z"/>
        <d v="2016-07-14T05:25:55Z"/>
        <d v="2016-07-15T19:19:26Z"/>
        <d v="2016-07-11T21:34:00Z"/>
        <d v="2016-07-12T06:35:00Z"/>
        <d v="2016-07-12T09:20:00Z"/>
        <d v="2016-07-15T07:09:12Z"/>
        <d v="2016-07-11T06:25:00Z"/>
        <d v="2016-07-11T10:10:00Z"/>
        <d v="2016-07-12T22:06:00Z"/>
        <d v="2016-07-15T05:00:30Z"/>
        <d v="2016-07-15T07:06:58Z"/>
        <d v="2016-07-11T09:25:00Z"/>
        <d v="2016-07-11T10:07:00Z"/>
        <d v="2016-07-11T21:32:00Z"/>
        <d v="2016-07-12T21:45:00Z"/>
        <d v="2016-07-13T08:57:47Z"/>
        <d v="2016-07-15T09:10:12Z"/>
        <d v="2016-07-13T06:26:18Z"/>
        <d v="2016-07-15T05:30:53Z"/>
        <d v="2016-07-11T23:42:00Z"/>
        <d v="2016-07-12T02:39:00Z"/>
        <d v="2016-07-12T20:30:00Z"/>
        <d v="2016-07-13T07:27:40Z"/>
        <d v="2016-07-14T08:28:21Z"/>
        <d v="2016-07-12T08:23:00Z"/>
        <d v="2016-07-15T06:14:39Z"/>
        <d v="2016-07-15T07:39:12Z"/>
        <d v="2016-07-11T20:14:00Z"/>
        <d v="2016-07-13T07:35:16Z"/>
        <d v="2016-07-13T08:22:13Z"/>
        <d v="2016-07-14T06:48:59Z"/>
        <d v="2016-07-14T17:25:49Z"/>
        <d v="2016-07-15T09:09:32Z"/>
        <d v="2016-07-12T11:13:00Z"/>
        <d v="2016-07-13T11:18:55Z"/>
        <d v="2016-07-14T20:19:26Z"/>
        <d v="2016-07-15T06:34:09Z"/>
        <d v="2016-07-11T07:22:00Z"/>
        <d v="2016-07-13T05:55:20Z"/>
        <d v="2016-07-14T05:58:24Z"/>
        <d v="2016-07-14T08:18:46Z"/>
        <d v="2016-07-13T07:39:44Z"/>
        <d v="2016-07-15T22:12:00Z"/>
        <d v="2016-07-11T08:24:00Z"/>
        <d v="2016-07-15T07:44:55Z"/>
        <d v="2016-07-15T18:20:30Z"/>
        <d v="2016-07-11T08:16:00Z"/>
        <d v="2016-07-13T07:32:06Z"/>
        <d v="2016-07-13T19:28:05Z"/>
        <d v="2016-07-14T05:24:34Z"/>
        <d v="2016-07-14T06:23:20Z"/>
        <d v="2016-07-12T09:54:00Z"/>
        <d v="2016-07-12T15:27:00Z"/>
        <d v="2016-07-13T08:36:12Z"/>
        <d v="2016-07-14T17:56:19Z"/>
        <d v="2016-07-12T02:42:00Z"/>
        <d v="2016-07-13T04:58:06Z"/>
        <d v="2016-07-12T19:52:00Z"/>
        <d v="2016-07-14T17:55:51Z"/>
        <d v="2016-07-13T04:43:32Z"/>
        <d v="2016-07-14T17:40:14Z"/>
        <d v="2016-07-15T08:35:31Z"/>
        <d v="2016-07-11T05:54:00Z"/>
        <d v="2016-07-12T08:02:00Z"/>
        <d v="2016-07-13T07:42:32Z"/>
        <d v="2016-07-13T21:06:59Z"/>
        <d v="2016-07-14T05:27:38Z"/>
        <d v="2016-07-14T07:45:41Z"/>
        <d v="2016-07-14T09:33:37Z"/>
        <d v="2016-07-14T15:59:04Z"/>
        <d v="2016-07-15T02:11:10Z"/>
        <d v="2016-07-13T23:45:26Z"/>
        <d v="2016-07-14T09:40:49Z"/>
        <d v="2016-07-11T07:59:00Z"/>
        <d v="2016-07-13T07:25:48Z"/>
        <d v="2016-07-15T04:42:55Z"/>
        <d v="2016-07-15T07:47:32Z"/>
        <d v="2016-07-15T08:57:28Z"/>
        <d v="2016-07-13T08:56:49Z"/>
        <d v="2016-07-11T05:44:00Z"/>
        <d v="2016-07-11T07:30:00Z"/>
        <d v="2016-07-13T06:57:56Z"/>
        <d v="2016-07-15T07:26:32Z"/>
        <d v="2016-07-15T07:57:58Z"/>
        <d v="2016-07-11T08:39:00Z"/>
        <d v="2016-07-12T20:35:00Z"/>
        <d v="2016-07-14T07:35:39Z"/>
        <d v="2016-07-14T08:36:56Z"/>
        <d v="2016-07-14T14:09:23Z"/>
        <d v="2016-07-15T08:40:38Z"/>
        <d v="2016-07-13T21:36:47Z"/>
        <d v="2016-07-15T08:20:33Z"/>
        <d v="2016-07-15T08:47:14Z"/>
        <d v="2016-07-15T08:50:52Z"/>
        <d v="2016-07-13T20:45:49Z"/>
        <d v="2016-07-14T11:17:20Z"/>
        <d v="2016-07-11T08:59:00Z"/>
        <d v="2016-07-11T05:14:00Z"/>
        <d v="2016-07-14T08:53:59Z"/>
        <d v="2016-07-15T05:30:17Z"/>
        <d v="2016-07-13T06:19:51Z"/>
        <d v="2016-07-13T09:10:16Z"/>
        <d v="2016-07-13T10:19:32Z"/>
        <d v="2016-07-15T23:59:29Z"/>
        <d v="2016-07-11T17:44:00Z"/>
        <d v="2016-07-13T09:11:22Z"/>
        <d v="2016-07-13T09:45:21Z"/>
        <d v="2016-07-13T04:58:21Z"/>
        <d v="2016-07-13T10:02:13Z"/>
        <d v="2016-07-14T06:13:47Z"/>
        <d v="2016-07-15T05:58:18Z"/>
        <d v="2016-07-11T10:04:00Z"/>
        <d v="2016-07-12T09:02:00Z"/>
        <d v="2016-07-13T06:12:30Z"/>
        <d v="2016-07-11T09:32:00Z"/>
        <d v="2016-07-11T18:44:00Z"/>
        <d v="2016-07-12T05:39:00Z"/>
        <d v="2016-07-13T06:23:23Z"/>
        <d v="2016-07-14T07:55:58Z"/>
        <d v="2016-07-15T06:44:03Z"/>
        <d v="2016-07-15T18:50:59Z"/>
        <d v="2016-07-11T06:43:00Z"/>
        <d v="2016-07-13T06:00:28Z"/>
        <d v="2016-07-15T19:23:51Z"/>
        <d v="2016-07-11T06:23:00Z"/>
        <d v="2016-07-12T08:20:00Z"/>
        <d v="2016-07-13T04:57:03Z"/>
        <d v="2016-07-13T06:22:21Z"/>
        <d v="2016-07-15T09:09:40Z"/>
        <d v="2016-07-12T08:26:00Z"/>
        <d v="2016-07-13T08:28:37Z"/>
        <d v="2016-07-13T13:29:42Z"/>
        <d v="2016-07-13T23:56:13Z"/>
        <d v="2016-07-14T05:08:28Z"/>
        <d v="2016-07-14T06:51:11Z"/>
        <d v="2016-07-14T20:08:14Z"/>
        <d v="2016-07-11T20:19:00Z"/>
        <d v="2016-07-14T21:01:34Z"/>
        <d v="2016-07-15T06:50:14Z"/>
        <d v="2016-07-12T08:30:00Z"/>
        <d v="2016-07-12T12:25:00Z"/>
        <d v="2016-07-13T05:41:43Z"/>
        <d v="2016-07-13T09:41:26Z"/>
        <d v="2016-07-15T04:49:57Z"/>
        <d v="2016-07-15T07:38:39Z"/>
        <d v="2016-07-12T23:41:00Z"/>
        <d v="2016-07-13T19:49:17Z"/>
        <d v="2016-07-14T18:16:03Z"/>
        <d v="2016-07-15T07:02:11Z"/>
        <d v="2016-07-11T05:40:00Z"/>
        <d v="2016-07-13T07:05:11Z"/>
        <d v="2016-07-13T10:17:21Z"/>
        <d v="2016-07-13T20:54:30Z"/>
        <d v="2016-07-14T17:29:15Z"/>
        <d v="2016-07-15T05:11:09Z"/>
        <d v="2016-07-12T07:39:00Z"/>
        <d v="2016-07-12T09:25:00Z"/>
        <d v="2016-07-13T07:30:26Z"/>
        <d v="2016-07-13T09:13:18Z"/>
        <d v="2016-07-13T17:32:32Z"/>
        <d v="2016-07-14T07:28:41Z"/>
        <d v="2016-07-14T09:48:08Z"/>
        <d v="2016-07-12T09:51:00Z"/>
        <d v="2016-07-13T05:36:09Z"/>
        <d v="2016-07-14T07:07:05Z"/>
        <d v="2016-07-14T07:22:16Z"/>
        <d v="2016-07-14T17:07:02Z"/>
        <d v="2016-07-13T21:33:48Z"/>
        <d v="2016-07-14T05:20:42Z"/>
        <d v="2016-07-14T08:39:54Z"/>
        <d v="2016-07-12T14:45:00Z"/>
        <d v="2016-07-13T05:05:37Z"/>
        <d v="2016-07-13T09:17:54Z"/>
        <d v="2016-07-14T09:42:41Z"/>
        <d v="2016-07-15T05:28:23Z"/>
        <d v="2016-07-11T10:11:00Z"/>
        <d v="2016-07-12T09:47:00Z"/>
        <d v="2016-07-12T21:13:00Z"/>
        <d v="2016-07-13T07:44:50Z"/>
        <d v="2016-07-13T07:48:06Z"/>
        <d v="2016-07-13T08:34:25Z"/>
        <d v="2016-07-15T05:13:29Z"/>
        <d v="2016-07-15T07:33:51Z"/>
        <d v="2016-07-15T08:30:14Z"/>
        <d v="2016-07-14T21:17:51Z"/>
        <d v="2016-07-14T05:56:33Z"/>
        <d v="2016-07-14T08:22:53Z"/>
        <d v="2016-07-15T06:42:26Z"/>
        <d v="2016-07-11T07:29:00Z"/>
        <d v="2016-07-15T05:53:49Z"/>
        <d v="2016-07-15T18:17:50Z"/>
        <d v="2016-07-12T14:00:00Z"/>
        <d v="2016-07-12T17:16:00Z"/>
        <d v="2016-07-13T04:55:29Z"/>
        <d v="2016-07-14T05:19:07Z"/>
        <d v="2016-07-14T09:46:31Z"/>
        <d v="2016-07-11T16:28:00Z"/>
        <d v="2016-07-13T04:43:35Z"/>
        <d v="2016-07-13T05:52:52Z"/>
        <d v="2016-07-15T19:14:38Z"/>
        <d v="2016-07-12T06:14:00Z"/>
        <d v="2016-07-12T10:12:00Z"/>
        <d v="2016-07-14T05:25:52Z"/>
        <d v="2016-07-14T08:33:35Z"/>
        <d v="2016-07-14T09:27:26Z"/>
        <d v="2016-07-14T09:54:33Z"/>
        <d v="2016-07-11T20:25:00Z"/>
        <d v="2016-07-13T07:53:01Z"/>
        <d v="2016-07-14T08:23:45Z"/>
        <d v="2016-07-13T07:41:31Z"/>
        <d v="2016-07-14T07:29:14Z"/>
        <d v="2016-07-14T10:07:14Z"/>
        <d v="2016-07-14T17:20:42Z"/>
        <d v="2016-07-14T21:50:06Z"/>
        <d v="2016-07-11T21:20:00Z"/>
        <d v="2016-07-13T05:26:10Z"/>
        <d v="2016-07-15T06:51:43Z"/>
        <d v="2016-07-15T08:32:01Z"/>
        <d v="2016-07-15T08:38:12Z"/>
        <d v="2016-07-15T09:13:49Z"/>
        <d v="2016-07-11T21:41:00Z"/>
        <d v="2016-07-14T06:33:14Z"/>
        <d v="2016-07-15T05:55:28Z"/>
        <d v="2016-07-15T08:14:30Z"/>
        <d v="2016-07-15T09:06:46Z"/>
        <d v="2016-07-11T04:45:00Z"/>
        <d v="2016-07-11T08:04:00Z"/>
        <d v="2016-07-13T18:18:27Z"/>
        <d v="2016-07-13T04:42:20Z"/>
        <d v="2016-07-14T05:32:02Z"/>
        <d v="2016-07-11T18:24:00Z"/>
        <d v="2016-07-15T10:05:36Z"/>
        <d v="2016-07-11T07:52:00Z"/>
        <d v="2016-07-11T19:44:00Z"/>
        <d v="2016-07-13T09:44:32Z"/>
        <d v="2016-07-13T21:33:23Z"/>
        <d v="2016-07-14T05:05:31Z"/>
        <d v="2016-07-14T12:00:32Z"/>
        <d v="2016-07-14T21:30:10Z"/>
        <d v="2016-07-15T08:18:13Z"/>
        <d v="2016-07-11T06:42:00Z"/>
        <d v="2016-07-11T09:52:00Z"/>
        <d v="2016-07-12T05:32:00Z"/>
        <d v="2016-07-13T05:54:55Z"/>
        <d v="2016-07-14T07:48:25Z"/>
        <d v="2016-07-13T05:22:30Z"/>
        <d v="2016-07-13T05:41:33Z"/>
        <d v="2016-07-13T07:48:31Z"/>
        <d v="2016-07-13T15:13:47Z"/>
        <d v="2016-07-14T04:59:16Z"/>
        <d v="2016-07-15T02:13:08Z"/>
        <d v="2016-07-15T21:08:41Z"/>
        <d v="2016-07-12T15:05:00Z"/>
        <d v="2016-07-13T09:20:52Z"/>
        <d v="2016-07-12T10:17:00Z"/>
        <d v="2016-07-11T20:43:00Z"/>
        <d v="2016-07-12T12:07:00Z"/>
        <d v="2016-07-13T17:00:06Z"/>
        <d v="2016-07-14T13:05:58Z"/>
        <d v="2016-07-14T13:10:50Z"/>
        <d v="2016-07-13T08:38:14Z"/>
        <d v="2016-07-13T12:24:55Z"/>
        <d v="2016-07-14T08:01:10Z"/>
        <d v="2016-07-14T08:02:38Z"/>
        <d v="2016-07-13T08:12:16Z"/>
        <d v="2016-07-13T22:01:58Z"/>
        <d v="2016-07-14T08:06:48Z"/>
        <d v="2016-07-11T04:51:00Z"/>
        <d v="2016-07-14T08:02:44Z"/>
        <d v="2016-07-15T06:13:51Z"/>
        <d v="2016-07-11T07:07:00Z"/>
        <d v="2016-07-11T13:40:00Z"/>
        <d v="2016-07-14T09:30:05Z"/>
        <d v="2016-07-14T09:39:29Z"/>
        <d v="2016-07-11T08:57:00Z"/>
        <d v="2016-07-13T09:32:49Z"/>
        <d v="2016-07-14T04:42:38Z"/>
        <d v="2016-07-14T05:27:13Z"/>
        <d v="2016-07-14T09:26:12Z"/>
        <d v="2016-07-15T09:23:40Z"/>
        <d v="2016-07-15T10:00:48Z"/>
        <d v="2016-07-13T06:01:35Z"/>
        <d v="2016-07-14T21:06:59Z"/>
        <d v="2016-07-15T20:35:06Z"/>
        <d v="2016-07-13T04:50:41Z"/>
        <d v="2016-07-13T05:00:10Z"/>
        <d v="2016-07-14T08:37:33Z"/>
        <d v="2016-07-15T06:58:27Z"/>
        <d v="2016-07-12T07:14:00Z"/>
        <d v="2016-07-13T20:27:16Z"/>
        <d v="2016-07-14T16:54:50Z"/>
        <d v="2016-07-13T07:31:04Z"/>
        <d v="2016-07-13T08:43:17Z"/>
        <d v="2016-07-14T05:51:55Z"/>
        <d v="2016-07-12T08:27:00Z"/>
        <d v="2016-07-14T04:45:23Z"/>
        <d v="2016-07-14T08:44:58Z"/>
        <d v="2016-07-14T21:18:23Z"/>
        <d v="2016-07-15T13:00:41Z"/>
        <d v="2016-07-14T05:34:56Z"/>
        <d v="2016-07-14T07:54:18Z"/>
        <d v="2016-07-11T05:09:00Z"/>
        <d v="2016-07-12T06:13:00Z"/>
        <d v="2016-07-13T19:28:43Z"/>
        <d v="2016-07-11T08:08:00Z"/>
        <d v="2016-07-11T16:56:00Z"/>
        <d v="2016-07-13T20:50:21Z"/>
        <d v="2016-07-12T07:06:00Z"/>
        <d v="2016-07-13T08:28:00Z"/>
        <d v="2016-07-15T07:38:04Z"/>
        <d v="2016-07-15T08:22:59Z"/>
        <d v="2016-07-13T08:35:33Z"/>
        <d v="2016-07-13T09:58:28Z"/>
        <d v="2016-07-14T07:00:12Z"/>
        <d v="2016-07-14T07:21:06Z"/>
        <d v="2016-07-15T08:32:49Z"/>
        <d v="2016-07-15T19:18:51Z"/>
        <d v="2016-07-11T06:17:00Z"/>
        <d v="2016-07-15T09:58:51Z"/>
        <d v="2016-07-12T09:34:00Z"/>
        <d v="2016-07-13T05:59:39Z"/>
        <d v="2016-07-14T05:56:04Z"/>
        <d v="2016-07-11T06:47:00Z"/>
        <d v="2016-07-11T17:37:00Z"/>
        <d v="2016-07-13T10:13:59Z"/>
        <d v="2016-07-14T05:46:51Z"/>
        <d v="2016-07-15T09:19:33Z"/>
        <d v="2016-07-14T04:56:49Z"/>
        <d v="2016-07-15T04:52:39Z"/>
        <d v="2016-07-15T07:00:08Z"/>
        <d v="2016-07-13T07:50:36Z"/>
        <d v="2016-07-15T06:43:04Z"/>
        <d v="2016-07-15T09:00:06Z"/>
        <d v="2016-07-13T05:15:44Z"/>
        <d v="2016-07-14T09:51:06Z"/>
        <d v="2016-07-15T04:56:11Z"/>
        <d v="2016-07-15T05:07:36Z"/>
        <d v="2016-07-13T06:33:43Z"/>
        <d v="2016-07-14T08:07:44Z"/>
        <d v="2016-07-14T08:13:50Z"/>
        <d v="2016-07-15T04:51:17Z"/>
        <d v="2016-07-15T12:25:21Z"/>
        <d v="2016-07-11T06:59:00Z"/>
        <d v="2016-07-12T17:22:00Z"/>
        <d v="2016-07-13T04:51:42Z"/>
        <d v="2016-07-14T08:36:44Z"/>
        <d v="2016-07-11T20:23:00Z"/>
        <d v="2016-07-13T09:13:12Z"/>
        <d v="2016-07-15T05:58:50Z"/>
        <d v="2016-07-15T06:34:40Z"/>
        <d v="2016-07-15T16:45:26Z"/>
        <d v="2016-07-11T08:21:00Z"/>
        <d v="2016-07-15T07:51:13Z"/>
        <d v="2016-07-11T01:16:00Z"/>
        <d v="2016-07-15T05:21:37Z"/>
        <d v="2016-07-15T09:49:21Z"/>
        <d v="2016-07-11T05:56:00Z"/>
        <d v="2016-07-12T05:05:00Z"/>
        <d v="2016-07-12T05:20:00Z"/>
        <d v="2016-07-13T06:53:00Z"/>
        <d v="2016-07-14T07:10:46Z"/>
        <d v="2016-07-15T08:03:18Z"/>
        <d v="2016-07-15T09:08:43Z"/>
        <d v="2016-07-15T12:55:58Z"/>
        <d v="2016-07-11T12:31:00Z"/>
        <d v="2016-07-13T08:55:43Z"/>
        <d v="2016-07-13T15:18:33Z"/>
        <d v="2016-07-14T05:16:42Z"/>
        <d v="2016-07-15T10:01:19Z"/>
        <d v="2016-07-13T17:36:54Z"/>
        <d v="2016-07-15T06:52:54Z"/>
        <d v="2016-07-15T06:54:05Z"/>
        <d v="2016-07-11T12:29:00Z"/>
        <d v="2016-07-12T16:29:00Z"/>
        <d v="2016-07-14T10:04:38Z"/>
        <d v="2016-07-15T06:33:43Z"/>
        <d v="2016-07-14T06:08:00Z"/>
        <d v="2016-07-15T08:38:36Z"/>
        <d v="2016-07-15T14:52:59Z"/>
        <d v="2016-07-14T06:50:42Z"/>
        <d v="2016-07-12T19:36:00Z"/>
        <d v="2016-07-13T07:15:35Z"/>
        <d v="2016-07-13T08:40:50Z"/>
        <d v="2016-07-13T21:56:05Z"/>
        <d v="2016-07-15T15:38:23Z"/>
        <d v="2016-07-15T18:29:19Z"/>
        <d v="2016-07-15T20:54:55Z"/>
        <d v="2016-07-14T05:07:00Z"/>
        <d v="2016-07-14T06:52:50Z"/>
        <d v="2016-07-14T07:55:00Z"/>
        <d v="2016-07-15T07:08:58Z"/>
        <d v="2016-07-11T05:58:00Z"/>
        <d v="2016-07-13T08:31:41Z"/>
        <d v="2016-07-14T05:05:12Z"/>
        <d v="2016-07-13T05:24:17Z"/>
        <d v="2016-07-13T09:04:03Z"/>
        <d v="2016-07-13T16:39:36Z"/>
        <d v="2016-07-14T09:36:37Z"/>
        <d v="2016-07-14T16:59:22Z"/>
        <d v="2016-07-11T05:02:00Z"/>
        <d v="2016-07-15T13:35:03Z"/>
        <d v="2016-07-13T08:52:30Z"/>
        <d v="2016-07-14T09:35:38Z"/>
        <d v="2016-07-15T09:58:37Z"/>
        <d v="2016-07-15T06:25:41Z"/>
        <d v="2016-07-15T07:24:11Z"/>
        <d v="2016-07-15T19:47:39Z"/>
        <d v="2016-07-11T14:22:00Z"/>
        <d v="2016-07-14T08:11:36Z"/>
        <d v="2016-07-14T09:33:28Z"/>
        <d v="2016-07-13T09:12:19Z"/>
        <d v="2016-07-15T18:05:37Z"/>
        <d v="2016-07-11T06:41:00Z"/>
        <d v="2016-07-11T09:54:00Z"/>
        <d v="2016-07-12T05:55:00Z"/>
        <d v="2016-07-15T08:44:58Z"/>
        <d v="2016-07-13T10:13:25Z"/>
        <d v="2016-07-13T23:43:03Z"/>
        <d v="2016-07-14T09:53:19Z"/>
        <d v="2016-07-12T08:25:00Z"/>
        <d v="2016-07-14T09:51:07Z"/>
        <d v="2016-07-15T05:24:02Z"/>
        <d v="2016-07-12T22:56:00Z"/>
        <d v="2016-07-13T09:24:46Z"/>
        <d v="2016-07-13T15:42:36Z"/>
        <d v="2016-07-11T07:06:00Z"/>
        <d v="2016-07-13T23:04:14Z"/>
        <d v="2016-07-14T07:18:19Z"/>
        <d v="2016-07-14T08:33:10Z"/>
        <d v="2016-07-14T22:12:35Z"/>
        <d v="2016-07-13T06:28:41Z"/>
        <d v="2016-07-13T09:28:29Z"/>
        <d v="2016-07-14T05:37:33Z"/>
        <d v="2016-07-14T21:29:36Z"/>
        <d v="2016-07-15T20:01:14Z"/>
        <d v="2016-07-13T05:06:08Z"/>
        <d v="2016-07-13T07:50:41Z"/>
        <d v="2016-07-14T11:39:07Z"/>
        <d v="2016-07-15T09:36:17Z"/>
        <d v="2016-07-14T02:55:40Z"/>
        <d v="2016-07-14T05:44:07Z"/>
        <d v="2016-07-13T09:35:28Z"/>
        <d v="2016-07-13T17:57:13Z"/>
        <d v="2016-07-11T00:09:00Z"/>
        <d v="2016-07-14T04:42:23Z"/>
        <d v="2016-07-14T07:47:21Z"/>
        <d v="2016-07-14T08:27:11Z"/>
        <d v="2016-07-15T07:47:23Z"/>
        <d v="2016-07-15T19:49:25Z"/>
        <d v="2016-07-11T12:03:00Z"/>
        <d v="2016-07-13T04:24:36Z"/>
        <d v="2016-07-13T05:48:58Z"/>
        <d v="2016-07-13T12:21:11Z"/>
        <d v="2016-07-14T09:49:16Z"/>
        <d v="2016-07-14T10:08:30Z"/>
        <d v="2016-07-14T22:34:33Z"/>
        <d v="2016-07-12T20:11:00Z"/>
        <d v="2016-07-13T06:19:03Z"/>
        <d v="2016-07-14T13:23:54Z"/>
        <d v="2016-07-11T08:25:00Z"/>
        <d v="2016-07-13T05:13:35Z"/>
        <d v="2016-07-13T08:13:41Z"/>
        <d v="2016-07-14T04:46:40Z"/>
        <d v="2016-07-15T08:46:28Z"/>
        <d v="2016-07-11T20:46:00Z"/>
        <d v="2016-07-13T09:02:43Z"/>
        <d v="2016-07-15T08:54:59Z"/>
        <d v="2016-07-11T11:19:00Z"/>
        <d v="2016-07-13T09:49:59Z"/>
        <d v="2016-07-13T11:13:58Z"/>
        <d v="2016-07-15T05:39:51Z"/>
        <d v="2016-07-15T09:21:37Z"/>
        <d v="2016-07-13T05:14:00Z"/>
        <d v="2016-07-13T08:16:01Z"/>
        <d v="2016-07-11T05:43:00Z"/>
        <d v="2016-07-13T06:25:47Z"/>
        <d v="2016-07-14T07:43:57Z"/>
        <d v="2016-07-13T04:45:54Z"/>
        <d v="2016-07-14T05:06:13Z"/>
        <d v="2016-07-15T07:37:04Z"/>
        <d v="2016-07-15T08:39:56Z"/>
        <d v="2016-07-11T07:15:00Z"/>
        <d v="2016-07-14T10:13:25Z"/>
        <d v="2016-07-15T06:59:22Z"/>
        <d v="2016-07-12T03:57:00Z"/>
        <d v="2016-07-13T08:38:20Z"/>
        <d v="2016-07-11T07:18:00Z"/>
        <d v="2016-07-12T05:36:00Z"/>
        <d v="2016-07-14T07:56:17Z"/>
        <d v="2016-07-15T00:54:12Z"/>
        <d v="2016-07-15T08:19:53Z"/>
        <d v="2016-07-15T04:56:28Z"/>
        <d v="2016-07-15T08:05:55Z"/>
        <d v="2016-07-11T08:41:00Z"/>
        <d v="2016-07-12T06:56:00Z"/>
        <d v="2016-07-14T21:42:19Z"/>
        <d v="2016-07-14T21:26:44Z"/>
        <d v="2016-07-15T09:02:31Z"/>
        <d v="2016-07-14T12:04:12Z"/>
        <d v="2016-07-15T06:02:31Z"/>
        <d v="2016-07-13T08:39:59Z"/>
        <d v="2016-07-13T12:25:07Z"/>
        <d v="2016-07-14T07:41:41Z"/>
        <d v="2016-07-14T09:38:51Z"/>
        <d v="2016-07-11T08:56:00Z"/>
        <d v="2016-07-14T06:02:41Z"/>
        <d v="2016-07-14T05:09:42Z"/>
        <d v="2016-07-15T13:41:55Z"/>
        <d v="2016-07-15T09:18:48Z"/>
        <d v="2016-07-15T11:40:05Z"/>
        <d v="2016-07-13T09:03:21Z"/>
        <d v="2016-07-13T09:37:26Z"/>
        <d v="2016-07-13T09:46:56Z"/>
        <d v="2016-07-14T05:11:39Z"/>
        <d v="2016-07-15T08:50:27Z"/>
        <d v="2016-07-12T09:52:00Z"/>
        <d v="2016-07-13T06:46:00Z"/>
        <d v="2016-07-13T09:19:04Z"/>
        <d v="2016-07-15T08:57:27Z"/>
        <d v="2016-07-15T09:20:40Z"/>
        <d v="2016-07-14T08:27:51Z"/>
        <d v="2016-07-15T08:18:14Z"/>
        <d v="2016-07-11T15:02:00Z"/>
        <d v="2016-07-14T04:48:41Z"/>
        <d v="2016-07-11T16:42:00Z"/>
        <d v="2016-07-12T06:43:00Z"/>
        <d v="2016-07-15T05:27:12Z"/>
        <d v="2016-07-13T04:50:27Z"/>
        <d v="2016-07-14T05:37:41Z"/>
        <d v="2016-07-14T06:02:50Z"/>
        <d v="2016-07-14T12:34:18Z"/>
        <d v="2016-07-15T07:31:03Z"/>
        <d v="2016-07-15T07:32:56Z"/>
        <d v="2016-07-15T08:41:36Z"/>
        <d v="2016-07-14T05:36:28Z"/>
        <d v="2016-07-15T10:07:34Z"/>
        <d v="2016-07-14T09:09:33Z"/>
        <d v="2016-07-15T09:27:22Z"/>
        <d v="2016-07-13T09:41:02Z"/>
        <d v="2016-07-14T05:55:47Z"/>
        <d v="2016-07-15T21:46:57Z"/>
        <d v="2016-07-12T08:05:00Z"/>
        <d v="2016-07-13T08:55:18Z"/>
        <d v="2016-07-14T09:02:24Z"/>
        <d v="2016-07-14T05:12:56Z"/>
        <d v="2016-07-14T09:15:30Z"/>
        <d v="2016-07-13T06:02:04Z"/>
        <d v="2016-07-14T16:59:11Z"/>
        <d v="2016-07-15T08:30:20Z"/>
        <d v="2016-07-11T15:37:00Z"/>
        <d v="2016-07-13T19:47:50Z"/>
        <d v="2016-07-11T12:37:00Z"/>
        <d v="2016-07-14T15:17:34Z"/>
        <d v="2016-07-15T08:21:38Z"/>
        <d v="2016-07-13T07:09:54Z"/>
        <d v="2016-07-11T10:09:00Z"/>
        <d v="2016-07-11T13:23:00Z"/>
        <d v="2016-07-12T08:51:00Z"/>
        <d v="2016-07-14T04:50:45Z"/>
        <d v="2016-07-15T20:54:48Z"/>
        <d v="2016-07-11T05:26:00Z"/>
        <d v="2016-07-13T05:58:31Z"/>
        <d v="2016-07-13T06:48:48Z"/>
        <d v="2016-07-14T05:53:18Z"/>
        <d v="2016-07-14T08:32:05Z"/>
        <d v="2016-07-14T10:04:05Z"/>
        <d v="2016-07-15T07:37:57Z"/>
        <d v="2016-07-15T08:50:10Z"/>
        <d v="2016-07-15T20:23:14Z"/>
        <d v="2016-07-11T05:04:00Z"/>
        <d v="2016-07-12T06:06:00Z"/>
        <d v="2016-07-14T17:18:23Z"/>
        <d v="2016-07-12T07:36:00Z"/>
        <d v="2016-07-13T07:29:18Z"/>
        <d v="2016-07-13T14:36:39Z"/>
        <d v="2016-07-15T08:48:20Z"/>
        <d v="2016-07-15T14:17:28Z"/>
        <d v="2016-07-12T06:01:00Z"/>
        <d v="2016-07-13T07:33:57Z"/>
        <d v="2016-07-13T09:00:40Z"/>
        <d v="2016-07-14T14:52:18Z"/>
        <d v="2016-07-15T05:52:11Z"/>
        <d v="2016-07-15T07:06:05Z"/>
        <d v="2016-07-15T11:46:11Z"/>
        <d v="2016-07-12T04:42:00Z"/>
        <d v="2016-07-13T07:55:16Z"/>
        <d v="2016-07-13T08:18:13Z"/>
        <d v="2016-07-13T09:02:46Z"/>
        <d v="2016-07-12T05:40:00Z"/>
        <d v="2016-07-13T05:19:51Z"/>
        <d v="2016-07-13T06:33:04Z"/>
        <d v="2016-07-12T07:50:00Z"/>
        <d v="2016-07-13T07:26:36Z"/>
        <d v="2016-07-13T07:29:44Z"/>
        <d v="2016-07-14T18:20:41Z"/>
        <d v="2016-07-12T18:03:00Z"/>
        <d v="2016-07-14T05:30:56Z"/>
        <d v="2016-07-14T05:46:02Z"/>
        <d v="2016-07-14T08:34:36Z"/>
        <d v="2016-07-15T06:35:32Z"/>
        <d v="2016-07-15T09:27:08Z"/>
        <d v="2016-07-11T08:32:00Z"/>
        <d v="2016-07-11T21:37:00Z"/>
        <d v="2016-07-12T05:24:00Z"/>
        <d v="2016-07-12T06:54:00Z"/>
        <d v="2016-07-12T07:02:00Z"/>
        <d v="2016-07-13T04:50:46Z"/>
        <d v="2016-07-13T18:01:34Z"/>
        <d v="2016-07-14T04:41:54Z"/>
        <d v="2016-07-12T16:50:00Z"/>
        <d v="2016-07-12T19:46:00Z"/>
        <d v="2016-07-11T05:17:00Z"/>
        <d v="2016-07-11T09:44:00Z"/>
        <d v="2016-07-13T06:40:30Z"/>
        <d v="2016-07-15T08:44:20Z"/>
        <d v="2016-07-12T10:03:00Z"/>
        <d v="2016-07-13T16:10:20Z"/>
        <d v="2016-07-13T21:07:32Z"/>
        <d v="2016-07-14T19:38:01Z"/>
        <d v="2016-07-15T07:02:00Z"/>
        <d v="2016-07-15T17:55:10Z"/>
        <d v="2016-07-15T18:37:53Z"/>
        <d v="2016-07-13T08:12:18Z"/>
        <d v="2016-07-14T09:38:03Z"/>
        <d v="2016-07-12T10:06:00Z"/>
        <d v="2016-07-13T10:01:44Z"/>
        <d v="2016-07-13T10:06:32Z"/>
        <d v="2016-07-13T18:24:15Z"/>
        <d v="2016-07-11T09:30:00Z"/>
        <d v="2016-07-12T06:23:00Z"/>
        <d v="2016-07-15T06:36:14Z"/>
        <d v="2016-07-11T07:51:00Z"/>
        <d v="2016-07-13T10:09:28Z"/>
        <d v="2016-07-13T23:19:23Z"/>
        <d v="2016-07-13T06:39:27Z"/>
        <d v="2016-07-13T07:04:21Z"/>
        <d v="2016-07-13T07:48:58Z"/>
        <d v="2016-07-13T20:34:32Z"/>
        <d v="2016-07-14T07:56:57Z"/>
        <d v="2016-07-15T10:30:58Z"/>
        <d v="2016-07-13T09:39:19Z"/>
        <d v="2016-07-14T09:09:57Z"/>
        <d v="2016-07-15T13:47:11Z"/>
        <d v="2016-07-12T07:03:00Z"/>
        <d v="2016-07-13T16:53:56Z"/>
        <d v="2016-07-13T21:28:41Z"/>
        <d v="2016-07-14T06:12:03Z"/>
        <d v="2016-07-14T12:45:00Z"/>
        <d v="2016-07-15T06:08:31Z"/>
        <d v="2016-07-14T07:26:35Z"/>
        <d v="2016-07-15T05:07:17Z"/>
        <d v="2016-07-11T05:27:00Z"/>
        <d v="2016-07-14T05:39:02Z"/>
        <d v="2016-07-15T08:40:03Z"/>
        <d v="2016-07-12T01:12:00Z"/>
        <d v="2016-07-13T09:50:23Z"/>
        <d v="2016-07-14T08:25:24Z"/>
        <d v="2016-07-15T06:27:46Z"/>
        <d v="2016-07-13T05:19:53Z"/>
        <d v="2016-07-15T08:44:40Z"/>
        <d v="2016-07-11T08:33:00Z"/>
        <d v="2016-07-14T08:53:51Z"/>
        <d v="2016-07-11T21:47:00Z"/>
        <d v="2016-07-13T05:54:23Z"/>
        <d v="2016-07-13T08:25:16Z"/>
        <d v="2016-07-13T22:13:42Z"/>
        <d v="2016-07-14T07:20:59Z"/>
        <d v="2016-07-14T08:41:51Z"/>
        <d v="2016-07-13T09:31:32Z"/>
        <d v="2016-07-14T05:55:36Z"/>
        <d v="2016-07-15T05:08:25Z"/>
        <d v="2016-07-15T07:20:54Z"/>
        <d v="2016-07-11T07:10:00Z"/>
        <d v="2016-07-12T05:23:00Z"/>
        <d v="2016-07-15T05:13:03Z"/>
        <d v="2016-07-15T05:19:48Z"/>
        <d v="2016-07-13T06:54:13Z"/>
        <d v="2016-07-13T08:32:08Z"/>
        <d v="2016-07-14T09:40:33Z"/>
        <d v="2016-07-14T05:03:10Z"/>
        <d v="2016-07-14T05:06:40Z"/>
        <d v="2016-07-14T08:30:59Z"/>
        <d v="2016-07-14T05:46:06Z"/>
        <d v="2016-07-11T00:02:00Z"/>
        <d v="2016-07-11T00:06:00Z"/>
        <d v="2016-07-11T00:23:00Z"/>
        <d v="2016-07-11T00:30:00Z"/>
        <d v="2016-07-11T00:37:00Z"/>
        <d v="2016-07-11T00:40:00Z"/>
        <d v="2016-07-11T01:09:00Z"/>
        <d v="2016-07-11T01:10:00Z"/>
        <d v="2016-07-11T01:14:00Z"/>
        <d v="2016-07-11T01:15:00Z"/>
        <d v="2016-07-11T01:23:00Z"/>
        <d v="2016-07-11T01:38:00Z"/>
        <d v="2016-07-11T01:40:00Z"/>
        <d v="2016-07-11T01:45:00Z"/>
        <d v="2016-07-11T01:48:00Z"/>
        <d v="2016-07-11T01:49:00Z"/>
        <d v="2016-07-11T01:55:00Z"/>
        <d v="2016-07-11T02:02:00Z"/>
        <d v="2016-07-11T02:10:00Z"/>
        <d v="2016-07-11T02:15:00Z"/>
        <d v="2016-07-11T02:33:00Z"/>
        <d v="2016-07-11T02:34:00Z"/>
        <d v="2016-07-11T02:39:00Z"/>
        <d v="2016-07-11T02:42:00Z"/>
        <d v="2016-07-11T02:48:00Z"/>
        <d v="2016-07-11T02:55:00Z"/>
        <d v="2016-07-11T03:06:00Z"/>
        <d v="2016-07-11T03:07:00Z"/>
        <d v="2016-07-11T03:16:00Z"/>
        <d v="2016-07-11T03:29:00Z"/>
        <d v="2016-07-11T03:41:00Z"/>
        <d v="2016-07-11T03:52:00Z"/>
        <d v="2016-07-11T03:58:00Z"/>
        <d v="2016-07-11T04:03:00Z"/>
        <d v="2016-07-11T04:05:00Z"/>
        <d v="2016-07-11T04:10:00Z"/>
        <d v="2016-07-11T04:17:00Z"/>
        <d v="2016-07-11T04:23:00Z"/>
        <d v="2016-07-11T04:24:00Z"/>
        <d v="2016-07-11T04:27:00Z"/>
        <d v="2016-07-11T04:36:00Z"/>
        <d v="2016-07-11T04:37:00Z"/>
        <d v="2016-07-11T04:40:00Z"/>
        <d v="2016-07-11T04:43:00Z"/>
        <d v="2016-07-11T04:44:00Z"/>
        <d v="2016-07-11T05:19:00Z"/>
        <d v="2016-07-11T05:31:00Z"/>
        <d v="2016-07-11T05:33:00Z"/>
        <d v="2016-07-11T05:47:00Z"/>
        <d v="2016-07-11T05:53:00Z"/>
        <d v="2016-07-11T06:06:00Z"/>
        <d v="2016-07-11T06:21:00Z"/>
        <d v="2016-07-11T06:24:00Z"/>
        <d v="2016-07-11T06:40:00Z"/>
        <d v="2016-07-11T06:50:00Z"/>
        <d v="2016-07-11T07:47:00Z"/>
        <d v="2016-07-11T07:58:00Z"/>
        <d v="2016-07-11T08:03:00Z"/>
        <d v="2016-07-11T09:16:00Z"/>
        <d v="2016-07-11T09:21:00Z"/>
        <d v="2016-07-11T09:31:00Z"/>
        <d v="2016-07-11T09:42:00Z"/>
        <d v="2016-07-11T09:49:00Z"/>
        <d v="2016-07-11T09:57:00Z"/>
        <d v="2016-07-11T10:17:00Z"/>
        <d v="2016-07-11T10:18:00Z"/>
        <d v="2016-07-11T10:21:00Z"/>
        <d v="2016-07-11T11:00:00Z"/>
        <d v="2016-07-11T11:17:00Z"/>
        <d v="2016-07-11T11:22:00Z"/>
        <d v="2016-07-11T11:40:00Z"/>
        <d v="2016-07-11T11:53:00Z"/>
        <d v="2016-07-11T11:56:00Z"/>
        <d v="2016-07-11T12:06:00Z"/>
        <d v="2016-07-11T12:26:00Z"/>
        <d v="2016-07-11T12:53:00Z"/>
        <d v="2016-07-11T13:01:00Z"/>
        <d v="2016-07-11T13:04:00Z"/>
        <d v="2016-07-11T13:06:00Z"/>
        <d v="2016-07-11T13:15:00Z"/>
        <d v="2016-07-11T13:18:00Z"/>
        <d v="2016-07-11T13:33:00Z"/>
        <d v="2016-07-11T13:43:00Z"/>
        <d v="2016-07-11T13:54:00Z"/>
        <d v="2016-07-11T14:41:00Z"/>
        <d v="2016-07-11T14:57:00Z"/>
        <d v="2016-07-11T15:11:00Z"/>
        <d v="2016-07-11T15:22:00Z"/>
        <d v="2016-07-11T16:12:00Z"/>
        <d v="2016-07-11T16:24:00Z"/>
        <d v="2016-07-11T16:26:00Z"/>
        <d v="2016-07-11T16:27:00Z"/>
        <d v="2016-07-11T16:34:00Z"/>
        <d v="2016-07-11T16:48:00Z"/>
        <d v="2016-07-11T17:09:00Z"/>
        <d v="2016-07-11T17:14:00Z"/>
        <d v="2016-07-11T17:15:00Z"/>
        <d v="2016-07-11T17:17:00Z"/>
        <d v="2016-07-11T17:18:00Z"/>
        <d v="2016-07-11T17:20:00Z"/>
        <d v="2016-07-11T17:21:00Z"/>
        <d v="2016-07-11T17:23:00Z"/>
        <d v="2016-07-11T17:24:00Z"/>
        <d v="2016-07-11T17:25:00Z"/>
        <d v="2016-07-11T17:28:00Z"/>
        <d v="2016-07-11T17:31:00Z"/>
        <d v="2016-07-11T17:33:00Z"/>
        <d v="2016-07-11T17:36:00Z"/>
        <d v="2016-07-11T17:39:00Z"/>
        <d v="2016-07-11T17:42:00Z"/>
        <d v="2016-07-11T17:45:00Z"/>
        <d v="2016-07-11T17:51:00Z"/>
        <d v="2016-07-11T17:53:00Z"/>
        <d v="2016-07-11T17:59:00Z"/>
        <d v="2016-07-11T18:00:00Z"/>
        <d v="2016-07-11T18:01:00Z"/>
        <d v="2016-07-11T18:02:00Z"/>
        <d v="2016-07-11T18:04:00Z"/>
        <d v="2016-07-11T18:05:00Z"/>
        <d v="2016-07-11T18:07:00Z"/>
        <d v="2016-07-11T18:12:00Z"/>
        <d v="2016-07-11T18:19:00Z"/>
        <d v="2016-07-11T18:23:00Z"/>
        <d v="2016-07-11T18:30:00Z"/>
        <d v="2016-07-11T18:31:00Z"/>
        <d v="2016-07-11T18:32:00Z"/>
        <d v="2016-07-11T18:36:00Z"/>
        <d v="2016-07-11T18:40:00Z"/>
        <d v="2016-07-11T18:41:00Z"/>
        <d v="2016-07-11T18:43:00Z"/>
        <d v="2016-07-11T18:46:00Z"/>
        <d v="2016-07-11T18:48:00Z"/>
        <d v="2016-07-11T18:49:00Z"/>
        <d v="2016-07-11T18:50:00Z"/>
        <d v="2016-07-11T18:51:00Z"/>
        <d v="2016-07-11T18:55:00Z"/>
        <d v="2016-07-11T18:57:00Z"/>
        <d v="2016-07-11T18:58:00Z"/>
        <d v="2016-07-11T18:59:00Z"/>
        <d v="2016-07-11T19:02:00Z"/>
        <d v="2016-07-11T19:03:00Z"/>
        <d v="2016-07-11T19:10:00Z"/>
        <d v="2016-07-11T19:12:00Z"/>
        <d v="2016-07-11T19:16:00Z"/>
        <d v="2016-07-11T19:19:00Z"/>
        <d v="2016-07-11T19:22:00Z"/>
        <d v="2016-07-11T19:24:00Z"/>
        <d v="2016-07-11T19:29:00Z"/>
        <d v="2016-07-11T19:30:00Z"/>
        <d v="2016-07-11T19:34:00Z"/>
        <d v="2016-07-11T19:40:00Z"/>
        <d v="2016-07-11T19:41:00Z"/>
        <d v="2016-07-11T19:45:00Z"/>
        <d v="2016-07-11T19:46:00Z"/>
        <d v="2016-07-11T19:47:00Z"/>
        <d v="2016-07-11T19:54:00Z"/>
        <d v="2016-07-11T19:57:00Z"/>
        <d v="2016-07-11T20:00:00Z"/>
        <d v="2016-07-11T20:01:00Z"/>
        <d v="2016-07-11T20:04:00Z"/>
        <d v="2016-07-11T20:05:00Z"/>
        <d v="2016-07-11T20:06:00Z"/>
        <d v="2016-07-11T20:08:00Z"/>
        <d v="2016-07-11T20:09:00Z"/>
        <d v="2016-07-11T20:22:00Z"/>
        <d v="2016-07-11T20:26:00Z"/>
        <d v="2016-07-11T20:28:00Z"/>
        <d v="2016-07-11T20:29:00Z"/>
        <d v="2016-07-11T20:35:00Z"/>
        <d v="2016-07-11T20:38:00Z"/>
        <d v="2016-07-11T20:41:00Z"/>
        <d v="2016-07-11T20:44:00Z"/>
        <d v="2016-07-11T20:45:00Z"/>
        <d v="2016-07-11T20:48:00Z"/>
        <d v="2016-07-11T20:54:00Z"/>
        <d v="2016-07-11T21:00:00Z"/>
        <d v="2016-07-11T21:03:00Z"/>
        <d v="2016-07-11T21:08:00Z"/>
        <d v="2016-07-11T21:15:00Z"/>
        <d v="2016-07-11T21:16:00Z"/>
        <d v="2016-07-11T21:19:00Z"/>
        <d v="2016-07-11T21:25:00Z"/>
        <d v="2016-07-11T21:26:00Z"/>
        <d v="2016-07-11T21:28:00Z"/>
        <d v="2016-07-11T21:29:00Z"/>
        <d v="2016-07-11T21:35:00Z"/>
        <d v="2016-07-11T21:36:00Z"/>
        <d v="2016-07-11T21:39:00Z"/>
        <d v="2016-07-11T21:42:00Z"/>
        <d v="2016-07-11T21:44:00Z"/>
        <d v="2016-07-11T21:45:00Z"/>
        <d v="2016-07-11T21:49:00Z"/>
        <d v="2016-07-11T21:50:00Z"/>
        <d v="2016-07-11T21:54:00Z"/>
        <d v="2016-07-11T21:55:00Z"/>
        <d v="2016-07-11T21:58:00Z"/>
        <d v="2016-07-11T22:02:00Z"/>
        <d v="2016-07-11T22:08:00Z"/>
        <d v="2016-07-11T22:17:00Z"/>
        <d v="2016-07-11T22:20:00Z"/>
        <d v="2016-07-11T22:35:00Z"/>
        <d v="2016-07-11T22:49:00Z"/>
        <d v="2016-07-11T22:50:00Z"/>
        <d v="2016-07-11T23:00:00Z"/>
        <d v="2016-07-11T23:04:00Z"/>
        <d v="2016-07-11T23:07:00Z"/>
        <d v="2016-07-11T23:13:00Z"/>
        <d v="2016-07-11T23:14:00Z"/>
        <d v="2016-07-11T23:19:00Z"/>
        <d v="2016-07-11T23:20:00Z"/>
        <d v="2016-07-11T23:30:00Z"/>
        <d v="2016-07-11T23:49:00Z"/>
        <d v="2016-07-11T23:52:00Z"/>
        <d v="2016-07-11T23:57:00Z"/>
        <d v="2016-07-11T23:58:00Z"/>
        <d v="2016-07-12T00:12:00Z"/>
        <d v="2016-07-12T00:28:00Z"/>
        <d v="2016-07-12T00:34:00Z"/>
        <d v="2016-07-12T00:38:00Z"/>
        <d v="2016-07-12T00:40:00Z"/>
        <d v="2016-07-12T00:58:00Z"/>
        <d v="2016-07-12T00:59:00Z"/>
        <d v="2016-07-12T01:28:00Z"/>
        <d v="2016-07-12T01:47:00Z"/>
        <d v="2016-07-12T01:54:00Z"/>
        <d v="2016-07-12T02:03:00Z"/>
        <d v="2016-07-12T02:08:00Z"/>
        <d v="2016-07-12T02:09:00Z"/>
        <d v="2016-07-12T02:13:00Z"/>
        <d v="2016-07-12T02:24:00Z"/>
        <d v="2016-07-12T02:26:00Z"/>
        <d v="2016-07-12T02:33:00Z"/>
        <d v="2016-07-12T02:36:00Z"/>
        <d v="2016-07-12T02:56:00Z"/>
        <d v="2016-07-12T02:57:00Z"/>
        <d v="2016-07-12T03:19:00Z"/>
        <d v="2016-07-12T03:23:00Z"/>
        <d v="2016-07-12T03:31:00Z"/>
        <d v="2016-07-12T03:51:00Z"/>
        <d v="2016-07-12T04:02:00Z"/>
        <d v="2016-07-12T04:05:00Z"/>
        <d v="2016-07-12T04:15:00Z"/>
        <d v="2016-07-12T04:28:00Z"/>
        <d v="2016-07-12T04:29:00Z"/>
        <d v="2016-07-12T04:35:00Z"/>
        <d v="2016-07-12T04:40:00Z"/>
        <d v="2016-07-12T04:44:00Z"/>
        <d v="2016-07-12T04:48:00Z"/>
        <d v="2016-07-12T04:50:00Z"/>
        <d v="2016-07-12T05:02:00Z"/>
        <d v="2016-07-12T05:06:00Z"/>
        <d v="2016-07-12T05:18:00Z"/>
        <d v="2016-07-12T05:49:00Z"/>
        <d v="2016-07-12T06:05:00Z"/>
        <d v="2016-07-12T06:07:00Z"/>
        <d v="2016-07-12T06:29:00Z"/>
        <d v="2016-07-12T06:50:00Z"/>
        <d v="2016-07-12T07:12:00Z"/>
        <d v="2016-07-12T08:07:00Z"/>
        <d v="2016-07-12T08:12:00Z"/>
        <d v="2016-07-12T08:13:00Z"/>
        <d v="2016-07-12T08:16:00Z"/>
        <d v="2016-07-12T08:36:00Z"/>
        <d v="2016-07-12T08:43:00Z"/>
        <d v="2016-07-12T08:48:00Z"/>
        <d v="2016-07-12T08:55:00Z"/>
        <d v="2016-07-12T09:46:00Z"/>
        <d v="2016-07-12T09:57:00Z"/>
        <d v="2016-07-12T10:09:00Z"/>
        <d v="2016-07-12T10:22:00Z"/>
        <d v="2016-07-12T10:33:00Z"/>
        <d v="2016-07-12T10:44:00Z"/>
        <d v="2016-07-12T10:47:00Z"/>
        <d v="2016-07-12T10:50:00Z"/>
        <d v="2016-07-12T11:03:00Z"/>
        <d v="2016-07-12T11:10:00Z"/>
        <d v="2016-07-12T11:22:00Z"/>
        <d v="2016-07-12T12:02:00Z"/>
        <d v="2016-07-12T12:14:00Z"/>
        <d v="2016-07-12T12:31:00Z"/>
        <d v="2016-07-12T12:33:00Z"/>
        <d v="2016-07-12T12:40:00Z"/>
        <d v="2016-07-12T12:44:00Z"/>
        <d v="2016-07-12T13:06:00Z"/>
        <d v="2016-07-12T13:20:00Z"/>
        <d v="2016-07-12T13:22:00Z"/>
        <d v="2016-07-12T13:47:00Z"/>
        <d v="2016-07-12T13:53:00Z"/>
        <d v="2016-07-12T14:09:00Z"/>
        <d v="2016-07-12T14:18:00Z"/>
        <d v="2016-07-12T14:26:00Z"/>
        <d v="2016-07-12T14:57:00Z"/>
        <d v="2016-07-12T14:59:00Z"/>
        <d v="2016-07-12T15:12:00Z"/>
        <d v="2016-07-12T15:19:00Z"/>
        <d v="2016-07-12T15:21:00Z"/>
        <d v="2016-07-12T15:37:00Z"/>
        <d v="2016-07-12T15:39:00Z"/>
        <d v="2016-07-12T15:53:00Z"/>
        <d v="2016-07-12T15:55:00Z"/>
        <d v="2016-07-12T15:57:00Z"/>
        <d v="2016-07-12T16:48:00Z"/>
        <d v="2016-07-12T17:02:00Z"/>
        <d v="2016-07-12T17:09:00Z"/>
        <d v="2016-07-12T17:13:00Z"/>
        <d v="2016-07-12T17:17:00Z"/>
        <d v="2016-07-12T17:18:00Z"/>
        <d v="2016-07-12T17:19:00Z"/>
        <d v="2016-07-12T17:23:00Z"/>
        <d v="2016-07-12T17:26:00Z"/>
        <d v="2016-07-12T17:27:00Z"/>
        <d v="2016-07-12T17:28:00Z"/>
        <d v="2016-07-12T17:35:00Z"/>
        <d v="2016-07-12T17:37:00Z"/>
        <d v="2016-07-12T17:38:00Z"/>
        <d v="2016-07-12T17:40:00Z"/>
        <d v="2016-07-12T17:41:00Z"/>
        <d v="2016-07-12T17:43:00Z"/>
        <d v="2016-07-12T17:46:00Z"/>
        <d v="2016-07-12T17:47:00Z"/>
        <d v="2016-07-12T17:48:00Z"/>
        <d v="2016-07-12T17:49:00Z"/>
        <d v="2016-07-12T17:51:00Z"/>
        <d v="2016-07-12T17:52:00Z"/>
        <d v="2016-07-12T17:54:00Z"/>
        <d v="2016-07-12T17:58:00Z"/>
        <d v="2016-07-12T18:01:00Z"/>
        <d v="2016-07-12T18:02:00Z"/>
        <d v="2016-07-12T18:04:00Z"/>
        <d v="2016-07-12T18:06:00Z"/>
        <d v="2016-07-12T18:09:00Z"/>
        <d v="2016-07-12T18:10:00Z"/>
        <d v="2016-07-12T18:11:00Z"/>
        <d v="2016-07-12T18:13:00Z"/>
        <d v="2016-07-12T18:14:00Z"/>
        <d v="2016-07-12T18:17:00Z"/>
        <d v="2016-07-12T18:21:00Z"/>
        <d v="2016-07-12T18:27:00Z"/>
        <d v="2016-07-12T18:32:00Z"/>
        <d v="2016-07-12T18:36:00Z"/>
        <d v="2016-07-12T18:40:00Z"/>
        <d v="2016-07-12T18:41:00Z"/>
        <d v="2016-07-12T18:49:00Z"/>
        <d v="2016-07-12T18:50:00Z"/>
        <d v="2016-07-12T18:53:00Z"/>
        <d v="2016-07-12T18:54:00Z"/>
        <d v="2016-07-12T18:59:00Z"/>
        <d v="2016-07-12T19:02:00Z"/>
        <d v="2016-07-12T19:03:00Z"/>
        <d v="2016-07-12T19:04:00Z"/>
        <d v="2016-07-12T19:07:00Z"/>
        <d v="2016-07-12T19:08:00Z"/>
        <d v="2016-07-12T19:10:00Z"/>
        <d v="2016-07-12T19:18:00Z"/>
        <d v="2016-07-12T19:20:00Z"/>
        <d v="2016-07-12T19:24:00Z"/>
        <d v="2016-07-12T19:26:00Z"/>
        <d v="2016-07-12T19:28:00Z"/>
        <d v="2016-07-12T19:29:00Z"/>
        <d v="2016-07-12T19:39:00Z"/>
        <d v="2016-07-12T19:40:00Z"/>
        <d v="2016-07-12T19:43:00Z"/>
        <d v="2016-07-12T19:44:00Z"/>
        <d v="2016-07-12T19:47:00Z"/>
        <d v="2016-07-12T19:48:00Z"/>
        <d v="2016-07-12T19:53:00Z"/>
        <d v="2016-07-12T19:58:00Z"/>
        <d v="2016-07-12T20:09:00Z"/>
        <d v="2016-07-12T20:10:00Z"/>
        <d v="2016-07-12T20:13:00Z"/>
        <d v="2016-07-12T20:17:00Z"/>
        <d v="2016-07-12T20:19:00Z"/>
        <d v="2016-07-12T20:20:00Z"/>
        <d v="2016-07-12T20:21:00Z"/>
        <d v="2016-07-12T20:22:00Z"/>
        <d v="2016-07-12T20:25:00Z"/>
        <d v="2016-07-12T20:27:00Z"/>
        <d v="2016-07-12T20:28:00Z"/>
        <d v="2016-07-12T20:37:00Z"/>
        <d v="2016-07-12T20:42:00Z"/>
        <d v="2016-07-12T20:44:00Z"/>
        <d v="2016-07-12T20:48:00Z"/>
        <d v="2016-07-12T20:49:00Z"/>
        <d v="2016-07-12T20:51:00Z"/>
        <d v="2016-07-12T20:52:00Z"/>
        <d v="2016-07-12T20:54:00Z"/>
        <d v="2016-07-12T20:56:00Z"/>
        <d v="2016-07-12T20:59:00Z"/>
        <d v="2016-07-12T21:00:00Z"/>
        <d v="2016-07-12T21:12:00Z"/>
        <d v="2016-07-12T21:19:00Z"/>
        <d v="2016-07-12T21:21:00Z"/>
        <d v="2016-07-12T21:26:00Z"/>
        <d v="2016-07-12T21:28:00Z"/>
        <d v="2016-07-12T21:30:00Z"/>
        <d v="2016-07-12T21:31:00Z"/>
        <d v="2016-07-12T21:33:00Z"/>
        <d v="2016-07-12T21:34:00Z"/>
        <d v="2016-07-12T21:36:00Z"/>
        <d v="2016-07-12T21:38:00Z"/>
        <d v="2016-07-12T21:39:00Z"/>
        <d v="2016-07-12T21:41:00Z"/>
        <d v="2016-07-12T21:44:00Z"/>
        <d v="2016-07-12T21:51:00Z"/>
        <d v="2016-07-12T21:55:00Z"/>
        <d v="2016-07-12T21:56:00Z"/>
        <d v="2016-07-12T22:02:00Z"/>
        <d v="2016-07-12T22:03:00Z"/>
        <d v="2016-07-12T22:04:00Z"/>
        <d v="2016-07-12T22:07:00Z"/>
        <d v="2016-07-12T22:11:00Z"/>
        <d v="2016-07-12T22:15:00Z"/>
        <d v="2016-07-12T22:30:00Z"/>
        <d v="2016-07-12T22:32:00Z"/>
        <d v="2016-07-12T22:59:00Z"/>
        <d v="2016-07-12T23:04:00Z"/>
        <d v="2016-07-12T23:07:00Z"/>
        <d v="2016-07-12T23:08:00Z"/>
        <d v="2016-07-12T23:17:00Z"/>
        <d v="2016-07-12T23:25:00Z"/>
        <d v="2016-07-12T23:37:00Z"/>
        <d v="2016-07-12T23:39:00Z"/>
        <d v="2016-07-12T23:45:00Z"/>
        <d v="2016-07-13T00:02:14Z"/>
        <d v="2016-07-13T00:07:31Z"/>
        <d v="2016-07-13T00:08:23Z"/>
        <d v="2016-07-13T00:12:33Z"/>
        <d v="2016-07-13T00:14:40Z"/>
        <d v="2016-07-13T00:16:12Z"/>
        <d v="2016-07-13T00:24:18Z"/>
        <d v="2016-07-13T00:26:02Z"/>
        <d v="2016-07-13T00:31:02Z"/>
        <d v="2016-07-13T00:44:18Z"/>
        <d v="2016-07-13T00:48:15Z"/>
        <d v="2016-07-13T00:49:46Z"/>
        <d v="2016-07-13T00:50:15Z"/>
        <d v="2016-07-13T00:50:22Z"/>
        <d v="2016-07-13T00:55:59Z"/>
        <d v="2016-07-13T00:57:01Z"/>
        <d v="2016-07-13T00:59:51Z"/>
        <d v="2016-07-13T01:03:02Z"/>
        <d v="2016-07-13T01:09:58Z"/>
        <d v="2016-07-13T01:15:29Z"/>
        <d v="2016-07-13T01:21:14Z"/>
        <d v="2016-07-13T01:44:02Z"/>
        <d v="2016-07-13T01:47:28Z"/>
        <d v="2016-07-13T01:53:20Z"/>
        <d v="2016-07-13T01:56:49Z"/>
        <d v="2016-07-13T01:58:14Z"/>
        <d v="2016-07-13T02:06:39Z"/>
        <d v="2016-07-13T02:13:21Z"/>
        <d v="2016-07-13T02:16:38Z"/>
        <d v="2016-07-13T02:22:00Z"/>
        <d v="2016-07-13T02:26:30Z"/>
        <d v="2016-07-13T02:27:48Z"/>
        <d v="2016-07-13T02:31:27Z"/>
        <d v="2016-07-13T02:35:47Z"/>
        <d v="2016-07-13T02:35:52Z"/>
        <d v="2016-07-13T02:37:05Z"/>
        <d v="2016-07-13T02:38:06Z"/>
        <d v="2016-07-13T02:43:44Z"/>
        <d v="2016-07-13T02:48:50Z"/>
        <d v="2016-07-13T02:55:58Z"/>
        <d v="2016-07-13T02:56:33Z"/>
        <d v="2016-07-13T03:10:02Z"/>
        <d v="2016-07-13T03:12:16Z"/>
        <d v="2016-07-13T03:13:48Z"/>
        <d v="2016-07-13T03:14:45Z"/>
        <d v="2016-07-13T03:19:02Z"/>
        <d v="2016-07-13T03:30:39Z"/>
        <d v="2016-07-13T03:33:25Z"/>
        <d v="2016-07-13T03:33:57Z"/>
        <d v="2016-07-13T03:35:22Z"/>
        <d v="2016-07-13T03:37:10Z"/>
        <d v="2016-07-13T03:41:42Z"/>
        <d v="2016-07-13T03:44:25Z"/>
        <d v="2016-07-13T03:46:37Z"/>
        <d v="2016-07-13T03:58:00Z"/>
        <d v="2016-07-13T04:03:17Z"/>
        <d v="2016-07-13T04:11:06Z"/>
        <d v="2016-07-13T04:22:16Z"/>
        <d v="2016-07-13T04:32:49Z"/>
        <d v="2016-07-13T04:38:48Z"/>
        <d v="2016-07-13T04:40:37Z"/>
        <d v="2016-07-13T04:42:02Z"/>
        <d v="2016-07-13T04:50:45Z"/>
        <d v="2016-07-13T04:53:06Z"/>
        <d v="2016-07-13T04:58:10Z"/>
        <d v="2016-07-13T05:04:11Z"/>
        <d v="2016-07-13T05:04:12Z"/>
        <d v="2016-07-13T05:10:34Z"/>
        <d v="2016-07-13T05:13:47Z"/>
        <d v="2016-07-13T05:27:44Z"/>
        <d v="2016-07-13T05:30:28Z"/>
        <d v="2016-07-13T05:37:47Z"/>
        <d v="2016-07-13T05:41:13Z"/>
        <d v="2016-07-13T05:44:24Z"/>
        <d v="2016-07-13T05:44:44Z"/>
        <d v="2016-07-13T05:45:59Z"/>
        <d v="2016-07-13T05:55:28Z"/>
        <d v="2016-07-13T05:55:54Z"/>
        <d v="2016-07-13T05:58:33Z"/>
        <d v="2016-07-13T06:04:20Z"/>
        <d v="2016-07-13T06:07:12Z"/>
        <d v="2016-07-13T06:20:39Z"/>
        <d v="2016-07-13T06:20:53Z"/>
        <d v="2016-07-13T06:21:43Z"/>
        <d v="2016-07-13T06:26:50Z"/>
        <d v="2016-07-13T06:40:38Z"/>
        <d v="2016-07-13T06:41:50Z"/>
        <d v="2016-07-13T06:44:03Z"/>
        <d v="2016-07-13T06:50:44Z"/>
        <d v="2016-07-13T06:52:21Z"/>
        <d v="2016-07-13T06:55:45Z"/>
        <d v="2016-07-13T06:57:15Z"/>
        <d v="2016-07-13T07:03:27Z"/>
        <d v="2016-07-13T07:05:33Z"/>
        <d v="2016-07-13T07:10:18Z"/>
        <d v="2016-07-13T07:13:39Z"/>
        <d v="2016-07-13T07:16:37Z"/>
        <d v="2016-07-13T07:21:15Z"/>
        <d v="2016-07-13T07:21:45Z"/>
        <d v="2016-07-13T07:22:33Z"/>
        <d v="2016-07-13T07:36:22Z"/>
        <d v="2016-07-13T07:42:40Z"/>
        <d v="2016-07-13T07:43:36Z"/>
        <d v="2016-07-13T07:48:26Z"/>
        <d v="2016-07-13T07:55:34Z"/>
        <d v="2016-07-13T08:07:03Z"/>
        <d v="2016-07-13T08:12:02Z"/>
        <d v="2016-07-13T08:14:30Z"/>
        <d v="2016-07-13T08:15:08Z"/>
        <d v="2016-07-13T08:16:05Z"/>
        <d v="2016-07-13T08:19:00Z"/>
        <d v="2016-07-13T08:23:33Z"/>
        <d v="2016-07-13T08:23:52Z"/>
        <d v="2016-07-13T08:27:14Z"/>
        <d v="2016-07-13T08:27:41Z"/>
        <d v="2016-07-13T08:29:20Z"/>
        <d v="2016-07-13T08:33:01Z"/>
        <d v="2016-07-13T08:34:31Z"/>
        <d v="2016-07-13T08:37:42Z"/>
        <d v="2016-07-13T08:39:51Z"/>
        <d v="2016-07-13T08:40:39Z"/>
        <d v="2016-07-13T08:41:04Z"/>
        <d v="2016-07-13T08:42:30Z"/>
        <d v="2016-07-13T08:51:28Z"/>
        <d v="2016-07-13T09:05:28Z"/>
        <d v="2016-07-13T09:09:20Z"/>
        <d v="2016-07-13T09:10:21Z"/>
        <d v="2016-07-13T09:20:15Z"/>
        <d v="2016-07-13T09:34:47Z"/>
        <d v="2016-07-13T09:37:15Z"/>
        <d v="2016-07-13T09:41:57Z"/>
        <d v="2016-07-13T09:45:12Z"/>
        <d v="2016-07-13T09:52:16Z"/>
        <d v="2016-07-13T09:59:46Z"/>
        <d v="2016-07-13T10:04:45Z"/>
        <d v="2016-07-13T10:05:27Z"/>
        <d v="2016-07-13T10:05:47Z"/>
        <d v="2016-07-13T10:07:58Z"/>
        <d v="2016-07-13T10:09:09Z"/>
        <d v="2016-07-13T10:11:23Z"/>
        <d v="2016-07-13T10:12:07Z"/>
        <d v="2016-07-13T10:12:52Z"/>
        <d v="2016-07-13T10:13:08Z"/>
        <d v="2016-07-13T10:16:53Z"/>
        <d v="2016-07-13T10:25:44Z"/>
        <d v="2016-07-13T10:31:15Z"/>
        <d v="2016-07-13T10:38:09Z"/>
        <d v="2016-07-13T10:40:21Z"/>
        <d v="2016-07-13T10:41:58Z"/>
        <d v="2016-07-13T10:49:30Z"/>
        <d v="2016-07-13T11:03:57Z"/>
        <d v="2016-07-13T11:14:32Z"/>
        <d v="2016-07-13T11:39:17Z"/>
        <d v="2016-07-13T11:58:29Z"/>
        <d v="2016-07-13T12:21:27Z"/>
        <d v="2016-07-13T12:26:46Z"/>
        <d v="2016-07-13T12:34:06Z"/>
        <d v="2016-07-13T12:37:35Z"/>
        <d v="2016-07-13T12:39:01Z"/>
        <d v="2016-07-13T13:04:58Z"/>
        <d v="2016-07-13T13:17:08Z"/>
        <d v="2016-07-13T13:18:21Z"/>
        <d v="2016-07-13T13:32:11Z"/>
        <d v="2016-07-13T13:32:46Z"/>
        <d v="2016-07-13T13:41:21Z"/>
        <d v="2016-07-13T13:53:34Z"/>
        <d v="2016-07-13T14:02:38Z"/>
        <d v="2016-07-13T14:06:55Z"/>
        <d v="2016-07-13T14:13:45Z"/>
        <d v="2016-07-13T14:18:40Z"/>
        <d v="2016-07-13T14:39:43Z"/>
        <d v="2016-07-13T14:39:52Z"/>
        <d v="2016-07-13T14:40:57Z"/>
        <d v="2016-07-13T15:11:36Z"/>
        <d v="2016-07-13T15:12:06Z"/>
        <d v="2016-07-13T15:12:10Z"/>
        <d v="2016-07-13T15:20:18Z"/>
        <d v="2016-07-13T15:24:21Z"/>
        <d v="2016-07-13T15:25:37Z"/>
        <d v="2016-07-13T15:41:19Z"/>
        <d v="2016-07-13T15:56:08Z"/>
        <d v="2016-07-13T16:07:19Z"/>
        <d v="2016-07-13T16:19:43Z"/>
        <d v="2016-07-13T16:29:42Z"/>
        <d v="2016-07-13T16:35:25Z"/>
        <d v="2016-07-13T16:42:32Z"/>
        <d v="2016-07-13T17:08:21Z"/>
        <d v="2016-07-13T17:11:08Z"/>
        <d v="2016-07-13T17:13:27Z"/>
        <d v="2016-07-13T17:15:57Z"/>
        <d v="2016-07-13T17:18:26Z"/>
        <d v="2016-07-13T17:19:44Z"/>
        <d v="2016-07-13T17:20:26Z"/>
        <d v="2016-07-13T17:20:33Z"/>
        <d v="2016-07-13T17:20:58Z"/>
        <d v="2016-07-13T17:23:00Z"/>
        <d v="2016-07-13T17:25:02Z"/>
        <d v="2016-07-13T17:27:11Z"/>
        <d v="2016-07-13T17:27:28Z"/>
        <d v="2016-07-13T17:27:33Z"/>
        <d v="2016-07-13T17:28:40Z"/>
        <d v="2016-07-13T17:29:27Z"/>
        <d v="2016-07-13T17:29:50Z"/>
        <d v="2016-07-13T17:31:41Z"/>
        <d v="2016-07-13T17:32:02Z"/>
        <d v="2016-07-13T17:33:35Z"/>
        <d v="2016-07-13T17:36:04Z"/>
        <d v="2016-07-13T17:38:56Z"/>
        <d v="2016-07-13T17:39:26Z"/>
        <d v="2016-07-13T17:41:03Z"/>
        <d v="2016-07-13T17:41:10Z"/>
        <d v="2016-07-13T17:41:45Z"/>
        <d v="2016-07-13T17:41:48Z"/>
        <d v="2016-07-13T17:42:08Z"/>
        <d v="2016-07-13T17:42:15Z"/>
        <d v="2016-07-13T17:46:00Z"/>
        <d v="2016-07-13T17:48:12Z"/>
        <d v="2016-07-13T17:49:33Z"/>
        <d v="2016-07-13T17:51:55Z"/>
        <d v="2016-07-13T17:51:58Z"/>
        <d v="2016-07-13T17:55:23Z"/>
        <d v="2016-07-13T17:56:19Z"/>
        <d v="2016-07-13T17:56:59Z"/>
        <d v="2016-07-13T17:57:15Z"/>
        <d v="2016-07-13T17:57:17Z"/>
        <d v="2016-07-13T17:57:42Z"/>
        <d v="2016-07-13T17:58:43Z"/>
        <d v="2016-07-13T17:59:39Z"/>
        <d v="2016-07-13T18:02:39Z"/>
        <d v="2016-07-13T18:05:07Z"/>
        <d v="2016-07-13T18:08:59Z"/>
        <d v="2016-07-13T18:09:11Z"/>
        <d v="2016-07-13T18:10:05Z"/>
        <d v="2016-07-13T18:10:20Z"/>
        <d v="2016-07-13T18:10:22Z"/>
        <d v="2016-07-13T18:10:53Z"/>
        <d v="2016-07-13T18:13:04Z"/>
        <d v="2016-07-13T18:14:22Z"/>
        <d v="2016-07-13T18:14:44Z"/>
        <d v="2016-07-13T18:15:20Z"/>
        <d v="2016-07-13T18:16:37Z"/>
        <d v="2016-07-13T18:19:52Z"/>
        <d v="2016-07-13T18:22:10Z"/>
        <d v="2016-07-13T18:22:50Z"/>
        <d v="2016-07-13T18:22:52Z"/>
        <d v="2016-07-13T18:23:10Z"/>
        <d v="2016-07-13T18:24:42Z"/>
        <d v="2016-07-13T18:26:07Z"/>
        <d v="2016-07-13T18:26:31Z"/>
        <d v="2016-07-13T18:27:03Z"/>
        <d v="2016-07-13T18:27:30Z"/>
        <d v="2016-07-13T18:27:38Z"/>
        <d v="2016-07-13T18:27:50Z"/>
        <d v="2016-07-13T18:29:42Z"/>
        <d v="2016-07-13T18:29:53Z"/>
        <d v="2016-07-13T18:30:58Z"/>
        <d v="2016-07-13T18:32:31Z"/>
        <d v="2016-07-13T18:32:52Z"/>
        <d v="2016-07-13T18:33:48Z"/>
        <d v="2016-07-13T18:33:53Z"/>
        <d v="2016-07-13T18:35:14Z"/>
        <d v="2016-07-13T18:36:44Z"/>
        <d v="2016-07-13T18:38:39Z"/>
        <d v="2016-07-13T18:39:24Z"/>
        <d v="2016-07-13T18:43:05Z"/>
        <d v="2016-07-13T18:44:18Z"/>
        <d v="2016-07-13T18:44:35Z"/>
        <d v="2016-07-13T18:45:35Z"/>
        <d v="2016-07-13T18:47:45Z"/>
        <d v="2016-07-13T18:48:37Z"/>
        <d v="2016-07-13T18:49:22Z"/>
        <d v="2016-07-13T18:49:37Z"/>
        <d v="2016-07-13T18:49:39Z"/>
        <d v="2016-07-13T18:50:47Z"/>
        <d v="2016-07-13T18:51:25Z"/>
        <d v="2016-07-13T18:53:47Z"/>
        <d v="2016-07-13T18:54:25Z"/>
        <d v="2016-07-13T18:55:46Z"/>
        <d v="2016-07-13T18:57:10Z"/>
        <d v="2016-07-13T18:58:18Z"/>
        <d v="2016-07-13T18:58:26Z"/>
        <d v="2016-07-13T19:00:30Z"/>
        <d v="2016-07-13T19:00:33Z"/>
        <d v="2016-07-13T19:05:33Z"/>
        <d v="2016-07-13T19:05:47Z"/>
        <d v="2016-07-13T19:06:14Z"/>
        <d v="2016-07-13T19:07:22Z"/>
        <d v="2016-07-13T19:07:30Z"/>
        <d v="2016-07-13T19:09:37Z"/>
        <d v="2016-07-13T19:11:24Z"/>
        <d v="2016-07-13T19:12:31Z"/>
        <d v="2016-07-13T19:15:11Z"/>
        <d v="2016-07-13T19:16:09Z"/>
        <d v="2016-07-13T19:17:13Z"/>
        <d v="2016-07-13T19:21:54Z"/>
        <d v="2016-07-13T19:22:20Z"/>
        <d v="2016-07-13T19:22:42Z"/>
        <d v="2016-07-13T19:24:25Z"/>
        <d v="2016-07-13T19:24:59Z"/>
        <d v="2016-07-13T19:25:15Z"/>
        <d v="2016-07-13T19:25:45Z"/>
        <d v="2016-07-13T19:25:56Z"/>
        <d v="2016-07-13T19:31:18Z"/>
        <d v="2016-07-13T19:31:23Z"/>
        <d v="2016-07-13T19:33:06Z"/>
        <d v="2016-07-13T19:35:06Z"/>
        <d v="2016-07-13T19:35:08Z"/>
        <d v="2016-07-13T19:36:32Z"/>
        <d v="2016-07-13T19:37:11Z"/>
        <d v="2016-07-13T19:38:01Z"/>
        <d v="2016-07-13T19:40:17Z"/>
        <d v="2016-07-13T19:40:23Z"/>
        <d v="2016-07-13T19:41:10Z"/>
        <d v="2016-07-13T19:43:04Z"/>
        <d v="2016-07-13T19:43:10Z"/>
        <d v="2016-07-13T19:43:55Z"/>
        <d v="2016-07-13T19:44:06Z"/>
        <d v="2016-07-13T19:45:28Z"/>
        <d v="2016-07-13T19:45:37Z"/>
        <d v="2016-07-13T19:46:25Z"/>
        <d v="2016-07-13T19:47:39Z"/>
        <d v="2016-07-13T19:48:27Z"/>
        <d v="2016-07-13T19:49:05Z"/>
        <d v="2016-07-13T19:50:13Z"/>
        <d v="2016-07-13T19:50:19Z"/>
        <d v="2016-07-13T19:51:31Z"/>
        <d v="2016-07-13T19:51:48Z"/>
        <d v="2016-07-13T19:51:59Z"/>
        <d v="2016-07-13T19:53:41Z"/>
        <d v="2016-07-13T19:55:51Z"/>
        <d v="2016-07-13T19:58:25Z"/>
        <d v="2016-07-13T19:58:46Z"/>
        <d v="2016-07-13T19:59:20Z"/>
        <d v="2016-07-13T19:59:37Z"/>
        <d v="2016-07-13T20:01:01Z"/>
        <d v="2016-07-13T20:04:40Z"/>
        <d v="2016-07-13T20:04:44Z"/>
        <d v="2016-07-13T20:04:47Z"/>
        <d v="2016-07-13T20:05:16Z"/>
        <d v="2016-07-13T20:06:18Z"/>
        <d v="2016-07-13T20:10:18Z"/>
        <d v="2016-07-13T20:11:01Z"/>
        <d v="2016-07-13T20:11:29Z"/>
        <d v="2016-07-13T20:12:37Z"/>
        <d v="2016-07-13T20:19:40Z"/>
        <d v="2016-07-13T20:20:28Z"/>
        <d v="2016-07-13T20:22:32Z"/>
        <d v="2016-07-13T20:25:39Z"/>
        <d v="2016-07-13T20:29:44Z"/>
        <d v="2016-07-13T20:30:48Z"/>
        <d v="2016-07-13T20:31:09Z"/>
        <d v="2016-07-13T20:32:20Z"/>
        <d v="2016-07-13T20:32:47Z"/>
        <d v="2016-07-13T20:33:07Z"/>
        <d v="2016-07-13T20:35:05Z"/>
        <d v="2016-07-13T20:35:23Z"/>
        <d v="2016-07-13T20:35:36Z"/>
        <d v="2016-07-13T20:39:19Z"/>
        <d v="2016-07-13T20:40:26Z"/>
        <d v="2016-07-13T20:40:37Z"/>
        <d v="2016-07-13T20:40:53Z"/>
        <d v="2016-07-13T20:42:31Z"/>
        <d v="2016-07-13T20:43:54Z"/>
        <d v="2016-07-13T20:44:38Z"/>
        <d v="2016-07-13T20:44:50Z"/>
        <d v="2016-07-13T20:45:01Z"/>
        <d v="2016-07-13T20:45:56Z"/>
        <d v="2016-07-13T20:46:35Z"/>
        <d v="2016-07-13T20:48:35Z"/>
        <d v="2016-07-13T20:49:06Z"/>
        <d v="2016-07-13T20:49:24Z"/>
        <d v="2016-07-13T20:51:10Z"/>
        <d v="2016-07-13T20:51:18Z"/>
        <d v="2016-07-13T20:52:04Z"/>
        <d v="2016-07-13T20:53:15Z"/>
        <d v="2016-07-13T20:54:38Z"/>
        <d v="2016-07-13T20:56:07Z"/>
        <d v="2016-07-13T20:56:26Z"/>
        <d v="2016-07-13T20:58:17Z"/>
        <d v="2016-07-13T21:00:00Z"/>
        <d v="2016-07-13T21:02:40Z"/>
        <d v="2016-07-13T21:03:19Z"/>
        <d v="2016-07-13T21:07:33Z"/>
        <d v="2016-07-13T21:09:20Z"/>
        <d v="2016-07-13T21:09:28Z"/>
        <d v="2016-07-13T21:10:59Z"/>
        <d v="2016-07-13T21:11:29Z"/>
        <d v="2016-07-13T21:13:20Z"/>
        <d v="2016-07-13T21:14:01Z"/>
        <d v="2016-07-13T21:18:49Z"/>
        <d v="2016-07-13T21:20:00Z"/>
        <d v="2016-07-13T21:20:59Z"/>
        <d v="2016-07-13T21:21:26Z"/>
        <d v="2016-07-13T21:22:11Z"/>
        <d v="2016-07-13T21:23:59Z"/>
        <d v="2016-07-13T21:25:46Z"/>
        <d v="2016-07-13T21:27:41Z"/>
        <d v="2016-07-13T21:27:42Z"/>
        <d v="2016-07-13T21:28:20Z"/>
        <d v="2016-07-13T21:28:29Z"/>
        <d v="2016-07-13T21:30:19Z"/>
        <d v="2016-07-13T21:33:44Z"/>
        <d v="2016-07-13T21:34:46Z"/>
        <d v="2016-07-13T21:34:47Z"/>
        <d v="2016-07-13T21:36:01Z"/>
        <d v="2016-07-13T21:36:25Z"/>
        <d v="2016-07-13T21:37:00Z"/>
        <d v="2016-07-13T21:37:17Z"/>
        <d v="2016-07-13T21:38:06Z"/>
        <d v="2016-07-13T21:38:48Z"/>
        <d v="2016-07-13T21:43:47Z"/>
        <d v="2016-07-13T21:45:06Z"/>
        <d v="2016-07-13T21:47:25Z"/>
        <d v="2016-07-13T21:47:58Z"/>
        <d v="2016-07-13T21:48:20Z"/>
        <d v="2016-07-13T21:48:57Z"/>
        <d v="2016-07-13T21:49:18Z"/>
        <d v="2016-07-13T21:51:47Z"/>
        <d v="2016-07-13T21:51:55Z"/>
        <d v="2016-07-13T21:52:24Z"/>
        <d v="2016-07-13T21:53:07Z"/>
        <d v="2016-07-13T21:53:34Z"/>
        <d v="2016-07-13T21:53:48Z"/>
        <d v="2016-07-13T21:54:13Z"/>
        <d v="2016-07-13T21:56:38Z"/>
        <d v="2016-07-13T21:57:08Z"/>
        <d v="2016-07-13T21:57:45Z"/>
        <d v="2016-07-13T21:58:16Z"/>
        <d v="2016-07-13T21:59:13Z"/>
        <d v="2016-07-13T21:59:30Z"/>
        <d v="2016-07-13T22:01:49Z"/>
        <d v="2016-07-13T22:03:00Z"/>
        <d v="2016-07-13T22:03:45Z"/>
        <d v="2016-07-13T22:05:11Z"/>
        <d v="2016-07-13T22:05:37Z"/>
        <d v="2016-07-13T22:05:57Z"/>
        <d v="2016-07-13T22:09:27Z"/>
        <d v="2016-07-13T22:09:31Z"/>
        <d v="2016-07-13T22:11:11Z"/>
        <d v="2016-07-13T22:12:01Z"/>
        <d v="2016-07-13T22:12:13Z"/>
        <d v="2016-07-13T22:12:25Z"/>
        <d v="2016-07-13T22:12:35Z"/>
        <d v="2016-07-13T22:14:33Z"/>
        <d v="2016-07-13T22:14:56Z"/>
        <d v="2016-07-13T22:18:14Z"/>
        <d v="2016-07-13T22:18:36Z"/>
        <d v="2016-07-13T22:21:30Z"/>
        <d v="2016-07-13T22:22:57Z"/>
        <d v="2016-07-13T22:23:03Z"/>
        <d v="2016-07-13T22:23:25Z"/>
        <d v="2016-07-13T22:23:26Z"/>
        <d v="2016-07-13T22:27:01Z"/>
        <d v="2016-07-13T22:28:10Z"/>
        <d v="2016-07-13T22:28:45Z"/>
        <d v="2016-07-13T22:30:11Z"/>
        <d v="2016-07-13T22:30:44Z"/>
        <d v="2016-07-13T22:36:50Z"/>
        <d v="2016-07-13T22:37:24Z"/>
        <d v="2016-07-13T22:40:37Z"/>
        <d v="2016-07-13T22:46:01Z"/>
        <d v="2016-07-13T22:46:03Z"/>
        <d v="2016-07-13T22:47:26Z"/>
        <d v="2016-07-13T22:50:57Z"/>
        <d v="2016-07-13T22:55:25Z"/>
        <d v="2016-07-13T22:57:16Z"/>
        <d v="2016-07-13T22:59:34Z"/>
        <d v="2016-07-13T22:59:42Z"/>
        <d v="2016-07-13T23:00:38Z"/>
        <d v="2016-07-13T23:04:37Z"/>
        <d v="2016-07-13T23:07:56Z"/>
        <d v="2016-07-13T23:16:12Z"/>
        <d v="2016-07-13T23:17:02Z"/>
        <d v="2016-07-13T23:17:29Z"/>
        <d v="2016-07-13T23:23:36Z"/>
        <d v="2016-07-13T23:36:17Z"/>
        <d v="2016-07-13T23:39:08Z"/>
        <d v="2016-07-13T23:39:52Z"/>
        <d v="2016-07-13T23:45:17Z"/>
        <d v="2016-07-13T23:47:49Z"/>
        <d v="2016-07-13T23:50:18Z"/>
        <d v="2016-07-13T23:50:50Z"/>
        <d v="2016-07-13T23:52:32Z"/>
        <d v="2016-07-13T23:53:32Z"/>
        <d v="2016-07-13T23:56:55Z"/>
        <d v="2016-07-13T23:59:02Z"/>
        <d v="2016-07-14T00:09:03Z"/>
        <d v="2016-07-14T00:14:26Z"/>
        <d v="2016-07-14T00:15:43Z"/>
        <d v="2016-07-14T00:25:33Z"/>
        <d v="2016-07-14T00:29:50Z"/>
        <d v="2016-07-14T00:31:24Z"/>
        <d v="2016-07-14T00:31:57Z"/>
        <d v="2016-07-14T00:34:22Z"/>
        <d v="2016-07-14T00:39:13Z"/>
        <d v="2016-07-14T00:51:37Z"/>
        <d v="2016-07-14T00:57:03Z"/>
        <d v="2016-07-14T01:00:53Z"/>
        <d v="2016-07-14T01:03:27Z"/>
        <d v="2016-07-14T01:10:22Z"/>
        <d v="2016-07-14T01:15:26Z"/>
        <d v="2016-07-14T01:16:34Z"/>
        <d v="2016-07-14T01:22:56Z"/>
        <d v="2016-07-14T01:23:08Z"/>
        <d v="2016-07-14T01:25:25Z"/>
        <d v="2016-07-14T01:27:38Z"/>
        <d v="2016-07-14T01:29:49Z"/>
        <d v="2016-07-14T01:33:55Z"/>
        <d v="2016-07-14T01:35:55Z"/>
        <d v="2016-07-14T01:36:26Z"/>
        <d v="2016-07-14T01:42:36Z"/>
        <d v="2016-07-14T01:48:00Z"/>
        <d v="2016-07-14T01:59:16Z"/>
        <d v="2016-07-14T02:00:05Z"/>
        <d v="2016-07-14T02:02:39Z"/>
        <d v="2016-07-14T02:03:03Z"/>
        <d v="2016-07-14T02:03:04Z"/>
        <d v="2016-07-14T02:04:37Z"/>
        <d v="2016-07-14T02:16:28Z"/>
        <d v="2016-07-14T02:18:01Z"/>
        <d v="2016-07-14T02:29:31Z"/>
        <d v="2016-07-14T02:35:50Z"/>
        <d v="2016-07-14T02:46:05Z"/>
        <d v="2016-07-14T02:52:38Z"/>
        <d v="2016-07-14T02:53:34Z"/>
        <d v="2016-07-14T02:55:11Z"/>
        <d v="2016-07-14T03:10:03Z"/>
        <d v="2016-07-14T03:13:22Z"/>
        <d v="2016-07-14T03:22:45Z"/>
        <d v="2016-07-14T03:30:27Z"/>
        <d v="2016-07-14T03:31:37Z"/>
        <d v="2016-07-14T03:38:21Z"/>
        <d v="2016-07-14T03:38:51Z"/>
        <d v="2016-07-14T03:39:43Z"/>
        <d v="2016-07-14T03:45:15Z"/>
        <d v="2016-07-14T03:51:51Z"/>
        <d v="2016-07-14T03:58:07Z"/>
        <d v="2016-07-14T04:00:13Z"/>
        <d v="2016-07-14T04:02:26Z"/>
        <d v="2016-07-14T04:03:52Z"/>
        <d v="2016-07-14T04:06:34Z"/>
        <d v="2016-07-14T04:11:42Z"/>
        <d v="2016-07-14T04:13:48Z"/>
        <d v="2016-07-14T04:27:49Z"/>
        <d v="2016-07-14T04:38:53Z"/>
        <d v="2016-07-14T04:41:23Z"/>
        <d v="2016-07-14T04:41:36Z"/>
        <d v="2016-07-14T04:46:22Z"/>
        <d v="2016-07-14T04:46:47Z"/>
        <d v="2016-07-14T04:48:44Z"/>
        <d v="2016-07-14T04:49:00Z"/>
        <d v="2016-07-14T04:49:41Z"/>
        <d v="2016-07-14T04:50:32Z"/>
        <d v="2016-07-14T04:55:34Z"/>
        <d v="2016-07-14T04:59:37Z"/>
        <d v="2016-07-14T05:05:36Z"/>
        <d v="2016-07-14T05:17:05Z"/>
        <d v="2016-07-14T05:21:22Z"/>
        <d v="2016-07-14T05:25:23Z"/>
        <d v="2016-07-14T05:25:50Z"/>
        <d v="2016-07-14T05:32:43Z"/>
        <d v="2016-07-14T05:39:05Z"/>
        <d v="2016-07-14T05:42:18Z"/>
        <d v="2016-07-14T05:43:43Z"/>
        <d v="2016-07-14T05:45:53Z"/>
        <d v="2016-07-14T05:52:54Z"/>
        <d v="2016-07-14T05:53:49Z"/>
        <d v="2016-07-14T05:56:28Z"/>
        <d v="2016-07-14T05:56:44Z"/>
        <d v="2016-07-14T06:00:16Z"/>
        <d v="2016-07-14T06:01:09Z"/>
        <d v="2016-07-14T06:03:24Z"/>
        <d v="2016-07-14T06:05:59Z"/>
        <d v="2016-07-14T06:10:09Z"/>
        <d v="2016-07-14T06:12:50Z"/>
        <d v="2016-07-14T06:15:24Z"/>
        <d v="2016-07-14T06:17:08Z"/>
        <d v="2016-07-14T06:19:24Z"/>
        <d v="2016-07-14T06:22:46Z"/>
        <d v="2016-07-14T06:29:00Z"/>
        <d v="2016-07-14T06:31:08Z"/>
        <d v="2016-07-14T06:31:54Z"/>
        <d v="2016-07-14T06:35:49Z"/>
        <d v="2016-07-14T06:40:00Z"/>
        <d v="2016-07-14T06:42:26Z"/>
        <d v="2016-07-14T06:42:45Z"/>
        <d v="2016-07-14T06:49:36Z"/>
        <d v="2016-07-14T06:50:07Z"/>
        <d v="2016-07-14T06:51:18Z"/>
        <d v="2016-07-14T06:51:23Z"/>
        <d v="2016-07-14T06:56:08Z"/>
        <d v="2016-07-14T07:02:37Z"/>
        <d v="2016-07-14T07:04:11Z"/>
        <d v="2016-07-14T07:13:05Z"/>
        <d v="2016-07-14T07:15:56Z"/>
        <d v="2016-07-14T07:18:15Z"/>
        <d v="2016-07-14T07:18:44Z"/>
        <d v="2016-07-14T07:21:03Z"/>
        <d v="2016-07-14T07:23:46Z"/>
        <d v="2016-07-14T07:24:00Z"/>
        <d v="2016-07-14T07:30:16Z"/>
        <d v="2016-07-14T07:35:22Z"/>
        <d v="2016-07-14T07:39:56Z"/>
        <d v="2016-07-14T07:48:04Z"/>
        <d v="2016-07-14T07:54:34Z"/>
        <d v="2016-07-14T08:00:33Z"/>
        <d v="2016-07-14T08:01:13Z"/>
        <d v="2016-07-14T08:08:27Z"/>
        <d v="2016-07-14T08:11:45Z"/>
        <d v="2016-07-14T08:17:26Z"/>
        <d v="2016-07-14T08:24:18Z"/>
        <d v="2016-07-14T08:24:27Z"/>
        <d v="2016-07-14T08:24:31Z"/>
        <d v="2016-07-14T08:25:23Z"/>
        <d v="2016-07-14T08:29:45Z"/>
        <d v="2016-07-14T08:36:08Z"/>
        <d v="2016-07-14T08:36:39Z"/>
        <d v="2016-07-14T08:43:46Z"/>
        <d v="2016-07-14T08:46:09Z"/>
        <d v="2016-07-14T08:48:43Z"/>
        <d v="2016-07-14T08:51:05Z"/>
        <d v="2016-07-14T08:52:53Z"/>
        <d v="2016-07-14T08:58:03Z"/>
        <d v="2016-07-14T09:00:23Z"/>
        <d v="2016-07-14T09:05:56Z"/>
        <d v="2016-07-14T09:06:02Z"/>
        <d v="2016-07-14T09:06:46Z"/>
        <d v="2016-07-14T09:07:30Z"/>
        <d v="2016-07-14T09:27:58Z"/>
        <d v="2016-07-14T09:28:49Z"/>
        <d v="2016-07-14T09:28:53Z"/>
        <d v="2016-07-14T09:36:28Z"/>
        <d v="2016-07-14T09:37:21Z"/>
        <d v="2016-07-14T09:38:24Z"/>
        <d v="2016-07-14T09:42:36Z"/>
        <d v="2016-07-14T09:42:54Z"/>
        <d v="2016-07-14T09:43:53Z"/>
        <d v="2016-07-14T09:45:20Z"/>
        <d v="2016-07-14T09:46:03Z"/>
        <d v="2016-07-14T09:46:09Z"/>
        <d v="2016-07-14T09:49:25Z"/>
        <d v="2016-07-14T09:52:52Z"/>
        <d v="2016-07-14T09:59:45Z"/>
        <d v="2016-07-14T10:00:10Z"/>
        <d v="2016-07-14T10:00:11Z"/>
        <d v="2016-07-14T10:01:39Z"/>
        <d v="2016-07-14T10:03:34Z"/>
        <d v="2016-07-14T10:06:29Z"/>
        <d v="2016-07-14T10:07:11Z"/>
        <d v="2016-07-14T10:07:56Z"/>
        <d v="2016-07-14T10:08:31Z"/>
        <d v="2016-07-14T10:12:33Z"/>
        <d v="2016-07-14T10:13:11Z"/>
        <d v="2016-07-14T10:19:58Z"/>
        <d v="2016-07-14T10:23:43Z"/>
        <d v="2016-07-14T10:25:40Z"/>
        <d v="2016-07-14T10:43:18Z"/>
        <d v="2016-07-14T10:55:38Z"/>
        <d v="2016-07-14T11:00:28Z"/>
        <d v="2016-07-14T11:02:20Z"/>
        <d v="2016-07-14T11:04:37Z"/>
        <d v="2016-07-14T11:11:21Z"/>
        <d v="2016-07-14T11:21:02Z"/>
        <d v="2016-07-14T11:30:31Z"/>
        <d v="2016-07-14T11:32:34Z"/>
        <d v="2016-07-14T11:39:12Z"/>
        <d v="2016-07-14T11:50:35Z"/>
        <d v="2016-07-14T11:58:16Z"/>
        <d v="2016-07-14T12:13:01Z"/>
        <d v="2016-07-14T12:13:24Z"/>
        <d v="2016-07-14T12:26:36Z"/>
        <d v="2016-07-14T12:36:33Z"/>
        <d v="2016-07-14T12:39:26Z"/>
        <d v="2016-07-14T12:44:22Z"/>
        <d v="2016-07-14T12:49:15Z"/>
        <d v="2016-07-14T12:49:20Z"/>
        <d v="2016-07-14T13:03:07Z"/>
        <d v="2016-07-14T13:04:58Z"/>
        <d v="2016-07-14T13:12:54Z"/>
        <d v="2016-07-14T13:13:02Z"/>
        <d v="2016-07-14T13:13:28Z"/>
        <d v="2016-07-14T13:16:08Z"/>
        <d v="2016-07-14T13:18:20Z"/>
        <d v="2016-07-14T13:18:56Z"/>
        <d v="2016-07-14T13:56:39Z"/>
        <d v="2016-07-14T14:37:02Z"/>
        <d v="2016-07-14T15:00:36Z"/>
        <d v="2016-07-14T15:03:28Z"/>
        <d v="2016-07-14T15:10:29Z"/>
        <d v="2016-07-14T15:11:40Z"/>
        <d v="2016-07-14T15:30:46Z"/>
        <d v="2016-07-14T15:33:56Z"/>
        <d v="2016-07-14T15:55:09Z"/>
        <d v="2016-07-14T16:21:48Z"/>
        <d v="2016-07-14T16:29:23Z"/>
        <d v="2016-07-14T16:33:22Z"/>
        <d v="2016-07-14T16:42:53Z"/>
        <d v="2016-07-14T16:44:59Z"/>
        <d v="2016-07-14T16:47:30Z"/>
        <d v="2016-07-14T16:55:09Z"/>
        <d v="2016-07-14T17:02:52Z"/>
        <d v="2016-07-14T17:06:55Z"/>
        <d v="2016-07-14T17:14:22Z"/>
        <d v="2016-07-14T17:14:31Z"/>
        <d v="2016-07-14T17:14:49Z"/>
        <d v="2016-07-14T17:15:22Z"/>
        <d v="2016-07-14T17:17:26Z"/>
        <d v="2016-07-14T17:18:14Z"/>
        <d v="2016-07-14T17:18:21Z"/>
        <d v="2016-07-14T17:20:56Z"/>
        <d v="2016-07-14T17:21:14Z"/>
        <d v="2016-07-14T17:21:48Z"/>
        <d v="2016-07-14T17:24:44Z"/>
        <d v="2016-07-14T17:24:53Z"/>
        <d v="2016-07-14T17:25:02Z"/>
        <d v="2016-07-14T17:25:30Z"/>
        <d v="2016-07-14T17:26:50Z"/>
        <d v="2016-07-14T17:27:16Z"/>
        <d v="2016-07-14T17:27:31Z"/>
        <d v="2016-07-14T17:27:45Z"/>
        <d v="2016-07-14T17:27:46Z"/>
        <d v="2016-07-14T17:28:37Z"/>
        <d v="2016-07-14T17:28:58Z"/>
        <d v="2016-07-14T17:30:35Z"/>
        <d v="2016-07-14T17:30:47Z"/>
        <d v="2016-07-14T17:30:51Z"/>
        <d v="2016-07-14T17:33:46Z"/>
        <d v="2016-07-14T17:34:06Z"/>
        <d v="2016-07-14T17:34:34Z"/>
        <d v="2016-07-14T17:34:46Z"/>
        <d v="2016-07-14T17:35:02Z"/>
        <d v="2016-07-14T17:35:59Z"/>
        <d v="2016-07-14T17:36:08Z"/>
        <d v="2016-07-14T17:36:45Z"/>
        <d v="2016-07-14T17:38:56Z"/>
        <d v="2016-07-14T17:43:04Z"/>
        <d v="2016-07-14T17:43:44Z"/>
        <d v="2016-07-14T17:44:27Z"/>
        <d v="2016-07-14T17:44:39Z"/>
        <d v="2016-07-14T17:47:02Z"/>
        <d v="2016-07-14T17:47:04Z"/>
        <d v="2016-07-14T17:48:48Z"/>
        <d v="2016-07-14T17:50:53Z"/>
        <d v="2016-07-14T17:51:28Z"/>
        <d v="2016-07-14T17:52:06Z"/>
        <d v="2016-07-14T17:53:51Z"/>
        <d v="2016-07-14T17:55:37Z"/>
        <d v="2016-07-14T17:56:02Z"/>
        <d v="2016-07-14T17:58:23Z"/>
        <d v="2016-07-14T17:58:25Z"/>
        <d v="2016-07-14T18:00:30Z"/>
        <d v="2016-07-14T18:01:06Z"/>
        <d v="2016-07-14T18:02:21Z"/>
        <d v="2016-07-14T18:04:03Z"/>
        <d v="2016-07-14T18:04:57Z"/>
        <d v="2016-07-14T18:06:45Z"/>
        <d v="2016-07-14T18:10:00Z"/>
        <d v="2016-07-14T18:10:12Z"/>
        <d v="2016-07-14T18:10:29Z"/>
        <d v="2016-07-14T18:10:46Z"/>
        <d v="2016-07-14T18:11:14Z"/>
        <d v="2016-07-14T18:13:32Z"/>
        <d v="2016-07-14T18:14:47Z"/>
        <d v="2016-07-14T18:15:14Z"/>
        <d v="2016-07-14T18:15:19Z"/>
        <d v="2016-07-14T18:15:44Z"/>
        <d v="2016-07-14T18:15:49Z"/>
        <d v="2016-07-14T18:16:24Z"/>
        <d v="2016-07-14T18:16:43Z"/>
        <d v="2016-07-14T18:17:23Z"/>
        <d v="2016-07-14T18:17:40Z"/>
        <d v="2016-07-14T18:22:19Z"/>
        <d v="2016-07-14T18:25:40Z"/>
        <d v="2016-07-14T18:26:09Z"/>
        <d v="2016-07-14T18:28:38Z"/>
        <d v="2016-07-14T18:29:35Z"/>
        <d v="2016-07-14T18:29:44Z"/>
        <d v="2016-07-14T18:30:19Z"/>
        <d v="2016-07-14T18:30:56Z"/>
        <d v="2016-07-14T18:31:07Z"/>
        <d v="2016-07-14T18:32:30Z"/>
        <d v="2016-07-14T18:33:44Z"/>
        <d v="2016-07-14T18:34:46Z"/>
        <d v="2016-07-14T18:34:48Z"/>
        <d v="2016-07-14T18:36:00Z"/>
        <d v="2016-07-14T18:36:15Z"/>
        <d v="2016-07-14T18:36:25Z"/>
        <d v="2016-07-14T18:36:36Z"/>
        <d v="2016-07-14T18:37:26Z"/>
        <d v="2016-07-14T18:38:01Z"/>
        <d v="2016-07-14T18:44:15Z"/>
        <d v="2016-07-14T18:44:16Z"/>
        <d v="2016-07-14T18:45:12Z"/>
        <d v="2016-07-14T18:45:17Z"/>
        <d v="2016-07-14T18:47:22Z"/>
        <d v="2016-07-14T18:47:23Z"/>
        <d v="2016-07-14T18:47:37Z"/>
        <d v="2016-07-14T18:48:28Z"/>
        <d v="2016-07-14T18:48:36Z"/>
        <d v="2016-07-14T18:48:45Z"/>
        <d v="2016-07-14T18:48:59Z"/>
        <d v="2016-07-14T18:49:48Z"/>
        <d v="2016-07-14T18:49:50Z"/>
        <d v="2016-07-14T18:52:21Z"/>
        <d v="2016-07-14T18:53:04Z"/>
        <d v="2016-07-14T18:53:59Z"/>
        <d v="2016-07-14T18:55:12Z"/>
        <d v="2016-07-14T18:56:45Z"/>
        <d v="2016-07-14T18:56:55Z"/>
        <d v="2016-07-14T18:57:54Z"/>
        <d v="2016-07-14T18:58:17Z"/>
        <d v="2016-07-14T18:58:31Z"/>
        <d v="2016-07-14T19:00:24Z"/>
        <d v="2016-07-14T19:01:06Z"/>
        <d v="2016-07-14T19:02:20Z"/>
        <d v="2016-07-14T19:02:30Z"/>
        <d v="2016-07-14T19:04:05Z"/>
        <d v="2016-07-14T19:04:18Z"/>
        <d v="2016-07-14T19:05:28Z"/>
        <d v="2016-07-14T19:05:47Z"/>
        <d v="2016-07-14T19:06:09Z"/>
        <d v="2016-07-14T19:06:13Z"/>
        <d v="2016-07-14T19:06:43Z"/>
        <d v="2016-07-14T19:08:13Z"/>
        <d v="2016-07-14T19:09:22Z"/>
        <d v="2016-07-14T19:10:01Z"/>
        <d v="2016-07-14T19:10:41Z"/>
        <d v="2016-07-14T19:11:50Z"/>
        <d v="2016-07-14T19:12:03Z"/>
        <d v="2016-07-14T19:13:31Z"/>
        <d v="2016-07-14T19:17:42Z"/>
        <d v="2016-07-14T19:18:29Z"/>
        <d v="2016-07-14T19:18:43Z"/>
        <d v="2016-07-14T19:20:18Z"/>
        <d v="2016-07-14T19:20:59Z"/>
        <d v="2016-07-14T19:21:15Z"/>
        <d v="2016-07-14T19:22:15Z"/>
        <d v="2016-07-14T19:22:50Z"/>
        <d v="2016-07-14T19:24:18Z"/>
        <d v="2016-07-14T19:24:24Z"/>
        <d v="2016-07-14T19:24:34Z"/>
        <d v="2016-07-14T19:24:50Z"/>
        <d v="2016-07-14T19:25:41Z"/>
        <d v="2016-07-14T19:26:40Z"/>
        <d v="2016-07-14T19:26:41Z"/>
        <d v="2016-07-14T19:27:26Z"/>
        <d v="2016-07-14T19:27:35Z"/>
        <d v="2016-07-14T19:28:12Z"/>
        <d v="2016-07-14T19:29:37Z"/>
        <d v="2016-07-14T19:30:46Z"/>
        <d v="2016-07-14T19:31:43Z"/>
        <d v="2016-07-14T19:33:02Z"/>
        <d v="2016-07-14T19:34:56Z"/>
        <d v="2016-07-14T19:36:02Z"/>
        <d v="2016-07-14T19:36:34Z"/>
        <d v="2016-07-14T19:38:32Z"/>
        <d v="2016-07-14T19:39:27Z"/>
        <d v="2016-07-14T19:41:27Z"/>
        <d v="2016-07-14T19:44:00Z"/>
        <d v="2016-07-14T19:44:45Z"/>
        <d v="2016-07-14T19:45:37Z"/>
        <d v="2016-07-14T19:46:14Z"/>
        <d v="2016-07-14T19:47:18Z"/>
        <d v="2016-07-14T19:47:30Z"/>
        <d v="2016-07-14T19:49:25Z"/>
        <d v="2016-07-14T19:49:28Z"/>
        <d v="2016-07-14T19:50:05Z"/>
        <d v="2016-07-14T19:52:10Z"/>
        <d v="2016-07-14T19:52:43Z"/>
        <d v="2016-07-14T19:53:40Z"/>
        <d v="2016-07-14T19:54:10Z"/>
        <d v="2016-07-14T19:54:29Z"/>
        <d v="2016-07-14T19:56:17Z"/>
        <d v="2016-07-14T19:56:21Z"/>
        <d v="2016-07-14T19:57:06Z"/>
        <d v="2016-07-14T19:57:52Z"/>
        <d v="2016-07-14T19:58:32Z"/>
        <d v="2016-07-14T19:59:18Z"/>
        <d v="2016-07-14T19:59:48Z"/>
        <d v="2016-07-14T19:59:58Z"/>
        <d v="2016-07-14T20:00:48Z"/>
        <d v="2016-07-14T20:00:55Z"/>
        <d v="2016-07-14T20:02:23Z"/>
        <d v="2016-07-14T20:03:50Z"/>
        <d v="2016-07-14T20:04:55Z"/>
        <d v="2016-07-14T20:06:35Z"/>
        <d v="2016-07-14T20:06:40Z"/>
        <d v="2016-07-14T20:07:58Z"/>
        <d v="2016-07-14T20:08:34Z"/>
        <d v="2016-07-14T20:09:06Z"/>
        <d v="2016-07-14T20:09:13Z"/>
        <d v="2016-07-14T20:09:49Z"/>
        <d v="2016-07-14T20:10:11Z"/>
        <d v="2016-07-14T20:10:31Z"/>
        <d v="2016-07-14T20:12:41Z"/>
        <d v="2016-07-14T20:12:46Z"/>
        <d v="2016-07-14T20:13:12Z"/>
        <d v="2016-07-14T20:13:32Z"/>
        <d v="2016-07-14T20:13:35Z"/>
        <d v="2016-07-14T20:14:35Z"/>
        <d v="2016-07-14T20:14:50Z"/>
        <d v="2016-07-14T20:15:50Z"/>
        <d v="2016-07-14T20:16:25Z"/>
        <d v="2016-07-14T20:16:45Z"/>
        <d v="2016-07-14T20:18:17Z"/>
        <d v="2016-07-14T20:19:48Z"/>
        <d v="2016-07-14T20:20:39Z"/>
        <d v="2016-07-14T20:21:30Z"/>
        <d v="2016-07-14T20:22:44Z"/>
        <d v="2016-07-14T20:23:19Z"/>
        <d v="2016-07-14T20:24:20Z"/>
        <d v="2016-07-14T20:24:33Z"/>
        <d v="2016-07-14T20:26:03Z"/>
        <d v="2016-07-14T20:26:14Z"/>
        <d v="2016-07-14T20:26:22Z"/>
        <d v="2016-07-14T20:29:01Z"/>
        <d v="2016-07-14T20:30:55Z"/>
        <d v="2016-07-14T20:31:29Z"/>
        <d v="2016-07-14T20:31:56Z"/>
        <d v="2016-07-14T20:33:07Z"/>
        <d v="2016-07-14T20:33:29Z"/>
        <d v="2016-07-14T20:33:48Z"/>
        <d v="2016-07-14T20:33:53Z"/>
        <d v="2016-07-14T20:34:28Z"/>
        <d v="2016-07-14T20:34:55Z"/>
        <d v="2016-07-14T20:36:38Z"/>
        <d v="2016-07-14T20:37:22Z"/>
        <d v="2016-07-14T20:37:49Z"/>
        <d v="2016-07-14T20:38:19Z"/>
        <d v="2016-07-14T20:39:20Z"/>
        <d v="2016-07-14T20:42:36Z"/>
        <d v="2016-07-14T20:44:16Z"/>
        <d v="2016-07-14T20:45:34Z"/>
        <d v="2016-07-14T20:46:54Z"/>
        <d v="2016-07-14T20:48:19Z"/>
        <d v="2016-07-14T20:48:23Z"/>
        <d v="2016-07-14T20:49:42Z"/>
        <d v="2016-07-14T20:50:20Z"/>
        <d v="2016-07-14T20:50:35Z"/>
        <d v="2016-07-14T20:50:45Z"/>
        <d v="2016-07-14T20:52:06Z"/>
        <d v="2016-07-14T20:52:29Z"/>
        <d v="2016-07-14T20:53:20Z"/>
        <d v="2016-07-14T20:54:01Z"/>
        <d v="2016-07-14T20:54:14Z"/>
        <d v="2016-07-14T20:55:44Z"/>
        <d v="2016-07-14T20:56:01Z"/>
        <d v="2016-07-14T20:56:53Z"/>
        <d v="2016-07-14T21:01:14Z"/>
        <d v="2016-07-14T21:02:42Z"/>
        <d v="2016-07-14T21:03:46Z"/>
        <d v="2016-07-14T21:04:06Z"/>
        <d v="2016-07-14T21:05:08Z"/>
        <d v="2016-07-14T21:05:37Z"/>
        <d v="2016-07-14T21:06:15Z"/>
        <d v="2016-07-14T21:06:40Z"/>
        <d v="2016-07-14T21:08:03Z"/>
        <d v="2016-07-14T21:09:10Z"/>
        <d v="2016-07-14T21:09:26Z"/>
        <d v="2016-07-14T21:10:04Z"/>
        <d v="2016-07-14T21:11:16Z"/>
        <d v="2016-07-14T21:11:18Z"/>
        <d v="2016-07-14T21:12:36Z"/>
        <d v="2016-07-14T21:13:02Z"/>
        <d v="2016-07-14T21:13:41Z"/>
        <d v="2016-07-14T21:14:49Z"/>
        <d v="2016-07-14T21:15:21Z"/>
        <d v="2016-07-14T21:17:05Z"/>
        <d v="2016-07-14T21:18:16Z"/>
        <d v="2016-07-14T21:18:25Z"/>
        <d v="2016-07-14T21:18:49Z"/>
        <d v="2016-07-14T21:22:57Z"/>
        <d v="2016-07-14T21:23:38Z"/>
        <d v="2016-07-14T21:23:40Z"/>
        <d v="2016-07-14T21:24:01Z"/>
        <d v="2016-07-14T21:25:25Z"/>
        <d v="2016-07-14T21:26:42Z"/>
        <d v="2016-07-14T21:27:13Z"/>
        <d v="2016-07-14T21:28:13Z"/>
        <d v="2016-07-14T21:28:54Z"/>
        <d v="2016-07-14T21:30:20Z"/>
        <d v="2016-07-14T21:30:22Z"/>
        <d v="2016-07-14T21:34:50Z"/>
        <d v="2016-07-14T21:34:54Z"/>
        <d v="2016-07-14T21:34:56Z"/>
        <d v="2016-07-14T21:35:55Z"/>
        <d v="2016-07-14T21:36:33Z"/>
        <d v="2016-07-14T21:37:00Z"/>
        <d v="2016-07-14T21:37:02Z"/>
        <d v="2016-07-14T21:38:13Z"/>
        <d v="2016-07-14T21:39:15Z"/>
        <d v="2016-07-14T21:40:58Z"/>
        <d v="2016-07-14T21:48:17Z"/>
        <d v="2016-07-14T21:49:15Z"/>
        <d v="2016-07-14T21:49:20Z"/>
        <d v="2016-07-14T21:50:36Z"/>
        <d v="2016-07-14T21:52:13Z"/>
        <d v="2016-07-14T21:53:35Z"/>
        <d v="2016-07-14T21:54:00Z"/>
        <d v="2016-07-14T21:54:37Z"/>
        <d v="2016-07-14T21:56:00Z"/>
        <d v="2016-07-14T21:56:02Z"/>
        <d v="2016-07-14T21:58:07Z"/>
        <d v="2016-07-14T21:58:18Z"/>
        <d v="2016-07-14T21:58:40Z"/>
        <d v="2016-07-14T22:00:48Z"/>
        <d v="2016-07-14T22:01:48Z"/>
        <d v="2016-07-14T22:03:36Z"/>
        <d v="2016-07-14T22:04:21Z"/>
        <d v="2016-07-14T22:05:34Z"/>
        <d v="2016-07-14T22:05:56Z"/>
        <d v="2016-07-14T22:06:23Z"/>
        <d v="2016-07-14T22:06:30Z"/>
        <d v="2016-07-14T22:08:03Z"/>
        <d v="2016-07-14T22:09:42Z"/>
        <d v="2016-07-14T22:13:46Z"/>
        <d v="2016-07-14T22:13:58Z"/>
        <d v="2016-07-14T22:14:46Z"/>
        <d v="2016-07-14T22:15:42Z"/>
        <d v="2016-07-14T22:19:56Z"/>
        <d v="2016-07-14T22:20:30Z"/>
        <d v="2016-07-14T22:22:35Z"/>
        <d v="2016-07-14T22:22:39Z"/>
        <d v="2016-07-14T22:23:02Z"/>
        <d v="2016-07-14T22:28:16Z"/>
        <d v="2016-07-14T22:35:51Z"/>
        <d v="2016-07-14T22:46:35Z"/>
        <d v="2016-07-14T22:54:09Z"/>
        <d v="2016-07-14T22:54:12Z"/>
        <d v="2016-07-14T23:06:44Z"/>
        <d v="2016-07-14T23:10:05Z"/>
        <d v="2016-07-14T23:19:41Z"/>
        <d v="2016-07-14T23:22:24Z"/>
        <d v="2016-07-14T23:22:28Z"/>
        <d v="2016-07-14T23:24:27Z"/>
        <d v="2016-07-14T23:38:08Z"/>
        <d v="2016-07-14T23:39:47Z"/>
        <d v="2016-07-14T23:41:09Z"/>
        <d v="2016-07-14T23:42:27Z"/>
        <d v="2016-07-14T23:43:02Z"/>
        <d v="2016-07-14T23:52:06Z"/>
        <d v="2016-07-15T00:09:09Z"/>
        <d v="2016-07-15T00:19:05Z"/>
        <d v="2016-07-15T00:19:53Z"/>
        <d v="2016-07-15T00:20:15Z"/>
        <d v="2016-07-15T00:20:52Z"/>
        <d v="2016-07-15T00:26:36Z"/>
        <d v="2016-07-15T00:26:39Z"/>
        <d v="2016-07-15T00:30:35Z"/>
        <d v="2016-07-15T00:52:01Z"/>
        <d v="2016-07-15T00:53:01Z"/>
        <d v="2016-07-15T01:02:15Z"/>
        <d v="2016-07-15T01:04:28Z"/>
        <d v="2016-07-15T01:14:00Z"/>
        <d v="2016-07-15T01:20:44Z"/>
        <d v="2016-07-15T01:27:47Z"/>
        <d v="2016-07-15T01:31:34Z"/>
        <d v="2016-07-15T01:37:01Z"/>
        <d v="2016-07-15T01:43:11Z"/>
        <d v="2016-07-15T01:49:06Z"/>
        <d v="2016-07-15T01:50:12Z"/>
        <d v="2016-07-15T01:51:08Z"/>
        <d v="2016-07-15T01:51:17Z"/>
        <d v="2016-07-15T01:53:20Z"/>
        <d v="2016-07-15T01:59:17Z"/>
        <d v="2016-07-15T02:09:15Z"/>
        <d v="2016-07-15T02:20:24Z"/>
        <d v="2016-07-15T02:22:32Z"/>
        <d v="2016-07-15T02:38:44Z"/>
        <d v="2016-07-15T02:41:29Z"/>
        <d v="2016-07-15T02:42:51Z"/>
        <d v="2016-07-15T02:59:36Z"/>
        <d v="2016-07-15T02:59:38Z"/>
        <d v="2016-07-15T03:03:18Z"/>
        <d v="2016-07-15T03:06:28Z"/>
        <d v="2016-07-15T03:07:48Z"/>
        <d v="2016-07-15T03:08:38Z"/>
        <d v="2016-07-15T03:13:10Z"/>
        <d v="2016-07-15T03:18:52Z"/>
        <d v="2016-07-15T03:19:59Z"/>
        <d v="2016-07-15T03:21:40Z"/>
        <d v="2016-07-15T03:25:14Z"/>
        <d v="2016-07-15T03:25:23Z"/>
        <d v="2016-07-15T03:28:06Z"/>
        <d v="2016-07-15T03:45:59Z"/>
        <d v="2016-07-15T03:47:26Z"/>
        <d v="2016-07-15T04:00:41Z"/>
        <d v="2016-07-15T04:03:50Z"/>
        <d v="2016-07-15T04:10:18Z"/>
        <d v="2016-07-15T04:20:15Z"/>
        <d v="2016-07-15T04:20:46Z"/>
        <d v="2016-07-15T04:21:04Z"/>
        <d v="2016-07-15T04:29:02Z"/>
        <d v="2016-07-15T04:31:33Z"/>
        <d v="2016-07-15T04:37:39Z"/>
        <d v="2016-07-15T04:42:16Z"/>
        <d v="2016-07-15T04:50:21Z"/>
        <d v="2016-07-15T04:51:09Z"/>
        <d v="2016-07-15T04:51:13Z"/>
        <d v="2016-07-15T04:54:24Z"/>
        <d v="2016-07-15T04:56:23Z"/>
        <d v="2016-07-15T05:05:11Z"/>
        <d v="2016-07-15T05:07:43Z"/>
        <d v="2016-07-15T05:08:36Z"/>
        <d v="2016-07-15T05:09:02Z"/>
        <d v="2016-07-15T05:17:35Z"/>
        <d v="2016-07-15T05:19:19Z"/>
        <d v="2016-07-15T05:19:40Z"/>
        <d v="2016-07-15T05:20:53Z"/>
        <d v="2016-07-15T05:22:55Z"/>
        <d v="2016-07-15T05:25:38Z"/>
        <d v="2016-07-15T05:28:04Z"/>
        <d v="2016-07-15T05:28:50Z"/>
        <d v="2016-07-15T05:33:09Z"/>
        <d v="2016-07-15T05:33:11Z"/>
        <d v="2016-07-15T05:40:28Z"/>
        <d v="2016-07-15T05:43:37Z"/>
        <d v="2016-07-15T05:45:23Z"/>
        <d v="2016-07-15T05:48:23Z"/>
        <d v="2016-07-15T05:54:44Z"/>
        <d v="2016-07-15T05:55:11Z"/>
        <d v="2016-07-15T05:56:56Z"/>
        <d v="2016-07-15T05:58:33Z"/>
        <d v="2016-07-15T06:02:17Z"/>
        <d v="2016-07-15T06:09:11Z"/>
        <d v="2016-07-15T06:09:52Z"/>
        <d v="2016-07-15T06:10:06Z"/>
        <d v="2016-07-15T06:10:37Z"/>
        <d v="2016-07-15T06:10:58Z"/>
        <d v="2016-07-15T06:16:34Z"/>
        <d v="2016-07-15T06:18:51Z"/>
        <d v="2016-07-15T06:21:03Z"/>
        <d v="2016-07-15T06:21:15Z"/>
        <d v="2016-07-15T06:29:49Z"/>
        <d v="2016-07-15T06:31:11Z"/>
        <d v="2016-07-15T06:34:55Z"/>
        <d v="2016-07-15T06:41:27Z"/>
        <d v="2016-07-15T06:57:40Z"/>
        <d v="2016-07-15T07:01:00Z"/>
        <d v="2016-07-15T07:02:35Z"/>
        <d v="2016-07-15T07:03:18Z"/>
        <d v="2016-07-15T07:07:53Z"/>
        <d v="2016-07-15T07:08:09Z"/>
        <d v="2016-07-15T07:19:18Z"/>
        <d v="2016-07-15T07:26:20Z"/>
        <d v="2016-07-15T07:27:30Z"/>
        <d v="2016-07-15T07:27:37Z"/>
        <d v="2016-07-15T07:39:22Z"/>
        <d v="2016-07-15T07:39:41Z"/>
        <d v="2016-07-15T07:41:08Z"/>
        <d v="2016-07-15T07:41:36Z"/>
        <d v="2016-07-15T07:42:22Z"/>
        <d v="2016-07-15T07:46:01Z"/>
        <d v="2016-07-15T07:50:44Z"/>
        <d v="2016-07-15T07:55:54Z"/>
        <d v="2016-07-15T07:58:18Z"/>
        <d v="2016-07-15T07:58:52Z"/>
        <d v="2016-07-15T07:59:34Z"/>
        <d v="2016-07-15T08:06:06Z"/>
        <d v="2016-07-15T08:16:05Z"/>
        <d v="2016-07-15T08:23:09Z"/>
        <d v="2016-07-15T08:24:44Z"/>
        <d v="2016-07-15T08:25:08Z"/>
        <d v="2016-07-15T08:27:07Z"/>
        <d v="2016-07-15T08:27:56Z"/>
        <d v="2016-07-15T08:39:22Z"/>
        <d v="2016-07-15T08:40:46Z"/>
        <d v="2016-07-15T08:40:52Z"/>
        <d v="2016-07-15T08:42:40Z"/>
        <d v="2016-07-15T08:46:26Z"/>
        <d v="2016-07-15T08:46:52Z"/>
        <d v="2016-07-15T08:49:20Z"/>
        <d v="2016-07-15T08:59:46Z"/>
        <d v="2016-07-15T09:01:29Z"/>
        <d v="2016-07-15T09:06:22Z"/>
        <d v="2016-07-15T09:07:25Z"/>
        <d v="2016-07-15T09:07:28Z"/>
        <d v="2016-07-15T09:07:45Z"/>
        <d v="2016-07-15T09:11:55Z"/>
        <d v="2016-07-15T09:14:50Z"/>
        <d v="2016-07-15T09:15:16Z"/>
        <d v="2016-07-15T09:32:02Z"/>
        <d v="2016-07-15T09:34:14Z"/>
        <d v="2016-07-15T10:00:54Z"/>
        <d v="2016-07-15T10:07:19Z"/>
        <d v="2016-07-15T10:10:48Z"/>
        <d v="2016-07-15T10:12:03Z"/>
        <d v="2016-07-15T10:18:54Z"/>
        <d v="2016-07-15T10:20:55Z"/>
        <d v="2016-07-15T10:23:54Z"/>
        <d v="2016-07-15T10:28:33Z"/>
        <d v="2016-07-15T10:29:08Z"/>
        <d v="2016-07-15T10:44:46Z"/>
        <d v="2016-07-15T10:49:35Z"/>
        <d v="2016-07-15T10:53:00Z"/>
        <d v="2016-07-15T10:55:41Z"/>
        <d v="2016-07-15T10:57:44Z"/>
        <d v="2016-07-15T10:58:18Z"/>
        <d v="2016-07-15T11:08:29Z"/>
        <d v="2016-07-15T11:14:55Z"/>
        <d v="2016-07-15T11:15:11Z"/>
        <d v="2016-07-15T11:38:24Z"/>
        <d v="2016-07-15T11:41:48Z"/>
        <d v="2016-07-15T11:44:53Z"/>
        <d v="2016-07-15T11:52:19Z"/>
        <d v="2016-07-15T11:52:45Z"/>
        <d v="2016-07-15T11:54:33Z"/>
        <d v="2016-07-15T11:56:37Z"/>
        <d v="2016-07-15T12:00:50Z"/>
        <d v="2016-07-15T12:05:38Z"/>
        <d v="2016-07-15T12:12:45Z"/>
        <d v="2016-07-15T12:14:51Z"/>
        <d v="2016-07-15T12:21:13Z"/>
        <d v="2016-07-15T12:28:32Z"/>
        <d v="2016-07-15T12:29:07Z"/>
        <d v="2016-07-15T12:34:15Z"/>
        <d v="2016-07-15T12:40:38Z"/>
        <d v="2016-07-15T12:42:42Z"/>
        <d v="2016-07-15T12:45:32Z"/>
        <d v="2016-07-15T12:50:24Z"/>
        <d v="2016-07-15T12:51:21Z"/>
        <d v="2016-07-15T12:52:31Z"/>
        <d v="2016-07-15T12:57:23Z"/>
        <d v="2016-07-15T13:04:46Z"/>
        <d v="2016-07-15T13:09:54Z"/>
        <d v="2016-07-15T13:10:11Z"/>
        <d v="2016-07-15T13:10:25Z"/>
        <d v="2016-07-15T13:14:10Z"/>
        <d v="2016-07-15T13:17:58Z"/>
        <d v="2016-07-15T13:25:52Z"/>
        <d v="2016-07-15T13:29:51Z"/>
        <d v="2016-07-15T13:30:10Z"/>
        <d v="2016-07-15T13:34:37Z"/>
        <d v="2016-07-15T13:35:15Z"/>
        <d v="2016-07-15T13:35:57Z"/>
        <d v="2016-07-15T13:41:06Z"/>
        <d v="2016-07-15T13:44:09Z"/>
        <d v="2016-07-15T13:44:15Z"/>
        <d v="2016-07-15T13:57:54Z"/>
        <d v="2016-07-15T13:58:07Z"/>
        <d v="2016-07-15T14:00:19Z"/>
        <d v="2016-07-15T14:04:06Z"/>
        <d v="2016-07-15T14:05:38Z"/>
        <d v="2016-07-15T14:06:37Z"/>
        <d v="2016-07-15T14:10:05Z"/>
        <d v="2016-07-15T14:10:43Z"/>
        <d v="2016-07-15T14:18:01Z"/>
        <d v="2016-07-15T14:21:03Z"/>
        <d v="2016-07-15T14:23:03Z"/>
        <d v="2016-07-15T14:26:34Z"/>
        <d v="2016-07-15T14:35:30Z"/>
        <d v="2016-07-15T14:36:17Z"/>
        <d v="2016-07-15T14:38:06Z"/>
        <d v="2016-07-15T14:38:55Z"/>
        <d v="2016-07-15T14:40:10Z"/>
        <d v="2016-07-15T14:41:44Z"/>
        <d v="2016-07-15T15:01:11Z"/>
        <d v="2016-07-15T15:02:50Z"/>
        <d v="2016-07-15T15:05:13Z"/>
        <d v="2016-07-15T15:08:25Z"/>
        <d v="2016-07-15T15:12:08Z"/>
        <d v="2016-07-15T15:24:26Z"/>
        <d v="2016-07-15T15:27:59Z"/>
        <d v="2016-07-15T15:28:37Z"/>
        <d v="2016-07-15T15:29:25Z"/>
        <d v="2016-07-15T15:32:54Z"/>
        <d v="2016-07-15T15:34:16Z"/>
        <d v="2016-07-15T15:37:15Z"/>
        <d v="2016-07-15T15:38:20Z"/>
        <d v="2016-07-15T15:42:12Z"/>
        <d v="2016-07-15T15:46:11Z"/>
        <d v="2016-07-15T15:46:19Z"/>
        <d v="2016-07-15T15:50:27Z"/>
        <d v="2016-07-15T15:52:06Z"/>
        <d v="2016-07-15T15:54:55Z"/>
        <d v="2016-07-15T16:07:31Z"/>
        <d v="2016-07-15T16:18:59Z"/>
        <d v="2016-07-15T16:19:03Z"/>
        <d v="2016-07-15T16:20:39Z"/>
        <d v="2016-07-15T16:24:44Z"/>
        <d v="2016-07-15T16:25:38Z"/>
        <d v="2016-07-15T16:25:51Z"/>
        <d v="2016-07-15T16:32:42Z"/>
        <d v="2016-07-15T16:37:26Z"/>
        <d v="2016-07-15T16:37:36Z"/>
        <d v="2016-07-15T16:38:45Z"/>
        <d v="2016-07-15T16:41:53Z"/>
        <d v="2016-07-15T16:42:53Z"/>
        <d v="2016-07-15T16:43:12Z"/>
        <d v="2016-07-15T16:43:36Z"/>
        <d v="2016-07-15T16:44:22Z"/>
        <d v="2016-07-15T16:46:33Z"/>
        <d v="2016-07-15T16:47:39Z"/>
        <d v="2016-07-15T16:51:23Z"/>
        <d v="2016-07-15T16:53:23Z"/>
        <d v="2016-07-15T17:00:26Z"/>
        <d v="2016-07-15T17:05:16Z"/>
        <d v="2016-07-15T17:06:38Z"/>
        <d v="2016-07-15T17:08:43Z"/>
        <d v="2016-07-15T17:08:54Z"/>
        <d v="2016-07-15T17:11:14Z"/>
        <d v="2016-07-15T17:13:58Z"/>
        <d v="2016-07-15T17:14:08Z"/>
        <d v="2016-07-15T17:14:28Z"/>
        <d v="2016-07-15T17:15:57Z"/>
        <d v="2016-07-15T17:16:13Z"/>
        <d v="2016-07-15T17:16:52Z"/>
        <d v="2016-07-15T17:22:03Z"/>
        <d v="2016-07-15T17:22:39Z"/>
        <d v="2016-07-15T17:22:51Z"/>
        <d v="2016-07-15T17:26:10Z"/>
        <d v="2016-07-15T17:27:28Z"/>
        <d v="2016-07-15T17:28:26Z"/>
        <d v="2016-07-15T17:28:39Z"/>
        <d v="2016-07-15T17:32:56Z"/>
        <d v="2016-07-15T17:34:28Z"/>
        <d v="2016-07-15T17:35:39Z"/>
        <d v="2016-07-15T17:35:52Z"/>
        <d v="2016-07-15T17:36:15Z"/>
        <d v="2016-07-15T17:37:12Z"/>
        <d v="2016-07-15T17:37:44Z"/>
        <d v="2016-07-15T17:39:44Z"/>
        <d v="2016-07-15T17:42:07Z"/>
        <d v="2016-07-15T17:44:18Z"/>
        <d v="2016-07-15T17:44:31Z"/>
        <d v="2016-07-15T17:46:24Z"/>
        <d v="2016-07-15T17:48:34Z"/>
        <d v="2016-07-15T17:48:55Z"/>
        <d v="2016-07-15T17:51:02Z"/>
        <d v="2016-07-15T17:51:18Z"/>
        <d v="2016-07-15T17:52:26Z"/>
        <d v="2016-07-15T17:54:59Z"/>
        <d v="2016-07-15T17:56:33Z"/>
        <d v="2016-07-15T17:57:07Z"/>
        <d v="2016-07-15T18:01:11Z"/>
        <d v="2016-07-15T18:02:07Z"/>
        <d v="2016-07-15T18:02:24Z"/>
        <d v="2016-07-15T18:03:01Z"/>
        <d v="2016-07-15T18:04:28Z"/>
        <d v="2016-07-15T18:04:51Z"/>
        <d v="2016-07-15T18:05:56Z"/>
        <d v="2016-07-15T18:06:23Z"/>
        <d v="2016-07-15T18:06:35Z"/>
        <d v="2016-07-15T18:06:52Z"/>
        <d v="2016-07-15T18:10:18Z"/>
        <d v="2016-07-15T18:10:20Z"/>
        <d v="2016-07-15T18:10:29Z"/>
        <d v="2016-07-15T18:12:14Z"/>
        <d v="2016-07-15T18:13:22Z"/>
        <d v="2016-07-15T18:13:56Z"/>
        <d v="2016-07-15T18:14:38Z"/>
        <d v="2016-07-15T18:14:52Z"/>
        <d v="2016-07-15T18:15:02Z"/>
        <d v="2016-07-15T18:15:40Z"/>
        <d v="2016-07-15T18:15:46Z"/>
        <d v="2016-07-15T18:16:11Z"/>
        <d v="2016-07-15T18:17:11Z"/>
        <d v="2016-07-15T18:18:28Z"/>
        <d v="2016-07-15T18:19:03Z"/>
        <d v="2016-07-15T18:19:55Z"/>
        <d v="2016-07-15T18:20:36Z"/>
        <d v="2016-07-15T18:22:01Z"/>
        <d v="2016-07-15T18:22:36Z"/>
        <d v="2016-07-15T18:23:02Z"/>
        <d v="2016-07-15T18:24:14Z"/>
        <d v="2016-07-15T18:24:55Z"/>
        <d v="2016-07-15T18:25:07Z"/>
        <d v="2016-07-15T18:25:29Z"/>
        <d v="2016-07-15T18:27:49Z"/>
        <d v="2016-07-15T18:28:55Z"/>
        <d v="2016-07-15T18:29:36Z"/>
        <d v="2016-07-15T18:30:33Z"/>
        <d v="2016-07-15T18:30:45Z"/>
        <d v="2016-07-15T18:30:48Z"/>
        <d v="2016-07-15T18:31:59Z"/>
        <d v="2016-07-15T18:32:47Z"/>
        <d v="2016-07-15T18:33:07Z"/>
        <d v="2016-07-15T18:33:11Z"/>
        <d v="2016-07-15T18:34:36Z"/>
        <d v="2016-07-15T18:37:54Z"/>
        <d v="2016-07-15T18:38:18Z"/>
        <d v="2016-07-15T18:43:08Z"/>
        <d v="2016-07-15T18:44:01Z"/>
        <d v="2016-07-15T18:44:06Z"/>
        <d v="2016-07-15T18:44:37Z"/>
        <d v="2016-07-15T18:45:29Z"/>
        <d v="2016-07-15T18:45:52Z"/>
        <d v="2016-07-15T18:48:52Z"/>
        <d v="2016-07-15T18:49:03Z"/>
        <d v="2016-07-15T18:49:05Z"/>
        <d v="2016-07-15T18:49:34Z"/>
        <d v="2016-07-15T18:49:52Z"/>
        <d v="2016-07-15T18:50:36Z"/>
        <d v="2016-07-15T18:52:36Z"/>
        <d v="2016-07-15T18:53:38Z"/>
        <d v="2016-07-15T18:55:00Z"/>
        <d v="2016-07-15T18:56:18Z"/>
        <d v="2016-07-15T18:56:46Z"/>
        <d v="2016-07-15T18:59:24Z"/>
        <d v="2016-07-15T18:59:48Z"/>
        <d v="2016-07-15T18:59:56Z"/>
        <d v="2016-07-15T19:02:00Z"/>
        <d v="2016-07-15T19:02:10Z"/>
        <d v="2016-07-15T19:04:23Z"/>
        <d v="2016-07-15T19:05:34Z"/>
        <d v="2016-07-15T19:06:52Z"/>
        <d v="2016-07-15T19:07:35Z"/>
        <d v="2016-07-15T19:08:15Z"/>
        <d v="2016-07-15T19:08:58Z"/>
        <d v="2016-07-15T19:09:02Z"/>
        <d v="2016-07-15T19:09:08Z"/>
        <d v="2016-07-15T19:11:17Z"/>
        <d v="2016-07-15T19:11:44Z"/>
        <d v="2016-07-15T19:18:21Z"/>
        <d v="2016-07-15T19:18:28Z"/>
        <d v="2016-07-15T19:19:01Z"/>
        <d v="2016-07-15T19:19:20Z"/>
        <d v="2016-07-15T19:19:36Z"/>
        <d v="2016-07-15T19:19:46Z"/>
        <d v="2016-07-15T19:19:53Z"/>
        <d v="2016-07-15T19:20:56Z"/>
        <d v="2016-07-15T19:21:44Z"/>
        <d v="2016-07-15T19:24:14Z"/>
        <d v="2016-07-15T19:30:04Z"/>
        <d v="2016-07-15T19:31:37Z"/>
        <d v="2016-07-15T19:34:29Z"/>
        <d v="2016-07-15T19:34:36Z"/>
        <d v="2016-07-15T19:35:41Z"/>
        <d v="2016-07-15T19:37:27Z"/>
        <d v="2016-07-15T19:39:04Z"/>
        <d v="2016-07-15T19:40:25Z"/>
        <d v="2016-07-15T19:40:35Z"/>
        <d v="2016-07-15T19:40:51Z"/>
        <d v="2016-07-15T19:41:26Z"/>
        <d v="2016-07-15T19:44:14Z"/>
        <d v="2016-07-15T19:48:10Z"/>
        <d v="2016-07-15T19:49:13Z"/>
        <d v="2016-07-15T19:49:18Z"/>
        <d v="2016-07-15T19:50:16Z"/>
        <d v="2016-07-15T19:51:23Z"/>
        <d v="2016-07-15T19:52:29Z"/>
        <d v="2016-07-15T19:52:38Z"/>
        <d v="2016-07-15T19:53:41Z"/>
        <d v="2016-07-15T19:54:31Z"/>
        <d v="2016-07-15T19:54:55Z"/>
        <d v="2016-07-15T19:55:57Z"/>
        <d v="2016-07-15T19:59:01Z"/>
        <d v="2016-07-15T20:00:30Z"/>
        <d v="2016-07-15T20:01:35Z"/>
        <d v="2016-07-15T20:05:31Z"/>
        <d v="2016-07-15T20:06:12Z"/>
        <d v="2016-07-15T20:06:15Z"/>
        <d v="2016-07-15T20:06:20Z"/>
        <d v="2016-07-15T20:06:22Z"/>
        <d v="2016-07-15T20:06:28Z"/>
        <d v="2016-07-15T20:08:29Z"/>
        <d v="2016-07-15T20:10:42Z"/>
        <d v="2016-07-15T20:10:43Z"/>
        <d v="2016-07-15T20:12:47Z"/>
        <d v="2016-07-15T20:12:57Z"/>
        <d v="2016-07-15T20:13:19Z"/>
        <d v="2016-07-15T20:14:15Z"/>
        <d v="2016-07-15T20:15:04Z"/>
        <d v="2016-07-15T20:15:30Z"/>
        <d v="2016-07-15T20:15:59Z"/>
        <d v="2016-07-15T20:16:22Z"/>
        <d v="2016-07-15T20:19:05Z"/>
        <d v="2016-07-15T20:19:08Z"/>
        <d v="2016-07-15T20:19:28Z"/>
        <d v="2016-07-15T20:20:38Z"/>
        <d v="2016-07-15T20:23:05Z"/>
        <d v="2016-07-15T20:23:50Z"/>
        <d v="2016-07-15T20:23:59Z"/>
        <d v="2016-07-15T20:24:55Z"/>
        <d v="2016-07-15T20:27:44Z"/>
        <d v="2016-07-15T20:28:23Z"/>
        <d v="2016-07-15T20:28:26Z"/>
        <d v="2016-07-15T20:31:24Z"/>
        <d v="2016-07-15T20:33:37Z"/>
        <d v="2016-07-15T20:33:46Z"/>
        <d v="2016-07-15T20:34:07Z"/>
        <d v="2016-07-15T20:34:19Z"/>
        <d v="2016-07-15T20:34:24Z"/>
        <d v="2016-07-15T20:35:28Z"/>
        <d v="2016-07-15T20:36:37Z"/>
        <d v="2016-07-15T20:39:00Z"/>
        <d v="2016-07-15T20:39:41Z"/>
        <d v="2016-07-15T20:40:47Z"/>
        <d v="2016-07-15T20:41:34Z"/>
        <d v="2016-07-15T20:43:52Z"/>
        <d v="2016-07-15T20:43:53Z"/>
        <d v="2016-07-15T20:45:30Z"/>
        <d v="2016-07-15T20:45:59Z"/>
        <d v="2016-07-15T20:46:02Z"/>
        <d v="2016-07-15T20:46:49Z"/>
        <d v="2016-07-15T20:48:02Z"/>
        <d v="2016-07-15T20:48:29Z"/>
        <d v="2016-07-15T20:49:50Z"/>
        <d v="2016-07-15T20:51:33Z"/>
        <d v="2016-07-15T20:51:49Z"/>
        <d v="2016-07-15T20:51:50Z"/>
        <d v="2016-07-15T20:52:28Z"/>
        <d v="2016-07-15T20:52:29Z"/>
        <d v="2016-07-15T20:52:44Z"/>
        <d v="2016-07-15T20:54:03Z"/>
        <d v="2016-07-15T20:54:45Z"/>
        <d v="2016-07-15T20:54:50Z"/>
        <d v="2016-07-15T20:55:29Z"/>
        <d v="2016-07-15T20:55:46Z"/>
        <d v="2016-07-15T20:57:01Z"/>
        <d v="2016-07-15T20:59:40Z"/>
        <d v="2016-07-15T21:01:08Z"/>
        <d v="2016-07-15T21:02:25Z"/>
        <d v="2016-07-15T21:04:01Z"/>
        <d v="2016-07-15T21:05:56Z"/>
        <d v="2016-07-15T21:06:08Z"/>
        <d v="2016-07-15T21:08:26Z"/>
        <d v="2016-07-15T21:08:54Z"/>
        <d v="2016-07-15T21:09:35Z"/>
        <d v="2016-07-15T21:11:40Z"/>
        <d v="2016-07-15T21:12:32Z"/>
        <d v="2016-07-15T21:12:45Z"/>
        <d v="2016-07-15T21:15:21Z"/>
        <d v="2016-07-15T21:16:03Z"/>
        <d v="2016-07-15T21:16:17Z"/>
        <d v="2016-07-15T21:16:31Z"/>
        <d v="2016-07-15T21:20:21Z"/>
        <d v="2016-07-15T21:20:28Z"/>
        <d v="2016-07-15T21:22:23Z"/>
        <d v="2016-07-15T21:23:15Z"/>
        <d v="2016-07-15T21:23:24Z"/>
        <d v="2016-07-15T21:24:05Z"/>
        <d v="2016-07-15T21:26:47Z"/>
        <d v="2016-07-15T21:28:16Z"/>
        <d v="2016-07-15T21:29:57Z"/>
        <d v="2016-07-15T21:30:10Z"/>
        <d v="2016-07-15T21:30:53Z"/>
        <d v="2016-07-15T21:32:55Z"/>
        <d v="2016-07-15T21:37:14Z"/>
        <d v="2016-07-15T21:39:04Z"/>
        <d v="2016-07-15T21:39:52Z"/>
        <d v="2016-07-15T21:39:57Z"/>
        <d v="2016-07-15T21:40:10Z"/>
        <d v="2016-07-15T21:40:33Z"/>
        <d v="2016-07-15T21:41:02Z"/>
        <d v="2016-07-15T21:43:07Z"/>
        <d v="2016-07-15T21:43:55Z"/>
        <d v="2016-07-15T21:44:05Z"/>
        <d v="2016-07-15T21:44:55Z"/>
        <d v="2016-07-15T21:47:07Z"/>
        <d v="2016-07-15T21:51:04Z"/>
        <d v="2016-07-15T21:51:10Z"/>
        <d v="2016-07-15T21:52:01Z"/>
        <d v="2016-07-15T21:52:53Z"/>
        <d v="2016-07-15T21:53:37Z"/>
        <d v="2016-07-15T21:54:21Z"/>
        <d v="2016-07-15T21:56:00Z"/>
        <d v="2016-07-15T21:59:40Z"/>
        <d v="2016-07-15T22:01:46Z"/>
        <d v="2016-07-15T22:02:01Z"/>
        <d v="2016-07-15T22:03:02Z"/>
        <d v="2016-07-15T22:03:39Z"/>
        <d v="2016-07-15T22:04:25Z"/>
        <d v="2016-07-15T22:04:45Z"/>
        <d v="2016-07-15T22:04:58Z"/>
        <d v="2016-07-15T22:06:19Z"/>
        <d v="2016-07-15T22:08:54Z"/>
        <d v="2016-07-15T22:11:08Z"/>
        <d v="2016-07-15T22:12:38Z"/>
        <d v="2016-07-15T22:17:35Z"/>
        <d v="2016-07-15T22:18:37Z"/>
        <d v="2016-07-15T22:18:53Z"/>
        <d v="2016-07-15T22:20:46Z"/>
        <d v="2016-07-15T22:21:14Z"/>
        <d v="2016-07-15T22:21:19Z"/>
        <d v="2016-07-15T22:22:23Z"/>
        <d v="2016-07-15T22:23:42Z"/>
        <d v="2016-07-15T22:25:04Z"/>
        <d v="2016-07-15T22:26:06Z"/>
        <d v="2016-07-15T22:26:26Z"/>
        <d v="2016-07-15T22:28:52Z"/>
        <d v="2016-07-15T22:32:09Z"/>
        <d v="2016-07-15T22:33:50Z"/>
        <d v="2016-07-15T22:34:01Z"/>
        <d v="2016-07-15T22:36:13Z"/>
        <d v="2016-07-15T22:37:37Z"/>
        <d v="2016-07-15T22:43:46Z"/>
        <d v="2016-07-15T22:49:33Z"/>
        <d v="2016-07-15T22:49:45Z"/>
        <d v="2016-07-15T22:51:18Z"/>
        <d v="2016-07-15T22:56:00Z"/>
        <d v="2016-07-15T22:58:15Z"/>
        <d v="2016-07-15T23:03:23Z"/>
        <d v="2016-07-15T23:08:14Z"/>
        <d v="2016-07-15T23:11:41Z"/>
        <d v="2016-07-15T23:14:36Z"/>
        <d v="2016-07-15T23:14:39Z"/>
        <d v="2016-07-15T23:16:48Z"/>
        <d v="2016-07-15T23:18:21Z"/>
        <d v="2016-07-15T23:21:53Z"/>
        <d v="2016-07-15T23:26:50Z"/>
        <d v="2016-07-15T23:27:55Z"/>
        <d v="2016-07-15T23:35:50Z"/>
        <d v="2016-07-15T23:39:15Z"/>
        <d v="2016-07-15T23:42:51Z"/>
        <d v="2016-07-15T23:43:54Z"/>
        <d v="2016-07-15T23:46:03Z"/>
        <d v="2016-07-15T23:46:20Z"/>
        <d v="2016-07-15T23:49:03Z"/>
        <d v="2016-07-15T23:50:05Z"/>
        <d v="2016-07-15T23:52:06Z"/>
        <d v="2016-07-15T23:54:39Z"/>
        <d v="2016-07-15T23:55:03Z"/>
      </sharedItems>
    </cacheField>
    <cacheField name="clean request timestamp" numFmtId="164">
      <sharedItems containsSemiMixedTypes="0" containsDate="1" containsString="0">
        <d v="2016-07-11T11:51:00Z"/>
        <d v="2016-07-11T17:57:00Z"/>
        <d v="2016-07-12T09:17:00Z"/>
        <d v="2016-07-12T21:08:00Z"/>
        <d v="2016-07-13T08:33:16Z"/>
        <d v="2016-07-13T21:57:28Z"/>
        <d v="2016-07-14T06:15:32Z"/>
        <d v="2016-07-15T05:11:52Z"/>
        <d v="2016-07-15T17:57:27Z"/>
        <d v="2016-07-11T06:46:00Z"/>
        <d v="2016-07-12T05:08:00Z"/>
        <d v="2016-07-12T12:30:00Z"/>
        <d v="2016-07-13T04:49:20Z"/>
        <d v="2016-07-13T08:02:53Z"/>
        <d v="2016-07-13T14:23:02Z"/>
        <d v="2016-07-13T17:23:18Z"/>
        <d v="2016-07-14T12:01:02Z"/>
        <d v="2016-07-14T22:24:13Z"/>
        <d v="2016-07-11T10:00:00Z"/>
        <d v="2016-07-11T18:45:00Z"/>
        <d v="2016-07-12T11:17:00Z"/>
        <d v="2016-07-12T15:46:00Z"/>
        <d v="2016-07-12T18:00:00Z"/>
        <d v="2016-07-13T08:17:29Z"/>
        <d v="2016-07-13T21:54:18Z"/>
        <d v="2016-07-14T21:23:03Z"/>
        <d v="2016-07-15T02:41:38Z"/>
        <d v="2016-07-15T10:00:43Z"/>
        <d v="2016-07-11T13:08:00Z"/>
        <d v="2016-07-12T06:21:00Z"/>
        <d v="2016-07-12T09:27:00Z"/>
        <d v="2016-07-12T16:09:00Z"/>
        <d v="2016-07-13T05:34:20Z"/>
        <d v="2016-07-13T19:57:59Z"/>
        <d v="2016-07-14T02:17:35Z"/>
        <d v="2016-07-14T13:01:10Z"/>
        <d v="2016-07-15T08:30:06Z"/>
        <d v="2016-07-15T15:01:20Z"/>
        <d v="2016-07-11T07:27:00Z"/>
        <d v="2016-07-11T11:03:00Z"/>
        <d v="2016-07-11T20:58:00Z"/>
        <d v="2016-07-12T08:40:00Z"/>
        <d v="2016-07-12T14:48:00Z"/>
        <d v="2016-07-12T21:32:00Z"/>
        <d v="2016-07-13T07:28:14Z"/>
        <d v="2016-07-13T12:14:27Z"/>
        <d v="2016-07-14T06:43:01Z"/>
        <d v="2016-07-15T09:08:50Z"/>
        <d v="2016-07-15T22:41:41Z"/>
        <d v="2016-07-12T05:45:00Z"/>
        <d v="2016-07-12T13:02:00Z"/>
        <d v="2016-07-13T06:50:33Z"/>
        <d v="2016-07-13T21:53:03Z"/>
        <d v="2016-07-14T02:37:14Z"/>
        <d v="2016-07-14T14:50:07Z"/>
        <d v="2016-07-14T21:33:55Z"/>
        <d v="2016-07-15T00:03:39Z"/>
        <d v="2016-07-15T07:52:51Z"/>
        <d v="2016-07-15T14:28:50Z"/>
        <d v="2016-07-11T19:31:00Z"/>
        <d v="2016-07-11T22:07:00Z"/>
        <d v="2016-07-12T20:39:00Z"/>
        <d v="2016-07-14T03:39:38Z"/>
        <d v="2016-07-14T09:11:13Z"/>
        <d v="2016-07-14T18:52:32Z"/>
        <d v="2016-07-15T09:50:28Z"/>
        <d v="2016-07-15T15:50:15Z"/>
        <d v="2016-07-11T08:18:00Z"/>
        <d v="2016-07-11T19:39:00Z"/>
        <d v="2016-07-12T08:57:00Z"/>
        <d v="2016-07-12T21:05:00Z"/>
        <d v="2016-07-13T10:22:07Z"/>
        <d v="2016-07-14T11:55:10Z"/>
        <d v="2016-07-11T09:08:00Z"/>
        <d v="2016-07-11T17:46:00Z"/>
        <d v="2016-07-11T23:39:00Z"/>
        <d v="2016-07-12T05:13:00Z"/>
        <d v="2016-07-12T18:20:00Z"/>
        <d v="2016-07-13T08:04:57Z"/>
        <d v="2016-07-13T17:03:30Z"/>
        <d v="2016-07-13T20:41:24Z"/>
        <d v="2016-07-13T23:58:41Z"/>
        <d v="2016-07-14T04:21:42Z"/>
        <d v="2016-07-14T17:58:46Z"/>
        <d v="2016-07-15T05:47:49Z"/>
        <d v="2016-07-15T11:51:16Z"/>
        <d v="2016-07-12T09:13:00Z"/>
        <d v="2016-07-12T15:08:00Z"/>
        <d v="2016-07-13T09:47:06Z"/>
        <d v="2016-07-14T07:24:43Z"/>
        <d v="2016-07-14T13:31:24Z"/>
        <d v="2016-07-15T06:33:00Z"/>
        <d v="2016-07-15T16:32:51Z"/>
        <d v="2016-07-12T14:11:00Z"/>
        <d v="2016-07-13T10:00:17Z"/>
        <d v="2016-07-13T13:29:44Z"/>
        <d v="2016-07-14T06:42:36Z"/>
        <d v="2016-07-14T18:22:17Z"/>
        <d v="2016-07-15T07:08:50Z"/>
        <d v="2016-07-15T08:22:03Z"/>
        <d v="2016-07-15T19:46:40Z"/>
        <d v="2016-07-11T03:17:00Z"/>
        <d v="2016-07-11T06:51:00Z"/>
        <d v="2016-07-11T21:05:00Z"/>
        <d v="2016-07-12T05:59:00Z"/>
        <d v="2016-07-12T20:18:00Z"/>
        <d v="2016-07-12T22:28:00Z"/>
        <d v="2016-07-14T02:14:15Z"/>
        <d v="2016-07-14T10:35:14Z"/>
        <d v="2016-07-14T19:31:20Z"/>
        <d v="2016-07-15T07:04:55Z"/>
        <d v="2016-07-15T10:07:49Z"/>
        <d v="2016-07-15T19:04:46Z"/>
        <d v="2016-07-11T05:32:00Z"/>
        <d v="2016-07-11T07:24:00Z"/>
        <d v="2016-07-11T19:15:00Z"/>
        <d v="2016-07-12T08:01:00Z"/>
        <d v="2016-07-13T08:09:04Z"/>
        <d v="2016-07-14T05:32:14Z"/>
        <d v="2016-07-14T11:13:19Z"/>
        <d v="2016-07-14T21:43:24Z"/>
        <d v="2016-07-15T05:00:13Z"/>
        <d v="2016-07-15T22:08:42Z"/>
        <d v="2016-07-11T05:21:00Z"/>
        <d v="2016-07-11T06:15:00Z"/>
        <d v="2016-07-12T09:24:00Z"/>
        <d v="2016-07-12T21:03:00Z"/>
        <d v="2016-07-13T13:01:42Z"/>
        <d v="2016-07-14T21:45:50Z"/>
        <d v="2016-07-15T17:34:25Z"/>
        <d v="2016-07-15T23:32:44Z"/>
        <d v="2016-07-11T19:18:00Z"/>
        <d v="2016-07-12T23:43:00Z"/>
        <d v="2016-07-13T09:39:44Z"/>
        <d v="2016-07-13T21:52:05Z"/>
        <d v="2016-07-14T08:42:46Z"/>
        <d v="2016-07-14T20:34:30Z"/>
        <d v="2016-07-15T12:22:35Z"/>
        <d v="2016-07-15T20:02:54Z"/>
        <d v="2016-07-11T11:25:00Z"/>
        <d v="2016-07-11T14:16:00Z"/>
        <d v="2016-07-11T20:50:00Z"/>
        <d v="2016-07-12T23:23:00Z"/>
        <d v="2016-07-13T05:05:16Z"/>
        <d v="2016-07-13T10:12:51Z"/>
        <d v="2016-07-13T15:32:01Z"/>
        <d v="2016-07-13T22:26:26Z"/>
        <d v="2016-07-14T04:37:11Z"/>
        <d v="2016-07-14T08:36:24Z"/>
        <d v="2016-07-14T14:04:13Z"/>
        <d v="2016-07-14T22:51:47Z"/>
        <d v="2016-07-15T16:11:02Z"/>
        <d v="2016-07-15T20:33:00Z"/>
        <d v="2016-07-11T12:25:00Z"/>
        <d v="2016-07-11T18:25:00Z"/>
        <d v="2016-07-12T22:10:00Z"/>
        <d v="2016-07-13T07:33:20Z"/>
        <d v="2016-07-14T14:54:16Z"/>
        <d v="2016-07-14T18:47:42Z"/>
        <d v="2016-07-14T23:35:34Z"/>
        <d v="2016-07-15T04:48:57Z"/>
        <d v="2016-07-15T11:48:32Z"/>
        <d v="2016-07-15T20:21:26Z"/>
        <d v="2016-07-11T09:39:00Z"/>
        <d v="2016-07-11T20:42:00Z"/>
        <d v="2016-07-12T03:14:00Z"/>
        <d v="2016-07-12T09:12:00Z"/>
        <d v="2016-07-12T11:32:00Z"/>
        <d v="2016-07-13T01:46:42Z"/>
        <d v="2016-07-13T05:28:29Z"/>
        <d v="2016-07-13T22:35:38Z"/>
        <d v="2016-07-14T16:47:15Z"/>
        <d v="2016-07-14T20:57:41Z"/>
        <d v="2016-07-15T09:43:57Z"/>
        <d v="2016-07-11T09:36:00Z"/>
        <d v="2016-07-12T05:21:00Z"/>
        <d v="2016-07-12T14:30:00Z"/>
        <d v="2016-07-12T21:29:00Z"/>
        <d v="2016-07-13T21:06:57Z"/>
        <d v="2016-07-14T06:11:51Z"/>
        <d v="2016-07-14T08:00:15Z"/>
        <d v="2016-07-15T10:03:42Z"/>
        <d v="2016-07-15T12:04:15Z"/>
        <d v="2016-07-11T09:20:00Z"/>
        <d v="2016-07-11T13:51:00Z"/>
        <d v="2016-07-12T16:08:00Z"/>
        <d v="2016-07-12T18:46:00Z"/>
        <d v="2016-07-13T12:40:58Z"/>
        <d v="2016-07-13T19:33:19Z"/>
        <d v="2016-07-14T08:45:13Z"/>
        <d v="2016-07-15T19:50:57Z"/>
        <d v="2016-07-12T10:20:00Z"/>
        <d v="2016-07-12T12:23:00Z"/>
        <d v="2016-07-13T20:28:11Z"/>
        <d v="2016-07-14T08:26:32Z"/>
        <d v="2016-07-15T13:11:04Z"/>
        <d v="2016-07-15T20:54:20Z"/>
        <d v="2016-07-11T05:05:00Z"/>
        <d v="2016-07-11T08:01:00Z"/>
        <d v="2016-07-11T13:02:00Z"/>
        <d v="2016-07-11T18:28:00Z"/>
        <d v="2016-07-11T21:01:00Z"/>
        <d v="2016-07-12T10:32:00Z"/>
        <d v="2016-07-12T21:01:00Z"/>
        <d v="2016-07-13T08:02:03Z"/>
        <d v="2016-07-13T12:24:41Z"/>
        <d v="2016-07-13T18:39:00Z"/>
        <d v="2016-07-14T15:39:24Z"/>
        <d v="2016-07-14T20:17:51Z"/>
        <d v="2016-07-14T23:27:22Z"/>
        <d v="2016-07-15T05:53:55Z"/>
        <d v="2016-07-15T09:52:57Z"/>
        <d v="2016-07-15T22:45:44Z"/>
        <d v="2016-07-11T09:48:00Z"/>
        <d v="2016-07-11T15:53:00Z"/>
        <d v="2016-07-12T00:22:00Z"/>
        <d v="2016-07-12T06:09:00Z"/>
        <d v="2016-07-12T07:52:00Z"/>
        <d v="2016-07-12T16:36:00Z"/>
        <d v="2016-07-13T03:07:37Z"/>
        <d v="2016-07-14T06:17:01Z"/>
        <d v="2016-07-14T12:25:02Z"/>
        <d v="2016-07-15T02:23:56Z"/>
        <d v="2016-07-15T04:53:42Z"/>
        <d v="2016-07-15T08:35:47Z"/>
        <d v="2016-07-15T10:54:27Z"/>
        <d v="2016-07-15T15:26:06Z"/>
        <d v="2016-07-11T08:00:00Z"/>
        <d v="2016-07-11T19:52:00Z"/>
        <d v="2016-07-13T00:34:03Z"/>
        <d v="2016-07-13T04:56:20Z"/>
        <d v="2016-07-13T12:23:02Z"/>
        <d v="2016-07-13T15:52:07Z"/>
        <d v="2016-07-13T20:35:24Z"/>
        <d v="2016-07-14T04:48:09Z"/>
        <d v="2016-07-14T12:06:27Z"/>
        <d v="2016-07-14T18:21:52Z"/>
        <d v="2016-07-14T21:29:35Z"/>
        <d v="2016-07-15T08:46:30Z"/>
        <d v="2016-07-15T15:45:16Z"/>
        <d v="2016-07-15T18:41:22Z"/>
        <d v="2016-07-11T16:23:00Z"/>
        <d v="2016-07-11T20:20:00Z"/>
        <d v="2016-07-12T23:35:00Z"/>
        <d v="2016-07-13T05:27:26Z"/>
        <d v="2016-07-13T14:59:08Z"/>
        <d v="2016-07-13T18:31:29Z"/>
        <d v="2016-07-13T20:38:10Z"/>
        <d v="2016-07-14T09:48:56Z"/>
        <d v="2016-07-14T17:37:44Z"/>
        <d v="2016-07-15T05:41:11Z"/>
        <d v="2016-07-15T17:11:08Z"/>
        <d v="2016-07-15T22:07:14Z"/>
        <d v="2016-07-11T07:31:00Z"/>
        <d v="2016-07-11T17:04:00Z"/>
        <d v="2016-07-11T18:14:00Z"/>
        <d v="2016-07-11T21:51:00Z"/>
        <d v="2016-07-13T05:20:16Z"/>
        <d v="2016-07-13T08:54:04Z"/>
        <d v="2016-07-13T16:12:53Z"/>
        <d v="2016-07-13T22:50:42Z"/>
        <d v="2016-07-15T19:33:00Z"/>
        <d v="2016-07-11T06:04:00Z"/>
        <d v="2016-07-11T12:20:00Z"/>
        <d v="2016-07-11T16:19:00Z"/>
        <d v="2016-07-12T09:03:00Z"/>
        <d v="2016-07-12T12:10:00Z"/>
        <d v="2016-07-12T15:51:00Z"/>
        <d v="2016-07-12T20:43:00Z"/>
        <d v="2016-07-13T05:50:09Z"/>
        <d v="2016-07-13T20:24:23Z"/>
        <d v="2016-07-14T08:26:29Z"/>
        <d v="2016-07-14T21:09:47Z"/>
        <d v="2016-07-15T18:59:01Z"/>
        <d v="2016-07-15T21:59:10Z"/>
        <d v="2016-07-11T04:50:00Z"/>
        <d v="2016-07-11T21:17:00Z"/>
        <d v="2016-07-12T07:44:00Z"/>
        <d v="2016-07-13T04:33:38Z"/>
        <d v="2016-07-13T09:51:41Z"/>
        <d v="2016-07-13T19:56:20Z"/>
        <d v="2016-07-14T18:02:23Z"/>
        <d v="2016-07-15T20:54:01Z"/>
        <d v="2016-07-15T23:02:36Z"/>
        <d v="2016-07-12T06:26:00Z"/>
        <d v="2016-07-12T12:05:00Z"/>
        <d v="2016-07-13T05:18:31Z"/>
        <d v="2016-07-13T06:34:13Z"/>
        <d v="2016-07-13T13:47:14Z"/>
        <d v="2016-07-13T18:07:42Z"/>
        <d v="2016-07-13T20:30:08Z"/>
        <d v="2016-07-14T09:48:17Z"/>
        <d v="2016-07-15T18:29:54Z"/>
        <d v="2016-07-15T19:53:52Z"/>
        <d v="2016-07-11T09:45:00Z"/>
        <d v="2016-07-12T03:02:00Z"/>
        <d v="2016-07-12T07:18:00Z"/>
        <d v="2016-07-12T16:14:00Z"/>
        <d v="2016-07-12T22:46:00Z"/>
        <d v="2016-07-13T08:41:49Z"/>
        <d v="2016-07-13T20:15:54Z"/>
        <d v="2016-07-14T08:13:15Z"/>
        <d v="2016-07-14T16:43:53Z"/>
        <d v="2016-07-15T04:59:58Z"/>
        <d v="2016-07-15T20:19:45Z"/>
        <d v="2016-07-15T23:23:55Z"/>
        <d v="2016-07-11T12:14:00Z"/>
        <d v="2016-07-11T15:48:00Z"/>
        <d v="2016-07-11T19:53:00Z"/>
        <d v="2016-07-12T10:10:00Z"/>
        <d v="2016-07-15T06:18:36Z"/>
        <d v="2016-07-15T09:37:21Z"/>
        <d v="2016-07-15T14:44:32Z"/>
        <d v="2016-07-15T22:15:45Z"/>
        <d v="2016-07-12T17:34:00Z"/>
        <d v="2016-07-13T11:23:36Z"/>
        <d v="2016-07-13T19:33:18Z"/>
        <d v="2016-07-14T16:41:52Z"/>
        <d v="2016-07-15T09:47:11Z"/>
        <d v="2016-07-15T17:11:33Z"/>
        <d v="2016-07-15T21:03:02Z"/>
        <d v="2016-07-11T15:27:00Z"/>
        <d v="2016-07-11T18:22:00Z"/>
        <d v="2016-07-12T05:16:00Z"/>
        <d v="2016-07-12T11:45:00Z"/>
        <d v="2016-07-13T08:15:34Z"/>
        <d v="2016-07-13T23:13:54Z"/>
        <d v="2016-07-14T05:11:15Z"/>
        <d v="2016-07-15T17:50:37Z"/>
        <d v="2016-07-11T15:30:00Z"/>
        <d v="2016-07-13T02:38:48Z"/>
        <d v="2016-07-13T05:46:42Z"/>
        <d v="2016-07-13T17:50:59Z"/>
        <d v="2016-07-14T11:58:46Z"/>
        <d v="2016-07-14T19:21:16Z"/>
        <d v="2016-07-11T08:02:00Z"/>
        <d v="2016-07-11T22:01:00Z"/>
        <d v="2016-07-12T05:41:00Z"/>
        <d v="2016-07-12T12:22:00Z"/>
        <d v="2016-07-13T05:53:33Z"/>
        <d v="2016-07-13T14:52:52Z"/>
        <d v="2016-07-13T18:25:52Z"/>
        <d v="2016-07-14T04:28:35Z"/>
        <d v="2016-07-14T14:52:43Z"/>
        <d v="2016-07-15T21:09:57Z"/>
        <d v="2016-07-15T22:29:56Z"/>
        <d v="2016-07-11T20:17:00Z"/>
        <d v="2016-07-12T06:39:00Z"/>
        <d v="2016-07-12T09:35:00Z"/>
        <d v="2016-07-12T16:19:00Z"/>
        <d v="2016-07-13T03:50:03Z"/>
        <d v="2016-07-13T07:26:03Z"/>
        <d v="2016-07-13T15:16:52Z"/>
        <d v="2016-07-13T21:34:21Z"/>
        <d v="2016-07-14T08:39:44Z"/>
        <d v="2016-07-14T20:50:52Z"/>
        <d v="2016-07-15T06:15:54Z"/>
        <d v="2016-07-15T21:40:39Z"/>
        <d v="2016-07-11T05:55:00Z"/>
        <d v="2016-07-11T07:43:00Z"/>
        <d v="2016-07-11T09:35:00Z"/>
        <d v="2016-07-12T08:58:00Z"/>
        <d v="2016-07-12T18:12:00Z"/>
        <d v="2016-07-14T05:37:01Z"/>
        <d v="2016-07-14T13:52:52Z"/>
        <d v="2016-07-14T19:52:54Z"/>
        <d v="2016-07-14T23:01:45Z"/>
        <d v="2016-07-15T12:43:09Z"/>
        <d v="2016-07-15T17:19:56Z"/>
        <d v="2016-07-15T18:21:09Z"/>
        <d v="2016-07-11T05:12:00Z"/>
        <d v="2016-07-12T06:49:00Z"/>
        <d v="2016-07-12T09:19:00Z"/>
        <d v="2016-07-13T08:12:39Z"/>
        <d v="2016-07-13T14:40:53Z"/>
        <d v="2016-07-14T05:38:17Z"/>
        <d v="2016-07-15T08:12:21Z"/>
        <d v="2016-07-15T10:48:38Z"/>
        <d v="2016-07-15T18:31:06Z"/>
        <d v="2016-07-11T06:31:00Z"/>
        <d v="2016-07-11T15:05:00Z"/>
        <d v="2016-07-13T07:38:51Z"/>
        <d v="2016-07-13T18:54:52Z"/>
        <d v="2016-07-14T06:22:04Z"/>
        <d v="2016-07-14T14:43:10Z"/>
        <d v="2016-07-11T23:51:00Z"/>
        <d v="2016-07-12T06:18:00Z"/>
        <d v="2016-07-12T20:38:00Z"/>
        <d v="2016-07-13T19:39:52Z"/>
        <d v="2016-07-14T14:06:18Z"/>
        <d v="2016-07-14T22:50:55Z"/>
        <d v="2016-07-15T20:52:18Z"/>
        <d v="2016-07-12T11:29:00Z"/>
        <d v="2016-07-13T20:33:01Z"/>
        <d v="2016-07-14T06:02:47Z"/>
        <d v="2016-07-14T13:42:45Z"/>
        <d v="2016-07-15T07:16:19Z"/>
        <d v="2016-07-15T18:44:07Z"/>
        <d v="2016-07-15T23:22:28Z"/>
        <d v="2016-07-11T06:27:00Z"/>
        <d v="2016-07-12T22:16:00Z"/>
        <d v="2016-07-13T04:54:46Z"/>
        <d v="2016-07-13T23:24:52Z"/>
        <d v="2016-07-14T18:44:58Z"/>
        <d v="2016-07-15T04:43:40Z"/>
        <d v="2016-07-15T06:46:40Z"/>
        <d v="2016-07-11T12:12:00Z"/>
        <d v="2016-07-12T08:45:00Z"/>
        <d v="2016-07-12T15:49:00Z"/>
        <d v="2016-07-13T18:13:10Z"/>
        <d v="2016-07-13T22:43:45Z"/>
        <d v="2016-07-14T05:36:10Z"/>
        <d v="2016-07-14T11:54:26Z"/>
        <d v="2016-07-15T08:43:57Z"/>
        <d v="2016-07-15T13:48:40Z"/>
        <d v="2016-07-11T05:11:00Z"/>
        <d v="2016-07-11T07:49:00Z"/>
        <d v="2016-07-11T20:27:00Z"/>
        <d v="2016-07-12T20:33:00Z"/>
        <d v="2016-07-13T07:56:53Z"/>
        <d v="2016-07-13T19:18:27Z"/>
        <d v="2016-07-14T06:56:17Z"/>
        <d v="2016-07-15T07:07:07Z"/>
        <d v="2016-07-12T07:56:00Z"/>
        <d v="2016-07-12T16:12:00Z"/>
        <d v="2016-07-13T02:37:50Z"/>
        <d v="2016-07-13T06:21:57Z"/>
        <d v="2016-07-13T09:00:37Z"/>
        <d v="2016-07-13T13:30:22Z"/>
        <d v="2016-07-15T02:52:10Z"/>
        <d v="2016-07-15T07:41:01Z"/>
        <d v="2016-07-11T22:05:00Z"/>
        <d v="2016-07-12T06:16:00Z"/>
        <d v="2016-07-13T06:14:46Z"/>
        <d v="2016-07-13T15:28:23Z"/>
        <d v="2016-07-13T19:09:50Z"/>
        <d v="2016-07-14T20:11:42Z"/>
        <d v="2016-07-15T02:09:09Z"/>
        <d v="2016-07-15T07:40:09Z"/>
        <d v="2016-07-15T12:50:41Z"/>
        <d v="2016-07-15T19:42:15Z"/>
        <d v="2016-07-11T19:11:00Z"/>
        <d v="2016-07-12T08:56:00Z"/>
        <d v="2016-07-13T02:36:56Z"/>
        <d v="2016-07-13T15:31:59Z"/>
        <d v="2016-07-14T06:35:07Z"/>
        <d v="2016-07-14T18:59:54Z"/>
        <d v="2016-07-15T00:05:00Z"/>
        <d v="2016-07-15T06:40:51Z"/>
        <d v="2016-07-15T17:17:50Z"/>
        <d v="2016-07-11T09:05:00Z"/>
        <d v="2016-07-11T22:22:00Z"/>
        <d v="2016-07-12T07:09:00Z"/>
        <d v="2016-07-12T16:03:00Z"/>
        <d v="2016-07-12T19:22:00Z"/>
        <d v="2016-07-13T08:10:39Z"/>
        <d v="2016-07-13T18:08:02Z"/>
        <d v="2016-07-13T20:55:06Z"/>
        <d v="2016-07-13T23:16:52Z"/>
        <d v="2016-07-14T02:37:56Z"/>
        <d v="2016-07-14T12:36:18Z"/>
        <d v="2016-07-14T18:22:21Z"/>
        <d v="2016-07-15T06:05:47Z"/>
        <d v="2016-07-11T09:56:00Z"/>
        <d v="2016-07-12T05:56:00Z"/>
        <d v="2016-07-12T19:31:00Z"/>
        <d v="2016-07-12T22:00:00Z"/>
        <d v="2016-07-13T06:56:35Z"/>
        <d v="2016-07-13T23:39:25Z"/>
        <d v="2016-07-14T07:26:46Z"/>
        <d v="2016-07-14T10:51:16Z"/>
        <d v="2016-07-14T21:08:55Z"/>
        <d v="2016-07-15T11:35:28Z"/>
        <d v="2016-07-15T16:08:41Z"/>
        <d v="2016-07-15T19:07:09Z"/>
        <d v="2016-07-12T20:40:00Z"/>
        <d v="2016-07-13T12:28:51Z"/>
        <d v="2016-07-13T22:07:15Z"/>
        <d v="2016-07-14T08:12:46Z"/>
        <d v="2016-07-14T18:35:40Z"/>
        <d v="2016-07-14T21:12:10Z"/>
        <d v="2016-07-15T07:32:38Z"/>
        <d v="2016-07-15T09:22:59Z"/>
        <d v="2016-07-15T20:51:59Z"/>
        <d v="2016-07-11T13:44:00Z"/>
        <d v="2016-07-11T16:41:00Z"/>
        <d v="2016-07-12T04:56:00Z"/>
        <d v="2016-07-12T10:38:00Z"/>
        <d v="2016-07-12T20:15:00Z"/>
        <d v="2016-07-13T06:52:35Z"/>
        <d v="2016-07-13T22:53:20Z"/>
        <d v="2016-07-14T05:24:02Z"/>
        <d v="2016-07-14T12:44:59Z"/>
        <d v="2016-07-14T18:57:20Z"/>
        <d v="2016-07-15T06:09:20Z"/>
        <d v="2016-07-15T21:35:04Z"/>
        <d v="2016-07-11T04:16:00Z"/>
        <d v="2016-07-11T13:41:00Z"/>
        <d v="2016-07-12T07:01:00Z"/>
        <d v="2016-07-12T11:41:00Z"/>
        <d v="2016-07-12T17:32:00Z"/>
        <d v="2016-07-12T21:04:00Z"/>
        <d v="2016-07-13T06:01:37Z"/>
        <d v="2016-07-13T20:21:38Z"/>
        <d v="2016-07-14T14:37:56Z"/>
        <d v="2016-07-14T19:28:03Z"/>
        <d v="2016-07-11T07:26:00Z"/>
        <d v="2016-07-12T16:18:00Z"/>
        <d v="2016-07-13T05:12:03Z"/>
        <d v="2016-07-13T06:28:49Z"/>
        <d v="2016-07-13T18:34:17Z"/>
        <d v="2016-07-14T15:19:28Z"/>
        <d v="2016-07-15T22:32:05Z"/>
        <d v="2016-07-11T08:48:00Z"/>
        <d v="2016-07-12T05:58:00Z"/>
        <d v="2016-07-12T07:41:00Z"/>
        <d v="2016-07-12T18:07:00Z"/>
        <d v="2016-07-13T10:27:35Z"/>
        <d v="2016-07-13T17:53:27Z"/>
        <d v="2016-07-14T15:36:30Z"/>
        <d v="2016-07-11T10:01:00Z"/>
        <d v="2016-07-12T08:10:00Z"/>
        <d v="2016-07-12T23:30:00Z"/>
        <d v="2016-07-13T06:40:10Z"/>
        <d v="2016-07-13T20:47:32Z"/>
        <d v="2016-07-14T01:03:12Z"/>
        <d v="2016-07-14T02:31:51Z"/>
        <d v="2016-07-14T05:51:41Z"/>
        <d v="2016-07-14T17:53:38Z"/>
        <d v="2016-07-15T18:57:26Z"/>
        <d v="2016-07-12T10:42:00Z"/>
        <d v="2016-07-13T09:38:10Z"/>
        <d v="2016-07-13T16:40:59Z"/>
        <d v="2016-07-14T11:13:24Z"/>
        <d v="2016-07-15T02:03:39Z"/>
        <d v="2016-07-15T06:56:12Z"/>
        <d v="2016-07-11T11:49:00Z"/>
        <d v="2016-07-11T23:22:00Z"/>
        <d v="2016-07-12T06:27:00Z"/>
        <d v="2016-07-12T12:19:00Z"/>
        <d v="2016-07-12T21:52:00Z"/>
        <d v="2016-07-14T13:04:08Z"/>
        <d v="2016-07-15T18:10:03Z"/>
        <d v="2016-07-11T12:55:00Z"/>
        <d v="2016-07-11T18:34:00Z"/>
        <d v="2016-07-12T04:45:00Z"/>
        <d v="2016-07-13T07:53:05Z"/>
        <d v="2016-07-13T16:26:57Z"/>
        <d v="2016-07-14T09:05:45Z"/>
        <d v="2016-07-14T15:57:43Z"/>
        <d v="2016-07-14T16:55:26Z"/>
        <d v="2016-07-14T18:02:53Z"/>
        <d v="2016-07-11T05:41:00Z"/>
        <d v="2016-07-11T09:46:00Z"/>
        <d v="2016-07-11T17:38:00Z"/>
        <d v="2016-07-11T19:58:00Z"/>
        <d v="2016-07-12T15:36:00Z"/>
        <d v="2016-07-14T00:08:01Z"/>
        <d v="2016-07-14T04:22:12Z"/>
        <d v="2016-07-14T11:00:10Z"/>
        <d v="2016-07-11T12:04:00Z"/>
        <d v="2016-07-11T22:18:00Z"/>
        <d v="2016-07-12T20:45:00Z"/>
        <d v="2016-07-13T19:28:50Z"/>
        <d v="2016-07-13T22:51:04Z"/>
        <d v="2016-07-14T12:10:38Z"/>
        <d v="2016-07-14T19:26:16Z"/>
        <d v="2016-07-15T10:29:33Z"/>
        <d v="2016-07-11T23:41:00Z"/>
        <d v="2016-07-12T17:44:00Z"/>
        <d v="2016-07-12T19:06:00Z"/>
        <d v="2016-07-13T02:00:13Z"/>
        <d v="2016-07-13T12:36:47Z"/>
        <d v="2016-07-14T08:44:24Z"/>
        <d v="2016-07-14T16:40:36Z"/>
        <d v="2016-07-14T19:09:05Z"/>
        <d v="2016-07-15T05:51:48Z"/>
        <d v="2016-07-15T13:54:34Z"/>
        <d v="2016-07-11T08:42:00Z"/>
        <d v="2016-07-11T11:57:00Z"/>
        <d v="2016-07-12T09:40:00Z"/>
        <d v="2016-07-13T23:40:41Z"/>
        <d v="2016-07-15T08:35:12Z"/>
        <d v="2016-07-15T20:56:32Z"/>
        <d v="2016-07-11T05:13:00Z"/>
        <d v="2016-07-11T10:44:00Z"/>
        <d v="2016-07-12T20:23:00Z"/>
        <d v="2016-07-13T05:13:32Z"/>
        <d v="2016-07-13T17:42:32Z"/>
        <d v="2016-07-14T19:01:56Z"/>
        <d v="2016-07-15T03:56:41Z"/>
        <d v="2016-07-15T10:18:26Z"/>
        <d v="2016-07-15T17:24:24Z"/>
        <d v="2016-07-15T22:15:00Z"/>
        <d v="2016-07-11T11:14:00Z"/>
        <d v="2016-07-12T08:32:00Z"/>
        <d v="2016-07-12T14:17:00Z"/>
        <d v="2016-07-13T09:07:00Z"/>
        <d v="2016-07-13T22:56:09Z"/>
        <d v="2016-07-14T07:49:20Z"/>
        <d v="2016-07-14T21:07:44Z"/>
        <d v="2016-07-15T00:47:57Z"/>
        <d v="2016-07-15T05:10:13Z"/>
        <d v="2016-07-11T15:41:00Z"/>
        <d v="2016-07-12T07:13:00Z"/>
        <d v="2016-07-12T10:43:00Z"/>
        <d v="2016-07-12T21:59:00Z"/>
        <d v="2016-07-13T16:59:22Z"/>
        <d v="2016-07-13T18:14:34Z"/>
        <d v="2016-07-14T20:56:47Z"/>
        <d v="2016-07-15T05:48:54Z"/>
        <d v="2016-07-15T10:42:35Z"/>
        <d v="2016-07-15T14:34:33Z"/>
        <d v="2016-07-15T23:48:42Z"/>
        <d v="2016-07-11T06:29:00Z"/>
        <d v="2016-07-11T16:40:00Z"/>
        <d v="2016-07-12T07:53:00Z"/>
        <d v="2016-07-13T22:21:56Z"/>
        <d v="2016-07-14T21:33:30Z"/>
        <d v="2016-07-15T09:55:05Z"/>
        <d v="2016-07-15T18:09:45Z"/>
        <d v="2016-07-11T12:16:00Z"/>
        <d v="2016-07-11T13:22:00Z"/>
        <d v="2016-07-11T16:46:00Z"/>
        <d v="2016-07-11T23:10:00Z"/>
        <d v="2016-07-12T08:14:00Z"/>
        <d v="2016-07-13T08:21:01Z"/>
        <d v="2016-07-14T13:21:10Z"/>
        <d v="2016-07-14T18:28:34Z"/>
        <d v="2016-07-15T06:04:49Z"/>
        <d v="2016-07-15T23:47:37Z"/>
        <d v="2016-07-12T05:15:00Z"/>
        <d v="2016-07-12T13:35:00Z"/>
        <d v="2016-07-13T05:45:19Z"/>
        <d v="2016-07-13T14:17:32Z"/>
        <d v="2016-07-14T03:56:10Z"/>
        <d v="2016-07-14T07:38:59Z"/>
        <d v="2016-07-14T16:41:13Z"/>
        <d v="2016-07-11T04:53:00Z"/>
        <d v="2016-07-11T08:31:00Z"/>
        <d v="2016-07-11T10:56:00Z"/>
        <d v="2016-07-11T15:25:00Z"/>
        <d v="2016-07-11T18:38:00Z"/>
        <d v="2016-07-12T10:14:00Z"/>
        <d v="2016-07-12T14:40:00Z"/>
        <d v="2016-07-12T23:26:00Z"/>
        <d v="2016-07-13T06:28:33Z"/>
        <d v="2016-07-13T20:22:06Z"/>
        <d v="2016-07-14T08:53:30Z"/>
        <d v="2016-07-14T13:41:23Z"/>
        <d v="2016-07-14T18:05:13Z"/>
        <d v="2016-07-15T18:13:31Z"/>
        <d v="2016-07-11T14:11:00Z"/>
        <d v="2016-07-11T18:37:00Z"/>
        <d v="2016-07-12T18:26:00Z"/>
        <d v="2016-07-13T05:59:51Z"/>
        <d v="2016-07-13T18:31:39Z"/>
        <d v="2016-07-14T06:10:32Z"/>
        <d v="2016-07-14T08:03:25Z"/>
        <d v="2016-07-14T19:16:39Z"/>
        <d v="2016-07-15T05:37:40Z"/>
        <d v="2016-07-15T07:52:17Z"/>
        <d v="2016-07-15T11:35:04Z"/>
        <d v="2016-07-15T15:54:52Z"/>
        <d v="2016-07-15T20:58:09Z"/>
        <d v="2016-07-11T11:54:00Z"/>
        <d v="2016-07-11T17:11:00Z"/>
        <d v="2016-07-12T06:31:00Z"/>
        <d v="2016-07-12T11:06:00Z"/>
        <d v="2016-07-12T21:11:00Z"/>
        <d v="2016-07-13T07:55:48Z"/>
        <d v="2016-07-14T19:12:52Z"/>
        <d v="2016-07-11T05:38:00Z"/>
        <d v="2016-07-12T14:16:00Z"/>
        <d v="2016-07-12T21:16:00Z"/>
        <d v="2016-07-13T06:28:03Z"/>
        <d v="2016-07-14T15:40:51Z"/>
        <d v="2016-07-14T22:55:36Z"/>
        <d v="2016-07-15T01:36:28Z"/>
        <d v="2016-07-15T22:47:43Z"/>
        <d v="2016-07-11T04:47:00Z"/>
        <d v="2016-07-11T08:06:00Z"/>
        <d v="2016-07-11T17:07:00Z"/>
        <d v="2016-07-11T22:31:00Z"/>
        <d v="2016-07-12T09:11:00Z"/>
        <d v="2016-07-12T20:05:00Z"/>
        <d v="2016-07-13T02:18:57Z"/>
        <d v="2016-07-13T10:06:24Z"/>
        <d v="2016-07-13T15:48:23Z"/>
        <d v="2016-07-14T05:29:47Z"/>
        <d v="2016-07-15T06:25:50Z"/>
        <d v="2016-07-15T10:09:21Z"/>
        <d v="2016-07-15T22:47:07Z"/>
        <d v="2016-07-11T07:02:00Z"/>
        <d v="2016-07-11T16:06:00Z"/>
        <d v="2016-07-12T04:53:00Z"/>
        <d v="2016-07-13T03:58:16Z"/>
        <d v="2016-07-13T05:39:10Z"/>
        <d v="2016-07-13T07:36:39Z"/>
        <d v="2016-07-13T22:20:43Z"/>
        <d v="2016-07-14T09:00:12Z"/>
        <d v="2016-07-14T18:52:05Z"/>
        <d v="2016-07-14T20:11:45Z"/>
        <d v="2016-07-15T09:39:16Z"/>
        <d v="2016-07-15T19:29:36Z"/>
        <d v="2016-07-11T09:14:00Z"/>
        <d v="2016-07-11T17:32:00Z"/>
        <d v="2016-07-12T09:06:00Z"/>
        <d v="2016-07-12T13:36:00Z"/>
        <d v="2016-07-12T17:31:00Z"/>
        <d v="2016-07-12T22:08:00Z"/>
        <d v="2016-07-13T06:54:38Z"/>
        <d v="2016-07-13T10:47:18Z"/>
        <d v="2016-07-13T17:54:21Z"/>
        <d v="2016-07-15T05:33:21Z"/>
        <d v="2016-07-15T22:11:53Z"/>
        <d v="2016-07-11T04:54:00Z"/>
        <d v="2016-07-11T06:09:00Z"/>
        <d v="2016-07-11T17:49:00Z"/>
        <d v="2016-07-12T06:30:00Z"/>
        <d v="2016-07-12T16:33:00Z"/>
        <d v="2016-07-13T04:58:26Z"/>
        <d v="2016-07-13T07:57:03Z"/>
        <d v="2016-07-13T19:05:17Z"/>
        <d v="2016-07-14T05:06:45Z"/>
        <d v="2016-07-14T17:59:40Z"/>
        <d v="2016-07-14T19:20:13Z"/>
        <d v="2016-07-15T19:44:20Z"/>
        <d v="2016-07-11T08:11:00Z"/>
        <d v="2016-07-11T18:09:00Z"/>
        <d v="2016-07-11T20:15:00Z"/>
        <d v="2016-07-12T04:43:00Z"/>
        <d v="2016-07-12T12:50:00Z"/>
        <d v="2016-07-12T19:59:00Z"/>
        <d v="2016-07-13T12:25:28Z"/>
        <d v="2016-07-13T17:53:17Z"/>
        <d v="2016-07-14T07:04:32Z"/>
        <d v="2016-07-15T09:11:35Z"/>
        <d v="2016-07-15T20:44:17Z"/>
        <d v="2016-07-11T02:20:00Z"/>
        <d v="2016-07-11T12:24:00Z"/>
        <d v="2016-07-11T19:07:00Z"/>
        <d v="2016-07-11T22:28:00Z"/>
        <d v="2016-07-12T07:35:00Z"/>
        <d v="2016-07-12T10:45:00Z"/>
        <d v="2016-07-13T10:21:02Z"/>
        <d v="2016-07-13T18:02:46Z"/>
        <d v="2016-07-13T23:13:11Z"/>
        <d v="2016-07-14T06:46:29Z"/>
        <d v="2016-07-14T12:48:45Z"/>
        <d v="2016-07-14T17:17:14Z"/>
        <d v="2016-07-15T11:06:13Z"/>
        <d v="2016-07-11T12:39:00Z"/>
        <d v="2016-07-11T15:18:00Z"/>
        <d v="2016-07-11T21:33:00Z"/>
        <d v="2016-07-12T04:46:00Z"/>
        <d v="2016-07-12T14:39:00Z"/>
        <d v="2016-07-12T20:07:00Z"/>
        <d v="2016-07-13T22:33:08Z"/>
        <d v="2016-07-14T07:37:30Z"/>
        <d v="2016-07-14T19:33:31Z"/>
        <d v="2016-07-15T08:53:59Z"/>
        <d v="2016-07-15T23:19:28Z"/>
        <d v="2016-07-11T00:24:00Z"/>
        <d v="2016-07-11T04:34:00Z"/>
        <d v="2016-07-11T06:44:00Z"/>
        <d v="2016-07-11T14:07:00Z"/>
        <d v="2016-07-11T16:21:00Z"/>
        <d v="2016-07-11T22:04:00Z"/>
        <d v="2016-07-12T15:00:00Z"/>
        <d v="2016-07-12T19:51:00Z"/>
        <d v="2016-07-13T17:08:17Z"/>
        <d v="2016-07-13T21:16:30Z"/>
        <d v="2016-07-14T00:03:40Z"/>
        <d v="2016-07-15T20:09:35Z"/>
        <d v="2016-07-11T07:50:00Z"/>
        <d v="2016-07-11T21:38:00Z"/>
        <d v="2016-07-12T07:21:00Z"/>
        <d v="2016-07-12T11:58:00Z"/>
        <d v="2016-07-12T19:32:00Z"/>
        <d v="2016-07-13T07:17:33Z"/>
        <d v="2016-07-13T11:55:29Z"/>
        <d v="2016-07-13T14:34:59Z"/>
        <d v="2016-07-14T05:27:03Z"/>
        <d v="2016-07-15T07:42:06Z"/>
        <d v="2016-07-15T14:37:20Z"/>
        <d v="2016-07-15T23:45:24Z"/>
        <d v="2016-07-11T06:58:00Z"/>
        <d v="2016-07-11T10:58:00Z"/>
        <d v="2016-07-12T07:26:00Z"/>
        <d v="2016-07-12T20:01:00Z"/>
        <d v="2016-07-13T14:03:18Z"/>
        <d v="2016-07-14T05:40:49Z"/>
        <d v="2016-07-15T20:26:16Z"/>
        <d v="2016-07-11T09:47:00Z"/>
        <d v="2016-07-11T22:13:00Z"/>
        <d v="2016-07-13T14:51:48Z"/>
        <d v="2016-07-13T17:43:14Z"/>
        <d v="2016-07-14T18:52:48Z"/>
        <d v="2016-07-14T23:42:02Z"/>
        <d v="2016-07-15T08:16:35Z"/>
        <d v="2016-07-13T07:31:14Z"/>
        <d v="2016-07-13T20:03:07Z"/>
        <d v="2016-07-14T03:15:23Z"/>
        <d v="2016-07-14T20:42:24Z"/>
        <d v="2016-07-15T01:12:58Z"/>
        <d v="2016-07-15T05:18:23Z"/>
        <d v="2016-07-15T19:24:23Z"/>
        <d v="2016-07-11T11:43:00Z"/>
        <d v="2016-07-13T06:16:45Z"/>
        <d v="2016-07-13T16:07:30Z"/>
        <d v="2016-07-13T16:57:25Z"/>
        <d v="2016-07-13T20:58:30Z"/>
        <d v="2016-07-13T22:39:30Z"/>
        <d v="2016-07-14T06:54:47Z"/>
        <d v="2016-07-14T13:36:45Z"/>
        <d v="2016-07-15T08:31:42Z"/>
        <d v="2016-07-15T17:26:43Z"/>
        <d v="2016-07-15T23:25:29Z"/>
        <d v="2016-07-11T03:34:00Z"/>
        <d v="2016-07-11T09:07:00Z"/>
        <d v="2016-07-12T01:01:00Z"/>
        <d v="2016-07-12T07:15:00Z"/>
        <d v="2016-07-12T17:25:00Z"/>
        <d v="2016-07-13T08:45:44Z"/>
        <d v="2016-07-13T13:45:51Z"/>
        <d v="2016-07-14T11:21:39Z"/>
        <d v="2016-07-15T10:09:09Z"/>
        <d v="2016-07-15T15:43:08Z"/>
        <d v="2016-07-15T18:35:07Z"/>
        <d v="2016-07-15T21:44:29Z"/>
        <d v="2016-07-11T06:35:00Z"/>
        <d v="2016-07-11T19:00:00Z"/>
        <d v="2016-07-12T07:38:00Z"/>
        <d v="2016-07-14T10:59:15Z"/>
        <d v="2016-07-14T17:33:47Z"/>
        <d v="2016-07-15T01:06:24Z"/>
        <d v="2016-07-15T11:04:56Z"/>
        <d v="2016-07-15T15:15:03Z"/>
        <d v="2016-07-15T20:40:24Z"/>
        <d v="2016-07-11T15:47:00Z"/>
        <d v="2016-07-12T05:31:00Z"/>
        <d v="2016-07-13T05:20:59Z"/>
        <d v="2016-07-14T07:52:04Z"/>
        <d v="2016-07-14T13:09:42Z"/>
        <d v="2016-07-14T20:29:51Z"/>
        <d v="2016-07-15T15:17:12Z"/>
        <d v="2016-07-15T20:01:09Z"/>
        <d v="2016-07-11T06:38:00Z"/>
        <d v="2016-07-11T18:10:00Z"/>
        <d v="2016-07-12T08:33:00Z"/>
        <d v="2016-07-12T22:09:00Z"/>
        <d v="2016-07-13T23:21:15Z"/>
        <d v="2016-07-14T21:42:42Z"/>
        <d v="2016-07-15T20:12:18Z"/>
        <d v="2016-07-12T17:56:00Z"/>
        <d v="2016-07-13T19:08:59Z"/>
        <d v="2016-07-13T23:36:34Z"/>
        <d v="2016-07-14T07:19:07Z"/>
        <d v="2016-07-14T15:26:32Z"/>
        <d v="2016-07-15T12:07:54Z"/>
        <d v="2016-07-11T21:04:00Z"/>
        <d v="2016-07-12T04:41:00Z"/>
        <d v="2016-07-12T16:07:00Z"/>
        <d v="2016-07-13T02:43:10Z"/>
        <d v="2016-07-13T18:56:23Z"/>
        <d v="2016-07-14T13:43:28Z"/>
        <d v="2016-07-14T15:03:23Z"/>
        <d v="2016-07-12T16:53:00Z"/>
        <d v="2016-07-12T20:31:00Z"/>
        <d v="2016-07-12T22:05:00Z"/>
        <d v="2016-07-13T09:12:04Z"/>
        <d v="2016-07-13T10:59:12Z"/>
        <d v="2016-07-13T12:09:28Z"/>
        <d v="2016-07-15T05:58:43Z"/>
        <d v="2016-07-15T17:47:05Z"/>
        <d v="2016-07-11T18:18:00Z"/>
        <d v="2016-07-12T09:43:00Z"/>
        <d v="2016-07-13T08:34:53Z"/>
        <d v="2016-07-13T14:46:13Z"/>
        <d v="2016-07-14T13:50:32Z"/>
        <d v="2016-07-11T13:49:00Z"/>
        <d v="2016-07-11T23:44:00Z"/>
        <d v="2016-07-12T09:09:00Z"/>
        <d v="2016-07-12T20:16:00Z"/>
        <d v="2016-07-13T09:48:28Z"/>
        <d v="2016-07-13T12:45:18Z"/>
        <d v="2016-07-13T18:38:49Z"/>
        <d v="2016-07-11T03:30:00Z"/>
        <d v="2016-07-13T18:14:56Z"/>
        <d v="2016-07-14T06:10:44Z"/>
        <d v="2016-07-14T17:49:44Z"/>
        <d v="2016-07-15T05:24:22Z"/>
        <d v="2016-07-15T06:32:35Z"/>
        <d v="2016-07-15T22:10:21Z"/>
        <d v="2016-07-11T05:35:00Z"/>
        <d v="2016-07-11T07:53:00Z"/>
        <d v="2016-07-11T18:54:00Z"/>
        <d v="2016-07-11T23:35:00Z"/>
        <d v="2016-07-12T05:50:00Z"/>
        <d v="2016-07-12T17:15:00Z"/>
        <d v="2016-07-13T07:28:45Z"/>
        <d v="2016-07-13T22:14:24Z"/>
        <d v="2016-07-14T06:18:59Z"/>
        <d v="2016-07-14T12:35:29Z"/>
        <d v="2016-07-15T17:23:01Z"/>
        <d v="2016-07-11T10:37:00Z"/>
        <d v="2016-07-12T06:58:00Z"/>
        <d v="2016-07-13T17:37:40Z"/>
        <d v="2016-07-13T20:37:56Z"/>
        <d v="2016-07-14T11:50:27Z"/>
        <d v="2016-07-14T15:06:01Z"/>
        <d v="2016-07-14T23:07:32Z"/>
        <d v="2016-07-15T10:42:09Z"/>
        <d v="2016-07-15T21:19:03Z"/>
        <d v="2016-07-12T12:17:00Z"/>
        <d v="2016-07-13T07:15:27Z"/>
        <d v="2016-07-13T09:33:26Z"/>
        <d v="2016-07-13T17:38:17Z"/>
        <d v="2016-07-13T22:47:55Z"/>
        <d v="2016-07-14T07:27:05Z"/>
        <d v="2016-07-14T16:52:26Z"/>
        <d v="2016-07-15T10:45:56Z"/>
        <d v="2016-07-15T15:17:13Z"/>
        <d v="2016-07-15T18:00:40Z"/>
        <d v="2016-07-11T05:08:00Z"/>
        <d v="2016-07-11T23:11:00Z"/>
        <d v="2016-07-13T09:52:49Z"/>
        <d v="2016-07-14T18:14:26Z"/>
        <d v="2016-07-14T23:42:23Z"/>
        <d v="2016-07-15T21:49:41Z"/>
        <d v="2016-07-11T03:22:00Z"/>
        <d v="2016-07-11T05:01:00Z"/>
        <d v="2016-07-11T06:08:00Z"/>
        <d v="2016-07-11T09:40:00Z"/>
        <d v="2016-07-12T06:10:00Z"/>
        <d v="2016-07-12T17:59:00Z"/>
        <d v="2016-07-14T00:13:43Z"/>
        <d v="2016-07-14T07:36:53Z"/>
        <d v="2016-07-15T08:54:03Z"/>
        <d v="2016-07-11T12:28:00Z"/>
        <d v="2016-07-12T19:15:00Z"/>
        <d v="2016-07-12T21:35:00Z"/>
        <d v="2016-07-13T12:29:20Z"/>
        <d v="2016-07-13T22:08:13Z"/>
        <d v="2016-07-14T09:16:24Z"/>
        <d v="2016-07-15T21:42:04Z"/>
        <d v="2016-07-11T08:09:00Z"/>
        <d v="2016-07-11T23:23:00Z"/>
        <d v="2016-07-12T09:33:00Z"/>
        <d v="2016-07-12T18:33:00Z"/>
        <d v="2016-07-13T09:52:22Z"/>
        <d v="2016-07-14T22:09:50Z"/>
        <d v="2016-07-15T05:17:46Z"/>
        <d v="2016-07-15T09:04:30Z"/>
        <d v="2016-07-15T19:49:10Z"/>
        <d v="2016-07-15T22:58:01Z"/>
        <d v="2016-07-12T15:02:00Z"/>
        <d v="2016-07-13T20:03:45Z"/>
        <d v="2016-07-14T09:01:49Z"/>
        <d v="2016-07-14T20:29:19Z"/>
        <d v="2016-07-15T20:49:25Z"/>
        <d v="2016-07-12T09:45:00Z"/>
        <d v="2016-07-13T05:31:53Z"/>
        <d v="2016-07-14T23:50:28Z"/>
        <d v="2016-07-15T10:04:16Z"/>
        <d v="2016-07-11T05:36:00Z"/>
        <d v="2016-07-11T20:18:00Z"/>
        <d v="2016-07-12T08:44:00Z"/>
        <d v="2016-07-12T19:55:00Z"/>
        <d v="2016-07-13T01:22:32Z"/>
        <d v="2016-07-13T07:07:32Z"/>
        <d v="2016-07-13T23:31:47Z"/>
        <d v="2016-07-14T13:52:36Z"/>
        <d v="2016-07-14T20:21:02Z"/>
        <d v="2016-07-15T05:46:37Z"/>
        <d v="2016-07-15T07:50:35Z"/>
        <d v="2016-07-15T10:16:24Z"/>
        <d v="2016-07-15T18:25:54Z"/>
        <d v="2016-07-15T22:45:03Z"/>
        <d v="2016-07-11T20:37:00Z"/>
        <d v="2016-07-13T10:39:32Z"/>
        <d v="2016-07-14T02:10:33Z"/>
        <d v="2016-07-14T05:18:01Z"/>
        <d v="2016-07-14T16:16:30Z"/>
        <d v="2016-07-14T18:02:51Z"/>
        <d v="2016-07-11T02:36:00Z"/>
        <d v="2016-07-11T17:30:00Z"/>
        <d v="2016-07-11T19:59:00Z"/>
        <d v="2016-07-12T20:53:00Z"/>
        <d v="2016-07-13T08:58:47Z"/>
        <d v="2016-07-13T11:37:32Z"/>
        <d v="2016-07-13T18:40:02Z"/>
        <d v="2016-07-14T04:51:03Z"/>
        <d v="2016-07-14T07:29:29Z"/>
        <d v="2016-07-14T11:44:26Z"/>
        <d v="2016-07-14T15:19:35Z"/>
        <d v="2016-07-14T17:39:27Z"/>
        <d v="2016-07-15T17:25:23Z"/>
        <d v="2016-07-11T23:25:00Z"/>
        <d v="2016-07-12T04:54:00Z"/>
        <d v="2016-07-14T07:17:09Z"/>
        <d v="2016-07-15T00:06:56Z"/>
        <d v="2016-07-15T17:30:09Z"/>
        <d v="2016-07-11T02:47:00Z"/>
        <d v="2016-07-11T18:39:00Z"/>
        <d v="2016-07-11T21:13:00Z"/>
        <d v="2016-07-12T11:38:00Z"/>
        <d v="2016-07-13T10:28:01Z"/>
        <d v="2016-07-13T17:32:20Z"/>
        <d v="2016-07-13T22:00:50Z"/>
        <d v="2016-07-14T10:13:30Z"/>
        <d v="2016-07-14T11:02:21Z"/>
        <d v="2016-07-14T19:29:16Z"/>
        <d v="2016-07-14T23:21:57Z"/>
        <d v="2016-07-15T16:53:17Z"/>
        <d v="2016-07-11T09:24:00Z"/>
        <d v="2016-07-11T18:17:00Z"/>
        <d v="2016-07-12T01:30:00Z"/>
        <d v="2016-07-12T11:16:00Z"/>
        <d v="2016-07-13T10:03:58Z"/>
        <d v="2016-07-13T16:52:29Z"/>
        <d v="2016-07-14T09:04:43Z"/>
        <d v="2016-07-14T22:10:37Z"/>
        <d v="2016-07-15T05:53:20Z"/>
        <d v="2016-07-15T15:06:46Z"/>
        <d v="2016-07-15T19:54:08Z"/>
        <d v="2016-07-11T14:17:00Z"/>
        <d v="2016-07-11T20:32:00Z"/>
        <d v="2016-07-13T06:48:57Z"/>
        <d v="2016-07-13T15:55:17Z"/>
        <d v="2016-07-14T00:56:22Z"/>
        <d v="2016-07-15T00:58:19Z"/>
        <d v="2016-07-15T07:50:12Z"/>
        <d v="2016-07-11T05:48:00Z"/>
        <d v="2016-07-12T07:54:00Z"/>
        <d v="2016-07-12T18:47:00Z"/>
        <d v="2016-07-13T18:59:56Z"/>
        <d v="2016-07-13T23:18:14Z"/>
        <d v="2016-07-14T08:21:49Z"/>
        <d v="2016-07-14T20:03:46Z"/>
        <d v="2016-07-15T05:32:12Z"/>
        <d v="2016-07-15T08:52:58Z"/>
        <d v="2016-07-15T13:48:53Z"/>
        <d v="2016-07-15T22:47:31Z"/>
        <d v="2016-07-11T05:45:00Z"/>
        <d v="2016-07-11T23:06:00Z"/>
        <d v="2016-07-13T06:27:11Z"/>
        <d v="2016-07-13T22:58:36Z"/>
        <d v="2016-07-14T11:47:32Z"/>
        <d v="2016-07-14T19:41:45Z"/>
        <d v="2016-07-15T21:11:01Z"/>
        <d v="2016-07-15T23:57:32Z"/>
        <d v="2016-07-12T05:22:00Z"/>
        <d v="2016-07-12T16:44:00Z"/>
        <d v="2016-07-12T20:04:00Z"/>
        <d v="2016-07-13T06:00:19Z"/>
        <d v="2016-07-13T11:06:44Z"/>
        <d v="2016-07-13T21:38:18Z"/>
        <d v="2016-07-14T06:49:43Z"/>
        <d v="2016-07-14T22:11:41Z"/>
        <d v="2016-07-15T09:56:43Z"/>
        <d v="2016-07-15T13:27:33Z"/>
        <d v="2016-07-11T12:58:00Z"/>
        <d v="2016-07-11T15:52:00Z"/>
        <d v="2016-07-12T11:33:00Z"/>
        <d v="2016-07-13T07:08:16Z"/>
        <d v="2016-07-13T10:27:47Z"/>
        <d v="2016-07-14T07:25:12Z"/>
        <d v="2016-07-14T13:48:48Z"/>
        <d v="2016-07-14T19:07:33Z"/>
        <d v="2016-07-15T10:08:04Z"/>
        <d v="2016-07-12T09:29:00Z"/>
        <d v="2016-07-12T13:39:00Z"/>
        <d v="2016-07-13T09:57:52Z"/>
        <d v="2016-07-13T14:19:59Z"/>
        <d v="2016-07-13T21:55:01Z"/>
        <d v="2016-07-14T17:26:14Z"/>
        <d v="2016-07-15T10:23:18Z"/>
        <d v="2016-07-15T17:58:28Z"/>
        <d v="2016-07-13T22:42:16Z"/>
        <d v="2016-07-14T01:56:01Z"/>
        <d v="2016-07-14T13:01:57Z"/>
        <d v="2016-07-15T16:23:13Z"/>
        <d v="2016-07-11T06:45:00Z"/>
        <d v="2016-07-11T19:55:00Z"/>
        <d v="2016-07-11T22:54:00Z"/>
        <d v="2016-07-12T08:42:00Z"/>
        <d v="2016-07-12T15:44:00Z"/>
        <d v="2016-07-13T07:38:41Z"/>
        <d v="2016-07-13T11:32:01Z"/>
        <d v="2016-07-13T12:58:15Z"/>
        <d v="2016-07-13T20:59:37Z"/>
        <d v="2016-07-14T06:03:18Z"/>
        <d v="2016-07-14T19:52:09Z"/>
        <d v="2016-07-15T09:48:14Z"/>
        <d v="2016-07-15T18:16:59Z"/>
        <d v="2016-07-15T20:29:43Z"/>
        <d v="2016-07-11T01:08:00Z"/>
        <d v="2016-07-12T10:36:00Z"/>
        <d v="2016-07-13T08:03:34Z"/>
        <d v="2016-07-13T16:27:50Z"/>
        <d v="2016-07-13T19:13:47Z"/>
        <d v="2016-07-14T03:06:29Z"/>
        <d v="2016-07-14T07:13:49Z"/>
        <d v="2016-07-14T15:18:12Z"/>
        <d v="2016-07-15T10:12:18Z"/>
        <d v="2016-07-12T02:48:00Z"/>
        <d v="2016-07-12T06:40:00Z"/>
        <d v="2016-07-13T01:12:24Z"/>
        <d v="2016-07-13T07:13:58Z"/>
        <d v="2016-07-14T17:34:19Z"/>
        <d v="2016-07-15T22:20:23Z"/>
        <d v="2016-07-11T11:36:00Z"/>
        <d v="2016-07-11T15:00:00Z"/>
        <d v="2016-07-12T15:06:00Z"/>
        <d v="2016-07-13T01:04:42Z"/>
        <d v="2016-07-13T15:59:29Z"/>
        <d v="2016-07-13T19:07:39Z"/>
        <d v="2016-07-14T18:36:12Z"/>
        <d v="2016-07-15T04:45:24Z"/>
        <d v="2016-07-15T14:29:35Z"/>
        <d v="2016-07-15T23:12:34Z"/>
        <d v="2016-07-11T19:20:00Z"/>
        <d v="2016-07-12T04:52:00Z"/>
        <d v="2016-07-13T07:43:26Z"/>
        <d v="2016-07-14T13:13:14Z"/>
        <d v="2016-07-14T17:23:33Z"/>
        <d v="2016-07-15T10:06:21Z"/>
        <d v="2016-07-11T09:55:00Z"/>
        <d v="2016-07-12T00:07:00Z"/>
        <d v="2016-07-12T20:55:00Z"/>
        <d v="2016-07-13T06:47:53Z"/>
        <d v="2016-07-13T18:55:13Z"/>
        <d v="2016-07-14T23:43:29Z"/>
        <d v="2016-07-11T06:54:00Z"/>
        <d v="2016-07-11T19:14:00Z"/>
        <d v="2016-07-12T19:35:00Z"/>
        <d v="2016-07-13T18:29:45Z"/>
        <d v="2016-07-14T11:45:40Z"/>
        <d v="2016-07-14T21:00:35Z"/>
        <d v="2016-07-15T05:39:41Z"/>
        <d v="2016-07-11T12:19:00Z"/>
        <d v="2016-07-11T16:29:00Z"/>
        <d v="2016-07-11T19:08:00Z"/>
        <d v="2016-07-12T12:51:00Z"/>
        <d v="2016-07-12T18:23:00Z"/>
        <d v="2016-07-12T21:15:00Z"/>
        <d v="2016-07-13T07:33:22Z"/>
        <d v="2016-07-13T15:42:30Z"/>
        <d v="2016-07-13T23:18:16Z"/>
        <d v="2016-07-14T08:38:20Z"/>
        <d v="2016-07-14T18:46:09Z"/>
        <d v="2016-07-15T09:16:06Z"/>
        <d v="2016-07-15T19:40:26Z"/>
        <d v="2016-07-15T20:52:48Z"/>
        <d v="2016-07-11T09:53:00Z"/>
        <d v="2016-07-12T08:46:00Z"/>
        <d v="2016-07-12T17:21:00Z"/>
        <d v="2016-07-13T10:11:48Z"/>
        <d v="2016-07-13T14:25:14Z"/>
        <d v="2016-07-13T19:11:20Z"/>
        <d v="2016-07-13T22:37:48Z"/>
        <d v="2016-07-14T09:23:37Z"/>
        <d v="2016-07-14T13:50:06Z"/>
        <d v="2016-07-14T20:37:58Z"/>
        <d v="2016-07-15T18:46:41Z"/>
        <d v="2016-07-15T21:00:35Z"/>
        <d v="2016-07-11T12:27:00Z"/>
        <d v="2016-07-11T21:24:00Z"/>
        <d v="2016-07-12T09:48:00Z"/>
        <d v="2016-07-13T11:42:51Z"/>
        <d v="2016-07-13T19:13:25Z"/>
        <d v="2016-07-15T12:46:16Z"/>
        <d v="2016-07-15T22:35:23Z"/>
        <d v="2016-07-12T07:05:00Z"/>
        <d v="2016-07-12T20:06:00Z"/>
        <d v="2016-07-13T06:46:54Z"/>
        <d v="2016-07-13T10:38:37Z"/>
        <d v="2016-07-14T05:38:07Z"/>
        <d v="2016-07-14T08:32:04Z"/>
        <d v="2016-07-14T14:13:45Z"/>
        <d v="2016-07-14T19:09:39Z"/>
        <d v="2016-07-15T08:41:47Z"/>
        <d v="2016-07-15T22:25:17Z"/>
        <d v="2016-07-11T07:57:00Z"/>
        <d v="2016-07-12T06:28:00Z"/>
        <d v="2016-07-12T11:43:00Z"/>
        <d v="2016-07-13T16:11:34Z"/>
        <d v="2016-07-14T20:45:13Z"/>
        <d v="2016-07-15T05:44:27Z"/>
        <d v="2016-07-15T07:06:23Z"/>
        <d v="2016-07-15T21:33:21Z"/>
        <d v="2016-07-11T09:27:00Z"/>
        <d v="2016-07-11T22:42:00Z"/>
        <d v="2016-07-12T07:37:00Z"/>
        <d v="2016-07-12T11:26:00Z"/>
        <d v="2016-07-13T14:24:58Z"/>
        <d v="2016-07-14T06:33:45Z"/>
        <d v="2016-07-15T23:37:11Z"/>
        <d v="2016-07-11T07:01:00Z"/>
        <d v="2016-07-12T10:34:00Z"/>
        <d v="2016-07-13T00:44:02Z"/>
        <d v="2016-07-14T08:21:08Z"/>
        <d v="2016-07-14T16:31:49Z"/>
        <d v="2016-07-14T19:52:18Z"/>
        <d v="2016-07-11T08:29:00Z"/>
        <d v="2016-07-11T11:16:00Z"/>
        <d v="2016-07-11T15:14:00Z"/>
        <d v="2016-07-12T07:33:00Z"/>
        <d v="2016-07-13T00:07:58Z"/>
        <d v="2016-07-13T05:49:57Z"/>
        <d v="2016-07-13T20:35:07Z"/>
        <d v="2016-07-15T10:36:47Z"/>
        <d v="2016-07-15T12:46:48Z"/>
        <d v="2016-07-11T14:01:00Z"/>
        <d v="2016-07-12T15:04:00Z"/>
        <d v="2016-07-12T18:30:00Z"/>
        <d v="2016-07-14T08:24:55Z"/>
        <d v="2016-07-14T13:26:42Z"/>
        <d v="2016-07-15T07:47:52Z"/>
        <d v="2016-07-11T05:25:00Z"/>
        <d v="2016-07-11T08:49:00Z"/>
        <d v="2016-07-11T11:47:00Z"/>
        <d v="2016-07-12T09:41:00Z"/>
        <d v="2016-07-12T18:19:00Z"/>
        <d v="2016-07-12T22:18:00Z"/>
        <d v="2016-07-13T23:54:19Z"/>
        <d v="2016-07-14T19:20:34Z"/>
        <d v="2016-07-15T00:03:52Z"/>
        <d v="2016-07-15T07:17:21Z"/>
        <d v="2016-07-15T18:01:55Z"/>
        <d v="2016-07-15T21:05:27Z"/>
        <d v="2016-07-11T10:19:00Z"/>
        <d v="2016-07-11T11:38:00Z"/>
        <d v="2016-07-12T08:54:00Z"/>
        <d v="2016-07-13T13:27:44Z"/>
        <d v="2016-07-14T08:02:46Z"/>
        <d v="2016-07-11T00:00:00Z"/>
        <d v="2016-07-11T12:05:00Z"/>
        <d v="2016-07-12T07:17:00Z"/>
        <d v="2016-07-12T18:22:00Z"/>
        <d v="2016-07-13T17:13:14Z"/>
        <d v="2016-07-14T08:04:44Z"/>
        <d v="2016-07-11T09:12:00Z"/>
        <d v="2016-07-11T13:32:00Z"/>
        <d v="2016-07-12T10:23:00Z"/>
        <d v="2016-07-13T08:43:36Z"/>
        <d v="2016-07-13T22:23:42Z"/>
        <d v="2016-07-14T18:27:08Z"/>
        <d v="2016-07-15T05:28:13Z"/>
        <d v="2016-07-15T18:25:32Z"/>
        <d v="2016-07-15T21:24:21Z"/>
        <d v="2016-07-15T23:57:25Z"/>
        <d v="2016-07-11T22:00:00Z"/>
        <d v="2016-07-12T16:41:00Z"/>
        <d v="2016-07-13T06:09:40Z"/>
        <d v="2016-07-13T16:07:50Z"/>
        <d v="2016-07-15T10:04:07Z"/>
        <d v="2016-07-15T17:12:21Z"/>
        <d v="2016-07-15T22:57:10Z"/>
        <d v="2016-07-12T09:50:00Z"/>
        <d v="2016-07-12T13:55:00Z"/>
        <d v="2016-07-13T04:17:53Z"/>
        <d v="2016-07-13T07:59:39Z"/>
        <d v="2016-07-13T12:02:32Z"/>
        <d v="2016-07-14T02:44:19Z"/>
        <d v="2016-07-14T17:33:22Z"/>
        <d v="2016-07-15T05:43:35Z"/>
        <d v="2016-07-15T19:21:28Z"/>
        <d v="2016-07-12T13:01:00Z"/>
        <d v="2016-07-13T17:23:24Z"/>
        <d v="2016-07-13T23:20:17Z"/>
        <d v="2016-07-14T09:29:03Z"/>
        <d v="2016-07-15T05:15:31Z"/>
        <d v="2016-07-15T09:22:44Z"/>
        <d v="2016-07-11T03:57:00Z"/>
        <d v="2016-07-11T06:56:00Z"/>
        <d v="2016-07-12T06:55:00Z"/>
        <d v="2016-07-12T19:13:00Z"/>
        <d v="2016-07-13T05:14:11Z"/>
        <d v="2016-07-13T15:28:43Z"/>
        <d v="2016-07-14T04:51:04Z"/>
        <d v="2016-07-14T11:29:06Z"/>
        <d v="2016-07-14T14:04:28Z"/>
        <d v="2016-07-14T22:08:44Z"/>
        <d v="2016-07-15T21:52:30Z"/>
        <d v="2016-07-11T09:09:00Z"/>
        <d v="2016-07-11T21:59:00Z"/>
        <d v="2016-07-12T12:18:00Z"/>
        <d v="2016-07-12T16:01:00Z"/>
        <d v="2016-07-13T02:33:50Z"/>
        <d v="2016-07-14T00:03:46Z"/>
        <d v="2016-07-14T05:07:48Z"/>
        <d v="2016-07-14T15:31:28Z"/>
        <d v="2016-07-15T20:02:19Z"/>
        <d v="2016-07-15T21:49:16Z"/>
        <d v="2016-07-11T12:30:00Z"/>
        <d v="2016-07-12T07:16:00Z"/>
        <d v="2016-07-12T14:25:00Z"/>
        <d v="2016-07-13T04:55:18Z"/>
        <d v="2016-07-13T09:13:30Z"/>
        <d v="2016-07-15T21:00:38Z"/>
        <d v="2016-07-11T06:34:00Z"/>
        <d v="2016-07-11T07:12:00Z"/>
        <d v="2016-07-11T13:26:00Z"/>
        <d v="2016-07-11T23:54:00Z"/>
        <d v="2016-07-12T19:45:00Z"/>
        <d v="2016-07-13T18:52:47Z"/>
        <d v="2016-07-14T16:56:18Z"/>
        <d v="2016-07-14T21:13:16Z"/>
        <d v="2016-07-15T19:19:21Z"/>
        <d v="2016-07-11T19:01:00Z"/>
        <d v="2016-07-11T22:12:00Z"/>
        <d v="2016-07-12T14:43:00Z"/>
        <d v="2016-07-12T20:03:00Z"/>
        <d v="2016-07-13T09:11:48Z"/>
        <d v="2016-07-13T09:51:05Z"/>
        <d v="2016-07-14T03:11:51Z"/>
        <d v="2016-07-14T18:00:53Z"/>
        <d v="2016-07-15T06:27:02Z"/>
        <d v="2016-07-11T07:28:00Z"/>
        <d v="2016-07-11T10:15:00Z"/>
        <d v="2016-07-12T19:50:00Z"/>
        <d v="2016-07-14T09:40:19Z"/>
        <d v="2016-07-15T05:00:18Z"/>
        <d v="2016-07-15T19:15:16Z"/>
        <d v="2016-07-15T21:18:53Z"/>
        <d v="2016-07-12T15:56:00Z"/>
        <d v="2016-07-13T08:15:35Z"/>
        <d v="2016-07-14T17:17:11Z"/>
        <d v="2016-07-14T20:25:24Z"/>
        <d v="2016-07-15T22:47:49Z"/>
        <d v="2016-07-11T08:54:00Z"/>
        <d v="2016-07-12T00:10:00Z"/>
        <d v="2016-07-13T09:11:21Z"/>
        <d v="2016-07-13T15:04:14Z"/>
        <d v="2016-07-13T21:53:41Z"/>
        <d v="2016-07-14T04:58:39Z"/>
        <d v="2016-07-14T14:44:09Z"/>
        <d v="2016-07-14T18:35:15Z"/>
        <d v="2016-07-11T18:29:00Z"/>
        <d v="2016-07-12T05:09:00Z"/>
        <d v="2016-07-12T23:54:00Z"/>
        <d v="2016-07-13T06:12:41Z"/>
        <d v="2016-07-14T12:16:57Z"/>
        <d v="2016-07-15T23:42:11Z"/>
        <d v="2016-07-11T03:14:00Z"/>
        <d v="2016-07-11T17:43:00Z"/>
        <d v="2016-07-12T07:29:00Z"/>
        <d v="2016-07-12T14:14:00Z"/>
        <d v="2016-07-13T17:38:09Z"/>
        <d v="2016-07-13T20:45:38Z"/>
        <d v="2016-07-15T17:02:22Z"/>
        <d v="2016-07-15T21:46:01Z"/>
        <d v="2016-07-11T17:16:00Z"/>
        <d v="2016-07-12T15:31:00Z"/>
        <d v="2016-07-13T05:14:57Z"/>
        <d v="2016-07-13T14:36:48Z"/>
        <d v="2016-07-14T06:46:52Z"/>
        <d v="2016-07-15T05:29:41Z"/>
        <d v="2016-07-15T18:18:32Z"/>
        <d v="2016-07-15T19:25:57Z"/>
        <d v="2016-07-15T22:34:04Z"/>
        <d v="2016-07-11T09:10:00Z"/>
        <d v="2016-07-11T11:20:00Z"/>
        <d v="2016-07-11T13:16:00Z"/>
        <d v="2016-07-12T00:15:00Z"/>
        <d v="2016-07-12T07:51:00Z"/>
        <d v="2016-07-13T05:38:59Z"/>
        <d v="2016-07-13T13:25:02Z"/>
        <d v="2016-07-14T20:15:33Z"/>
        <d v="2016-07-15T04:06:50Z"/>
        <d v="2016-07-15T10:00:46Z"/>
        <d v="2016-07-15T11:10:28Z"/>
        <d v="2016-07-11T14:12:00Z"/>
        <d v="2016-07-11T16:49:00Z"/>
        <d v="2016-07-13T06:09:39Z"/>
        <d v="2016-07-13T13:37:08Z"/>
        <d v="2016-07-13T19:23:18Z"/>
        <d v="2016-07-14T11:05:37Z"/>
        <d v="2016-07-11T11:44:00Z"/>
        <d v="2016-07-12T05:03:00Z"/>
        <d v="2016-07-12T09:18:00Z"/>
        <d v="2016-07-12T13:25:00Z"/>
        <d v="2016-07-12T17:30:00Z"/>
        <d v="2016-07-14T23:51:31Z"/>
        <d v="2016-07-11T00:05:00Z"/>
        <d v="2016-07-12T07:47:00Z"/>
        <d v="2016-07-13T04:49:07Z"/>
        <d v="2016-07-13T22:33:31Z"/>
        <d v="2016-07-14T05:29:40Z"/>
        <d v="2016-07-14T20:29:43Z"/>
        <d v="2016-07-15T04:51:02Z"/>
        <d v="2016-07-15T09:39:54Z"/>
        <d v="2016-07-15T12:26:51Z"/>
        <d v="2016-07-12T11:21:00Z"/>
        <d v="2016-07-12T17:06:00Z"/>
        <d v="2016-07-13T12:42:45Z"/>
        <d v="2016-07-13T17:16:47Z"/>
        <d v="2016-07-13T23:24:37Z"/>
        <d v="2016-07-14T05:46:40Z"/>
        <d v="2016-07-15T07:45:50Z"/>
        <d v="2016-07-11T05:24:00Z"/>
        <d v="2016-07-11T16:50:00Z"/>
        <d v="2016-07-11T19:17:00Z"/>
        <d v="2016-07-13T06:28:12Z"/>
        <d v="2016-07-14T02:10:36Z"/>
        <d v="2016-07-14T15:18:31Z"/>
        <d v="2016-07-14T21:38:10Z"/>
        <d v="2016-07-12T13:34:00Z"/>
        <d v="2016-07-12T19:37:00Z"/>
        <d v="2016-07-13T09:32:25Z"/>
        <d v="2016-07-13T13:51:00Z"/>
        <d v="2016-07-13T22:45:09Z"/>
        <d v="2016-07-14T09:22:47Z"/>
        <d v="2016-07-14T18:33:03Z"/>
        <d v="2016-07-15T13:03:25Z"/>
        <d v="2016-07-15T19:19:47Z"/>
        <d v="2016-07-11T08:26:00Z"/>
        <d v="2016-07-13T23:15:18Z"/>
        <d v="2016-07-14T16:29:40Z"/>
        <d v="2016-07-15T03:38:02Z"/>
        <d v="2016-07-15T08:41:35Z"/>
        <d v="2016-07-15T14:07:10Z"/>
        <d v="2016-07-15T22:06:53Z"/>
        <d v="2016-07-11T06:13:00Z"/>
        <d v="2016-07-11T13:30:00Z"/>
        <d v="2016-07-12T11:18:00Z"/>
        <d v="2016-07-12T17:42:00Z"/>
        <d v="2016-07-13T09:48:30Z"/>
        <d v="2016-07-13T21:08:10Z"/>
        <d v="2016-07-14T17:22:20Z"/>
        <d v="2016-07-15T02:38:30Z"/>
        <d v="2016-07-15T18:57:01Z"/>
        <d v="2016-07-11T21:30:00Z"/>
        <d v="2016-07-12T02:35:00Z"/>
        <d v="2016-07-12T10:01:00Z"/>
        <d v="2016-07-12T23:18:00Z"/>
        <d v="2016-07-13T07:41:17Z"/>
        <d v="2016-07-13T11:41:40Z"/>
        <d v="2016-07-13T17:18:05Z"/>
        <d v="2016-07-14T07:34:57Z"/>
        <d v="2016-07-11T09:06:00Z"/>
        <d v="2016-07-11T20:10:00Z"/>
        <d v="2016-07-12T11:53:00Z"/>
        <d v="2016-07-13T09:49:32Z"/>
        <d v="2016-07-13T23:36:23Z"/>
        <d v="2016-07-14T07:51:59Z"/>
        <d v="2016-07-14T14:31:20Z"/>
        <d v="2016-07-14T21:48:06Z"/>
        <d v="2016-07-14T22:52:35Z"/>
        <d v="2016-07-15T08:27:01Z"/>
        <d v="2016-07-11T13:24:00Z"/>
        <d v="2016-07-12T12:57:00Z"/>
        <d v="2016-07-13T22:58:22Z"/>
        <d v="2016-07-14T07:56:05Z"/>
        <d v="2016-07-14T22:09:30Z"/>
        <d v="2016-07-15T11:42:14Z"/>
        <d v="2016-07-15T16:15:34Z"/>
        <d v="2016-07-15T18:35:57Z"/>
        <d v="2016-07-11T22:57:00Z"/>
        <d v="2016-07-12T16:32:00Z"/>
        <d v="2016-07-12T19:34:00Z"/>
        <d v="2016-07-13T05:29:42Z"/>
        <d v="2016-07-14T09:47:53Z"/>
        <d v="2016-07-14T19:48:45Z"/>
        <d v="2016-07-11T15:39:00Z"/>
        <d v="2016-07-12T09:59:00Z"/>
        <d v="2016-07-12T17:14:00Z"/>
        <d v="2016-07-13T17:04:19Z"/>
        <d v="2016-07-13T19:47:15Z"/>
        <d v="2016-07-14T18:59:05Z"/>
        <d v="2016-07-11T23:01:00Z"/>
        <d v="2016-07-12T21:22:00Z"/>
        <d v="2016-07-13T21:44:48Z"/>
        <d v="2016-07-14T07:14:05Z"/>
        <d v="2016-07-14T15:24:45Z"/>
        <d v="2016-07-15T21:48:02Z"/>
        <d v="2016-07-11T09:38:00Z"/>
        <d v="2016-07-13T08:10:03Z"/>
        <d v="2016-07-13T17:19:57Z"/>
        <d v="2016-07-14T09:35:42Z"/>
        <d v="2016-07-14T16:43:10Z"/>
        <d v="2016-07-14T21:30:34Z"/>
        <d v="2016-07-12T07:46:00Z"/>
        <d v="2016-07-12T18:38:00Z"/>
        <d v="2016-07-13T03:17:00Z"/>
        <d v="2016-07-13T13:56:50Z"/>
        <d v="2016-07-13T20:14:21Z"/>
        <d v="2016-07-14T06:10:03Z"/>
        <d v="2016-07-15T06:08:33Z"/>
        <d v="2016-07-15T10:55:52Z"/>
        <d v="2016-07-15T19:45:28Z"/>
        <d v="2016-07-11T16:16:00Z"/>
        <d v="2016-07-12T21:09:00Z"/>
        <d v="2016-07-13T04:13:56Z"/>
        <d v="2016-07-14T19:30:33Z"/>
        <d v="2016-07-14T21:46:45Z"/>
        <d v="2016-07-11T02:17:00Z"/>
        <d v="2016-07-13T00:42:20Z"/>
        <d v="2016-07-13T05:19:47Z"/>
        <d v="2016-07-13T08:37:13Z"/>
        <d v="2016-07-13T17:12:20Z"/>
        <d v="2016-07-13T21:34:05Z"/>
        <d v="2016-07-14T07:17:34Z"/>
        <d v="2016-07-14T08:13:37Z"/>
        <d v="2016-07-15T08:03:01Z"/>
        <d v="2016-07-15T09:56:35Z"/>
        <d v="2016-07-11T14:02:00Z"/>
        <d v="2016-07-11T17:34:00Z"/>
        <d v="2016-07-12T15:41:00Z"/>
        <d v="2016-07-12T19:17:00Z"/>
        <d v="2016-07-13T01:12:32Z"/>
        <d v="2016-07-13T06:04:24Z"/>
        <d v="2016-07-13T17:19:55Z"/>
        <d v="2016-07-13T20:19:50Z"/>
        <d v="2016-07-14T20:58:21Z"/>
        <d v="2016-07-15T22:25:32Z"/>
        <d v="2016-07-11T14:28:00Z"/>
        <d v="2016-07-11T17:01:00Z"/>
        <d v="2016-07-11T23:26:00Z"/>
        <d v="2016-07-12T08:22:00Z"/>
        <d v="2016-07-12T12:08:00Z"/>
        <d v="2016-07-12T22:19:00Z"/>
        <d v="2016-07-13T06:30:08Z"/>
        <d v="2016-07-13T08:50:45Z"/>
        <d v="2016-07-14T09:11:02Z"/>
        <d v="2016-07-14T10:14:36Z"/>
        <d v="2016-07-15T10:17:39Z"/>
        <d v="2016-07-15T21:49:39Z"/>
        <d v="2016-07-11T16:03:00Z"/>
        <d v="2016-07-11T23:17:00Z"/>
        <d v="2016-07-12T09:37:00Z"/>
        <d v="2016-07-12T20:24:00Z"/>
        <d v="2016-07-13T17:46:30Z"/>
        <d v="2016-07-13T21:16:33Z"/>
        <d v="2016-07-14T04:46:17Z"/>
        <d v="2016-07-14T13:08:15Z"/>
        <d v="2016-07-15T04:54:59Z"/>
        <d v="2016-07-15T09:53:30Z"/>
        <d v="2016-07-15T22:03:00Z"/>
        <d v="2016-07-11T22:52:00Z"/>
        <d v="2016-07-12T06:32:00Z"/>
        <d v="2016-07-12T19:38:00Z"/>
        <d v="2016-07-14T08:09:40Z"/>
        <d v="2016-07-14T15:42:35Z"/>
        <d v="2016-07-14T20:27:10Z"/>
        <d v="2016-07-15T07:03:49Z"/>
        <d v="2016-07-11T10:06:00Z"/>
        <d v="2016-07-11T16:39:00Z"/>
        <d v="2016-07-11T22:26:00Z"/>
        <d v="2016-07-12T07:23:00Z"/>
        <d v="2016-07-12T20:29:00Z"/>
        <d v="2016-07-13T05:49:52Z"/>
        <d v="2016-07-13T10:21:04Z"/>
        <d v="2016-07-13T22:22:46Z"/>
        <d v="2016-07-15T08:29:25Z"/>
        <d v="2016-07-11T18:26:00Z"/>
        <d v="2016-07-12T17:04:00Z"/>
        <d v="2016-07-13T04:53:36Z"/>
        <d v="2016-07-13T08:48:27Z"/>
        <d v="2016-07-13T17:48:26Z"/>
        <d v="2016-07-13T22:26:29Z"/>
        <d v="2016-07-14T02:52:39Z"/>
        <d v="2016-07-14T13:14:44Z"/>
        <d v="2016-07-15T03:22:27Z"/>
        <d v="2016-07-15T06:51:10Z"/>
        <d v="2016-07-15T09:19:29Z"/>
        <d v="2016-07-15T14:21:50Z"/>
        <d v="2016-07-15T22:04:52Z"/>
        <d v="2016-07-11T17:55:00Z"/>
        <d v="2016-07-11T22:59:00Z"/>
        <d v="2016-07-12T09:15:00Z"/>
        <d v="2016-07-13T07:10:45Z"/>
        <d v="2016-07-13T12:57:34Z"/>
        <d v="2016-07-13T18:57:24Z"/>
        <d v="2016-07-14T06:48:51Z"/>
        <d v="2016-07-14T15:09:22Z"/>
        <d v="2016-07-14T20:35:30Z"/>
        <d v="2016-07-15T11:27:18Z"/>
        <d v="2016-07-15T14:02:35Z"/>
        <d v="2016-07-11T09:17:00Z"/>
        <d v="2016-07-11T12:45:00Z"/>
        <d v="2016-07-11T15:38:00Z"/>
        <d v="2016-07-11T17:35:00Z"/>
        <d v="2016-07-12T07:58:00Z"/>
        <d v="2016-07-12T12:24:00Z"/>
        <d v="2016-07-12T18:39:00Z"/>
        <d v="2016-07-13T08:25:17Z"/>
        <d v="2016-07-13T21:54:09Z"/>
        <d v="2016-07-14T06:05:14Z"/>
        <d v="2016-07-14T11:49:01Z"/>
        <d v="2016-07-15T05:35:45Z"/>
        <d v="2016-07-11T09:26:00Z"/>
        <d v="2016-07-12T18:34:00Z"/>
        <d v="2016-07-13T00:06:34Z"/>
        <d v="2016-07-13T06:39:09Z"/>
        <d v="2016-07-14T11:16:57Z"/>
        <d v="2016-07-14T20:48:33Z"/>
        <d v="2016-07-15T07:40:48Z"/>
        <d v="2016-07-15T19:24:48Z"/>
        <d v="2016-07-15T20:06:18Z"/>
        <d v="2016-07-11T16:53:00Z"/>
        <d v="2016-07-12T06:08:00Z"/>
        <d v="2016-07-12T15:20:00Z"/>
        <d v="2016-07-12T21:43:00Z"/>
        <d v="2016-07-13T06:41:04Z"/>
        <d v="2016-07-13T19:11:32Z"/>
        <d v="2016-07-13T22:36:27Z"/>
        <d v="2016-07-15T05:10:25Z"/>
        <d v="2016-07-15T08:02:05Z"/>
        <d v="2016-07-15T19:05:36Z"/>
        <d v="2016-07-11T20:40:00Z"/>
        <d v="2016-07-12T09:16:00Z"/>
        <d v="2016-07-12T11:28:00Z"/>
        <d v="2016-07-13T10:10:00Z"/>
        <d v="2016-07-13T16:03:13Z"/>
        <d v="2016-07-13T19:00:49Z"/>
        <d v="2016-07-14T10:09:16Z"/>
        <d v="2016-07-15T07:32:41Z"/>
        <d v="2016-07-15T13:35:56Z"/>
        <d v="2016-07-11T07:34:00Z"/>
        <d v="2016-07-11T22:41:00Z"/>
        <d v="2016-07-12T07:42:00Z"/>
        <d v="2016-07-13T05:42:33Z"/>
        <d v="2016-07-13T15:00:02Z"/>
        <d v="2016-07-14T00:38:21Z"/>
        <d v="2016-07-14T03:09:17Z"/>
        <d v="2016-07-14T09:50:59Z"/>
        <d v="2016-07-14T19:59:57Z"/>
        <d v="2016-07-11T10:57:00Z"/>
        <d v="2016-07-11T16:54:00Z"/>
        <d v="2016-07-12T05:48:00Z"/>
        <d v="2016-07-13T04:54:15Z"/>
        <d v="2016-07-13T08:52:45Z"/>
        <d v="2016-07-13T22:15:07Z"/>
        <d v="2016-07-14T07:38:26Z"/>
        <d v="2016-07-15T18:44:57Z"/>
        <d v="2016-07-11T10:05:00Z"/>
        <d v="2016-07-12T01:15:00Z"/>
        <d v="2016-07-12T18:48:00Z"/>
        <d v="2016-07-13T08:22:49Z"/>
        <d v="2016-07-13T11:18:02Z"/>
        <d v="2016-07-13T16:33:05Z"/>
        <d v="2016-07-13T19:22:51Z"/>
        <d v="2016-07-14T13:01:23Z"/>
        <d v="2016-07-14T20:59:09Z"/>
        <d v="2016-07-15T05:53:21Z"/>
        <d v="2016-07-15T12:09:01Z"/>
        <d v="2016-07-15T22:22:03Z"/>
        <d v="2016-07-11T19:49:00Z"/>
        <d v="2016-07-12T22:37:00Z"/>
        <d v="2016-07-13T11:10:05Z"/>
        <d v="2016-07-13T22:50:47Z"/>
        <d v="2016-07-13T23:46:19Z"/>
        <d v="2016-07-14T05:59:10Z"/>
        <d v="2016-07-14T07:50:14Z"/>
        <d v="2016-07-14T18:34:51Z"/>
        <d v="2016-07-15T05:23:42Z"/>
        <d v="2016-07-15T17:33:50Z"/>
        <d v="2016-07-11T23:37:00Z"/>
        <d v="2016-07-12T09:56:00Z"/>
        <d v="2016-07-12T20:02:00Z"/>
        <d v="2016-07-13T07:59:50Z"/>
        <d v="2016-07-13T16:52:55Z"/>
        <d v="2016-07-14T00:22:54Z"/>
        <d v="2016-07-14T08:27:23Z"/>
        <d v="2016-07-15T05:19:12Z"/>
        <d v="2016-07-15T09:00:26Z"/>
        <d v="2016-07-15T11:43:12Z"/>
        <d v="2016-07-15T17:57:37Z"/>
        <d v="2016-07-11T07:32:00Z"/>
        <d v="2016-07-11T14:52:00Z"/>
        <d v="2016-07-12T15:32:00Z"/>
        <d v="2016-07-14T09:57:29Z"/>
        <d v="2016-07-15T05:11:38Z"/>
        <d v="2016-07-11T14:00:00Z"/>
        <d v="2016-07-12T14:29:00Z"/>
        <d v="2016-07-12T20:34:00Z"/>
        <d v="2016-07-12T23:53:00Z"/>
        <d v="2016-07-13T07:37:29Z"/>
        <d v="2016-07-13T23:40:51Z"/>
        <d v="2016-07-14T04:40:41Z"/>
        <d v="2016-07-14T10:34:17Z"/>
        <d v="2016-07-14T18:42:37Z"/>
        <d v="2016-07-15T07:03:01Z"/>
        <d v="2016-07-15T12:17:49Z"/>
        <d v="2016-07-15T18:43:35Z"/>
        <d v="2016-07-13T04:46:08Z"/>
        <d v="2016-07-14T05:38:23Z"/>
        <d v="2016-07-14T13:18:22Z"/>
        <d v="2016-07-14T17:22:06Z"/>
        <d v="2016-07-15T16:55:44Z"/>
        <d v="2016-07-13T01:52:50Z"/>
        <d v="2016-07-13T08:11:13Z"/>
        <d v="2016-07-13T17:10:30Z"/>
        <d v="2016-07-14T08:40:30Z"/>
        <d v="2016-07-14T13:07:35Z"/>
        <d v="2016-07-14T19:50:28Z"/>
        <d v="2016-07-15T23:07:06Z"/>
        <d v="2016-07-11T05:29:00Z"/>
        <d v="2016-07-11T12:43:00Z"/>
        <d v="2016-07-12T18:16:00Z"/>
        <d v="2016-07-13T14:42:19Z"/>
        <d v="2016-07-14T09:54:17Z"/>
        <d v="2016-07-14T18:17:33Z"/>
        <d v="2016-07-15T02:01:30Z"/>
        <d v="2016-07-15T08:19:48Z"/>
        <d v="2016-07-15T18:07:05Z"/>
        <d v="2016-07-11T17:13:00Z"/>
        <d v="2016-07-12T05:19:00Z"/>
        <d v="2016-07-13T21:27:22Z"/>
        <d v="2016-07-14T08:32:09Z"/>
        <d v="2016-07-14T16:34:22Z"/>
        <d v="2016-07-11T08:23:00Z"/>
        <d v="2016-07-11T12:47:00Z"/>
        <d v="2016-07-11T22:09:00Z"/>
        <d v="2016-07-12T09:55:00Z"/>
        <d v="2016-07-12T10:41:00Z"/>
        <d v="2016-07-13T03:37:35Z"/>
        <d v="2016-07-13T14:33:34Z"/>
        <d v="2016-07-14T18:12:32Z"/>
        <d v="2016-07-15T10:46:03Z"/>
        <d v="2016-07-15T11:54:17Z"/>
        <d v="2016-07-15T16:30:16Z"/>
        <d v="2016-07-11T01:29:00Z"/>
        <d v="2016-07-11T05:06:00Z"/>
        <d v="2016-07-11T22:44:00Z"/>
        <d v="2016-07-13T03:14:15Z"/>
        <d v="2016-07-13T08:48:42Z"/>
        <d v="2016-07-13T12:06:57Z"/>
        <d v="2016-07-14T05:04:53Z"/>
        <d v="2016-07-14T22:32:15Z"/>
        <d v="2016-07-15T18:03:39Z"/>
        <d v="2016-07-11T10:20:00Z"/>
        <d v="2016-07-13T04:07:13Z"/>
        <d v="2016-07-13T19:11:00Z"/>
        <d v="2016-07-14T17:37:10Z"/>
        <d v="2016-07-15T13:35:34Z"/>
        <d v="2016-07-15T22:26:08Z"/>
        <d v="2016-07-11T09:29:00Z"/>
        <d v="2016-07-12T21:20:00Z"/>
        <d v="2016-07-13T12:35:14Z"/>
        <d v="2016-07-14T00:32:45Z"/>
        <d v="2016-07-14T09:59:09Z"/>
        <d v="2016-07-14T12:23:06Z"/>
        <d v="2016-07-14T15:20:35Z"/>
        <d v="2016-07-15T09:10:25Z"/>
        <d v="2016-07-15T13:19:25Z"/>
        <d v="2016-07-15T23:35:13Z"/>
        <d v="2016-07-11T07:39:00Z"/>
        <d v="2016-07-12T08:08:00Z"/>
        <d v="2016-07-13T06:53:25Z"/>
        <d v="2016-07-13T19:04:23Z"/>
        <d v="2016-07-14T08:50:51Z"/>
        <d v="2016-07-14T18:41:23Z"/>
        <d v="2016-07-15T07:49:45Z"/>
        <d v="2016-07-15T14:57:52Z"/>
        <d v="2016-07-15T23:23:48Z"/>
        <d v="2016-07-11T01:00:00Z"/>
        <d v="2016-07-11T09:43:00Z"/>
        <d v="2016-07-12T12:49:00Z"/>
        <d v="2016-07-12T20:46:00Z"/>
        <d v="2016-07-12T22:26:00Z"/>
        <d v="2016-07-13T18:00:59Z"/>
        <d v="2016-07-14T14:12:00Z"/>
        <d v="2016-07-14T18:46:48Z"/>
        <d v="2016-07-15T08:32:39Z"/>
        <d v="2016-07-15T12:54:09Z"/>
        <d v="2016-07-15T21:51:29Z"/>
        <d v="2016-07-11T05:39:00Z"/>
        <d v="2016-07-12T08:11:00Z"/>
        <d v="2016-07-12T09:31:00Z"/>
        <d v="2016-07-12T22:13:00Z"/>
        <d v="2016-07-14T21:02:35Z"/>
        <d v="2016-07-14T23:40:04Z"/>
        <d v="2016-07-15T08:56:31Z"/>
        <d v="2016-07-15T12:15:42Z"/>
        <d v="2016-07-15T23:36:53Z"/>
        <d v="2016-07-11T20:03:00Z"/>
        <d v="2016-07-12T13:24:00Z"/>
        <d v="2016-07-12T19:41:00Z"/>
        <d v="2016-07-13T06:13:27Z"/>
        <d v="2016-07-13T16:56:55Z"/>
        <d v="2016-07-14T05:18:07Z"/>
        <d v="2016-07-14T20:04:32Z"/>
        <d v="2016-07-15T05:23:07Z"/>
        <d v="2016-07-15T21:22:16Z"/>
        <d v="2016-07-11T08:36:00Z"/>
        <d v="2016-07-11T15:35:00Z"/>
        <d v="2016-07-11T22:48:00Z"/>
        <d v="2016-07-12T06:04:00Z"/>
        <d v="2016-07-12T11:59:00Z"/>
        <d v="2016-07-13T14:12:23Z"/>
        <d v="2016-07-13T17:58:52Z"/>
        <d v="2016-07-14T12:29:14Z"/>
        <d v="2016-07-14T22:25:11Z"/>
        <d v="2016-07-15T07:44:41Z"/>
        <d v="2016-07-11T06:00:00Z"/>
        <d v="2016-07-11T17:29:00Z"/>
        <d v="2016-07-12T05:52:00Z"/>
        <d v="2016-07-13T09:54:42Z"/>
        <d v="2016-07-14T11:38:13Z"/>
        <d v="2016-07-14T19:45:45Z"/>
        <d v="2016-07-15T03:47:48Z"/>
        <d v="2016-07-15T07:53:45Z"/>
        <d v="2016-07-15T16:43:19Z"/>
        <d v="2016-07-11T06:11:00Z"/>
        <d v="2016-07-11T18:16:00Z"/>
        <d v="2016-07-11T22:39:00Z"/>
        <d v="2016-07-13T07:16:45Z"/>
        <d v="2016-07-13T15:28:02Z"/>
        <d v="2016-07-13T20:49:13Z"/>
        <d v="2016-07-14T05:49:34Z"/>
        <d v="2016-07-15T20:29:24Z"/>
        <d v="2016-07-15T23:02:31Z"/>
        <d v="2016-07-11T11:08:00Z"/>
        <d v="2016-07-11T16:25:00Z"/>
        <d v="2016-07-12T12:32:00Z"/>
        <d v="2016-07-13T04:49:55Z"/>
        <d v="2016-07-13T06:42:12Z"/>
        <d v="2016-07-14T09:18:42Z"/>
        <d v="2016-07-14T12:47:46Z"/>
        <d v="2016-07-14T19:20:06Z"/>
        <d v="2016-07-15T16:55:46Z"/>
        <d v="2016-07-11T11:42:00Z"/>
        <d v="2016-07-12T10:35:00Z"/>
        <d v="2016-07-13T19:19:23Z"/>
        <d v="2016-07-14T06:06:21Z"/>
        <d v="2016-07-14T22:21:28Z"/>
        <d v="2016-07-15T02:35:11Z"/>
        <d v="2016-07-15T21:58:19Z"/>
        <d v="2016-07-11T07:13:00Z"/>
        <d v="2016-07-11T09:37:00Z"/>
        <d v="2016-07-12T19:19:00Z"/>
        <d v="2016-07-13T07:32:12Z"/>
        <d v="2016-07-14T17:02:43Z"/>
        <d v="2016-07-15T09:42:11Z"/>
        <d v="2016-07-11T17:58:00Z"/>
        <d v="2016-07-11T22:51:00Z"/>
        <d v="2016-07-12T19:25:00Z"/>
        <d v="2016-07-13T15:24:47Z"/>
        <d v="2016-07-13T19:42:01Z"/>
        <d v="2016-07-14T02:42:00Z"/>
        <d v="2016-07-14T11:04:55Z"/>
        <d v="2016-07-14T17:35:53Z"/>
        <d v="2016-07-11T22:03:00Z"/>
        <d v="2016-07-12T14:13:00Z"/>
        <d v="2016-07-12T21:37:00Z"/>
        <d v="2016-07-13T05:20:05Z"/>
        <d v="2016-07-13T06:20:10Z"/>
        <d v="2016-07-13T13:37:26Z"/>
        <d v="2016-07-15T06:27:11Z"/>
        <d v="2016-07-12T13:23:00Z"/>
        <d v="2016-07-13T07:32:39Z"/>
        <d v="2016-07-13T17:31:22Z"/>
        <d v="2016-07-14T19:40:11Z"/>
        <d v="2016-07-15T10:56:15Z"/>
        <d v="2016-07-15T19:10:20Z"/>
        <d v="2016-07-12T14:24:00Z"/>
        <d v="2016-07-12T23:40:00Z"/>
        <d v="2016-07-13T13:12:47Z"/>
        <d v="2016-07-13T17:45:55Z"/>
        <d v="2016-07-14T05:35:58Z"/>
        <d v="2016-07-15T18:48:48Z"/>
        <d v="2016-07-15T19:52:00Z"/>
        <d v="2016-07-12T13:43:00Z"/>
        <d v="2016-07-14T08:49:48Z"/>
        <d v="2016-07-14T11:31:09Z"/>
        <d v="2016-07-14T18:02:12Z"/>
        <d v="2016-07-14T23:09:23Z"/>
        <d v="2016-07-15T17:35:20Z"/>
        <d v="2016-07-11T10:59:00Z"/>
        <d v="2016-07-11T15:58:00Z"/>
        <d v="2016-07-11T19:06:00Z"/>
        <d v="2016-07-12T10:08:00Z"/>
        <d v="2016-07-13T05:43:57Z"/>
        <d v="2016-07-13T08:40:06Z"/>
        <d v="2016-07-13T11:41:45Z"/>
        <d v="2016-07-13T23:40:57Z"/>
        <d v="2016-07-14T08:30:35Z"/>
        <d v="2016-07-15T19:12:24Z"/>
        <d v="2016-07-15T21:46:05Z"/>
        <d v="2016-07-11T04:46:00Z"/>
        <d v="2016-07-11T20:55:00Z"/>
        <d v="2016-07-12T21:07:00Z"/>
        <d v="2016-07-13T15:52:40Z"/>
        <d v="2016-07-14T00:07:29Z"/>
        <d v="2016-07-14T11:41:55Z"/>
        <d v="2016-07-14T17:34:36Z"/>
        <d v="2016-07-15T07:21:55Z"/>
        <d v="2016-07-12T14:50:00Z"/>
        <d v="2016-07-12T18:25:00Z"/>
        <d v="2016-07-13T06:35:59Z"/>
        <d v="2016-07-13T21:21:52Z"/>
        <d v="2016-07-14T08:08:15Z"/>
        <d v="2016-07-15T09:53:12Z"/>
        <d v="2016-07-11T20:30:00Z"/>
        <d v="2016-07-12T19:12:00Z"/>
        <d v="2016-07-13T07:10:57Z"/>
        <d v="2016-07-13T19:24:22Z"/>
        <d v="2016-07-14T08:46:16Z"/>
        <d v="2016-07-14T15:34:27Z"/>
        <d v="2016-07-15T05:02:55Z"/>
        <d v="2016-07-15T09:03:38Z"/>
        <d v="2016-07-11T17:50:00Z"/>
        <d v="2016-07-13T01:27:34Z"/>
        <d v="2016-07-15T05:35:47Z"/>
        <d v="2016-07-15T06:55:43Z"/>
        <d v="2016-07-11T05:10:00Z"/>
        <d v="2016-07-11T09:22:00Z"/>
        <d v="2016-07-13T17:12:42Z"/>
        <d v="2016-07-14T16:07:20Z"/>
        <d v="2016-07-11T19:51:00Z"/>
        <d v="2016-07-12T04:58:00Z"/>
        <d v="2016-07-13T13:36:11Z"/>
        <d v="2016-07-13T23:21:24Z"/>
        <d v="2016-07-14T07:13:44Z"/>
        <d v="2016-07-14T18:03:42Z"/>
        <d v="2016-07-14T23:19:15Z"/>
        <d v="2016-07-15T07:03:13Z"/>
        <d v="2016-07-15T11:27:33Z"/>
        <d v="2016-07-15T23:38:20Z"/>
        <d v="2016-07-11T07:05:00Z"/>
        <d v="2016-07-11T23:40:00Z"/>
        <d v="2016-07-13T01:17:55Z"/>
        <d v="2016-07-13T06:26:22Z"/>
        <d v="2016-07-14T09:29:54Z"/>
        <d v="2016-07-14T13:22:22Z"/>
        <d v="2016-07-14T17:17:31Z"/>
        <d v="2016-07-15T09:33:34Z"/>
        <d v="2016-07-15T14:13:38Z"/>
        <d v="2016-07-11T11:52:00Z"/>
        <d v="2016-07-12T03:25:00Z"/>
        <d v="2016-07-12T15:42:00Z"/>
        <d v="2016-07-13T04:51:23Z"/>
        <d v="2016-07-13T20:35:37Z"/>
        <d v="2016-07-14T03:00:20Z"/>
        <d v="2016-07-14T07:32:52Z"/>
        <d v="2016-07-14T10:26:23Z"/>
        <d v="2016-07-14T18:28:29Z"/>
        <d v="2016-07-15T12:12:56Z"/>
        <d v="2016-07-11T07:21:00Z"/>
        <d v="2016-07-11T14:05:00Z"/>
        <d v="2016-07-12T10:56:00Z"/>
        <d v="2016-07-12T15:13:00Z"/>
        <d v="2016-07-13T19:02:42Z"/>
        <d v="2016-07-14T07:10:55Z"/>
        <d v="2016-07-14T17:50:24Z"/>
        <d v="2016-07-14T20:03:55Z"/>
        <d v="2016-07-15T07:15:56Z"/>
        <d v="2016-07-15T11:10:14Z"/>
        <d v="2016-07-15T17:43:20Z"/>
        <d v="2016-07-15T20:14:02Z"/>
        <d v="2016-07-11T22:25:00Z"/>
        <d v="2016-07-12T17:12:00Z"/>
        <d v="2016-07-13T02:10:23Z"/>
        <d v="2016-07-13T07:30:01Z"/>
        <d v="2016-07-14T01:54:08Z"/>
        <d v="2016-07-14T18:09:46Z"/>
        <d v="2016-07-14T22:27:13Z"/>
        <d v="2016-07-15T14:22:11Z"/>
        <d v="2016-07-15T20:06:36Z"/>
        <d v="2016-07-11T12:10:00Z"/>
        <d v="2016-07-11T17:52:00Z"/>
        <d v="2016-07-13T08:22:37Z"/>
        <d v="2016-07-13T13:03:19Z"/>
        <d v="2016-07-14T08:18:15Z"/>
        <d v="2016-07-14T20:45:20Z"/>
        <d v="2016-07-14T23:36:12Z"/>
        <d v="2016-07-15T05:04:25Z"/>
        <d v="2016-07-15T07:52:18Z"/>
        <d v="2016-07-15T14:57:34Z"/>
        <d v="2016-07-15T23:19:07Z"/>
        <d v="2016-07-11T18:11:00Z"/>
        <d v="2016-07-12T04:59:00Z"/>
        <d v="2016-07-13T05:12:15Z"/>
        <d v="2016-07-13T12:51:25Z"/>
        <d v="2016-07-13T19:20:55Z"/>
        <d v="2016-07-14T19:07:43Z"/>
        <d v="2016-07-15T00:04:44Z"/>
        <d v="2016-07-15T06:51:58Z"/>
        <d v="2016-07-15T19:51:39Z"/>
        <d v="2016-07-11T05:46:00Z"/>
        <d v="2016-07-11T12:07:00Z"/>
        <d v="2016-07-11T18:42:00Z"/>
        <d v="2016-07-12T04:07:00Z"/>
        <d v="2016-07-12T10:19:00Z"/>
        <d v="2016-07-12T18:58:00Z"/>
        <d v="2016-07-13T10:08:23Z"/>
        <d v="2016-07-13T12:17:16Z"/>
        <d v="2016-07-13T22:57:04Z"/>
        <d v="2016-07-14T06:44:29Z"/>
        <d v="2016-07-14T23:17:20Z"/>
        <d v="2016-07-15T08:38:57Z"/>
        <d v="2016-07-15T17:19:51Z"/>
        <d v="2016-07-11T12:34:00Z"/>
        <d v="2016-07-11T20:31:00Z"/>
        <d v="2016-07-12T17:29:00Z"/>
        <d v="2016-07-13T05:36:44Z"/>
        <d v="2016-07-13T11:44:09Z"/>
        <d v="2016-07-14T06:33:47Z"/>
        <d v="2016-07-14T20:56:31Z"/>
        <d v="2016-07-15T01:05:20Z"/>
        <d v="2016-07-15T05:34:20Z"/>
        <d v="2016-07-15T12:53:26Z"/>
        <d v="2016-07-11T20:11:00Z"/>
        <d v="2016-07-12T21:50:00Z"/>
        <d v="2016-07-13T17:14:33Z"/>
        <d v="2016-07-13T22:23:24Z"/>
        <d v="2016-07-14T22:37:51Z"/>
        <d v="2016-07-15T22:57:48Z"/>
        <d v="2016-07-11T00:54:00Z"/>
        <d v="2016-07-11T08:19:00Z"/>
        <d v="2016-07-11T11:13:00Z"/>
        <d v="2016-07-11T14:13:00Z"/>
        <d v="2016-07-12T18:08:00Z"/>
        <d v="2016-07-13T12:03:56Z"/>
        <d v="2016-07-14T05:33:45Z"/>
        <d v="2016-07-15T17:59:51Z"/>
        <d v="2016-07-12T11:47:00Z"/>
        <d v="2016-07-13T17:08:08Z"/>
        <d v="2016-07-14T05:58:18Z"/>
        <d v="2016-07-14T09:09:21Z"/>
        <d v="2016-07-14T19:47:25Z"/>
        <d v="2016-07-15T10:46:39Z"/>
        <d v="2016-07-11T06:10:00Z"/>
        <d v="2016-07-11T17:48:00Z"/>
        <d v="2016-07-11T21:14:00Z"/>
        <d v="2016-07-12T06:38:00Z"/>
        <d v="2016-07-12T19:56:00Z"/>
        <d v="2016-07-14T06:40:36Z"/>
        <d v="2016-07-14T13:46:22Z"/>
        <d v="2016-07-14T17:54:45Z"/>
        <d v="2016-07-15T09:03:42Z"/>
        <d v="2016-07-15T18:27:59Z"/>
        <d v="2016-07-11T07:14:00Z"/>
        <d v="2016-07-11T22:27:00Z"/>
        <d v="2016-07-12T12:20:00Z"/>
        <d v="2016-07-13T11:47:13Z"/>
        <d v="2016-07-13T22:49:28Z"/>
        <d v="2016-07-14T05:32:23Z"/>
        <d v="2016-07-14T15:55:15Z"/>
        <d v="2016-07-14T20:53:25Z"/>
        <d v="2016-07-15T09:23:39Z"/>
        <d v="2016-07-15T10:52:25Z"/>
        <d v="2016-07-15T14:18:11Z"/>
        <d v="2016-07-11T06:07:00Z"/>
        <d v="2016-07-11T11:31:00Z"/>
        <d v="2016-07-12T18:56:00Z"/>
        <d v="2016-07-13T05:53:50Z"/>
        <d v="2016-07-13T18:29:57Z"/>
        <d v="2016-07-14T09:16:06Z"/>
        <d v="2016-07-15T06:38:59Z"/>
        <d v="2016-07-15T15:37:04Z"/>
        <d v="2016-07-15T20:57:08Z"/>
        <d v="2016-07-11T07:17:00Z"/>
        <d v="2016-07-12T03:13:00Z"/>
        <d v="2016-07-12T10:00:00Z"/>
        <d v="2016-07-12T16:25:00Z"/>
        <d v="2016-07-12T19:27:00Z"/>
        <d v="2016-07-13T09:44:54Z"/>
        <d v="2016-07-13T11:44:02Z"/>
        <d v="2016-07-14T04:30:34Z"/>
        <d v="2016-07-14T12:48:16Z"/>
        <d v="2016-07-15T04:45:25Z"/>
        <d v="2016-07-15T15:17:34Z"/>
        <d v="2016-07-15T19:20:44Z"/>
        <d v="2016-07-15T22:08:28Z"/>
        <d v="2016-07-11T04:49:00Z"/>
        <d v="2016-07-11T16:04:00Z"/>
        <d v="2016-07-12T07:48:00Z"/>
        <d v="2016-07-12T14:42:00Z"/>
        <d v="2016-07-13T05:39:33Z"/>
        <d v="2016-07-13T19:02:02Z"/>
        <d v="2016-07-14T06:54:05Z"/>
        <d v="2016-07-14T23:24:48Z"/>
        <d v="2016-07-15T06:15:03Z"/>
        <d v="2016-07-11T00:45:00Z"/>
        <d v="2016-07-11T09:13:00Z"/>
        <d v="2016-07-11T21:18:00Z"/>
        <d v="2016-07-12T13:28:00Z"/>
        <d v="2016-07-14T06:46:32Z"/>
        <d v="2016-07-14T12:59:26Z"/>
        <d v="2016-07-14T18:24:42Z"/>
        <d v="2016-07-14T20:27:44Z"/>
        <d v="2016-07-15T08:05:17Z"/>
        <d v="2016-07-15T11:55:21Z"/>
        <d v="2016-07-15T19:52:36Z"/>
        <d v="2016-07-15T21:04:00Z"/>
        <d v="2016-07-12T12:59:00Z"/>
        <d v="2016-07-13T14:23:37Z"/>
        <d v="2016-07-14T01:37:38Z"/>
        <d v="2016-07-14T05:17:09Z"/>
        <d v="2016-07-14T11:30:28Z"/>
        <d v="2016-07-15T21:08:42Z"/>
        <d v="2016-07-15T23:44:23Z"/>
        <d v="2016-07-12T05:43:00Z"/>
        <d v="2016-07-12T22:54:00Z"/>
        <d v="2016-07-13T04:54:29Z"/>
        <d v="2016-07-13T07:22:01Z"/>
        <d v="2016-07-13T21:36:57Z"/>
        <d v="2016-07-14T10:28:45Z"/>
        <d v="2016-07-14T11:57:13Z"/>
        <d v="2016-07-14T18:23:42Z"/>
        <d v="2016-07-12T09:44:00Z"/>
        <d v="2016-07-12T18:35:00Z"/>
        <d v="2016-07-13T08:00:19Z"/>
        <d v="2016-07-14T00:38:22Z"/>
        <d v="2016-07-14T08:31:12Z"/>
        <d v="2016-07-15T12:44:52Z"/>
        <d v="2016-07-11T04:38:00Z"/>
        <d v="2016-07-12T11:48:00Z"/>
        <d v="2016-07-13T15:44:39Z"/>
        <d v="2016-07-13T18:47:13Z"/>
        <d v="2016-07-14T08:57:14Z"/>
        <d v="2016-07-15T07:10:20Z"/>
        <d v="2016-07-15T21:33:54Z"/>
        <d v="2016-07-12T05:33:00Z"/>
        <d v="2016-07-12T21:47:00Z"/>
        <d v="2016-07-13T19:26:50Z"/>
        <d v="2016-07-14T18:42:23Z"/>
        <d v="2016-07-15T04:50:54Z"/>
        <d v="2016-07-15T18:08:33Z"/>
        <d v="2016-07-11T18:03:00Z"/>
        <d v="2016-07-12T05:29:00Z"/>
        <d v="2016-07-12T11:08:00Z"/>
        <d v="2016-07-13T23:44:47Z"/>
        <d v="2016-07-14T15:23:51Z"/>
        <d v="2016-07-14T18:20:30Z"/>
        <d v="2016-07-11T12:41:00Z"/>
        <d v="2016-07-11T20:49:00Z"/>
        <d v="2016-07-11T23:45:00Z"/>
        <d v="2016-07-12T10:29:00Z"/>
        <d v="2016-07-12T17:39:00Z"/>
        <d v="2016-07-13T07:42:07Z"/>
        <d v="2016-07-13T09:47:21Z"/>
        <d v="2016-07-13T21:22:27Z"/>
        <d v="2016-07-15T07:31:47Z"/>
        <d v="2016-07-15T22:13:11Z"/>
        <d v="2016-07-11T06:53:00Z"/>
        <d v="2016-07-11T21:43:00Z"/>
        <d v="2016-07-13T08:55:14Z"/>
        <d v="2016-07-13T12:37:22Z"/>
        <d v="2016-07-13T17:36:08Z"/>
        <d v="2016-07-14T07:10:09Z"/>
        <d v="2016-07-15T00:06:12Z"/>
        <d v="2016-07-15T02:08:39Z"/>
        <d v="2016-07-15T15:02:26Z"/>
        <d v="2016-07-15T19:16:21Z"/>
        <d v="2016-07-11T12:57:00Z"/>
        <d v="2016-07-11T14:40:00Z"/>
        <d v="2016-07-11T20:02:00Z"/>
        <d v="2016-07-12T05:37:00Z"/>
        <d v="2016-07-13T07:40:16Z"/>
        <d v="2016-07-14T05:45:04Z"/>
        <d v="2016-07-15T10:00:27Z"/>
        <d v="2016-07-15T13:49:37Z"/>
        <d v="2016-07-11T06:16:00Z"/>
        <d v="2016-07-11T20:47:00Z"/>
        <d v="2016-07-12T17:55:00Z"/>
        <d v="2016-07-13T06:42:13Z"/>
        <d v="2016-07-14T11:10:13Z"/>
        <d v="2016-07-15T00:29:15Z"/>
        <d v="2016-07-15T15:13:06Z"/>
        <d v="2016-07-11T15:36:00Z"/>
        <d v="2016-07-11T17:40:00Z"/>
        <d v="2016-07-11T20:57:00Z"/>
        <d v="2016-07-12T04:19:00Z"/>
        <d v="2016-07-12T19:09:00Z"/>
        <d v="2016-07-12T21:18:00Z"/>
        <d v="2016-07-13T06:46:08Z"/>
        <d v="2016-07-14T09:37:03Z"/>
        <d v="2016-07-14T21:41:42Z"/>
        <d v="2016-07-15T20:33:06Z"/>
        <d v="2016-07-11T06:20:00Z"/>
        <d v="2016-07-11T14:51:00Z"/>
        <d v="2016-07-12T15:18:00Z"/>
        <d v="2016-07-13T10:42:45Z"/>
        <d v="2016-07-13T20:50:24Z"/>
        <d v="2016-07-14T10:51:47Z"/>
        <d v="2016-07-15T18:23:00Z"/>
        <d v="2016-07-11T12:54:00Z"/>
        <d v="2016-07-11T21:10:00Z"/>
        <d v="2016-07-12T05:42:00Z"/>
        <d v="2016-07-12T19:33:00Z"/>
        <d v="2016-07-13T11:53:57Z"/>
        <d v="2016-07-15T22:49:53Z"/>
        <d v="2016-07-11T06:03:00Z"/>
        <d v="2016-07-11T15:07:00Z"/>
        <d v="2016-07-11T20:12:00Z"/>
        <d v="2016-07-13T07:03:54Z"/>
        <d v="2016-07-13T17:28:59Z"/>
        <d v="2016-07-14T18:41:20Z"/>
        <d v="2016-07-15T21:52:03Z"/>
        <d v="2016-07-12T08:28:00Z"/>
        <d v="2016-07-13T11:54:15Z"/>
        <d v="2016-07-13T16:56:31Z"/>
        <d v="2016-07-13T23:50:07Z"/>
        <d v="2016-07-15T03:05:44Z"/>
        <d v="2016-07-15T07:35:57Z"/>
        <d v="2016-07-15T09:53:16Z"/>
        <d v="2016-07-15T21:14:11Z"/>
        <d v="2016-07-11T13:56:00Z"/>
        <d v="2016-07-12T21:49:00Z"/>
        <d v="2016-07-13T07:21:23Z"/>
        <d v="2016-07-13T10:45:15Z"/>
        <d v="2016-07-13T12:29:10Z"/>
        <d v="2016-07-13T21:51:23Z"/>
        <d v="2016-07-14T06:35:37Z"/>
        <d v="2016-07-14T20:19:57Z"/>
        <d v="2016-07-15T05:56:46Z"/>
        <d v="2016-07-15T12:04:14Z"/>
        <d v="2016-07-15T20:24:57Z"/>
        <d v="2016-07-15T23:59:58Z"/>
        <d v="2016-07-11T05:49:00Z"/>
        <d v="2016-07-12T01:03:00Z"/>
        <d v="2016-07-12T10:26:00Z"/>
        <d v="2016-07-13T13:55:29Z"/>
        <d v="2016-07-14T09:08:30Z"/>
        <d v="2016-07-15T10:33:30Z"/>
        <d v="2016-07-15T15:53:16Z"/>
        <d v="2016-07-11T08:17:00Z"/>
        <d v="2016-07-12T14:15:00Z"/>
        <d v="2016-07-13T03:55:54Z"/>
        <d v="2016-07-13T05:35:41Z"/>
        <d v="2016-07-13T10:08:03Z"/>
        <d v="2016-07-14T19:26:06Z"/>
        <d v="2016-07-15T17:35:58Z"/>
        <d v="2016-07-11T07:42:00Z"/>
        <d v="2016-07-11T09:15:00Z"/>
        <d v="2016-07-11T12:42:00Z"/>
        <d v="2016-07-11T18:13:00Z"/>
        <d v="2016-07-11T22:40:00Z"/>
        <d v="2016-07-12T19:16:00Z"/>
        <d v="2016-07-14T00:42:59Z"/>
        <d v="2016-07-14T06:15:08Z"/>
        <d v="2016-07-14T16:39:13Z"/>
        <d v="2016-07-15T13:20:59Z"/>
        <d v="2016-07-15T17:06:36Z"/>
        <d v="2016-07-11T04:21:00Z"/>
        <d v="2016-07-12T11:02:00Z"/>
        <d v="2016-07-13T19:30:32Z"/>
        <d v="2016-07-14T07:24:48Z"/>
        <d v="2016-07-14T13:10:12Z"/>
        <d v="2016-07-14T22:02:14Z"/>
        <d v="2016-07-11T05:00:00Z"/>
        <d v="2016-07-12T23:22:00Z"/>
        <d v="2016-07-13T06:40:58Z"/>
        <d v="2016-07-14T15:10:47Z"/>
        <d v="2016-07-15T04:48:19Z"/>
        <d v="2016-07-15T14:36:44Z"/>
        <d v="2016-07-11T22:45:00Z"/>
        <d v="2016-07-12T05:34:00Z"/>
        <d v="2016-07-13T09:06:18Z"/>
        <d v="2016-07-13T10:21:25Z"/>
        <d v="2016-07-14T07:46:59Z"/>
        <d v="2016-07-15T16:34:16Z"/>
        <d v="2016-07-15T20:17:06Z"/>
        <d v="2016-07-15T23:17:35Z"/>
        <d v="2016-07-11T22:11:00Z"/>
        <d v="2016-07-12T00:11:00Z"/>
        <d v="2016-07-12T11:20:00Z"/>
        <d v="2016-07-13T15:41:05Z"/>
        <d v="2016-07-13T22:06:13Z"/>
        <d v="2016-07-14T12:21:00Z"/>
        <d v="2016-07-15T11:03:10Z"/>
        <d v="2016-07-15T17:44:41Z"/>
        <d v="2016-07-11T13:46:00Z"/>
        <d v="2016-07-13T07:14:14Z"/>
        <d v="2016-07-13T10:28:11Z"/>
        <d v="2016-07-14T17:49:21Z"/>
        <d v="2016-07-14T21:35:46Z"/>
        <d v="2016-07-15T22:15:02Z"/>
        <d v="2016-07-11T08:22:00Z"/>
        <d v="2016-07-12T04:49:00Z"/>
        <d v="2016-07-13T10:36:59Z"/>
        <d v="2016-07-14T19:21:59Z"/>
        <d v="2016-07-14T22:43:48Z"/>
        <d v="2016-07-15T20:35:13Z"/>
        <d v="2016-07-11T19:35:00Z"/>
        <d v="2016-07-12T07:04:00Z"/>
        <d v="2016-07-13T06:39:32Z"/>
        <d v="2016-07-13T17:41:23Z"/>
        <d v="2016-07-14T12:37:09Z"/>
        <d v="2016-07-15T08:30:58Z"/>
        <d v="2016-07-15T12:38:02Z"/>
        <d v="2016-07-15T21:46:33Z"/>
        <d v="2016-07-11T08:05:00Z"/>
        <d v="2016-07-11T20:07:00Z"/>
        <d v="2016-07-13T11:53:29Z"/>
        <d v="2016-07-14T14:26:10Z"/>
        <d v="2016-07-15T15:30:45Z"/>
        <d v="2016-07-11T16:00:00Z"/>
        <d v="2016-07-12T07:49:00Z"/>
        <d v="2016-07-12T22:33:00Z"/>
        <d v="2016-07-13T06:05:43Z"/>
        <d v="2016-07-13T15:27:17Z"/>
        <d v="2016-07-14T08:59:00Z"/>
        <d v="2016-07-15T20:17:05Z"/>
        <d v="2016-07-11T00:36:00Z"/>
        <d v="2016-07-11T08:10:00Z"/>
        <d v="2016-07-11T14:56:00Z"/>
        <d v="2016-07-12T20:26:00Z"/>
        <d v="2016-07-13T20:33:45Z"/>
        <d v="2016-07-14T09:15:54Z"/>
        <d v="2016-07-14T18:44:08Z"/>
        <d v="2016-07-11T04:59:00Z"/>
        <d v="2016-07-11T21:11:00Z"/>
        <d v="2016-07-12T07:07:00Z"/>
        <d v="2016-07-12T11:14:00Z"/>
        <d v="2016-07-15T20:07:23Z"/>
        <d v="2016-07-11T08:20:00Z"/>
        <d v="2016-07-11T14:31:00Z"/>
        <d v="2016-07-11T18:52:00Z"/>
        <d v="2016-07-12T09:14:00Z"/>
        <d v="2016-07-12T16:52:00Z"/>
        <d v="2016-07-13T14:26:01Z"/>
        <d v="2016-07-13T18:31:35Z"/>
        <d v="2016-07-14T13:01:58Z"/>
        <d v="2016-07-15T09:37:46Z"/>
        <d v="2016-07-15T12:59:50Z"/>
        <d v="2016-07-13T03:55:10Z"/>
        <d v="2016-07-13T17:37:32Z"/>
        <d v="2016-07-14T18:29:55Z"/>
        <d v="2016-07-15T00:07:29Z"/>
        <d v="2016-07-15T08:54:52Z"/>
        <d v="2016-07-11T06:36:00Z"/>
        <d v="2016-07-11T12:01:00Z"/>
        <d v="2016-07-12T06:34:00Z"/>
        <d v="2016-07-13T12:35:31Z"/>
        <d v="2016-07-13T22:41:50Z"/>
        <d v="2016-07-14T07:36:48Z"/>
        <d v="2016-07-14T13:30:24Z"/>
        <d v="2016-07-14T16:21:08Z"/>
        <d v="2016-07-15T06:30:21Z"/>
        <d v="2016-07-15T22:07:56Z"/>
        <d v="2016-07-11T11:30:00Z"/>
        <d v="2016-07-11T18:21:00Z"/>
        <d v="2016-07-12T08:39:00Z"/>
        <d v="2016-07-12T11:30:00Z"/>
        <d v="2016-07-13T05:09:48Z"/>
        <d v="2016-07-13T15:52:00Z"/>
        <d v="2016-07-14T09:27:27Z"/>
        <d v="2016-07-14T12:20:51Z"/>
        <d v="2016-07-15T05:20:37Z"/>
        <d v="2016-07-15T14:52:02Z"/>
        <d v="2016-07-11T18:35:00Z"/>
        <d v="2016-07-12T06:37:00Z"/>
        <d v="2016-07-12T20:32:00Z"/>
        <d v="2016-07-13T07:34:49Z"/>
        <d v="2016-07-13T20:39:10Z"/>
        <d v="2016-07-14T06:22:48Z"/>
        <d v="2016-07-14T12:08:47Z"/>
        <d v="2016-07-15T15:03:22Z"/>
        <d v="2016-07-11T10:14:00Z"/>
        <d v="2016-07-11T17:56:00Z"/>
        <d v="2016-07-12T08:19:00Z"/>
        <d v="2016-07-14T08:10:55Z"/>
        <d v="2016-07-15T05:20:08Z"/>
        <d v="2016-07-15T09:56:21Z"/>
        <d v="2016-07-12T03:37:00Z"/>
        <d v="2016-07-12T10:59:00Z"/>
        <d v="2016-07-14T21:40:48Z"/>
        <d v="2016-07-15T05:19:00Z"/>
        <d v="2016-07-15T09:51:06Z"/>
        <d v="2016-07-15T17:45:25Z"/>
        <d v="2016-07-11T15:03:00Z"/>
        <d v="2016-07-11T18:27:00Z"/>
        <d v="2016-07-12T05:30:00Z"/>
        <d v="2016-07-12T21:23:00Z"/>
        <d v="2016-07-13T20:47:31Z"/>
        <d v="2016-07-13T22:09:53Z"/>
        <d v="2016-07-14T04:04:43Z"/>
        <d v="2016-07-15T07:27:53Z"/>
        <d v="2016-07-15T09:38:06Z"/>
        <d v="2016-07-15T13:09:43Z"/>
        <d v="2016-07-15T16:21:43Z"/>
        <d v="2016-07-11T08:34:00Z"/>
        <d v="2016-07-11T19:50:00Z"/>
        <d v="2016-07-12T16:10:00Z"/>
        <d v="2016-07-12T18:42:00Z"/>
        <d v="2016-07-13T09:28:16Z"/>
        <d v="2016-07-13T15:26:37Z"/>
        <d v="2016-07-13T20:00:58Z"/>
        <d v="2016-07-14T10:41:28Z"/>
        <d v="2016-07-14T19:16:11Z"/>
        <d v="2016-07-15T08:17:31Z"/>
        <d v="2016-07-15T23:51:42Z"/>
        <d v="2016-07-11T16:01:00Z"/>
        <d v="2016-07-12T16:45:00Z"/>
        <d v="2016-07-13T05:10:28Z"/>
        <d v="2016-07-13T16:39:52Z"/>
        <d v="2016-07-13T19:43:33Z"/>
        <d v="2016-07-15T03:04:32Z"/>
        <d v="2016-07-15T14:31:47Z"/>
        <d v="2016-07-11T07:19:00Z"/>
        <d v="2016-07-11T10:16:00Z"/>
        <d v="2016-07-12T05:28:00Z"/>
        <d v="2016-07-12T07:27:00Z"/>
        <d v="2016-07-12T13:40:00Z"/>
        <d v="2016-07-12T19:57:00Z"/>
        <d v="2016-07-13T05:05:59Z"/>
        <d v="2016-07-13T21:10:35Z"/>
        <d v="2016-07-14T08:16:58Z"/>
        <d v="2016-07-15T07:05:19Z"/>
        <d v="2016-07-15T19:09:35Z"/>
        <d v="2016-07-15T21:03:48Z"/>
        <d v="2016-07-11T11:04:00Z"/>
        <d v="2016-07-11T13:45:00Z"/>
        <d v="2016-07-11T15:06:00Z"/>
        <d v="2016-07-13T22:52:41Z"/>
        <d v="2016-07-14T18:16:47Z"/>
        <d v="2016-07-15T18:43:20Z"/>
        <d v="2016-07-12T06:22:00Z"/>
        <d v="2016-07-12T17:53:00Z"/>
        <d v="2016-07-13T17:42:12Z"/>
        <d v="2016-07-14T10:01:28Z"/>
        <d v="2016-07-15T10:06:37Z"/>
        <d v="2016-07-15T18:45:58Z"/>
        <d v="2016-07-11T08:07:00Z"/>
        <d v="2016-07-13T05:22:17Z"/>
        <d v="2016-07-13T08:18:54Z"/>
        <d v="2016-07-13T15:37:16Z"/>
        <d v="2016-07-13T22:08:31Z"/>
        <d v="2016-07-14T08:29:44Z"/>
        <d v="2016-07-15T07:19:13Z"/>
        <d v="2016-07-15T15:21:39Z"/>
        <d v="2016-07-15T18:18:34Z"/>
        <d v="2016-07-15T19:11:18Z"/>
        <d v="2016-07-11T04:52:00Z"/>
        <d v="2016-07-11T17:19:00Z"/>
        <d v="2016-07-13T05:20:12Z"/>
        <d v="2016-07-13T11:44:06Z"/>
        <d v="2016-07-15T05:06:18Z"/>
        <d v="2016-07-15T16:35:35Z"/>
        <d v="2016-07-15T20:31:29Z"/>
        <d v="2016-07-11T11:18:00Z"/>
        <d v="2016-07-12T01:33:00Z"/>
        <d v="2016-07-12T19:00:00Z"/>
        <d v="2016-07-13T05:50:50Z"/>
        <d v="2016-07-13T10:51:27Z"/>
        <d v="2016-07-14T07:14:10Z"/>
        <d v="2016-07-14T19:05:58Z"/>
        <d v="2016-07-15T02:59:50Z"/>
        <d v="2016-07-15T06:56:07Z"/>
        <d v="2016-07-11T13:20:00Z"/>
        <d v="2016-07-12T06:25:00Z"/>
        <d v="2016-07-14T09:09:42Z"/>
        <d v="2016-07-14T15:22:12Z"/>
        <d v="2016-07-15T14:22:48Z"/>
        <d v="2016-07-15T20:30:34Z"/>
        <d v="2016-07-11T19:33:00Z"/>
        <d v="2016-07-12T20:57:00Z"/>
        <d v="2016-07-13T03:48:21Z"/>
        <d v="2016-07-13T07:07:29Z"/>
        <d v="2016-07-13T17:04:29Z"/>
        <d v="2016-07-13T21:14:26Z"/>
        <d v="2016-07-15T22:34:55Z"/>
        <d v="2016-07-11T08:37:00Z"/>
        <d v="2016-07-11T16:55:00Z"/>
        <d v="2016-07-13T06:25:15Z"/>
        <d v="2016-07-13T21:45:14Z"/>
        <d v="2016-07-14T06:36:01Z"/>
        <d v="2016-07-14T08:01:59Z"/>
        <d v="2016-07-14T19:58:08Z"/>
        <d v="2016-07-15T10:41:34Z"/>
        <d v="2016-07-15T22:55:07Z"/>
        <d v="2016-07-11T00:20:00Z"/>
        <d v="2016-07-12T11:00:00Z"/>
        <d v="2016-07-13T21:00:54Z"/>
        <d v="2016-07-14T17:46:11Z"/>
        <d v="2016-07-15T02:28:34Z"/>
        <d v="2016-07-15T20:07:33Z"/>
        <d v="2016-07-15T22:51:55Z"/>
        <d v="2016-07-11T05:07:00Z"/>
        <d v="2016-07-11T16:11:00Z"/>
        <d v="2016-07-11T21:23:00Z"/>
        <d v="2016-07-12T06:53:00Z"/>
        <d v="2016-07-12T09:42:00Z"/>
        <d v="2016-07-12T14:54:00Z"/>
        <d v="2016-07-13T05:23:09Z"/>
        <d v="2016-07-15T11:41:07Z"/>
        <d v="2016-07-15T12:31:42Z"/>
        <d v="2016-07-11T17:41:00Z"/>
        <d v="2016-07-12T09:36:00Z"/>
        <d v="2016-07-13T02:57:40Z"/>
        <d v="2016-07-13T18:57:45Z"/>
        <d v="2016-07-13T23:16:27Z"/>
        <d v="2016-07-15T07:59:14Z"/>
        <d v="2016-07-15T21:57:56Z"/>
        <d v="2016-07-11T22:30:00Z"/>
        <d v="2016-07-13T18:56:20Z"/>
        <d v="2016-07-14T01:09:39Z"/>
        <d v="2016-07-14T17:25:26Z"/>
        <d v="2016-07-11T22:23:00Z"/>
        <d v="2016-07-13T19:31:38Z"/>
        <d v="2016-07-14T09:10:51Z"/>
        <d v="2016-07-14T12:53:03Z"/>
        <d v="2016-07-15T06:09:26Z"/>
        <d v="2016-07-15T07:35:03Z"/>
        <d v="2016-07-15T10:52:02Z"/>
        <d v="2016-07-15T12:31:09Z"/>
        <d v="2016-07-15T17:19:42Z"/>
        <d v="2016-07-15T22:01:09Z"/>
        <d v="2016-07-12T22:39:00Z"/>
        <d v="2016-07-13T10:43:30Z"/>
        <d v="2016-07-13T17:23:53Z"/>
        <d v="2016-07-14T21:51:46Z"/>
        <d v="2016-07-15T08:43:21Z"/>
        <d v="2016-07-15T22:21:38Z"/>
        <d v="2016-07-12T13:56:00Z"/>
        <d v="2016-07-12T18:28:00Z"/>
        <d v="2016-07-13T19:46:35Z"/>
        <d v="2016-07-14T11:02:05Z"/>
        <d v="2016-07-14T18:03:53Z"/>
        <d v="2016-07-15T05:48:03Z"/>
        <d v="2016-07-15T19:24:59Z"/>
        <d v="2016-07-15T21:51:36Z"/>
        <d v="2016-07-15T23:45:13Z"/>
        <d v="2016-07-11T09:33:00Z"/>
        <d v="2016-07-12T08:09:00Z"/>
        <d v="2016-07-12T19:21:00Z"/>
        <d v="2016-07-13T12:51:13Z"/>
        <d v="2016-07-11T19:05:00Z"/>
        <d v="2016-07-12T20:12:00Z"/>
        <d v="2016-07-13T13:26:29Z"/>
        <d v="2016-07-13T20:23:33Z"/>
        <d v="2016-07-15T07:15:09Z"/>
        <d v="2016-07-15T23:20:36Z"/>
        <d v="2016-07-12T00:54:00Z"/>
        <d v="2016-07-12T06:45:00Z"/>
        <d v="2016-07-13T05:34:59Z"/>
        <d v="2016-07-13T10:41:55Z"/>
        <d v="2016-07-14T09:01:27Z"/>
        <d v="2016-07-14T20:42:51Z"/>
        <d v="2016-07-15T05:11:57Z"/>
        <d v="2016-07-15T20:32:52Z"/>
        <d v="2016-07-11T19:42:00Z"/>
        <d v="2016-07-13T09:02:47Z"/>
        <d v="2016-07-14T21:19:45Z"/>
        <d v="2016-07-15T20:20:10Z"/>
        <d v="2016-07-11T09:28:00Z"/>
        <d v="2016-07-11T12:35:00Z"/>
        <d v="2016-07-11T20:39:00Z"/>
        <d v="2016-07-12T07:24:00Z"/>
        <d v="2016-07-12T23:11:00Z"/>
        <d v="2016-07-13T06:01:11Z"/>
        <d v="2016-07-13T21:38:20Z"/>
        <d v="2016-07-14T22:38:38Z"/>
        <d v="2016-07-15T06:44:16Z"/>
        <d v="2016-07-11T02:04:00Z"/>
        <d v="2016-07-11T06:05:00Z"/>
        <d v="2016-07-12T08:53:00Z"/>
        <d v="2016-07-12T22:50:00Z"/>
        <d v="2016-07-13T06:58:03Z"/>
        <d v="2016-07-13T19:28:20Z"/>
        <d v="2016-07-14T00:38:29Z"/>
        <d v="2016-07-14T04:54:07Z"/>
        <d v="2016-07-14T17:34:16Z"/>
        <d v="2016-07-15T13:55:13Z"/>
        <d v="2016-07-12T20:00:00Z"/>
        <d v="2016-07-13T12:01:34Z"/>
        <d v="2016-07-13T18:16:19Z"/>
        <d v="2016-07-13T23:57:31Z"/>
        <d v="2016-07-14T04:29:45Z"/>
        <d v="2016-07-14T05:49:16Z"/>
        <d v="2016-07-14T17:16:21Z"/>
        <d v="2016-07-14T21:48:59Z"/>
        <d v="2016-07-14T23:56:41Z"/>
        <d v="2016-07-15T18:14:56Z"/>
        <d v="2016-07-12T18:24:00Z"/>
        <d v="2016-07-13T07:39:52Z"/>
        <d v="2016-07-13T21:12:43Z"/>
        <d v="2016-07-14T08:46:30Z"/>
        <d v="2016-07-14T20:28:32Z"/>
        <d v="2016-07-15T18:31:31Z"/>
        <d v="2016-07-13T06:31:22Z"/>
        <d v="2016-07-13T12:33:21Z"/>
        <d v="2016-07-13T22:26:08Z"/>
        <d v="2016-07-15T09:07:09Z"/>
        <d v="2016-07-13T06:08:41Z"/>
        <d v="2016-07-14T17:07:58Z"/>
        <d v="2016-07-14T20:51:37Z"/>
        <d v="2016-07-15T10:12:40Z"/>
        <d v="2016-07-12T19:14:00Z"/>
        <d v="2016-07-13T20:57:49Z"/>
        <d v="2016-07-14T08:38:38Z"/>
        <d v="2016-07-14T19:04:08Z"/>
        <d v="2016-07-14T07:48:31Z"/>
        <d v="2016-07-11T15:49:00Z"/>
        <d v="2016-07-11T21:53:00Z"/>
        <d v="2016-07-13T20:58:00Z"/>
        <d v="2016-07-14T06:33:09Z"/>
        <d v="2016-07-14T09:31:08Z"/>
        <d v="2016-07-13T10:01:57Z"/>
        <d v="2016-07-14T06:39:26Z"/>
        <d v="2016-07-13T07:56:25Z"/>
        <d v="2016-07-15T05:30:31Z"/>
        <d v="2016-07-15T07:25:53Z"/>
        <d v="2016-07-15T07:34:00Z"/>
        <d v="2016-07-11T06:33:00Z"/>
        <d v="2016-07-12T21:42:00Z"/>
        <d v="2016-07-13T09:21:36Z"/>
        <d v="2016-07-14T05:19:59Z"/>
        <d v="2016-07-14T07:13:52Z"/>
        <d v="2016-07-13T07:04:48Z"/>
        <d v="2016-07-13T18:03:30Z"/>
        <d v="2016-07-14T08:43:07Z"/>
        <d v="2016-07-14T05:22:51Z"/>
        <d v="2016-07-14T10:08:43Z"/>
        <d v="2016-07-14T12:23:07Z"/>
        <d v="2016-07-11T10:36:00Z"/>
        <d v="2016-07-13T17:46:24Z"/>
        <d v="2016-07-14T08:42:11Z"/>
        <d v="2016-07-13T04:59:16Z"/>
        <d v="2016-07-13T21:10:52Z"/>
        <d v="2016-07-14T08:32:41Z"/>
        <d v="2016-07-14T13:00:39Z"/>
        <d v="2016-07-11T07:20:00Z"/>
        <d v="2016-07-13T05:57:46Z"/>
        <d v="2016-07-13T08:50:25Z"/>
        <d v="2016-07-13T21:06:22Z"/>
        <d v="2016-07-14T09:59:40Z"/>
        <d v="2016-07-15T08:34:59Z"/>
        <d v="2016-07-12T07:20:00Z"/>
        <d v="2016-07-13T05:54:41Z"/>
        <d v="2016-07-14T06:23:43Z"/>
        <d v="2016-07-15T06:28:59Z"/>
        <d v="2016-07-15T07:32:18Z"/>
        <d v="2016-07-15T07:04:59Z"/>
        <d v="2016-07-13T05:37:28Z"/>
        <d v="2016-07-14T18:40:44Z"/>
        <d v="2016-07-11T07:54:00Z"/>
        <d v="2016-07-12T10:04:00Z"/>
        <d v="2016-07-13T09:09:56Z"/>
        <d v="2016-07-14T10:09:44Z"/>
        <d v="2016-07-14T20:55:57Z"/>
        <d v="2016-07-15T04:49:38Z"/>
        <d v="2016-07-11T04:58:00Z"/>
        <d v="2016-07-11T05:15:00Z"/>
        <d v="2016-07-13T05:59:57Z"/>
        <d v="2016-07-13T09:09:08Z"/>
        <d v="2016-07-11T06:26:00Z"/>
        <d v="2016-07-11T07:00:00Z"/>
        <d v="2016-07-11T10:13:00Z"/>
        <d v="2016-07-14T07:08:58Z"/>
        <d v="2016-07-15T07:44:45Z"/>
        <d v="2016-07-12T05:01:00Z"/>
        <d v="2016-07-11T06:32:00Z"/>
        <d v="2016-07-12T06:52:00Z"/>
        <d v="2016-07-13T08:13:10Z"/>
        <d v="2016-07-15T17:55:33Z"/>
        <d v="2016-07-14T09:34:22Z"/>
        <d v="2016-07-13T06:15:34Z"/>
        <d v="2016-07-11T06:52:00Z"/>
        <d v="2016-07-12T06:47:00Z"/>
        <d v="2016-07-13T08:59:46Z"/>
        <d v="2016-07-13T09:48:01Z"/>
        <d v="2016-07-14T09:22:12Z"/>
        <d v="2016-07-14T10:09:46Z"/>
        <d v="2016-07-15T04:45:54Z"/>
        <d v="2016-07-15T04:48:51Z"/>
        <d v="2016-07-15T09:05:17Z"/>
        <d v="2016-07-12T08:50:00Z"/>
        <d v="2016-07-12T10:58:00Z"/>
        <d v="2016-07-13T08:01:01Z"/>
        <d v="2016-07-14T16:55:27Z"/>
        <d v="2016-07-12T15:43:00Z"/>
        <d v="2016-07-13T09:16:05Z"/>
        <d v="2016-07-15T09:20:22Z"/>
        <d v="2016-07-11T06:14:00Z"/>
        <d v="2016-07-13T12:02:50Z"/>
        <d v="2016-07-12T05:12:00Z"/>
        <d v="2016-07-12T17:36:00Z"/>
        <d v="2016-07-13T20:42:07Z"/>
        <d v="2016-07-15T09:05:38Z"/>
        <d v="2016-07-15T09:22:33Z"/>
        <d v="2016-07-13T06:37:29Z"/>
        <d v="2016-07-14T08:18:30Z"/>
        <d v="2016-07-15T06:44:12Z"/>
        <d v="2016-07-15T09:02:38Z"/>
        <d v="2016-07-14T04:52:26Z"/>
        <d v="2016-07-14T06:03:16Z"/>
        <d v="2016-07-14T08:47:12Z"/>
        <d v="2016-07-12T21:53:00Z"/>
        <d v="2016-07-15T08:05:15Z"/>
        <d v="2016-07-12T05:54:00Z"/>
        <d v="2016-07-15T07:42:16Z"/>
        <d v="2016-07-13T08:43:10Z"/>
        <d v="2016-07-14T04:45:57Z"/>
        <d v="2016-07-14T08:17:14Z"/>
        <d v="2016-07-14T09:39:53Z"/>
        <d v="2016-07-15T06:17:34Z"/>
        <d v="2016-07-11T10:48:00Z"/>
        <d v="2016-07-14T08:01:16Z"/>
        <d v="2016-07-14T09:43:35Z"/>
        <d v="2016-07-14T09:52:32Z"/>
        <d v="2016-07-13T07:23:01Z"/>
        <d v="2016-07-14T08:46:34Z"/>
        <d v="2016-07-15T07:43:27Z"/>
        <d v="2016-07-15T09:19:04Z"/>
        <d v="2016-07-15T10:27:59Z"/>
        <d v="2016-07-11T08:55:00Z"/>
        <d v="2016-07-13T09:55:14Z"/>
        <d v="2016-07-15T05:58:15Z"/>
        <d v="2016-07-11T08:27:00Z"/>
        <d v="2016-07-13T06:34:48Z"/>
        <d v="2016-07-11T07:09:00Z"/>
        <d v="2016-07-13T06:56:12Z"/>
        <d v="2016-07-14T09:23:01Z"/>
        <d v="2016-07-15T08:55:31Z"/>
        <d v="2016-07-15T09:38:50Z"/>
        <d v="2016-07-12T09:10:00Z"/>
        <d v="2016-07-12T20:41:00Z"/>
        <d v="2016-07-14T06:49:09Z"/>
        <d v="2016-07-14T07:29:23Z"/>
        <d v="2016-07-15T07:37:00Z"/>
        <d v="2016-07-15T08:24:01Z"/>
        <d v="2016-07-11T08:47:00Z"/>
        <d v="2016-07-12T06:41:00Z"/>
        <d v="2016-07-14T21:52:23Z"/>
        <d v="2016-07-15T21:05:03Z"/>
        <d v="2016-07-12T21:06:00Z"/>
        <d v="2016-07-13T06:27:38Z"/>
        <d v="2016-07-11T05:20:00Z"/>
        <d v="2016-07-12T10:02:00Z"/>
        <d v="2016-07-14T18:03:24Z"/>
        <d v="2016-07-11T06:55:00Z"/>
        <d v="2016-07-12T01:07:00Z"/>
        <d v="2016-07-15T04:44:00Z"/>
        <d v="2016-07-15T04:50:42Z"/>
        <d v="2016-07-15T17:43:28Z"/>
        <d v="2016-07-13T06:35:21Z"/>
        <d v="2016-07-15T08:29:04Z"/>
        <d v="2016-07-12T09:01:00Z"/>
        <d v="2016-07-12T09:08:00Z"/>
        <d v="2016-07-14T04:57:22Z"/>
        <d v="2016-07-13T20:05:22Z"/>
        <d v="2016-07-14T17:37:48Z"/>
        <d v="2016-07-12T10:27:00Z"/>
        <d v="2016-07-12T15:40:00Z"/>
        <d v="2016-07-12T20:50:00Z"/>
        <d v="2016-07-13T05:05:12Z"/>
        <d v="2016-07-13T06:01:55Z"/>
        <d v="2016-07-13T07:34:14Z"/>
        <d v="2016-07-13T09:48:34Z"/>
        <d v="2016-07-14T07:23:36Z"/>
        <d v="2016-07-15T17:27:11Z"/>
        <d v="2016-07-15T21:16:46Z"/>
        <d v="2016-07-14T07:07:46Z"/>
        <d v="2016-07-14T15:30:06Z"/>
        <d v="2016-07-11T07:36:00Z"/>
        <d v="2016-07-11T08:43:00Z"/>
        <d v="2016-07-13T22:16:51Z"/>
        <d v="2016-07-14T08:03:39Z"/>
        <d v="2016-07-11T19:27:00Z"/>
        <d v="2016-07-12T06:02:00Z"/>
        <d v="2016-07-13T06:10:59Z"/>
        <d v="2016-07-13T07:34:01Z"/>
        <d v="2016-07-14T05:07:32Z"/>
        <d v="2016-07-15T01:45:43Z"/>
        <d v="2016-07-11T07:33:00Z"/>
        <d v="2016-07-14T07:31:35Z"/>
        <d v="2016-07-14T09:48:36Z"/>
        <d v="2016-07-15T07:33:52Z"/>
        <d v="2016-07-13T05:35:47Z"/>
        <d v="2016-07-15T05:45:17Z"/>
        <d v="2016-07-11T06:22:00Z"/>
        <d v="2016-07-12T16:20:00Z"/>
        <d v="2016-07-14T05:50:10Z"/>
        <d v="2016-07-11T05:37:00Z"/>
        <d v="2016-07-11T05:57:00Z"/>
        <d v="2016-07-13T07:11:45Z"/>
        <d v="2016-07-13T16:01:28Z"/>
        <d v="2016-07-15T05:31:14Z"/>
        <d v="2016-07-12T08:17:00Z"/>
        <d v="2016-07-13T06:54:58Z"/>
        <d v="2016-07-13T07:08:36Z"/>
        <d v="2016-07-13T21:40:55Z"/>
        <d v="2016-07-14T08:56:21Z"/>
        <d v="2016-07-14T10:22:45Z"/>
        <d v="2016-07-13T16:49:15Z"/>
        <d v="2016-07-14T07:08:40Z"/>
        <d v="2016-07-12T08:18:00Z"/>
        <d v="2016-07-13T10:20:35Z"/>
        <d v="2016-07-13T11:59:21Z"/>
        <d v="2016-07-13T19:25:29Z"/>
        <d v="2016-07-15T15:36:17Z"/>
        <d v="2016-07-12T05:44:00Z"/>
        <d v="2016-07-12T13:30:00Z"/>
        <d v="2016-07-13T06:31:03Z"/>
        <d v="2016-07-15T19:29:17Z"/>
        <d v="2016-07-11T05:42:00Z"/>
        <d v="2016-07-13T09:23:48Z"/>
        <d v="2016-07-13T10:04:18Z"/>
        <d v="2016-07-14T07:30:30Z"/>
        <d v="2016-07-15T23:12:21Z"/>
        <d v="2016-07-11T09:50:00Z"/>
        <d v="2016-07-12T21:24:00Z"/>
        <d v="2016-07-13T11:10:46Z"/>
        <d v="2016-07-15T08:36:49Z"/>
        <d v="2016-07-15T09:53:55Z"/>
        <d v="2016-07-13T09:05:57Z"/>
        <d v="2016-07-13T17:47:46Z"/>
        <d v="2016-07-14T06:26:10Z"/>
        <d v="2016-07-15T08:53:49Z"/>
        <d v="2016-07-11T05:34:00Z"/>
        <d v="2016-07-15T05:03:26Z"/>
        <d v="2016-07-15T06:50:34Z"/>
        <d v="2016-07-15T07:50:43Z"/>
        <d v="2016-07-13T20:58:40Z"/>
        <d v="2016-07-15T08:56:04Z"/>
        <d v="2016-07-15T11:39:58Z"/>
        <d v="2016-07-11T07:55:00Z"/>
        <d v="2016-07-12T09:39:00Z"/>
        <d v="2016-07-12T13:46:00Z"/>
        <d v="2016-07-15T09:33:07Z"/>
        <d v="2016-07-15T14:40:08Z"/>
        <d v="2016-07-13T05:28:12Z"/>
        <d v="2016-07-12T04:24:00Z"/>
        <d v="2016-07-13T06:52:10Z"/>
        <d v="2016-07-15T05:53:54Z"/>
        <d v="2016-07-12T07:59:00Z"/>
        <d v="2016-07-13T15:05:30Z"/>
        <d v="2016-07-14T06:40:29Z"/>
        <d v="2016-07-13T00:00:24Z"/>
        <d v="2016-07-13T09:44:52Z"/>
        <d v="2016-07-14T05:10:41Z"/>
        <d v="2016-07-14T05:54:41Z"/>
        <d v="2016-07-15T09:46:14Z"/>
        <d v="2016-07-15T22:02:02Z"/>
        <d v="2016-07-11T06:12:00Z"/>
        <d v="2016-07-11T08:35:00Z"/>
        <d v="2016-07-11T10:23:00Z"/>
        <d v="2016-07-11T17:47:00Z"/>
        <d v="2016-07-12T08:38:00Z"/>
        <d v="2016-07-13T05:17:08Z"/>
        <d v="2016-07-13T08:55:48Z"/>
        <d v="2016-07-14T08:59:45Z"/>
        <d v="2016-07-14T15:52:41Z"/>
        <d v="2016-07-15T05:01:35Z"/>
        <d v="2016-07-15T05:27:47Z"/>
        <d v="2016-07-12T13:19:00Z"/>
        <d v="2016-07-14T05:27:26Z"/>
        <d v="2016-07-14T09:43:37Z"/>
        <d v="2016-07-15T08:46:33Z"/>
        <d v="2016-07-13T10:01:02Z"/>
        <d v="2016-07-15T06:08:30Z"/>
        <d v="2016-07-12T06:17:00Z"/>
        <d v="2016-07-12T07:30:00Z"/>
        <d v="2016-07-12T13:45:00Z"/>
        <d v="2016-07-13T09:34:22Z"/>
        <d v="2016-07-15T06:59:47Z"/>
        <d v="2016-07-15T09:58:03Z"/>
        <d v="2016-07-15T17:32:54Z"/>
        <d v="2016-07-11T09:59:00Z"/>
        <d v="2016-07-11T20:33:00Z"/>
        <d v="2016-07-12T07:57:00Z"/>
        <d v="2016-07-13T03:24:24Z"/>
        <d v="2016-07-13T05:54:44Z"/>
        <d v="2016-07-13T09:32:18Z"/>
        <d v="2016-07-13T09:33:21Z"/>
        <d v="2016-07-13T17:51:15Z"/>
        <d v="2016-07-14T06:40:54Z"/>
        <d v="2016-07-14T08:55:30Z"/>
        <d v="2016-07-11T07:40:00Z"/>
        <d v="2016-07-13T13:20:21Z"/>
        <d v="2016-07-14T05:28:28Z"/>
        <d v="2016-07-15T07:17:02Z"/>
        <d v="2016-07-13T05:55:36Z"/>
        <d v="2016-07-14T06:46:41Z"/>
        <d v="2016-07-15T10:13:46Z"/>
        <d v="2016-07-11T09:11:00Z"/>
        <d v="2016-07-14T09:07:46Z"/>
        <d v="2016-07-11T08:52:00Z"/>
        <d v="2016-07-15T05:41:45Z"/>
        <d v="2016-07-15T07:05:11Z"/>
        <d v="2016-07-15T19:10:02Z"/>
        <d v="2016-07-15T06:15:40Z"/>
        <d v="2016-07-15T09:04:50Z"/>
        <d v="2016-07-11T10:03:00Z"/>
        <d v="2016-07-13T05:20:11Z"/>
        <d v="2016-07-13T07:05:55Z"/>
        <d v="2016-07-13T07:27:44Z"/>
        <d v="2016-07-14T05:06:35Z"/>
        <d v="2016-07-13T16:01:54Z"/>
        <d v="2016-07-14T05:13:45Z"/>
        <d v="2016-07-15T05:04:48Z"/>
        <d v="2016-07-15T07:49:27Z"/>
        <d v="2016-07-11T07:46:00Z"/>
        <d v="2016-07-13T07:43:49Z"/>
        <d v="2016-07-15T18:39:39Z"/>
        <d v="2016-07-15T20:11:36Z"/>
        <d v="2016-07-13T10:08:10Z"/>
        <d v="2016-07-14T09:01:54Z"/>
        <d v="2016-07-13T09:24:57Z"/>
        <d v="2016-07-14T05:08:03Z"/>
        <d v="2016-07-14T05:25:55Z"/>
        <d v="2016-07-15T19:19:26Z"/>
        <d v="2016-07-11T21:34:00Z"/>
        <d v="2016-07-12T06:35:00Z"/>
        <d v="2016-07-12T09:20:00Z"/>
        <d v="2016-07-15T07:09:12Z"/>
        <d v="2016-07-11T06:25:00Z"/>
        <d v="2016-07-11T10:10:00Z"/>
        <d v="2016-07-12T22:06:00Z"/>
        <d v="2016-07-15T05:00:30Z"/>
        <d v="2016-07-15T07:06:58Z"/>
        <d v="2016-07-11T09:25:00Z"/>
        <d v="2016-07-11T10:07:00Z"/>
        <d v="2016-07-11T21:32:00Z"/>
        <d v="2016-07-12T21:45:00Z"/>
        <d v="2016-07-13T08:57:47Z"/>
        <d v="2016-07-15T09:10:12Z"/>
        <d v="2016-07-13T06:26:18Z"/>
        <d v="2016-07-15T05:30:53Z"/>
        <d v="2016-07-11T23:42:00Z"/>
        <d v="2016-07-12T02:39:00Z"/>
        <d v="2016-07-12T20:30:00Z"/>
        <d v="2016-07-13T07:27:40Z"/>
        <d v="2016-07-14T08:28:21Z"/>
        <d v="2016-07-12T08:23:00Z"/>
        <d v="2016-07-15T06:14:39Z"/>
        <d v="2016-07-15T07:39:12Z"/>
        <d v="2016-07-11T20:14:00Z"/>
        <d v="2016-07-13T07:35:16Z"/>
        <d v="2016-07-13T08:22:13Z"/>
        <d v="2016-07-14T06:48:59Z"/>
        <d v="2016-07-14T17:25:49Z"/>
        <d v="2016-07-15T09:09:32Z"/>
        <d v="2016-07-12T11:13:00Z"/>
        <d v="2016-07-13T11:18:55Z"/>
        <d v="2016-07-14T20:19:26Z"/>
        <d v="2016-07-15T06:34:09Z"/>
        <d v="2016-07-11T07:22:00Z"/>
        <d v="2016-07-13T05:55:20Z"/>
        <d v="2016-07-14T05:58:24Z"/>
        <d v="2016-07-14T08:18:46Z"/>
        <d v="2016-07-13T07:39:44Z"/>
        <d v="2016-07-15T22:12:00Z"/>
        <d v="2016-07-11T08:24:00Z"/>
        <d v="2016-07-15T07:44:55Z"/>
        <d v="2016-07-15T18:20:30Z"/>
        <d v="2016-07-11T08:16:00Z"/>
        <d v="2016-07-13T07:32:06Z"/>
        <d v="2016-07-13T19:28:05Z"/>
        <d v="2016-07-14T05:24:34Z"/>
        <d v="2016-07-14T06:23:20Z"/>
        <d v="2016-07-12T09:54:00Z"/>
        <d v="2016-07-12T15:27:00Z"/>
        <d v="2016-07-13T08:36:12Z"/>
        <d v="2016-07-14T17:56:19Z"/>
        <d v="2016-07-12T02:42:00Z"/>
        <d v="2016-07-13T04:58:06Z"/>
        <d v="2016-07-12T19:52:00Z"/>
        <d v="2016-07-14T17:55:51Z"/>
        <d v="2016-07-13T04:43:32Z"/>
        <d v="2016-07-14T17:40:14Z"/>
        <d v="2016-07-15T08:35:31Z"/>
        <d v="2016-07-11T05:54:00Z"/>
        <d v="2016-07-12T08:02:00Z"/>
        <d v="2016-07-13T07:42:32Z"/>
        <d v="2016-07-13T21:06:59Z"/>
        <d v="2016-07-14T05:27:38Z"/>
        <d v="2016-07-14T07:45:41Z"/>
        <d v="2016-07-14T09:33:37Z"/>
        <d v="2016-07-14T15:59:04Z"/>
        <d v="2016-07-15T02:11:10Z"/>
        <d v="2016-07-13T23:45:26Z"/>
        <d v="2016-07-14T09:40:49Z"/>
        <d v="2016-07-11T07:59:00Z"/>
        <d v="2016-07-13T07:25:48Z"/>
        <d v="2016-07-15T04:42:55Z"/>
        <d v="2016-07-15T07:47:32Z"/>
        <d v="2016-07-15T08:57:28Z"/>
        <d v="2016-07-13T08:56:49Z"/>
        <d v="2016-07-11T05:44:00Z"/>
        <d v="2016-07-11T07:30:00Z"/>
        <d v="2016-07-13T06:57:56Z"/>
        <d v="2016-07-15T07:26:32Z"/>
        <d v="2016-07-15T07:57:58Z"/>
        <d v="2016-07-11T08:39:00Z"/>
        <d v="2016-07-12T20:35:00Z"/>
        <d v="2016-07-14T07:35:39Z"/>
        <d v="2016-07-14T08:36:56Z"/>
        <d v="2016-07-14T14:09:23Z"/>
        <d v="2016-07-15T08:40:38Z"/>
        <d v="2016-07-13T21:36:47Z"/>
        <d v="2016-07-15T08:20:33Z"/>
        <d v="2016-07-15T08:47:14Z"/>
        <d v="2016-07-15T08:50:52Z"/>
        <d v="2016-07-13T20:45:49Z"/>
        <d v="2016-07-14T11:17:20Z"/>
        <d v="2016-07-11T08:59:00Z"/>
        <d v="2016-07-11T05:14:00Z"/>
        <d v="2016-07-14T08:53:59Z"/>
        <d v="2016-07-15T05:30:17Z"/>
        <d v="2016-07-13T06:19:51Z"/>
        <d v="2016-07-13T09:10:16Z"/>
        <d v="2016-07-13T10:19:32Z"/>
        <d v="2016-07-15T23:59:29Z"/>
        <d v="2016-07-11T17:44:00Z"/>
        <d v="2016-07-13T09:11:22Z"/>
        <d v="2016-07-13T09:45:21Z"/>
        <d v="2016-07-13T04:58:21Z"/>
        <d v="2016-07-13T10:02:13Z"/>
        <d v="2016-07-14T06:13:47Z"/>
        <d v="2016-07-15T05:58:18Z"/>
        <d v="2016-07-11T10:04:00Z"/>
        <d v="2016-07-12T09:02:00Z"/>
        <d v="2016-07-13T06:12:30Z"/>
        <d v="2016-07-11T09:32:00Z"/>
        <d v="2016-07-11T18:44:00Z"/>
        <d v="2016-07-12T05:39:00Z"/>
        <d v="2016-07-13T06:23:23Z"/>
        <d v="2016-07-14T07:55:58Z"/>
        <d v="2016-07-15T06:44:03Z"/>
        <d v="2016-07-15T18:50:59Z"/>
        <d v="2016-07-11T06:43:00Z"/>
        <d v="2016-07-13T06:00:28Z"/>
        <d v="2016-07-15T19:23:51Z"/>
        <d v="2016-07-11T06:23:00Z"/>
        <d v="2016-07-12T08:20:00Z"/>
        <d v="2016-07-13T04:57:03Z"/>
        <d v="2016-07-13T06:22:21Z"/>
        <d v="2016-07-15T09:09:40Z"/>
        <d v="2016-07-12T08:26:00Z"/>
        <d v="2016-07-13T08:28:37Z"/>
        <d v="2016-07-13T13:29:42Z"/>
        <d v="2016-07-13T23:56:13Z"/>
        <d v="2016-07-14T05:08:28Z"/>
        <d v="2016-07-14T06:51:11Z"/>
        <d v="2016-07-14T20:08:14Z"/>
        <d v="2016-07-11T20:19:00Z"/>
        <d v="2016-07-14T21:01:34Z"/>
        <d v="2016-07-15T06:50:14Z"/>
        <d v="2016-07-12T08:30:00Z"/>
        <d v="2016-07-12T12:25:00Z"/>
        <d v="2016-07-13T05:41:43Z"/>
        <d v="2016-07-13T09:41:26Z"/>
        <d v="2016-07-15T04:49:57Z"/>
        <d v="2016-07-15T07:38:39Z"/>
        <d v="2016-07-12T23:41:00Z"/>
        <d v="2016-07-13T19:49:17Z"/>
        <d v="2016-07-14T18:16:03Z"/>
        <d v="2016-07-15T07:02:11Z"/>
        <d v="2016-07-11T05:40:00Z"/>
        <d v="2016-07-13T07:05:11Z"/>
        <d v="2016-07-13T10:17:21Z"/>
        <d v="2016-07-13T20:54:30Z"/>
        <d v="2016-07-14T17:29:15Z"/>
        <d v="2016-07-15T05:11:09Z"/>
        <d v="2016-07-12T07:39:00Z"/>
        <d v="2016-07-12T09:25:00Z"/>
        <d v="2016-07-13T07:30:26Z"/>
        <d v="2016-07-13T09:13:18Z"/>
        <d v="2016-07-13T17:32:32Z"/>
        <d v="2016-07-14T07:28:41Z"/>
        <d v="2016-07-14T09:48:08Z"/>
        <d v="2016-07-12T09:51:00Z"/>
        <d v="2016-07-13T05:36:09Z"/>
        <d v="2016-07-14T07:07:05Z"/>
        <d v="2016-07-14T07:22:16Z"/>
        <d v="2016-07-14T17:07:02Z"/>
        <d v="2016-07-13T21:33:48Z"/>
        <d v="2016-07-14T05:20:42Z"/>
        <d v="2016-07-14T08:39:54Z"/>
        <d v="2016-07-12T14:45:00Z"/>
        <d v="2016-07-13T05:05:37Z"/>
        <d v="2016-07-13T09:17:54Z"/>
        <d v="2016-07-14T09:42:41Z"/>
        <d v="2016-07-15T05:28:23Z"/>
        <d v="2016-07-11T10:11:00Z"/>
        <d v="2016-07-12T09:47:00Z"/>
        <d v="2016-07-12T21:13:00Z"/>
        <d v="2016-07-13T07:44:50Z"/>
        <d v="2016-07-13T07:48:06Z"/>
        <d v="2016-07-13T08:34:25Z"/>
        <d v="2016-07-15T05:13:29Z"/>
        <d v="2016-07-15T07:33:51Z"/>
        <d v="2016-07-15T08:30:14Z"/>
        <d v="2016-07-14T21:17:51Z"/>
        <d v="2016-07-14T05:56:33Z"/>
        <d v="2016-07-14T08:22:53Z"/>
        <d v="2016-07-15T06:42:26Z"/>
        <d v="2016-07-11T07:29:00Z"/>
        <d v="2016-07-15T05:53:49Z"/>
        <d v="2016-07-15T18:17:50Z"/>
        <d v="2016-07-12T14:00:00Z"/>
        <d v="2016-07-12T17:16:00Z"/>
        <d v="2016-07-13T04:55:29Z"/>
        <d v="2016-07-14T05:19:07Z"/>
        <d v="2016-07-14T09:46:31Z"/>
        <d v="2016-07-11T16:28:00Z"/>
        <d v="2016-07-13T04:43:35Z"/>
        <d v="2016-07-13T05:52:52Z"/>
        <d v="2016-07-15T19:14:38Z"/>
        <d v="2016-07-12T06:14:00Z"/>
        <d v="2016-07-12T10:12:00Z"/>
        <d v="2016-07-14T05:25:52Z"/>
        <d v="2016-07-14T08:33:35Z"/>
        <d v="2016-07-14T09:27:26Z"/>
        <d v="2016-07-14T09:54:33Z"/>
        <d v="2016-07-11T20:25:00Z"/>
        <d v="2016-07-13T07:53:01Z"/>
        <d v="2016-07-14T08:23:45Z"/>
        <d v="2016-07-13T07:41:31Z"/>
        <d v="2016-07-14T07:29:14Z"/>
        <d v="2016-07-14T10:07:14Z"/>
        <d v="2016-07-14T17:20:42Z"/>
        <d v="2016-07-14T21:50:06Z"/>
        <d v="2016-07-11T21:20:00Z"/>
        <d v="2016-07-13T05:26:10Z"/>
        <d v="2016-07-15T06:51:43Z"/>
        <d v="2016-07-15T08:32:01Z"/>
        <d v="2016-07-15T08:38:12Z"/>
        <d v="2016-07-15T09:13:49Z"/>
        <d v="2016-07-11T21:41:00Z"/>
        <d v="2016-07-14T06:33:14Z"/>
        <d v="2016-07-15T05:55:28Z"/>
        <d v="2016-07-15T08:14:30Z"/>
        <d v="2016-07-15T09:06:46Z"/>
        <d v="2016-07-11T04:45:00Z"/>
        <d v="2016-07-11T08:04:00Z"/>
        <d v="2016-07-13T18:18:27Z"/>
        <d v="2016-07-13T04:42:20Z"/>
        <d v="2016-07-14T05:32:02Z"/>
        <d v="2016-07-11T18:24:00Z"/>
        <d v="2016-07-15T10:05:36Z"/>
        <d v="2016-07-11T07:52:00Z"/>
        <d v="2016-07-11T19:44:00Z"/>
        <d v="2016-07-13T09:44:32Z"/>
        <d v="2016-07-13T21:33:23Z"/>
        <d v="2016-07-14T05:05:31Z"/>
        <d v="2016-07-14T12:00:32Z"/>
        <d v="2016-07-14T21:30:10Z"/>
        <d v="2016-07-15T08:18:13Z"/>
        <d v="2016-07-11T06:42:00Z"/>
        <d v="2016-07-11T09:52:00Z"/>
        <d v="2016-07-12T05:32:00Z"/>
        <d v="2016-07-13T05:54:55Z"/>
        <d v="2016-07-14T07:48:25Z"/>
        <d v="2016-07-13T05:22:30Z"/>
        <d v="2016-07-13T05:41:33Z"/>
        <d v="2016-07-13T07:48:31Z"/>
        <d v="2016-07-13T15:13:47Z"/>
        <d v="2016-07-14T04:59:16Z"/>
        <d v="2016-07-15T02:13:08Z"/>
        <d v="2016-07-15T21:08:41Z"/>
        <d v="2016-07-12T15:05:00Z"/>
        <d v="2016-07-13T09:20:52Z"/>
        <d v="2016-07-12T10:17:00Z"/>
        <d v="2016-07-11T20:43:00Z"/>
        <d v="2016-07-12T12:07:00Z"/>
        <d v="2016-07-13T17:00:06Z"/>
        <d v="2016-07-14T13:05:58Z"/>
        <d v="2016-07-14T13:10:50Z"/>
        <d v="2016-07-13T08:38:14Z"/>
        <d v="2016-07-13T12:24:55Z"/>
        <d v="2016-07-14T08:01:10Z"/>
        <d v="2016-07-14T08:02:38Z"/>
        <d v="2016-07-13T08:12:16Z"/>
        <d v="2016-07-13T22:01:58Z"/>
        <d v="2016-07-14T08:06:48Z"/>
        <d v="2016-07-11T04:51:00Z"/>
        <d v="2016-07-14T08:02:44Z"/>
        <d v="2016-07-15T06:13:51Z"/>
        <d v="2016-07-11T07:07:00Z"/>
        <d v="2016-07-11T13:40:00Z"/>
        <d v="2016-07-14T09:30:05Z"/>
        <d v="2016-07-14T09:39:29Z"/>
        <d v="2016-07-11T08:57:00Z"/>
        <d v="2016-07-13T09:32:49Z"/>
        <d v="2016-07-14T04:42:38Z"/>
        <d v="2016-07-14T05:27:13Z"/>
        <d v="2016-07-14T09:26:12Z"/>
        <d v="2016-07-15T09:23:40Z"/>
        <d v="2016-07-15T10:00:48Z"/>
        <d v="2016-07-13T06:01:35Z"/>
        <d v="2016-07-14T21:06:59Z"/>
        <d v="2016-07-15T20:35:06Z"/>
        <d v="2016-07-13T04:50:41Z"/>
        <d v="2016-07-13T05:00:10Z"/>
        <d v="2016-07-14T08:37:33Z"/>
        <d v="2016-07-15T06:58:27Z"/>
        <d v="2016-07-12T07:14:00Z"/>
        <d v="2016-07-13T20:27:16Z"/>
        <d v="2016-07-14T16:54:50Z"/>
        <d v="2016-07-13T07:31:04Z"/>
        <d v="2016-07-13T08:43:17Z"/>
        <d v="2016-07-14T05:51:55Z"/>
        <d v="2016-07-12T08:27:00Z"/>
        <d v="2016-07-14T04:45:23Z"/>
        <d v="2016-07-14T08:44:58Z"/>
        <d v="2016-07-14T21:18:23Z"/>
        <d v="2016-07-15T13:00:41Z"/>
        <d v="2016-07-14T05:34:56Z"/>
        <d v="2016-07-14T07:54:18Z"/>
        <d v="2016-07-11T05:09:00Z"/>
        <d v="2016-07-12T06:13:00Z"/>
        <d v="2016-07-13T19:28:43Z"/>
        <d v="2016-07-11T08:08:00Z"/>
        <d v="2016-07-11T16:56:00Z"/>
        <d v="2016-07-13T20:50:21Z"/>
        <d v="2016-07-12T07:06:00Z"/>
        <d v="2016-07-13T08:28:00Z"/>
        <d v="2016-07-15T07:38:04Z"/>
        <d v="2016-07-15T08:22:59Z"/>
        <d v="2016-07-13T08:35:33Z"/>
        <d v="2016-07-13T09:58:28Z"/>
        <d v="2016-07-14T07:00:12Z"/>
        <d v="2016-07-14T07:21:06Z"/>
        <d v="2016-07-15T08:32:49Z"/>
        <d v="2016-07-15T19:18:51Z"/>
        <d v="2016-07-11T06:17:00Z"/>
        <d v="2016-07-15T09:58:51Z"/>
        <d v="2016-07-12T09:34:00Z"/>
        <d v="2016-07-13T05:59:39Z"/>
        <d v="2016-07-14T05:56:04Z"/>
        <d v="2016-07-11T06:47:00Z"/>
        <d v="2016-07-11T17:37:00Z"/>
        <d v="2016-07-13T10:13:59Z"/>
        <d v="2016-07-14T05:46:51Z"/>
        <d v="2016-07-15T09:19:33Z"/>
        <d v="2016-07-14T04:56:49Z"/>
        <d v="2016-07-15T04:52:39Z"/>
        <d v="2016-07-15T07:00:08Z"/>
        <d v="2016-07-13T07:50:36Z"/>
        <d v="2016-07-15T06:43:04Z"/>
        <d v="2016-07-15T09:00:06Z"/>
        <d v="2016-07-13T05:15:44Z"/>
        <d v="2016-07-14T09:51:06Z"/>
        <d v="2016-07-15T04:56:11Z"/>
        <d v="2016-07-15T05:07:36Z"/>
        <d v="2016-07-13T06:33:43Z"/>
        <d v="2016-07-14T08:07:44Z"/>
        <d v="2016-07-14T08:13:50Z"/>
        <d v="2016-07-15T04:51:17Z"/>
        <d v="2016-07-15T12:25:21Z"/>
        <d v="2016-07-11T06:59:00Z"/>
        <d v="2016-07-12T17:22:00Z"/>
        <d v="2016-07-13T04:51:42Z"/>
        <d v="2016-07-14T08:36:44Z"/>
        <d v="2016-07-11T20:23:00Z"/>
        <d v="2016-07-13T09:13:12Z"/>
        <d v="2016-07-15T05:58:50Z"/>
        <d v="2016-07-15T06:34:40Z"/>
        <d v="2016-07-15T16:45:26Z"/>
        <d v="2016-07-11T08:21:00Z"/>
        <d v="2016-07-15T07:51:13Z"/>
        <d v="2016-07-11T01:16:00Z"/>
        <d v="2016-07-15T05:21:37Z"/>
        <d v="2016-07-15T09:49:21Z"/>
        <d v="2016-07-11T05:56:00Z"/>
        <d v="2016-07-12T05:05:00Z"/>
        <d v="2016-07-12T05:20:00Z"/>
        <d v="2016-07-13T06:53:00Z"/>
        <d v="2016-07-14T07:10:46Z"/>
        <d v="2016-07-15T08:03:18Z"/>
        <d v="2016-07-15T09:08:43Z"/>
        <d v="2016-07-15T12:55:58Z"/>
        <d v="2016-07-11T12:31:00Z"/>
        <d v="2016-07-13T08:55:43Z"/>
        <d v="2016-07-13T15:18:33Z"/>
        <d v="2016-07-14T05:16:42Z"/>
        <d v="2016-07-15T10:01:19Z"/>
        <d v="2016-07-13T17:36:54Z"/>
        <d v="2016-07-15T06:52:54Z"/>
        <d v="2016-07-15T06:54:05Z"/>
        <d v="2016-07-11T12:29:00Z"/>
        <d v="2016-07-12T16:29:00Z"/>
        <d v="2016-07-14T10:04:38Z"/>
        <d v="2016-07-15T06:33:43Z"/>
        <d v="2016-07-14T06:08:00Z"/>
        <d v="2016-07-15T08:38:36Z"/>
        <d v="2016-07-15T14:52:59Z"/>
        <d v="2016-07-14T06:50:42Z"/>
        <d v="2016-07-12T19:36:00Z"/>
        <d v="2016-07-13T07:15:35Z"/>
        <d v="2016-07-13T08:40:50Z"/>
        <d v="2016-07-13T21:56:05Z"/>
        <d v="2016-07-15T15:38:23Z"/>
        <d v="2016-07-15T18:29:19Z"/>
        <d v="2016-07-15T20:54:55Z"/>
        <d v="2016-07-14T05:07:00Z"/>
        <d v="2016-07-14T06:52:50Z"/>
        <d v="2016-07-14T07:55:00Z"/>
        <d v="2016-07-15T07:08:58Z"/>
        <d v="2016-07-11T05:58:00Z"/>
        <d v="2016-07-13T08:31:41Z"/>
        <d v="2016-07-14T05:05:12Z"/>
        <d v="2016-07-13T05:24:17Z"/>
        <d v="2016-07-13T09:04:03Z"/>
        <d v="2016-07-13T16:39:36Z"/>
        <d v="2016-07-14T09:36:37Z"/>
        <d v="2016-07-14T16:59:22Z"/>
        <d v="2016-07-11T05:02:00Z"/>
        <d v="2016-07-15T13:35:03Z"/>
        <d v="2016-07-13T08:52:30Z"/>
        <d v="2016-07-14T09:35:38Z"/>
        <d v="2016-07-15T09:58:37Z"/>
        <d v="2016-07-15T06:25:41Z"/>
        <d v="2016-07-15T07:24:11Z"/>
        <d v="2016-07-15T19:47:39Z"/>
        <d v="2016-07-11T14:22:00Z"/>
        <d v="2016-07-14T08:11:36Z"/>
        <d v="2016-07-14T09:33:28Z"/>
        <d v="2016-07-13T09:12:19Z"/>
        <d v="2016-07-15T18:05:37Z"/>
        <d v="2016-07-11T06:41:00Z"/>
        <d v="2016-07-11T09:54:00Z"/>
        <d v="2016-07-12T05:55:00Z"/>
        <d v="2016-07-15T08:44:58Z"/>
        <d v="2016-07-13T10:13:25Z"/>
        <d v="2016-07-13T23:43:03Z"/>
        <d v="2016-07-14T09:53:19Z"/>
        <d v="2016-07-12T08:25:00Z"/>
        <d v="2016-07-14T09:51:07Z"/>
        <d v="2016-07-15T05:24:02Z"/>
        <d v="2016-07-12T22:56:00Z"/>
        <d v="2016-07-13T09:24:46Z"/>
        <d v="2016-07-13T15:42:36Z"/>
        <d v="2016-07-11T07:06:00Z"/>
        <d v="2016-07-13T23:04:14Z"/>
        <d v="2016-07-14T07:18:19Z"/>
        <d v="2016-07-14T08:33:10Z"/>
        <d v="2016-07-14T22:12:35Z"/>
        <d v="2016-07-13T06:28:41Z"/>
        <d v="2016-07-13T09:28:29Z"/>
        <d v="2016-07-14T05:37:33Z"/>
        <d v="2016-07-14T21:29:36Z"/>
        <d v="2016-07-15T20:01:14Z"/>
        <d v="2016-07-13T05:06:08Z"/>
        <d v="2016-07-13T07:50:41Z"/>
        <d v="2016-07-14T11:39:07Z"/>
        <d v="2016-07-15T09:36:17Z"/>
        <d v="2016-07-14T02:55:40Z"/>
        <d v="2016-07-14T05:44:07Z"/>
        <d v="2016-07-13T09:35:28Z"/>
        <d v="2016-07-13T17:57:13Z"/>
        <d v="2016-07-11T00:09:00Z"/>
        <d v="2016-07-14T04:42:23Z"/>
        <d v="2016-07-14T07:47:21Z"/>
        <d v="2016-07-14T08:27:11Z"/>
        <d v="2016-07-15T07:47:23Z"/>
        <d v="2016-07-15T19:49:25Z"/>
        <d v="2016-07-11T12:03:00Z"/>
        <d v="2016-07-13T04:24:36Z"/>
        <d v="2016-07-13T05:48:58Z"/>
        <d v="2016-07-13T12:21:11Z"/>
        <d v="2016-07-14T09:49:16Z"/>
        <d v="2016-07-14T10:08:30Z"/>
        <d v="2016-07-14T22:34:33Z"/>
        <d v="2016-07-12T20:11:00Z"/>
        <d v="2016-07-13T06:19:03Z"/>
        <d v="2016-07-14T13:23:54Z"/>
        <d v="2016-07-11T08:25:00Z"/>
        <d v="2016-07-13T05:13:35Z"/>
        <d v="2016-07-13T08:13:41Z"/>
        <d v="2016-07-14T04:46:40Z"/>
        <d v="2016-07-15T08:46:28Z"/>
        <d v="2016-07-11T20:46:00Z"/>
        <d v="2016-07-13T09:02:43Z"/>
        <d v="2016-07-15T08:54:59Z"/>
        <d v="2016-07-11T11:19:00Z"/>
        <d v="2016-07-13T09:49:59Z"/>
        <d v="2016-07-13T11:13:58Z"/>
        <d v="2016-07-15T05:39:51Z"/>
        <d v="2016-07-15T09:21:37Z"/>
        <d v="2016-07-13T05:14:00Z"/>
        <d v="2016-07-13T08:16:01Z"/>
        <d v="2016-07-11T05:43:00Z"/>
        <d v="2016-07-13T06:25:47Z"/>
        <d v="2016-07-14T07:43:57Z"/>
        <d v="2016-07-13T04:45:54Z"/>
        <d v="2016-07-14T05:06:13Z"/>
        <d v="2016-07-15T07:37:04Z"/>
        <d v="2016-07-15T08:39:56Z"/>
        <d v="2016-07-11T07:15:00Z"/>
        <d v="2016-07-14T10:13:25Z"/>
        <d v="2016-07-15T06:59:22Z"/>
        <d v="2016-07-12T03:57:00Z"/>
        <d v="2016-07-13T08:38:20Z"/>
        <d v="2016-07-11T07:18:00Z"/>
        <d v="2016-07-12T05:36:00Z"/>
        <d v="2016-07-14T07:56:17Z"/>
        <d v="2016-07-15T00:54:12Z"/>
        <d v="2016-07-15T08:19:53Z"/>
        <d v="2016-07-15T04:56:28Z"/>
        <d v="2016-07-15T08:05:55Z"/>
        <d v="2016-07-11T08:41:00Z"/>
        <d v="2016-07-12T06:56:00Z"/>
        <d v="2016-07-14T21:42:19Z"/>
        <d v="2016-07-14T21:26:44Z"/>
        <d v="2016-07-15T09:02:31Z"/>
        <d v="2016-07-14T12:04:12Z"/>
        <d v="2016-07-15T06:02:31Z"/>
        <d v="2016-07-13T08:39:59Z"/>
        <d v="2016-07-13T12:25:07Z"/>
        <d v="2016-07-14T07:41:41Z"/>
        <d v="2016-07-14T09:38:51Z"/>
        <d v="2016-07-11T08:56:00Z"/>
        <d v="2016-07-14T06:02:41Z"/>
        <d v="2016-07-14T05:09:42Z"/>
        <d v="2016-07-15T13:41:55Z"/>
        <d v="2016-07-15T09:18:48Z"/>
        <d v="2016-07-15T11:40:05Z"/>
        <d v="2016-07-13T09:03:21Z"/>
        <d v="2016-07-13T09:37:26Z"/>
        <d v="2016-07-13T09:46:56Z"/>
        <d v="2016-07-14T05:11:39Z"/>
        <d v="2016-07-15T08:50:27Z"/>
        <d v="2016-07-12T09:52:00Z"/>
        <d v="2016-07-13T06:46:00Z"/>
        <d v="2016-07-13T09:19:04Z"/>
        <d v="2016-07-15T08:57:27Z"/>
        <d v="2016-07-15T09:20:40Z"/>
        <d v="2016-07-14T08:27:51Z"/>
        <d v="2016-07-15T08:18:14Z"/>
        <d v="2016-07-11T15:02:00Z"/>
        <d v="2016-07-14T04:48:41Z"/>
        <d v="2016-07-11T16:42:00Z"/>
        <d v="2016-07-12T06:43:00Z"/>
        <d v="2016-07-15T05:27:12Z"/>
        <d v="2016-07-13T04:50:27Z"/>
        <d v="2016-07-14T05:37:41Z"/>
        <d v="2016-07-14T06:02:50Z"/>
        <d v="2016-07-14T12:34:18Z"/>
        <d v="2016-07-15T07:31:03Z"/>
        <d v="2016-07-15T07:32:56Z"/>
        <d v="2016-07-15T08:41:36Z"/>
        <d v="2016-07-14T05:36:28Z"/>
        <d v="2016-07-15T10:07:34Z"/>
        <d v="2016-07-14T09:09:33Z"/>
        <d v="2016-07-15T09:27:22Z"/>
        <d v="2016-07-13T09:41:02Z"/>
        <d v="2016-07-14T05:55:47Z"/>
        <d v="2016-07-15T21:46:57Z"/>
        <d v="2016-07-12T08:05:00Z"/>
        <d v="2016-07-13T08:55:18Z"/>
        <d v="2016-07-14T09:02:24Z"/>
        <d v="2016-07-14T05:12:56Z"/>
        <d v="2016-07-14T09:15:30Z"/>
        <d v="2016-07-13T06:02:04Z"/>
        <d v="2016-07-14T16:59:11Z"/>
        <d v="2016-07-15T08:30:20Z"/>
        <d v="2016-07-11T15:37:00Z"/>
        <d v="2016-07-13T19:47:50Z"/>
        <d v="2016-07-11T12:37:00Z"/>
        <d v="2016-07-14T15:17:34Z"/>
        <d v="2016-07-15T08:21:38Z"/>
        <d v="2016-07-13T07:09:54Z"/>
        <d v="2016-07-11T10:09:00Z"/>
        <d v="2016-07-11T13:23:00Z"/>
        <d v="2016-07-12T08:51:00Z"/>
        <d v="2016-07-14T04:50:45Z"/>
        <d v="2016-07-15T20:54:48Z"/>
        <d v="2016-07-11T05:26:00Z"/>
        <d v="2016-07-13T05:58:31Z"/>
        <d v="2016-07-13T06:48:48Z"/>
        <d v="2016-07-14T05:53:18Z"/>
        <d v="2016-07-14T08:32:05Z"/>
        <d v="2016-07-14T10:04:05Z"/>
        <d v="2016-07-15T07:37:57Z"/>
        <d v="2016-07-15T08:50:10Z"/>
        <d v="2016-07-15T20:23:14Z"/>
        <d v="2016-07-11T05:04:00Z"/>
        <d v="2016-07-12T06:06:00Z"/>
        <d v="2016-07-14T17:18:23Z"/>
        <d v="2016-07-12T07:36:00Z"/>
        <d v="2016-07-13T07:29:18Z"/>
        <d v="2016-07-13T14:36:39Z"/>
        <d v="2016-07-15T08:48:20Z"/>
        <d v="2016-07-15T14:17:28Z"/>
        <d v="2016-07-12T06:01:00Z"/>
        <d v="2016-07-13T07:33:57Z"/>
        <d v="2016-07-13T09:00:40Z"/>
        <d v="2016-07-14T14:52:18Z"/>
        <d v="2016-07-15T05:52:11Z"/>
        <d v="2016-07-15T07:06:05Z"/>
        <d v="2016-07-15T11:46:11Z"/>
        <d v="2016-07-12T04:42:00Z"/>
        <d v="2016-07-13T07:55:16Z"/>
        <d v="2016-07-13T08:18:13Z"/>
        <d v="2016-07-13T09:02:46Z"/>
        <d v="2016-07-12T05:40:00Z"/>
        <d v="2016-07-13T05:19:51Z"/>
        <d v="2016-07-13T06:33:04Z"/>
        <d v="2016-07-12T07:50:00Z"/>
        <d v="2016-07-13T07:26:36Z"/>
        <d v="2016-07-13T07:29:44Z"/>
        <d v="2016-07-14T18:20:41Z"/>
        <d v="2016-07-12T18:03:00Z"/>
        <d v="2016-07-14T05:30:56Z"/>
        <d v="2016-07-14T05:46:02Z"/>
        <d v="2016-07-14T08:34:36Z"/>
        <d v="2016-07-15T06:35:32Z"/>
        <d v="2016-07-15T09:27:08Z"/>
        <d v="2016-07-11T08:32:00Z"/>
        <d v="2016-07-11T21:37:00Z"/>
        <d v="2016-07-12T05:24:00Z"/>
        <d v="2016-07-12T06:54:00Z"/>
        <d v="2016-07-12T07:02:00Z"/>
        <d v="2016-07-13T04:50:46Z"/>
        <d v="2016-07-13T18:01:34Z"/>
        <d v="2016-07-14T04:41:54Z"/>
        <d v="2016-07-12T16:50:00Z"/>
        <d v="2016-07-12T19:46:00Z"/>
        <d v="2016-07-11T05:17:00Z"/>
        <d v="2016-07-11T09:44:00Z"/>
        <d v="2016-07-13T06:40:30Z"/>
        <d v="2016-07-15T08:44:20Z"/>
        <d v="2016-07-12T10:03:00Z"/>
        <d v="2016-07-13T16:10:20Z"/>
        <d v="2016-07-13T21:07:32Z"/>
        <d v="2016-07-14T19:38:01Z"/>
        <d v="2016-07-15T07:02:00Z"/>
        <d v="2016-07-15T17:55:10Z"/>
        <d v="2016-07-15T18:37:53Z"/>
        <d v="2016-07-13T08:12:18Z"/>
        <d v="2016-07-14T09:38:03Z"/>
        <d v="2016-07-12T10:06:00Z"/>
        <d v="2016-07-13T10:01:44Z"/>
        <d v="2016-07-13T10:06:32Z"/>
        <d v="2016-07-13T18:24:15Z"/>
        <d v="2016-07-11T09:30:00Z"/>
        <d v="2016-07-12T06:23:00Z"/>
        <d v="2016-07-15T06:36:14Z"/>
        <d v="2016-07-11T07:51:00Z"/>
        <d v="2016-07-13T10:09:28Z"/>
        <d v="2016-07-13T23:19:23Z"/>
        <d v="2016-07-13T06:39:27Z"/>
        <d v="2016-07-13T07:04:21Z"/>
        <d v="2016-07-13T07:48:58Z"/>
        <d v="2016-07-13T20:34:32Z"/>
        <d v="2016-07-14T07:56:57Z"/>
        <d v="2016-07-15T10:30:58Z"/>
        <d v="2016-07-13T09:39:19Z"/>
        <d v="2016-07-14T09:09:57Z"/>
        <d v="2016-07-15T13:47:11Z"/>
        <d v="2016-07-12T07:03:00Z"/>
        <d v="2016-07-13T16:53:56Z"/>
        <d v="2016-07-13T21:28:41Z"/>
        <d v="2016-07-14T06:12:03Z"/>
        <d v="2016-07-14T12:45:00Z"/>
        <d v="2016-07-15T06:08:31Z"/>
        <d v="2016-07-14T07:26:35Z"/>
        <d v="2016-07-15T05:07:17Z"/>
        <d v="2016-07-11T05:27:00Z"/>
        <d v="2016-07-14T05:39:02Z"/>
        <d v="2016-07-15T08:40:03Z"/>
        <d v="2016-07-12T01:12:00Z"/>
        <d v="2016-07-13T09:50:23Z"/>
        <d v="2016-07-14T08:25:24Z"/>
        <d v="2016-07-15T06:27:46Z"/>
        <d v="2016-07-13T05:19:53Z"/>
        <d v="2016-07-15T08:44:40Z"/>
        <d v="2016-07-11T08:33:00Z"/>
        <d v="2016-07-14T08:53:51Z"/>
        <d v="2016-07-11T21:47:00Z"/>
        <d v="2016-07-13T05:54:23Z"/>
        <d v="2016-07-13T08:25:16Z"/>
        <d v="2016-07-13T22:13:42Z"/>
        <d v="2016-07-14T07:20:59Z"/>
        <d v="2016-07-14T08:41:51Z"/>
        <d v="2016-07-13T09:31:32Z"/>
        <d v="2016-07-14T05:55:36Z"/>
        <d v="2016-07-15T05:08:25Z"/>
        <d v="2016-07-15T07:20:54Z"/>
        <d v="2016-07-11T07:10:00Z"/>
        <d v="2016-07-12T05:23:00Z"/>
        <d v="2016-07-15T05:13:03Z"/>
        <d v="2016-07-15T05:19:48Z"/>
        <d v="2016-07-13T06:54:13Z"/>
        <d v="2016-07-13T08:32:08Z"/>
        <d v="2016-07-14T09:40:33Z"/>
        <d v="2016-07-14T05:03:10Z"/>
        <d v="2016-07-14T05:06:40Z"/>
        <d v="2016-07-14T08:30:59Z"/>
        <d v="2016-07-14T05:46:06Z"/>
        <d v="2016-07-11T00:02:00Z"/>
        <d v="2016-07-11T00:06:00Z"/>
        <d v="2016-07-11T00:23:00Z"/>
        <d v="2016-07-11T00:30:00Z"/>
        <d v="2016-07-11T00:37:00Z"/>
        <d v="2016-07-11T00:40:00Z"/>
        <d v="2016-07-11T01:09:00Z"/>
        <d v="2016-07-11T01:10:00Z"/>
        <d v="2016-07-11T01:14:00Z"/>
        <d v="2016-07-11T01:15:00Z"/>
        <d v="2016-07-11T01:23:00Z"/>
        <d v="2016-07-11T01:38:00Z"/>
        <d v="2016-07-11T01:40:00Z"/>
        <d v="2016-07-11T01:45:00Z"/>
        <d v="2016-07-11T01:48:00Z"/>
        <d v="2016-07-11T01:49:00Z"/>
        <d v="2016-07-11T01:55:00Z"/>
        <d v="2016-07-11T02:02:00Z"/>
        <d v="2016-07-11T02:10:00Z"/>
        <d v="2016-07-11T02:15:00Z"/>
        <d v="2016-07-11T02:33:00Z"/>
        <d v="2016-07-11T02:34:00Z"/>
        <d v="2016-07-11T02:39:00Z"/>
        <d v="2016-07-11T02:42:00Z"/>
        <d v="2016-07-11T02:48:00Z"/>
        <d v="2016-07-11T02:55:00Z"/>
        <d v="2016-07-11T03:06:00Z"/>
        <d v="2016-07-11T03:07:00Z"/>
        <d v="2016-07-11T03:16:00Z"/>
        <d v="2016-07-11T03:29:00Z"/>
        <d v="2016-07-11T03:41:00Z"/>
        <d v="2016-07-11T03:52:00Z"/>
        <d v="2016-07-11T03:58:00Z"/>
        <d v="2016-07-11T04:03:00Z"/>
        <d v="2016-07-11T04:05:00Z"/>
        <d v="2016-07-11T04:10:00Z"/>
        <d v="2016-07-11T04:17:00Z"/>
        <d v="2016-07-11T04:23:00Z"/>
        <d v="2016-07-11T04:24:00Z"/>
        <d v="2016-07-11T04:27:00Z"/>
        <d v="2016-07-11T04:36:00Z"/>
        <d v="2016-07-11T04:37:00Z"/>
        <d v="2016-07-11T04:40:00Z"/>
        <d v="2016-07-11T04:43:00Z"/>
        <d v="2016-07-11T04:44:00Z"/>
        <d v="2016-07-11T05:19:00Z"/>
        <d v="2016-07-11T05:31:00Z"/>
        <d v="2016-07-11T05:33:00Z"/>
        <d v="2016-07-11T05:47:00Z"/>
        <d v="2016-07-11T05:53:00Z"/>
        <d v="2016-07-11T06:06:00Z"/>
        <d v="2016-07-11T06:21:00Z"/>
        <d v="2016-07-11T06:24:00Z"/>
        <d v="2016-07-11T06:40:00Z"/>
        <d v="2016-07-11T06:50:00Z"/>
        <d v="2016-07-11T07:47:00Z"/>
        <d v="2016-07-11T07:58:00Z"/>
        <d v="2016-07-11T08:03:00Z"/>
        <d v="2016-07-11T09:16:00Z"/>
        <d v="2016-07-11T09:21:00Z"/>
        <d v="2016-07-11T09:31:00Z"/>
        <d v="2016-07-11T09:42:00Z"/>
        <d v="2016-07-11T09:49:00Z"/>
        <d v="2016-07-11T09:57:00Z"/>
        <d v="2016-07-11T10:17:00Z"/>
        <d v="2016-07-11T10:18:00Z"/>
        <d v="2016-07-11T10:21:00Z"/>
        <d v="2016-07-11T11:00:00Z"/>
        <d v="2016-07-11T11:17:00Z"/>
        <d v="2016-07-11T11:22:00Z"/>
        <d v="2016-07-11T11:40:00Z"/>
        <d v="2016-07-11T11:53:00Z"/>
        <d v="2016-07-11T11:56:00Z"/>
        <d v="2016-07-11T12:06:00Z"/>
        <d v="2016-07-11T12:26:00Z"/>
        <d v="2016-07-11T12:53:00Z"/>
        <d v="2016-07-11T13:01:00Z"/>
        <d v="2016-07-11T13:04:00Z"/>
        <d v="2016-07-11T13:06:00Z"/>
        <d v="2016-07-11T13:15:00Z"/>
        <d v="2016-07-11T13:18:00Z"/>
        <d v="2016-07-11T13:33:00Z"/>
        <d v="2016-07-11T13:43:00Z"/>
        <d v="2016-07-11T13:54:00Z"/>
        <d v="2016-07-11T14:41:00Z"/>
        <d v="2016-07-11T14:57:00Z"/>
        <d v="2016-07-11T15:11:00Z"/>
        <d v="2016-07-11T15:22:00Z"/>
        <d v="2016-07-11T16:12:00Z"/>
        <d v="2016-07-11T16:24:00Z"/>
        <d v="2016-07-11T16:26:00Z"/>
        <d v="2016-07-11T16:27:00Z"/>
        <d v="2016-07-11T16:34:00Z"/>
        <d v="2016-07-11T16:48:00Z"/>
        <d v="2016-07-11T17:09:00Z"/>
        <d v="2016-07-11T17:14:00Z"/>
        <d v="2016-07-11T17:15:00Z"/>
        <d v="2016-07-11T17:17:00Z"/>
        <d v="2016-07-11T17:18:00Z"/>
        <d v="2016-07-11T17:20:00Z"/>
        <d v="2016-07-11T17:21:00Z"/>
        <d v="2016-07-11T17:23:00Z"/>
        <d v="2016-07-11T17:24:00Z"/>
        <d v="2016-07-11T17:25:00Z"/>
        <d v="2016-07-11T17:28:00Z"/>
        <d v="2016-07-11T17:31:00Z"/>
        <d v="2016-07-11T17:33:00Z"/>
        <d v="2016-07-11T17:36:00Z"/>
        <d v="2016-07-11T17:39:00Z"/>
        <d v="2016-07-11T17:42:00Z"/>
        <d v="2016-07-11T17:45:00Z"/>
        <d v="2016-07-11T17:51:00Z"/>
        <d v="2016-07-11T17:53:00Z"/>
        <d v="2016-07-11T17:59:00Z"/>
        <d v="2016-07-11T18:00:00Z"/>
        <d v="2016-07-11T18:01:00Z"/>
        <d v="2016-07-11T18:02:00Z"/>
        <d v="2016-07-11T18:04:00Z"/>
        <d v="2016-07-11T18:05:00Z"/>
        <d v="2016-07-11T18:07:00Z"/>
        <d v="2016-07-11T18:12:00Z"/>
        <d v="2016-07-11T18:19:00Z"/>
        <d v="2016-07-11T18:23:00Z"/>
        <d v="2016-07-11T18:30:00Z"/>
        <d v="2016-07-11T18:31:00Z"/>
        <d v="2016-07-11T18:32:00Z"/>
        <d v="2016-07-11T18:36:00Z"/>
        <d v="2016-07-11T18:40:00Z"/>
        <d v="2016-07-11T18:41:00Z"/>
        <d v="2016-07-11T18:43:00Z"/>
        <d v="2016-07-11T18:46:00Z"/>
        <d v="2016-07-11T18:48:00Z"/>
        <d v="2016-07-11T18:49:00Z"/>
        <d v="2016-07-11T18:50:00Z"/>
        <d v="2016-07-11T18:51:00Z"/>
        <d v="2016-07-11T18:55:00Z"/>
        <d v="2016-07-11T18:57:00Z"/>
        <d v="2016-07-11T18:58:00Z"/>
        <d v="2016-07-11T18:59:00Z"/>
        <d v="2016-07-11T19:02:00Z"/>
        <d v="2016-07-11T19:03:00Z"/>
        <d v="2016-07-11T19:10:00Z"/>
        <d v="2016-07-11T19:12:00Z"/>
        <d v="2016-07-11T19:16:00Z"/>
        <d v="2016-07-11T19:19:00Z"/>
        <d v="2016-07-11T19:22:00Z"/>
        <d v="2016-07-11T19:24:00Z"/>
        <d v="2016-07-11T19:29:00Z"/>
        <d v="2016-07-11T19:30:00Z"/>
        <d v="2016-07-11T19:34:00Z"/>
        <d v="2016-07-11T19:40:00Z"/>
        <d v="2016-07-11T19:41:00Z"/>
        <d v="2016-07-11T19:45:00Z"/>
        <d v="2016-07-11T19:46:00Z"/>
        <d v="2016-07-11T19:47:00Z"/>
        <d v="2016-07-11T19:54:00Z"/>
        <d v="2016-07-11T19:57:00Z"/>
        <d v="2016-07-11T20:00:00Z"/>
        <d v="2016-07-11T20:01:00Z"/>
        <d v="2016-07-11T20:04:00Z"/>
        <d v="2016-07-11T20:05:00Z"/>
        <d v="2016-07-11T20:06:00Z"/>
        <d v="2016-07-11T20:08:00Z"/>
        <d v="2016-07-11T20:09:00Z"/>
        <d v="2016-07-11T20:22:00Z"/>
        <d v="2016-07-11T20:26:00Z"/>
        <d v="2016-07-11T20:28:00Z"/>
        <d v="2016-07-11T20:29:00Z"/>
        <d v="2016-07-11T20:35:00Z"/>
        <d v="2016-07-11T20:38:00Z"/>
        <d v="2016-07-11T20:41:00Z"/>
        <d v="2016-07-11T20:44:00Z"/>
        <d v="2016-07-11T20:45:00Z"/>
        <d v="2016-07-11T20:48:00Z"/>
        <d v="2016-07-11T20:54:00Z"/>
        <d v="2016-07-11T21:00:00Z"/>
        <d v="2016-07-11T21:03:00Z"/>
        <d v="2016-07-11T21:08:00Z"/>
        <d v="2016-07-11T21:15:00Z"/>
        <d v="2016-07-11T21:16:00Z"/>
        <d v="2016-07-11T21:19:00Z"/>
        <d v="2016-07-11T21:25:00Z"/>
        <d v="2016-07-11T21:26:00Z"/>
        <d v="2016-07-11T21:28:00Z"/>
        <d v="2016-07-11T21:29:00Z"/>
        <d v="2016-07-11T21:35:00Z"/>
        <d v="2016-07-11T21:36:00Z"/>
        <d v="2016-07-11T21:39:00Z"/>
        <d v="2016-07-11T21:42:00Z"/>
        <d v="2016-07-11T21:44:00Z"/>
        <d v="2016-07-11T21:45:00Z"/>
        <d v="2016-07-11T21:49:00Z"/>
        <d v="2016-07-11T21:50:00Z"/>
        <d v="2016-07-11T21:54:00Z"/>
        <d v="2016-07-11T21:55:00Z"/>
        <d v="2016-07-11T21:58:00Z"/>
        <d v="2016-07-11T22:02:00Z"/>
        <d v="2016-07-11T22:08:00Z"/>
        <d v="2016-07-11T22:17:00Z"/>
        <d v="2016-07-11T22:20:00Z"/>
        <d v="2016-07-11T22:35:00Z"/>
        <d v="2016-07-11T22:49:00Z"/>
        <d v="2016-07-11T22:50:00Z"/>
        <d v="2016-07-11T23:00:00Z"/>
        <d v="2016-07-11T23:04:00Z"/>
        <d v="2016-07-11T23:07:00Z"/>
        <d v="2016-07-11T23:13:00Z"/>
        <d v="2016-07-11T23:14:00Z"/>
        <d v="2016-07-11T23:19:00Z"/>
        <d v="2016-07-11T23:20:00Z"/>
        <d v="2016-07-11T23:30:00Z"/>
        <d v="2016-07-11T23:49:00Z"/>
        <d v="2016-07-11T23:52:00Z"/>
        <d v="2016-07-11T23:57:00Z"/>
        <d v="2016-07-11T23:58:00Z"/>
        <d v="2016-07-12T00:12:00Z"/>
        <d v="2016-07-12T00:28:00Z"/>
        <d v="2016-07-12T00:34:00Z"/>
        <d v="2016-07-12T00:38:00Z"/>
        <d v="2016-07-12T00:40:00Z"/>
        <d v="2016-07-12T00:58:00Z"/>
        <d v="2016-07-12T00:59:00Z"/>
        <d v="2016-07-12T01:28:00Z"/>
        <d v="2016-07-12T01:47:00Z"/>
        <d v="2016-07-12T01:54:00Z"/>
        <d v="2016-07-12T02:03:00Z"/>
        <d v="2016-07-12T02:08:00Z"/>
        <d v="2016-07-12T02:09:00Z"/>
        <d v="2016-07-12T02:13:00Z"/>
        <d v="2016-07-12T02:24:00Z"/>
        <d v="2016-07-12T02:26:00Z"/>
        <d v="2016-07-12T02:33:00Z"/>
        <d v="2016-07-12T02:36:00Z"/>
        <d v="2016-07-12T02:56:00Z"/>
        <d v="2016-07-12T02:57:00Z"/>
        <d v="2016-07-12T03:19:00Z"/>
        <d v="2016-07-12T03:23:00Z"/>
        <d v="2016-07-12T03:31:00Z"/>
        <d v="2016-07-12T03:51:00Z"/>
        <d v="2016-07-12T04:02:00Z"/>
        <d v="2016-07-12T04:05:00Z"/>
        <d v="2016-07-12T04:15:00Z"/>
        <d v="2016-07-12T04:28:00Z"/>
        <d v="2016-07-12T04:29:00Z"/>
        <d v="2016-07-12T04:35:00Z"/>
        <d v="2016-07-12T04:40:00Z"/>
        <d v="2016-07-12T04:44:00Z"/>
        <d v="2016-07-12T04:48:00Z"/>
        <d v="2016-07-12T04:50:00Z"/>
        <d v="2016-07-12T05:02:00Z"/>
        <d v="2016-07-12T05:06:00Z"/>
        <d v="2016-07-12T05:18:00Z"/>
        <d v="2016-07-12T05:49:00Z"/>
        <d v="2016-07-12T06:05:00Z"/>
        <d v="2016-07-12T06:07:00Z"/>
        <d v="2016-07-12T06:29:00Z"/>
        <d v="2016-07-12T06:50:00Z"/>
        <d v="2016-07-12T07:12:00Z"/>
        <d v="2016-07-12T08:07:00Z"/>
        <d v="2016-07-12T08:12:00Z"/>
        <d v="2016-07-12T08:13:00Z"/>
        <d v="2016-07-12T08:16:00Z"/>
        <d v="2016-07-12T08:36:00Z"/>
        <d v="2016-07-12T08:43:00Z"/>
        <d v="2016-07-12T08:48:00Z"/>
        <d v="2016-07-12T08:55:00Z"/>
        <d v="2016-07-12T09:46:00Z"/>
        <d v="2016-07-12T09:57:00Z"/>
        <d v="2016-07-12T10:09:00Z"/>
        <d v="2016-07-12T10:22:00Z"/>
        <d v="2016-07-12T10:33:00Z"/>
        <d v="2016-07-12T10:44:00Z"/>
        <d v="2016-07-12T10:47:00Z"/>
        <d v="2016-07-12T10:50:00Z"/>
        <d v="2016-07-12T11:03:00Z"/>
        <d v="2016-07-12T11:10:00Z"/>
        <d v="2016-07-12T11:22:00Z"/>
        <d v="2016-07-12T12:02:00Z"/>
        <d v="2016-07-12T12:14:00Z"/>
        <d v="2016-07-12T12:31:00Z"/>
        <d v="2016-07-12T12:33:00Z"/>
        <d v="2016-07-12T12:40:00Z"/>
        <d v="2016-07-12T12:44:00Z"/>
        <d v="2016-07-12T13:06:00Z"/>
        <d v="2016-07-12T13:20:00Z"/>
        <d v="2016-07-12T13:22:00Z"/>
        <d v="2016-07-12T13:47:00Z"/>
        <d v="2016-07-12T13:53:00Z"/>
        <d v="2016-07-12T14:09:00Z"/>
        <d v="2016-07-12T14:18:00Z"/>
        <d v="2016-07-12T14:26:00Z"/>
        <d v="2016-07-12T14:57:00Z"/>
        <d v="2016-07-12T14:59:00Z"/>
        <d v="2016-07-12T15:12:00Z"/>
        <d v="2016-07-12T15:19:00Z"/>
        <d v="2016-07-12T15:21:00Z"/>
        <d v="2016-07-12T15:37:00Z"/>
        <d v="2016-07-12T15:39:00Z"/>
        <d v="2016-07-12T15:53:00Z"/>
        <d v="2016-07-12T15:55:00Z"/>
        <d v="2016-07-12T15:57:00Z"/>
        <d v="2016-07-12T16:48:00Z"/>
        <d v="2016-07-12T17:02:00Z"/>
        <d v="2016-07-12T17:09:00Z"/>
        <d v="2016-07-12T17:13:00Z"/>
        <d v="2016-07-12T17:17:00Z"/>
        <d v="2016-07-12T17:18:00Z"/>
        <d v="2016-07-12T17:19:00Z"/>
        <d v="2016-07-12T17:23:00Z"/>
        <d v="2016-07-12T17:26:00Z"/>
        <d v="2016-07-12T17:27:00Z"/>
        <d v="2016-07-12T17:28:00Z"/>
        <d v="2016-07-12T17:35:00Z"/>
        <d v="2016-07-12T17:37:00Z"/>
        <d v="2016-07-12T17:38:00Z"/>
        <d v="2016-07-12T17:40:00Z"/>
        <d v="2016-07-12T17:41:00Z"/>
        <d v="2016-07-12T17:43:00Z"/>
        <d v="2016-07-12T17:46:00Z"/>
        <d v="2016-07-12T17:47:00Z"/>
        <d v="2016-07-12T17:48:00Z"/>
        <d v="2016-07-12T17:49:00Z"/>
        <d v="2016-07-12T17:51:00Z"/>
        <d v="2016-07-12T17:52:00Z"/>
        <d v="2016-07-12T17:54:00Z"/>
        <d v="2016-07-12T17:58:00Z"/>
        <d v="2016-07-12T18:01:00Z"/>
        <d v="2016-07-12T18:02:00Z"/>
        <d v="2016-07-12T18:04:00Z"/>
        <d v="2016-07-12T18:06:00Z"/>
        <d v="2016-07-12T18:09:00Z"/>
        <d v="2016-07-12T18:10:00Z"/>
        <d v="2016-07-12T18:11:00Z"/>
        <d v="2016-07-12T18:13:00Z"/>
        <d v="2016-07-12T18:14:00Z"/>
        <d v="2016-07-12T18:17:00Z"/>
        <d v="2016-07-12T18:21:00Z"/>
        <d v="2016-07-12T18:27:00Z"/>
        <d v="2016-07-12T18:32:00Z"/>
        <d v="2016-07-12T18:36:00Z"/>
        <d v="2016-07-12T18:40:00Z"/>
        <d v="2016-07-12T18:41:00Z"/>
        <d v="2016-07-12T18:49:00Z"/>
        <d v="2016-07-12T18:50:00Z"/>
        <d v="2016-07-12T18:53:00Z"/>
        <d v="2016-07-12T18:54:00Z"/>
        <d v="2016-07-12T18:59:00Z"/>
        <d v="2016-07-12T19:02:00Z"/>
        <d v="2016-07-12T19:03:00Z"/>
        <d v="2016-07-12T19:04:00Z"/>
        <d v="2016-07-12T19:07:00Z"/>
        <d v="2016-07-12T19:08:00Z"/>
        <d v="2016-07-12T19:10:00Z"/>
        <d v="2016-07-12T19:18:00Z"/>
        <d v="2016-07-12T19:20:00Z"/>
        <d v="2016-07-12T19:24:00Z"/>
        <d v="2016-07-12T19:26:00Z"/>
        <d v="2016-07-12T19:28:00Z"/>
        <d v="2016-07-12T19:29:00Z"/>
        <d v="2016-07-12T19:39:00Z"/>
        <d v="2016-07-12T19:40:00Z"/>
        <d v="2016-07-12T19:43:00Z"/>
        <d v="2016-07-12T19:44:00Z"/>
        <d v="2016-07-12T19:47:00Z"/>
        <d v="2016-07-12T19:48:00Z"/>
        <d v="2016-07-12T19:53:00Z"/>
        <d v="2016-07-12T19:58:00Z"/>
        <d v="2016-07-12T20:09:00Z"/>
        <d v="2016-07-12T20:10:00Z"/>
        <d v="2016-07-12T20:13:00Z"/>
        <d v="2016-07-12T20:17:00Z"/>
        <d v="2016-07-12T20:19:00Z"/>
        <d v="2016-07-12T20:20:00Z"/>
        <d v="2016-07-12T20:21:00Z"/>
        <d v="2016-07-12T20:22:00Z"/>
        <d v="2016-07-12T20:25:00Z"/>
        <d v="2016-07-12T20:27:00Z"/>
        <d v="2016-07-12T20:28:00Z"/>
        <d v="2016-07-12T20:37:00Z"/>
        <d v="2016-07-12T20:42:00Z"/>
        <d v="2016-07-12T20:44:00Z"/>
        <d v="2016-07-12T20:48:00Z"/>
        <d v="2016-07-12T20:49:00Z"/>
        <d v="2016-07-12T20:51:00Z"/>
        <d v="2016-07-12T20:52:00Z"/>
        <d v="2016-07-12T20:54:00Z"/>
        <d v="2016-07-12T20:56:00Z"/>
        <d v="2016-07-12T20:59:00Z"/>
        <d v="2016-07-12T21:00:00Z"/>
        <d v="2016-07-12T21:12:00Z"/>
        <d v="2016-07-12T21:19:00Z"/>
        <d v="2016-07-12T21:21:00Z"/>
        <d v="2016-07-12T21:26:00Z"/>
        <d v="2016-07-12T21:28:00Z"/>
        <d v="2016-07-12T21:30:00Z"/>
        <d v="2016-07-12T21:31:00Z"/>
        <d v="2016-07-12T21:33:00Z"/>
        <d v="2016-07-12T21:34:00Z"/>
        <d v="2016-07-12T21:36:00Z"/>
        <d v="2016-07-12T21:38:00Z"/>
        <d v="2016-07-12T21:39:00Z"/>
        <d v="2016-07-12T21:41:00Z"/>
        <d v="2016-07-12T21:44:00Z"/>
        <d v="2016-07-12T21:51:00Z"/>
        <d v="2016-07-12T21:55:00Z"/>
        <d v="2016-07-12T21:56:00Z"/>
        <d v="2016-07-12T22:02:00Z"/>
        <d v="2016-07-12T22:03:00Z"/>
        <d v="2016-07-12T22:04:00Z"/>
        <d v="2016-07-12T22:07:00Z"/>
        <d v="2016-07-12T22:11:00Z"/>
        <d v="2016-07-12T22:15:00Z"/>
        <d v="2016-07-12T22:30:00Z"/>
        <d v="2016-07-12T22:32:00Z"/>
        <d v="2016-07-12T22:59:00Z"/>
        <d v="2016-07-12T23:04:00Z"/>
        <d v="2016-07-12T23:07:00Z"/>
        <d v="2016-07-12T23:08:00Z"/>
        <d v="2016-07-12T23:17:00Z"/>
        <d v="2016-07-12T23:25:00Z"/>
        <d v="2016-07-12T23:37:00Z"/>
        <d v="2016-07-12T23:39:00Z"/>
        <d v="2016-07-12T23:45:00Z"/>
        <d v="2016-07-13T00:02:14Z"/>
        <d v="2016-07-13T00:07:31Z"/>
        <d v="2016-07-13T00:08:23Z"/>
        <d v="2016-07-13T00:12:33Z"/>
        <d v="2016-07-13T00:14:40Z"/>
        <d v="2016-07-13T00:16:12Z"/>
        <d v="2016-07-13T00:24:18Z"/>
        <d v="2016-07-13T00:26:02Z"/>
        <d v="2016-07-13T00:31:02Z"/>
        <d v="2016-07-13T00:44:18Z"/>
        <d v="2016-07-13T00:48:15Z"/>
        <d v="2016-07-13T00:49:46Z"/>
        <d v="2016-07-13T00:50:15Z"/>
        <d v="2016-07-13T00:50:22Z"/>
        <d v="2016-07-13T00:55:59Z"/>
        <d v="2016-07-13T00:57:01Z"/>
        <d v="2016-07-13T00:59:51Z"/>
        <d v="2016-07-13T01:03:02Z"/>
        <d v="2016-07-13T01:09:58Z"/>
        <d v="2016-07-13T01:15:29Z"/>
        <d v="2016-07-13T01:21:14Z"/>
        <d v="2016-07-13T01:44:02Z"/>
        <d v="2016-07-13T01:47:28Z"/>
        <d v="2016-07-13T01:53:20Z"/>
        <d v="2016-07-13T01:56:49Z"/>
        <d v="2016-07-13T01:58:14Z"/>
        <d v="2016-07-13T02:06:39Z"/>
        <d v="2016-07-13T02:13:21Z"/>
        <d v="2016-07-13T02:16:38Z"/>
        <d v="2016-07-13T02:22:00Z"/>
        <d v="2016-07-13T02:26:30Z"/>
        <d v="2016-07-13T02:27:48Z"/>
        <d v="2016-07-13T02:31:27Z"/>
        <d v="2016-07-13T02:35:47Z"/>
        <d v="2016-07-13T02:35:52Z"/>
        <d v="2016-07-13T02:37:05Z"/>
        <d v="2016-07-13T02:38:06Z"/>
        <d v="2016-07-13T02:43:44Z"/>
        <d v="2016-07-13T02:48:50Z"/>
        <d v="2016-07-13T02:55:58Z"/>
        <d v="2016-07-13T02:56:33Z"/>
        <d v="2016-07-13T03:10:02Z"/>
        <d v="2016-07-13T03:12:16Z"/>
        <d v="2016-07-13T03:13:48Z"/>
        <d v="2016-07-13T03:14:45Z"/>
        <d v="2016-07-13T03:19:02Z"/>
        <d v="2016-07-13T03:30:39Z"/>
        <d v="2016-07-13T03:33:25Z"/>
        <d v="2016-07-13T03:33:57Z"/>
        <d v="2016-07-13T03:35:22Z"/>
        <d v="2016-07-13T03:37:10Z"/>
        <d v="2016-07-13T03:41:42Z"/>
        <d v="2016-07-13T03:44:25Z"/>
        <d v="2016-07-13T03:46:37Z"/>
        <d v="2016-07-13T03:58:00Z"/>
        <d v="2016-07-13T04:03:17Z"/>
        <d v="2016-07-13T04:11:06Z"/>
        <d v="2016-07-13T04:22:16Z"/>
        <d v="2016-07-13T04:32:49Z"/>
        <d v="2016-07-13T04:38:48Z"/>
        <d v="2016-07-13T04:40:37Z"/>
        <d v="2016-07-13T04:42:02Z"/>
        <d v="2016-07-13T04:50:45Z"/>
        <d v="2016-07-13T04:53:06Z"/>
        <d v="2016-07-13T04:58:10Z"/>
        <d v="2016-07-13T05:04:11Z"/>
        <d v="2016-07-13T05:04:12Z"/>
        <d v="2016-07-13T05:10:34Z"/>
        <d v="2016-07-13T05:13:47Z"/>
        <d v="2016-07-13T05:27:44Z"/>
        <d v="2016-07-13T05:30:28Z"/>
        <d v="2016-07-13T05:37:47Z"/>
        <d v="2016-07-13T05:41:13Z"/>
        <d v="2016-07-13T05:44:24Z"/>
        <d v="2016-07-13T05:44:44Z"/>
        <d v="2016-07-13T05:45:59Z"/>
        <d v="2016-07-13T05:55:28Z"/>
        <d v="2016-07-13T05:55:54Z"/>
        <d v="2016-07-13T05:58:33Z"/>
        <d v="2016-07-13T06:04:20Z"/>
        <d v="2016-07-13T06:07:12Z"/>
        <d v="2016-07-13T06:20:39Z"/>
        <d v="2016-07-13T06:20:53Z"/>
        <d v="2016-07-13T06:21:43Z"/>
        <d v="2016-07-13T06:26:50Z"/>
        <d v="2016-07-13T06:40:38Z"/>
        <d v="2016-07-13T06:41:50Z"/>
        <d v="2016-07-13T06:44:03Z"/>
        <d v="2016-07-13T06:50:44Z"/>
        <d v="2016-07-13T06:52:21Z"/>
        <d v="2016-07-13T06:55:45Z"/>
        <d v="2016-07-13T06:57:15Z"/>
        <d v="2016-07-13T07:03:27Z"/>
        <d v="2016-07-13T07:05:33Z"/>
        <d v="2016-07-13T07:10:18Z"/>
        <d v="2016-07-13T07:13:39Z"/>
        <d v="2016-07-13T07:16:37Z"/>
        <d v="2016-07-13T07:21:15Z"/>
        <d v="2016-07-13T07:21:45Z"/>
        <d v="2016-07-13T07:22:33Z"/>
        <d v="2016-07-13T07:36:22Z"/>
        <d v="2016-07-13T07:42:40Z"/>
        <d v="2016-07-13T07:43:36Z"/>
        <d v="2016-07-13T07:48:26Z"/>
        <d v="2016-07-13T07:55:34Z"/>
        <d v="2016-07-13T08:07:03Z"/>
        <d v="2016-07-13T08:12:02Z"/>
        <d v="2016-07-13T08:14:30Z"/>
        <d v="2016-07-13T08:15:08Z"/>
        <d v="2016-07-13T08:16:05Z"/>
        <d v="2016-07-13T08:19:00Z"/>
        <d v="2016-07-13T08:23:33Z"/>
        <d v="2016-07-13T08:23:52Z"/>
        <d v="2016-07-13T08:27:14Z"/>
        <d v="2016-07-13T08:27:41Z"/>
        <d v="2016-07-13T08:29:20Z"/>
        <d v="2016-07-13T08:33:01Z"/>
        <d v="2016-07-13T08:34:31Z"/>
        <d v="2016-07-13T08:37:42Z"/>
        <d v="2016-07-13T08:39:51Z"/>
        <d v="2016-07-13T08:40:39Z"/>
        <d v="2016-07-13T08:41:04Z"/>
        <d v="2016-07-13T08:42:30Z"/>
        <d v="2016-07-13T08:51:28Z"/>
        <d v="2016-07-13T09:05:28Z"/>
        <d v="2016-07-13T09:09:20Z"/>
        <d v="2016-07-13T09:10:21Z"/>
        <d v="2016-07-13T09:20:15Z"/>
        <d v="2016-07-13T09:34:47Z"/>
        <d v="2016-07-13T09:37:15Z"/>
        <d v="2016-07-13T09:41:57Z"/>
        <d v="2016-07-13T09:45:12Z"/>
        <d v="2016-07-13T09:52:16Z"/>
        <d v="2016-07-13T09:59:46Z"/>
        <d v="2016-07-13T10:04:45Z"/>
        <d v="2016-07-13T10:05:27Z"/>
        <d v="2016-07-13T10:05:47Z"/>
        <d v="2016-07-13T10:07:58Z"/>
        <d v="2016-07-13T10:09:09Z"/>
        <d v="2016-07-13T10:11:23Z"/>
        <d v="2016-07-13T10:12:07Z"/>
        <d v="2016-07-13T10:12:52Z"/>
        <d v="2016-07-13T10:13:08Z"/>
        <d v="2016-07-13T10:16:53Z"/>
        <d v="2016-07-13T10:25:44Z"/>
        <d v="2016-07-13T10:31:15Z"/>
        <d v="2016-07-13T10:38:09Z"/>
        <d v="2016-07-13T10:40:21Z"/>
        <d v="2016-07-13T10:41:58Z"/>
        <d v="2016-07-13T10:49:30Z"/>
        <d v="2016-07-13T11:03:57Z"/>
        <d v="2016-07-13T11:14:32Z"/>
        <d v="2016-07-13T11:39:17Z"/>
        <d v="2016-07-13T11:58:29Z"/>
        <d v="2016-07-13T12:21:27Z"/>
        <d v="2016-07-13T12:26:46Z"/>
        <d v="2016-07-13T12:34:06Z"/>
        <d v="2016-07-13T12:37:35Z"/>
        <d v="2016-07-13T12:39:01Z"/>
        <d v="2016-07-13T13:04:58Z"/>
        <d v="2016-07-13T13:17:08Z"/>
        <d v="2016-07-13T13:18:21Z"/>
        <d v="2016-07-13T13:32:11Z"/>
        <d v="2016-07-13T13:32:46Z"/>
        <d v="2016-07-13T13:41:21Z"/>
        <d v="2016-07-13T13:53:34Z"/>
        <d v="2016-07-13T14:02:38Z"/>
        <d v="2016-07-13T14:06:55Z"/>
        <d v="2016-07-13T14:13:45Z"/>
        <d v="2016-07-13T14:18:40Z"/>
        <d v="2016-07-13T14:39:43Z"/>
        <d v="2016-07-13T14:39:52Z"/>
        <d v="2016-07-13T14:40:57Z"/>
        <d v="2016-07-13T15:11:36Z"/>
        <d v="2016-07-13T15:12:06Z"/>
        <d v="2016-07-13T15:12:10Z"/>
        <d v="2016-07-13T15:20:18Z"/>
        <d v="2016-07-13T15:24:21Z"/>
        <d v="2016-07-13T15:25:37Z"/>
        <d v="2016-07-13T15:41:19Z"/>
        <d v="2016-07-13T15:56:08Z"/>
        <d v="2016-07-13T16:07:19Z"/>
        <d v="2016-07-13T16:19:43Z"/>
        <d v="2016-07-13T16:29:42Z"/>
        <d v="2016-07-13T16:35:25Z"/>
        <d v="2016-07-13T16:42:32Z"/>
        <d v="2016-07-13T17:08:21Z"/>
        <d v="2016-07-13T17:11:08Z"/>
        <d v="2016-07-13T17:13:27Z"/>
        <d v="2016-07-13T17:15:57Z"/>
        <d v="2016-07-13T17:18:26Z"/>
        <d v="2016-07-13T17:19:44Z"/>
        <d v="2016-07-13T17:20:26Z"/>
        <d v="2016-07-13T17:20:33Z"/>
        <d v="2016-07-13T17:20:58Z"/>
        <d v="2016-07-13T17:23:00Z"/>
        <d v="2016-07-13T17:25:02Z"/>
        <d v="2016-07-13T17:27:11Z"/>
        <d v="2016-07-13T17:27:28Z"/>
        <d v="2016-07-13T17:27:33Z"/>
        <d v="2016-07-13T17:28:40Z"/>
        <d v="2016-07-13T17:29:27Z"/>
        <d v="2016-07-13T17:29:50Z"/>
        <d v="2016-07-13T17:31:41Z"/>
        <d v="2016-07-13T17:32:02Z"/>
        <d v="2016-07-13T17:33:35Z"/>
        <d v="2016-07-13T17:36:04Z"/>
        <d v="2016-07-13T17:38:56Z"/>
        <d v="2016-07-13T17:39:26Z"/>
        <d v="2016-07-13T17:41:03Z"/>
        <d v="2016-07-13T17:41:10Z"/>
        <d v="2016-07-13T17:41:45Z"/>
        <d v="2016-07-13T17:41:48Z"/>
        <d v="2016-07-13T17:42:08Z"/>
        <d v="2016-07-13T17:42:15Z"/>
        <d v="2016-07-13T17:46:00Z"/>
        <d v="2016-07-13T17:48:12Z"/>
        <d v="2016-07-13T17:49:33Z"/>
        <d v="2016-07-13T17:51:55Z"/>
        <d v="2016-07-13T17:51:58Z"/>
        <d v="2016-07-13T17:55:23Z"/>
        <d v="2016-07-13T17:56:19Z"/>
        <d v="2016-07-13T17:56:59Z"/>
        <d v="2016-07-13T17:57:15Z"/>
        <d v="2016-07-13T17:57:17Z"/>
        <d v="2016-07-13T17:57:42Z"/>
        <d v="2016-07-13T17:58:43Z"/>
        <d v="2016-07-13T17:59:39Z"/>
        <d v="2016-07-13T18:02:39Z"/>
        <d v="2016-07-13T18:05:07Z"/>
        <d v="2016-07-13T18:08:59Z"/>
        <d v="2016-07-13T18:09:11Z"/>
        <d v="2016-07-13T18:10:05Z"/>
        <d v="2016-07-13T18:10:20Z"/>
        <d v="2016-07-13T18:10:22Z"/>
        <d v="2016-07-13T18:10:53Z"/>
        <d v="2016-07-13T18:13:04Z"/>
        <d v="2016-07-13T18:14:22Z"/>
        <d v="2016-07-13T18:14:44Z"/>
        <d v="2016-07-13T18:15:20Z"/>
        <d v="2016-07-13T18:16:37Z"/>
        <d v="2016-07-13T18:19:52Z"/>
        <d v="2016-07-13T18:22:10Z"/>
        <d v="2016-07-13T18:22:50Z"/>
        <d v="2016-07-13T18:22:52Z"/>
        <d v="2016-07-13T18:23:10Z"/>
        <d v="2016-07-13T18:24:42Z"/>
        <d v="2016-07-13T18:26:07Z"/>
        <d v="2016-07-13T18:26:31Z"/>
        <d v="2016-07-13T18:27:03Z"/>
        <d v="2016-07-13T18:27:30Z"/>
        <d v="2016-07-13T18:27:38Z"/>
        <d v="2016-07-13T18:27:50Z"/>
        <d v="2016-07-13T18:29:42Z"/>
        <d v="2016-07-13T18:29:53Z"/>
        <d v="2016-07-13T18:30:58Z"/>
        <d v="2016-07-13T18:32:31Z"/>
        <d v="2016-07-13T18:32:52Z"/>
        <d v="2016-07-13T18:33:48Z"/>
        <d v="2016-07-13T18:33:53Z"/>
        <d v="2016-07-13T18:35:14Z"/>
        <d v="2016-07-13T18:36:44Z"/>
        <d v="2016-07-13T18:38:39Z"/>
        <d v="2016-07-13T18:39:24Z"/>
        <d v="2016-07-13T18:43:05Z"/>
        <d v="2016-07-13T18:44:18Z"/>
        <d v="2016-07-13T18:44:35Z"/>
        <d v="2016-07-13T18:45:35Z"/>
        <d v="2016-07-13T18:47:45Z"/>
        <d v="2016-07-13T18:48:37Z"/>
        <d v="2016-07-13T18:49:22Z"/>
        <d v="2016-07-13T18:49:37Z"/>
        <d v="2016-07-13T18:49:39Z"/>
        <d v="2016-07-13T18:50:47Z"/>
        <d v="2016-07-13T18:51:25Z"/>
        <d v="2016-07-13T18:53:47Z"/>
        <d v="2016-07-13T18:54:25Z"/>
        <d v="2016-07-13T18:55:46Z"/>
        <d v="2016-07-13T18:57:10Z"/>
        <d v="2016-07-13T18:58:18Z"/>
        <d v="2016-07-13T18:58:26Z"/>
        <d v="2016-07-13T19:00:30Z"/>
        <d v="2016-07-13T19:00:33Z"/>
        <d v="2016-07-13T19:05:33Z"/>
        <d v="2016-07-13T19:05:47Z"/>
        <d v="2016-07-13T19:06:14Z"/>
        <d v="2016-07-13T19:07:22Z"/>
        <d v="2016-07-13T19:07:30Z"/>
        <d v="2016-07-13T19:09:37Z"/>
        <d v="2016-07-13T19:11:24Z"/>
        <d v="2016-07-13T19:12:31Z"/>
        <d v="2016-07-13T19:15:11Z"/>
        <d v="2016-07-13T19:16:09Z"/>
        <d v="2016-07-13T19:17:13Z"/>
        <d v="2016-07-13T19:21:54Z"/>
        <d v="2016-07-13T19:22:20Z"/>
        <d v="2016-07-13T19:22:42Z"/>
        <d v="2016-07-13T19:24:25Z"/>
        <d v="2016-07-13T19:24:59Z"/>
        <d v="2016-07-13T19:25:15Z"/>
        <d v="2016-07-13T19:25:45Z"/>
        <d v="2016-07-13T19:25:56Z"/>
        <d v="2016-07-13T19:31:18Z"/>
        <d v="2016-07-13T19:31:23Z"/>
        <d v="2016-07-13T19:33:06Z"/>
        <d v="2016-07-13T19:35:06Z"/>
        <d v="2016-07-13T19:35:08Z"/>
        <d v="2016-07-13T19:36:32Z"/>
        <d v="2016-07-13T19:37:11Z"/>
        <d v="2016-07-13T19:38:01Z"/>
        <d v="2016-07-13T19:40:17Z"/>
        <d v="2016-07-13T19:40:23Z"/>
        <d v="2016-07-13T19:41:10Z"/>
        <d v="2016-07-13T19:43:04Z"/>
        <d v="2016-07-13T19:43:10Z"/>
        <d v="2016-07-13T19:43:55Z"/>
        <d v="2016-07-13T19:44:06Z"/>
        <d v="2016-07-13T19:45:28Z"/>
        <d v="2016-07-13T19:45:37Z"/>
        <d v="2016-07-13T19:46:25Z"/>
        <d v="2016-07-13T19:47:39Z"/>
        <d v="2016-07-13T19:48:27Z"/>
        <d v="2016-07-13T19:49:05Z"/>
        <d v="2016-07-13T19:50:13Z"/>
        <d v="2016-07-13T19:50:19Z"/>
        <d v="2016-07-13T19:51:31Z"/>
        <d v="2016-07-13T19:51:48Z"/>
        <d v="2016-07-13T19:51:59Z"/>
        <d v="2016-07-13T19:53:41Z"/>
        <d v="2016-07-13T19:55:51Z"/>
        <d v="2016-07-13T19:58:25Z"/>
        <d v="2016-07-13T19:58:46Z"/>
        <d v="2016-07-13T19:59:20Z"/>
        <d v="2016-07-13T19:59:37Z"/>
        <d v="2016-07-13T20:01:01Z"/>
        <d v="2016-07-13T20:04:40Z"/>
        <d v="2016-07-13T20:04:44Z"/>
        <d v="2016-07-13T20:04:47Z"/>
        <d v="2016-07-13T20:05:16Z"/>
        <d v="2016-07-13T20:06:18Z"/>
        <d v="2016-07-13T20:10:18Z"/>
        <d v="2016-07-13T20:11:01Z"/>
        <d v="2016-07-13T20:11:29Z"/>
        <d v="2016-07-13T20:12:37Z"/>
        <d v="2016-07-13T20:19:40Z"/>
        <d v="2016-07-13T20:20:28Z"/>
        <d v="2016-07-13T20:22:32Z"/>
        <d v="2016-07-13T20:25:39Z"/>
        <d v="2016-07-13T20:29:44Z"/>
        <d v="2016-07-13T20:30:48Z"/>
        <d v="2016-07-13T20:31:09Z"/>
        <d v="2016-07-13T20:32:20Z"/>
        <d v="2016-07-13T20:32:47Z"/>
        <d v="2016-07-13T20:33:07Z"/>
        <d v="2016-07-13T20:35:05Z"/>
        <d v="2016-07-13T20:35:23Z"/>
        <d v="2016-07-13T20:35:36Z"/>
        <d v="2016-07-13T20:39:19Z"/>
        <d v="2016-07-13T20:40:26Z"/>
        <d v="2016-07-13T20:40:37Z"/>
        <d v="2016-07-13T20:40:53Z"/>
        <d v="2016-07-13T20:42:31Z"/>
        <d v="2016-07-13T20:43:54Z"/>
        <d v="2016-07-13T20:44:38Z"/>
        <d v="2016-07-13T20:44:50Z"/>
        <d v="2016-07-13T20:45:01Z"/>
        <d v="2016-07-13T20:45:56Z"/>
        <d v="2016-07-13T20:46:35Z"/>
        <d v="2016-07-13T20:48:35Z"/>
        <d v="2016-07-13T20:49:06Z"/>
        <d v="2016-07-13T20:49:24Z"/>
        <d v="2016-07-13T20:51:10Z"/>
        <d v="2016-07-13T20:51:18Z"/>
        <d v="2016-07-13T20:52:04Z"/>
        <d v="2016-07-13T20:53:15Z"/>
        <d v="2016-07-13T20:54:38Z"/>
        <d v="2016-07-13T20:56:07Z"/>
        <d v="2016-07-13T20:56:26Z"/>
        <d v="2016-07-13T20:58:17Z"/>
        <d v="2016-07-13T21:00:00Z"/>
        <d v="2016-07-13T21:02:40Z"/>
        <d v="2016-07-13T21:03:19Z"/>
        <d v="2016-07-13T21:07:33Z"/>
        <d v="2016-07-13T21:09:20Z"/>
        <d v="2016-07-13T21:09:28Z"/>
        <d v="2016-07-13T21:10:59Z"/>
        <d v="2016-07-13T21:11:29Z"/>
        <d v="2016-07-13T21:13:20Z"/>
        <d v="2016-07-13T21:14:01Z"/>
        <d v="2016-07-13T21:18:49Z"/>
        <d v="2016-07-13T21:20:00Z"/>
        <d v="2016-07-13T21:20:59Z"/>
        <d v="2016-07-13T21:21:26Z"/>
        <d v="2016-07-13T21:22:11Z"/>
        <d v="2016-07-13T21:23:59Z"/>
        <d v="2016-07-13T21:25:46Z"/>
        <d v="2016-07-13T21:27:41Z"/>
        <d v="2016-07-13T21:27:42Z"/>
        <d v="2016-07-13T21:28:20Z"/>
        <d v="2016-07-13T21:28:29Z"/>
        <d v="2016-07-13T21:30:19Z"/>
        <d v="2016-07-13T21:33:44Z"/>
        <d v="2016-07-13T21:34:46Z"/>
        <d v="2016-07-13T21:34:47Z"/>
        <d v="2016-07-13T21:36:01Z"/>
        <d v="2016-07-13T21:36:25Z"/>
        <d v="2016-07-13T21:37:00Z"/>
        <d v="2016-07-13T21:37:17Z"/>
        <d v="2016-07-13T21:38:06Z"/>
        <d v="2016-07-13T21:38:48Z"/>
        <d v="2016-07-13T21:43:47Z"/>
        <d v="2016-07-13T21:45:06Z"/>
        <d v="2016-07-13T21:47:25Z"/>
        <d v="2016-07-13T21:47:58Z"/>
        <d v="2016-07-13T21:48:20Z"/>
        <d v="2016-07-13T21:48:57Z"/>
        <d v="2016-07-13T21:49:18Z"/>
        <d v="2016-07-13T21:51:47Z"/>
        <d v="2016-07-13T21:51:55Z"/>
        <d v="2016-07-13T21:52:24Z"/>
        <d v="2016-07-13T21:53:07Z"/>
        <d v="2016-07-13T21:53:34Z"/>
        <d v="2016-07-13T21:53:48Z"/>
        <d v="2016-07-13T21:54:13Z"/>
        <d v="2016-07-13T21:56:38Z"/>
        <d v="2016-07-13T21:57:08Z"/>
        <d v="2016-07-13T21:57:45Z"/>
        <d v="2016-07-13T21:58:16Z"/>
        <d v="2016-07-13T21:59:13Z"/>
        <d v="2016-07-13T21:59:30Z"/>
        <d v="2016-07-13T22:01:49Z"/>
        <d v="2016-07-13T22:03:00Z"/>
        <d v="2016-07-13T22:03:45Z"/>
        <d v="2016-07-13T22:05:11Z"/>
        <d v="2016-07-13T22:05:37Z"/>
        <d v="2016-07-13T22:05:57Z"/>
        <d v="2016-07-13T22:09:27Z"/>
        <d v="2016-07-13T22:09:31Z"/>
        <d v="2016-07-13T22:11:11Z"/>
        <d v="2016-07-13T22:12:01Z"/>
        <d v="2016-07-13T22:12:13Z"/>
        <d v="2016-07-13T22:12:25Z"/>
        <d v="2016-07-13T22:12:35Z"/>
        <d v="2016-07-13T22:14:33Z"/>
        <d v="2016-07-13T22:14:56Z"/>
        <d v="2016-07-13T22:18:14Z"/>
        <d v="2016-07-13T22:18:36Z"/>
        <d v="2016-07-13T22:21:30Z"/>
        <d v="2016-07-13T22:22:57Z"/>
        <d v="2016-07-13T22:23:03Z"/>
        <d v="2016-07-13T22:23:25Z"/>
        <d v="2016-07-13T22:23:26Z"/>
        <d v="2016-07-13T22:27:01Z"/>
        <d v="2016-07-13T22:28:10Z"/>
        <d v="2016-07-13T22:28:45Z"/>
        <d v="2016-07-13T22:30:11Z"/>
        <d v="2016-07-13T22:30:44Z"/>
        <d v="2016-07-13T22:36:50Z"/>
        <d v="2016-07-13T22:37:24Z"/>
        <d v="2016-07-13T22:40:37Z"/>
        <d v="2016-07-13T22:46:01Z"/>
        <d v="2016-07-13T22:46:03Z"/>
        <d v="2016-07-13T22:47:26Z"/>
        <d v="2016-07-13T22:50:57Z"/>
        <d v="2016-07-13T22:55:25Z"/>
        <d v="2016-07-13T22:57:16Z"/>
        <d v="2016-07-13T22:59:34Z"/>
        <d v="2016-07-13T22:59:42Z"/>
        <d v="2016-07-13T23:00:38Z"/>
        <d v="2016-07-13T23:04:37Z"/>
        <d v="2016-07-13T23:07:56Z"/>
        <d v="2016-07-13T23:16:12Z"/>
        <d v="2016-07-13T23:17:02Z"/>
        <d v="2016-07-13T23:17:29Z"/>
        <d v="2016-07-13T23:23:36Z"/>
        <d v="2016-07-13T23:36:17Z"/>
        <d v="2016-07-13T23:39:08Z"/>
        <d v="2016-07-13T23:39:52Z"/>
        <d v="2016-07-13T23:45:17Z"/>
        <d v="2016-07-13T23:47:49Z"/>
        <d v="2016-07-13T23:50:18Z"/>
        <d v="2016-07-13T23:50:50Z"/>
        <d v="2016-07-13T23:52:32Z"/>
        <d v="2016-07-13T23:53:32Z"/>
        <d v="2016-07-13T23:56:55Z"/>
        <d v="2016-07-13T23:59:02Z"/>
        <d v="2016-07-14T00:09:03Z"/>
        <d v="2016-07-14T00:14:26Z"/>
        <d v="2016-07-14T00:15:43Z"/>
        <d v="2016-07-14T00:25:33Z"/>
        <d v="2016-07-14T00:29:50Z"/>
        <d v="2016-07-14T00:31:24Z"/>
        <d v="2016-07-14T00:31:57Z"/>
        <d v="2016-07-14T00:34:22Z"/>
        <d v="2016-07-14T00:39:13Z"/>
        <d v="2016-07-14T00:51:37Z"/>
        <d v="2016-07-14T00:57:03Z"/>
        <d v="2016-07-14T01:00:53Z"/>
        <d v="2016-07-14T01:03:27Z"/>
        <d v="2016-07-14T01:10:22Z"/>
        <d v="2016-07-14T01:15:26Z"/>
        <d v="2016-07-14T01:16:34Z"/>
        <d v="2016-07-14T01:22:56Z"/>
        <d v="2016-07-14T01:23:08Z"/>
        <d v="2016-07-14T01:25:25Z"/>
        <d v="2016-07-14T01:27:38Z"/>
        <d v="2016-07-14T01:29:49Z"/>
        <d v="2016-07-14T01:33:55Z"/>
        <d v="2016-07-14T01:35:55Z"/>
        <d v="2016-07-14T01:36:26Z"/>
        <d v="2016-07-14T01:42:36Z"/>
        <d v="2016-07-14T01:48:00Z"/>
        <d v="2016-07-14T01:59:16Z"/>
        <d v="2016-07-14T02:00:05Z"/>
        <d v="2016-07-14T02:02:39Z"/>
        <d v="2016-07-14T02:03:03Z"/>
        <d v="2016-07-14T02:03:04Z"/>
        <d v="2016-07-14T02:04:37Z"/>
        <d v="2016-07-14T02:16:28Z"/>
        <d v="2016-07-14T02:18:01Z"/>
        <d v="2016-07-14T02:29:31Z"/>
        <d v="2016-07-14T02:35:50Z"/>
        <d v="2016-07-14T02:46:05Z"/>
        <d v="2016-07-14T02:52:38Z"/>
        <d v="2016-07-14T02:53:34Z"/>
        <d v="2016-07-14T02:55:11Z"/>
        <d v="2016-07-14T03:10:03Z"/>
        <d v="2016-07-14T03:13:22Z"/>
        <d v="2016-07-14T03:22:45Z"/>
        <d v="2016-07-14T03:30:27Z"/>
        <d v="2016-07-14T03:31:37Z"/>
        <d v="2016-07-14T03:38:21Z"/>
        <d v="2016-07-14T03:38:51Z"/>
        <d v="2016-07-14T03:39:43Z"/>
        <d v="2016-07-14T03:45:15Z"/>
        <d v="2016-07-14T03:51:51Z"/>
        <d v="2016-07-14T03:58:07Z"/>
        <d v="2016-07-14T04:00:13Z"/>
        <d v="2016-07-14T04:02:26Z"/>
        <d v="2016-07-14T04:03:52Z"/>
        <d v="2016-07-14T04:06:34Z"/>
        <d v="2016-07-14T04:11:42Z"/>
        <d v="2016-07-14T04:13:48Z"/>
        <d v="2016-07-14T04:27:49Z"/>
        <d v="2016-07-14T04:38:53Z"/>
        <d v="2016-07-14T04:41:23Z"/>
        <d v="2016-07-14T04:41:36Z"/>
        <d v="2016-07-14T04:46:22Z"/>
        <d v="2016-07-14T04:46:47Z"/>
        <d v="2016-07-14T04:48:44Z"/>
        <d v="2016-07-14T04:49:00Z"/>
        <d v="2016-07-14T04:49:41Z"/>
        <d v="2016-07-14T04:50:32Z"/>
        <d v="2016-07-14T04:55:34Z"/>
        <d v="2016-07-14T04:59:37Z"/>
        <d v="2016-07-14T05:05:36Z"/>
        <d v="2016-07-14T05:17:05Z"/>
        <d v="2016-07-14T05:21:22Z"/>
        <d v="2016-07-14T05:25:23Z"/>
        <d v="2016-07-14T05:25:50Z"/>
        <d v="2016-07-14T05:32:43Z"/>
        <d v="2016-07-14T05:39:05Z"/>
        <d v="2016-07-14T05:42:18Z"/>
        <d v="2016-07-14T05:43:43Z"/>
        <d v="2016-07-14T05:45:53Z"/>
        <d v="2016-07-14T05:52:54Z"/>
        <d v="2016-07-14T05:53:49Z"/>
        <d v="2016-07-14T05:56:28Z"/>
        <d v="2016-07-14T05:56:44Z"/>
        <d v="2016-07-14T06:00:16Z"/>
        <d v="2016-07-14T06:01:09Z"/>
        <d v="2016-07-14T06:03:24Z"/>
        <d v="2016-07-14T06:05:59Z"/>
        <d v="2016-07-14T06:10:09Z"/>
        <d v="2016-07-14T06:12:50Z"/>
        <d v="2016-07-14T06:15:24Z"/>
        <d v="2016-07-14T06:17:08Z"/>
        <d v="2016-07-14T06:19:24Z"/>
        <d v="2016-07-14T06:22:46Z"/>
        <d v="2016-07-14T06:29:00Z"/>
        <d v="2016-07-14T06:31:08Z"/>
        <d v="2016-07-14T06:31:54Z"/>
        <d v="2016-07-14T06:35:49Z"/>
        <d v="2016-07-14T06:40:00Z"/>
        <d v="2016-07-14T06:42:26Z"/>
        <d v="2016-07-14T06:42:45Z"/>
        <d v="2016-07-14T06:49:36Z"/>
        <d v="2016-07-14T06:50:07Z"/>
        <d v="2016-07-14T06:51:18Z"/>
        <d v="2016-07-14T06:51:23Z"/>
        <d v="2016-07-14T06:56:08Z"/>
        <d v="2016-07-14T07:02:37Z"/>
        <d v="2016-07-14T07:04:11Z"/>
        <d v="2016-07-14T07:13:05Z"/>
        <d v="2016-07-14T07:15:56Z"/>
        <d v="2016-07-14T07:18:15Z"/>
        <d v="2016-07-14T07:18:44Z"/>
        <d v="2016-07-14T07:21:03Z"/>
        <d v="2016-07-14T07:23:46Z"/>
        <d v="2016-07-14T07:24:00Z"/>
        <d v="2016-07-14T07:30:16Z"/>
        <d v="2016-07-14T07:35:22Z"/>
        <d v="2016-07-14T07:39:56Z"/>
        <d v="2016-07-14T07:48:04Z"/>
        <d v="2016-07-14T07:54:34Z"/>
        <d v="2016-07-14T08:00:33Z"/>
        <d v="2016-07-14T08:01:13Z"/>
        <d v="2016-07-14T08:08:27Z"/>
        <d v="2016-07-14T08:11:45Z"/>
        <d v="2016-07-14T08:17:26Z"/>
        <d v="2016-07-14T08:24:18Z"/>
        <d v="2016-07-14T08:24:27Z"/>
        <d v="2016-07-14T08:24:31Z"/>
        <d v="2016-07-14T08:25:23Z"/>
        <d v="2016-07-14T08:29:45Z"/>
        <d v="2016-07-14T08:36:08Z"/>
        <d v="2016-07-14T08:36:39Z"/>
        <d v="2016-07-14T08:43:46Z"/>
        <d v="2016-07-14T08:46:09Z"/>
        <d v="2016-07-14T08:48:43Z"/>
        <d v="2016-07-14T08:51:05Z"/>
        <d v="2016-07-14T08:52:53Z"/>
        <d v="2016-07-14T08:58:03Z"/>
        <d v="2016-07-14T09:00:23Z"/>
        <d v="2016-07-14T09:05:56Z"/>
        <d v="2016-07-14T09:06:02Z"/>
        <d v="2016-07-14T09:06:46Z"/>
        <d v="2016-07-14T09:07:30Z"/>
        <d v="2016-07-14T09:27:58Z"/>
        <d v="2016-07-14T09:28:49Z"/>
        <d v="2016-07-14T09:28:53Z"/>
        <d v="2016-07-14T09:36:28Z"/>
        <d v="2016-07-14T09:37:21Z"/>
        <d v="2016-07-14T09:38:24Z"/>
        <d v="2016-07-14T09:42:36Z"/>
        <d v="2016-07-14T09:42:54Z"/>
        <d v="2016-07-14T09:43:53Z"/>
        <d v="2016-07-14T09:45:20Z"/>
        <d v="2016-07-14T09:46:03Z"/>
        <d v="2016-07-14T09:46:09Z"/>
        <d v="2016-07-14T09:49:25Z"/>
        <d v="2016-07-14T09:52:52Z"/>
        <d v="2016-07-14T09:59:45Z"/>
        <d v="2016-07-14T10:00:10Z"/>
        <d v="2016-07-14T10:00:11Z"/>
        <d v="2016-07-14T10:01:39Z"/>
        <d v="2016-07-14T10:03:34Z"/>
        <d v="2016-07-14T10:06:29Z"/>
        <d v="2016-07-14T10:07:11Z"/>
        <d v="2016-07-14T10:07:56Z"/>
        <d v="2016-07-14T10:08:31Z"/>
        <d v="2016-07-14T10:12:33Z"/>
        <d v="2016-07-14T10:13:11Z"/>
        <d v="2016-07-14T10:19:58Z"/>
        <d v="2016-07-14T10:23:43Z"/>
        <d v="2016-07-14T10:25:40Z"/>
        <d v="2016-07-14T10:43:18Z"/>
        <d v="2016-07-14T10:55:38Z"/>
        <d v="2016-07-14T11:00:28Z"/>
        <d v="2016-07-14T11:02:20Z"/>
        <d v="2016-07-14T11:04:37Z"/>
        <d v="2016-07-14T11:11:21Z"/>
        <d v="2016-07-14T11:21:02Z"/>
        <d v="2016-07-14T11:30:31Z"/>
        <d v="2016-07-14T11:32:34Z"/>
        <d v="2016-07-14T11:39:12Z"/>
        <d v="2016-07-14T11:50:35Z"/>
        <d v="2016-07-14T11:58:16Z"/>
        <d v="2016-07-14T12:13:01Z"/>
        <d v="2016-07-14T12:13:24Z"/>
        <d v="2016-07-14T12:26:36Z"/>
        <d v="2016-07-14T12:36:33Z"/>
        <d v="2016-07-14T12:39:26Z"/>
        <d v="2016-07-14T12:44:22Z"/>
        <d v="2016-07-14T12:49:15Z"/>
        <d v="2016-07-14T12:49:20Z"/>
        <d v="2016-07-14T13:03:07Z"/>
        <d v="2016-07-14T13:04:58Z"/>
        <d v="2016-07-14T13:12:54Z"/>
        <d v="2016-07-14T13:13:02Z"/>
        <d v="2016-07-14T13:13:28Z"/>
        <d v="2016-07-14T13:16:08Z"/>
        <d v="2016-07-14T13:18:20Z"/>
        <d v="2016-07-14T13:18:56Z"/>
        <d v="2016-07-14T13:56:39Z"/>
        <d v="2016-07-14T14:37:02Z"/>
        <d v="2016-07-14T15:00:36Z"/>
        <d v="2016-07-14T15:03:28Z"/>
        <d v="2016-07-14T15:10:29Z"/>
        <d v="2016-07-14T15:11:40Z"/>
        <d v="2016-07-14T15:30:46Z"/>
        <d v="2016-07-14T15:33:56Z"/>
        <d v="2016-07-14T15:55:09Z"/>
        <d v="2016-07-14T16:21:48Z"/>
        <d v="2016-07-14T16:29:23Z"/>
        <d v="2016-07-14T16:33:22Z"/>
        <d v="2016-07-14T16:42:53Z"/>
        <d v="2016-07-14T16:44:59Z"/>
        <d v="2016-07-14T16:47:30Z"/>
        <d v="2016-07-14T16:55:09Z"/>
        <d v="2016-07-14T17:02:52Z"/>
        <d v="2016-07-14T17:06:55Z"/>
        <d v="2016-07-14T17:14:22Z"/>
        <d v="2016-07-14T17:14:31Z"/>
        <d v="2016-07-14T17:14:49Z"/>
        <d v="2016-07-14T17:15:22Z"/>
        <d v="2016-07-14T17:17:26Z"/>
        <d v="2016-07-14T17:18:14Z"/>
        <d v="2016-07-14T17:18:21Z"/>
        <d v="2016-07-14T17:20:56Z"/>
        <d v="2016-07-14T17:21:14Z"/>
        <d v="2016-07-14T17:21:48Z"/>
        <d v="2016-07-14T17:24:44Z"/>
        <d v="2016-07-14T17:24:53Z"/>
        <d v="2016-07-14T17:25:02Z"/>
        <d v="2016-07-14T17:25:30Z"/>
        <d v="2016-07-14T17:26:50Z"/>
        <d v="2016-07-14T17:27:16Z"/>
        <d v="2016-07-14T17:27:31Z"/>
        <d v="2016-07-14T17:27:45Z"/>
        <d v="2016-07-14T17:27:46Z"/>
        <d v="2016-07-14T17:28:37Z"/>
        <d v="2016-07-14T17:28:58Z"/>
        <d v="2016-07-14T17:30:35Z"/>
        <d v="2016-07-14T17:30:47Z"/>
        <d v="2016-07-14T17:30:51Z"/>
        <d v="2016-07-14T17:33:46Z"/>
        <d v="2016-07-14T17:34:06Z"/>
        <d v="2016-07-14T17:34:34Z"/>
        <d v="2016-07-14T17:34:46Z"/>
        <d v="2016-07-14T17:35:02Z"/>
        <d v="2016-07-14T17:35:59Z"/>
        <d v="2016-07-14T17:36:08Z"/>
        <d v="2016-07-14T17:36:45Z"/>
        <d v="2016-07-14T17:38:56Z"/>
        <d v="2016-07-14T17:43:04Z"/>
        <d v="2016-07-14T17:43:44Z"/>
        <d v="2016-07-14T17:44:27Z"/>
        <d v="2016-07-14T17:44:39Z"/>
        <d v="2016-07-14T17:47:02Z"/>
        <d v="2016-07-14T17:47:04Z"/>
        <d v="2016-07-14T17:48:48Z"/>
        <d v="2016-07-14T17:50:53Z"/>
        <d v="2016-07-14T17:51:28Z"/>
        <d v="2016-07-14T17:52:06Z"/>
        <d v="2016-07-14T17:53:51Z"/>
        <d v="2016-07-14T17:55:37Z"/>
        <d v="2016-07-14T17:56:02Z"/>
        <d v="2016-07-14T17:58:23Z"/>
        <d v="2016-07-14T17:58:25Z"/>
        <d v="2016-07-14T18:00:30Z"/>
        <d v="2016-07-14T18:01:06Z"/>
        <d v="2016-07-14T18:02:21Z"/>
        <d v="2016-07-14T18:04:03Z"/>
        <d v="2016-07-14T18:04:57Z"/>
        <d v="2016-07-14T18:06:45Z"/>
        <d v="2016-07-14T18:10:00Z"/>
        <d v="2016-07-14T18:10:12Z"/>
        <d v="2016-07-14T18:10:29Z"/>
        <d v="2016-07-14T18:10:46Z"/>
        <d v="2016-07-14T18:11:14Z"/>
        <d v="2016-07-14T18:13:32Z"/>
        <d v="2016-07-14T18:14:47Z"/>
        <d v="2016-07-14T18:15:14Z"/>
        <d v="2016-07-14T18:15:19Z"/>
        <d v="2016-07-14T18:15:44Z"/>
        <d v="2016-07-14T18:15:49Z"/>
        <d v="2016-07-14T18:16:24Z"/>
        <d v="2016-07-14T18:16:43Z"/>
        <d v="2016-07-14T18:17:23Z"/>
        <d v="2016-07-14T18:17:40Z"/>
        <d v="2016-07-14T18:22:19Z"/>
        <d v="2016-07-14T18:25:40Z"/>
        <d v="2016-07-14T18:26:09Z"/>
        <d v="2016-07-14T18:28:38Z"/>
        <d v="2016-07-14T18:29:35Z"/>
        <d v="2016-07-14T18:29:44Z"/>
        <d v="2016-07-14T18:30:19Z"/>
        <d v="2016-07-14T18:30:56Z"/>
        <d v="2016-07-14T18:31:07Z"/>
        <d v="2016-07-14T18:32:30Z"/>
        <d v="2016-07-14T18:33:44Z"/>
        <d v="2016-07-14T18:34:46Z"/>
        <d v="2016-07-14T18:34:48Z"/>
        <d v="2016-07-14T18:36:00Z"/>
        <d v="2016-07-14T18:36:15Z"/>
        <d v="2016-07-14T18:36:25Z"/>
        <d v="2016-07-14T18:36:36Z"/>
        <d v="2016-07-14T18:37:26Z"/>
        <d v="2016-07-14T18:38:01Z"/>
        <d v="2016-07-14T18:44:15Z"/>
        <d v="2016-07-14T18:44:16Z"/>
        <d v="2016-07-14T18:45:12Z"/>
        <d v="2016-07-14T18:45:17Z"/>
        <d v="2016-07-14T18:47:22Z"/>
        <d v="2016-07-14T18:47:23Z"/>
        <d v="2016-07-14T18:47:37Z"/>
        <d v="2016-07-14T18:48:28Z"/>
        <d v="2016-07-14T18:48:36Z"/>
        <d v="2016-07-14T18:48:45Z"/>
        <d v="2016-07-14T18:48:59Z"/>
        <d v="2016-07-14T18:49:48Z"/>
        <d v="2016-07-14T18:49:50Z"/>
        <d v="2016-07-14T18:52:21Z"/>
        <d v="2016-07-14T18:53:04Z"/>
        <d v="2016-07-14T18:53:59Z"/>
        <d v="2016-07-14T18:55:12Z"/>
        <d v="2016-07-14T18:56:45Z"/>
        <d v="2016-07-14T18:56:55Z"/>
        <d v="2016-07-14T18:57:54Z"/>
        <d v="2016-07-14T18:58:17Z"/>
        <d v="2016-07-14T18:58:31Z"/>
        <d v="2016-07-14T19:00:24Z"/>
        <d v="2016-07-14T19:01:06Z"/>
        <d v="2016-07-14T19:02:20Z"/>
        <d v="2016-07-14T19:02:30Z"/>
        <d v="2016-07-14T19:04:05Z"/>
        <d v="2016-07-14T19:04:18Z"/>
        <d v="2016-07-14T19:05:28Z"/>
        <d v="2016-07-14T19:05:47Z"/>
        <d v="2016-07-14T19:06:09Z"/>
        <d v="2016-07-14T19:06:13Z"/>
        <d v="2016-07-14T19:06:43Z"/>
        <d v="2016-07-14T19:08:13Z"/>
        <d v="2016-07-14T19:09:22Z"/>
        <d v="2016-07-14T19:10:01Z"/>
        <d v="2016-07-14T19:10:41Z"/>
        <d v="2016-07-14T19:11:50Z"/>
        <d v="2016-07-14T19:12:03Z"/>
        <d v="2016-07-14T19:13:31Z"/>
        <d v="2016-07-14T19:17:42Z"/>
        <d v="2016-07-14T19:18:29Z"/>
        <d v="2016-07-14T19:18:43Z"/>
        <d v="2016-07-14T19:20:18Z"/>
        <d v="2016-07-14T19:20:59Z"/>
        <d v="2016-07-14T19:21:15Z"/>
        <d v="2016-07-14T19:22:15Z"/>
        <d v="2016-07-14T19:22:50Z"/>
        <d v="2016-07-14T19:24:18Z"/>
        <d v="2016-07-14T19:24:24Z"/>
        <d v="2016-07-14T19:24:34Z"/>
        <d v="2016-07-14T19:24:50Z"/>
        <d v="2016-07-14T19:25:41Z"/>
        <d v="2016-07-14T19:26:40Z"/>
        <d v="2016-07-14T19:26:41Z"/>
        <d v="2016-07-14T19:27:26Z"/>
        <d v="2016-07-14T19:27:35Z"/>
        <d v="2016-07-14T19:28:12Z"/>
        <d v="2016-07-14T19:29:37Z"/>
        <d v="2016-07-14T19:30:46Z"/>
        <d v="2016-07-14T19:31:43Z"/>
        <d v="2016-07-14T19:33:02Z"/>
        <d v="2016-07-14T19:34:56Z"/>
        <d v="2016-07-14T19:36:02Z"/>
        <d v="2016-07-14T19:36:34Z"/>
        <d v="2016-07-14T19:38:32Z"/>
        <d v="2016-07-14T19:39:27Z"/>
        <d v="2016-07-14T19:41:27Z"/>
        <d v="2016-07-14T19:44:00Z"/>
        <d v="2016-07-14T19:44:45Z"/>
        <d v="2016-07-14T19:45:37Z"/>
        <d v="2016-07-14T19:46:14Z"/>
        <d v="2016-07-14T19:47:18Z"/>
        <d v="2016-07-14T19:47:30Z"/>
        <d v="2016-07-14T19:49:25Z"/>
        <d v="2016-07-14T19:49:28Z"/>
        <d v="2016-07-14T19:50:05Z"/>
        <d v="2016-07-14T19:52:10Z"/>
        <d v="2016-07-14T19:52:43Z"/>
        <d v="2016-07-14T19:53:40Z"/>
        <d v="2016-07-14T19:54:10Z"/>
        <d v="2016-07-14T19:54:29Z"/>
        <d v="2016-07-14T19:56:17Z"/>
        <d v="2016-07-14T19:56:21Z"/>
        <d v="2016-07-14T19:57:06Z"/>
        <d v="2016-07-14T19:57:52Z"/>
        <d v="2016-07-14T19:58:32Z"/>
        <d v="2016-07-14T19:59:18Z"/>
        <d v="2016-07-14T19:59:48Z"/>
        <d v="2016-07-14T19:59:58Z"/>
        <d v="2016-07-14T20:00:48Z"/>
        <d v="2016-07-14T20:00:55Z"/>
        <d v="2016-07-14T20:02:23Z"/>
        <d v="2016-07-14T20:03:50Z"/>
        <d v="2016-07-14T20:04:55Z"/>
        <d v="2016-07-14T20:06:35Z"/>
        <d v="2016-07-14T20:06:40Z"/>
        <d v="2016-07-14T20:07:58Z"/>
        <d v="2016-07-14T20:08:34Z"/>
        <d v="2016-07-14T20:09:06Z"/>
        <d v="2016-07-14T20:09:13Z"/>
        <d v="2016-07-14T20:09:49Z"/>
        <d v="2016-07-14T20:10:11Z"/>
        <d v="2016-07-14T20:10:31Z"/>
        <d v="2016-07-14T20:12:41Z"/>
        <d v="2016-07-14T20:12:46Z"/>
        <d v="2016-07-14T20:13:12Z"/>
        <d v="2016-07-14T20:13:32Z"/>
        <d v="2016-07-14T20:13:35Z"/>
        <d v="2016-07-14T20:14:35Z"/>
        <d v="2016-07-14T20:14:50Z"/>
        <d v="2016-07-14T20:15:50Z"/>
        <d v="2016-07-14T20:16:25Z"/>
        <d v="2016-07-14T20:16:45Z"/>
        <d v="2016-07-14T20:18:17Z"/>
        <d v="2016-07-14T20:19:48Z"/>
        <d v="2016-07-14T20:20:39Z"/>
        <d v="2016-07-14T20:21:30Z"/>
        <d v="2016-07-14T20:22:44Z"/>
        <d v="2016-07-14T20:23:19Z"/>
        <d v="2016-07-14T20:24:20Z"/>
        <d v="2016-07-14T20:24:33Z"/>
        <d v="2016-07-14T20:26:03Z"/>
        <d v="2016-07-14T20:26:14Z"/>
        <d v="2016-07-14T20:26:22Z"/>
        <d v="2016-07-14T20:29:01Z"/>
        <d v="2016-07-14T20:30:55Z"/>
        <d v="2016-07-14T20:31:29Z"/>
        <d v="2016-07-14T20:31:56Z"/>
        <d v="2016-07-14T20:33:07Z"/>
        <d v="2016-07-14T20:33:29Z"/>
        <d v="2016-07-14T20:33:48Z"/>
        <d v="2016-07-14T20:33:53Z"/>
        <d v="2016-07-14T20:34:28Z"/>
        <d v="2016-07-14T20:34:55Z"/>
        <d v="2016-07-14T20:36:38Z"/>
        <d v="2016-07-14T20:37:22Z"/>
        <d v="2016-07-14T20:37:49Z"/>
        <d v="2016-07-14T20:38:19Z"/>
        <d v="2016-07-14T20:39:20Z"/>
        <d v="2016-07-14T20:42:36Z"/>
        <d v="2016-07-14T20:44:16Z"/>
        <d v="2016-07-14T20:45:34Z"/>
        <d v="2016-07-14T20:46:54Z"/>
        <d v="2016-07-14T20:48:19Z"/>
        <d v="2016-07-14T20:48:23Z"/>
        <d v="2016-07-14T20:49:42Z"/>
        <d v="2016-07-14T20:50:20Z"/>
        <d v="2016-07-14T20:50:35Z"/>
        <d v="2016-07-14T20:50:45Z"/>
        <d v="2016-07-14T20:52:06Z"/>
        <d v="2016-07-14T20:52:29Z"/>
        <d v="2016-07-14T20:53:20Z"/>
        <d v="2016-07-14T20:54:01Z"/>
        <d v="2016-07-14T20:54:14Z"/>
        <d v="2016-07-14T20:55:44Z"/>
        <d v="2016-07-14T20:56:01Z"/>
        <d v="2016-07-14T20:56:53Z"/>
        <d v="2016-07-14T21:01:14Z"/>
        <d v="2016-07-14T21:02:42Z"/>
        <d v="2016-07-14T21:03:46Z"/>
        <d v="2016-07-14T21:04:06Z"/>
        <d v="2016-07-14T21:05:08Z"/>
        <d v="2016-07-14T21:05:37Z"/>
        <d v="2016-07-14T21:06:15Z"/>
        <d v="2016-07-14T21:06:40Z"/>
        <d v="2016-07-14T21:08:03Z"/>
        <d v="2016-07-14T21:09:10Z"/>
        <d v="2016-07-14T21:09:26Z"/>
        <d v="2016-07-14T21:10:04Z"/>
        <d v="2016-07-14T21:11:16Z"/>
        <d v="2016-07-14T21:11:18Z"/>
        <d v="2016-07-14T21:12:36Z"/>
        <d v="2016-07-14T21:13:02Z"/>
        <d v="2016-07-14T21:13:41Z"/>
        <d v="2016-07-14T21:14:49Z"/>
        <d v="2016-07-14T21:15:21Z"/>
        <d v="2016-07-14T21:17:05Z"/>
        <d v="2016-07-14T21:18:16Z"/>
        <d v="2016-07-14T21:18:25Z"/>
        <d v="2016-07-14T21:18:49Z"/>
        <d v="2016-07-14T21:22:57Z"/>
        <d v="2016-07-14T21:23:38Z"/>
        <d v="2016-07-14T21:23:40Z"/>
        <d v="2016-07-14T21:24:01Z"/>
        <d v="2016-07-14T21:25:25Z"/>
        <d v="2016-07-14T21:26:42Z"/>
        <d v="2016-07-14T21:27:13Z"/>
        <d v="2016-07-14T21:28:13Z"/>
        <d v="2016-07-14T21:28:54Z"/>
        <d v="2016-07-14T21:30:20Z"/>
        <d v="2016-07-14T21:30:22Z"/>
        <d v="2016-07-14T21:34:50Z"/>
        <d v="2016-07-14T21:34:54Z"/>
        <d v="2016-07-14T21:34:56Z"/>
        <d v="2016-07-14T21:35:55Z"/>
        <d v="2016-07-14T21:36:33Z"/>
        <d v="2016-07-14T21:37:00Z"/>
        <d v="2016-07-14T21:37:02Z"/>
        <d v="2016-07-14T21:38:13Z"/>
        <d v="2016-07-14T21:39:15Z"/>
        <d v="2016-07-14T21:40:58Z"/>
        <d v="2016-07-14T21:48:17Z"/>
        <d v="2016-07-14T21:49:15Z"/>
        <d v="2016-07-14T21:49:20Z"/>
        <d v="2016-07-14T21:50:36Z"/>
        <d v="2016-07-14T21:52:13Z"/>
        <d v="2016-07-14T21:53:35Z"/>
        <d v="2016-07-14T21:54:00Z"/>
        <d v="2016-07-14T21:54:37Z"/>
        <d v="2016-07-14T21:56:00Z"/>
        <d v="2016-07-14T21:56:02Z"/>
        <d v="2016-07-14T21:58:07Z"/>
        <d v="2016-07-14T21:58:18Z"/>
        <d v="2016-07-14T21:58:40Z"/>
        <d v="2016-07-14T22:00:48Z"/>
        <d v="2016-07-14T22:01:48Z"/>
        <d v="2016-07-14T22:03:36Z"/>
        <d v="2016-07-14T22:04:21Z"/>
        <d v="2016-07-14T22:05:34Z"/>
        <d v="2016-07-14T22:05:56Z"/>
        <d v="2016-07-14T22:06:23Z"/>
        <d v="2016-07-14T22:06:30Z"/>
        <d v="2016-07-14T22:08:03Z"/>
        <d v="2016-07-14T22:09:42Z"/>
        <d v="2016-07-14T22:13:46Z"/>
        <d v="2016-07-14T22:13:58Z"/>
        <d v="2016-07-14T22:14:46Z"/>
        <d v="2016-07-14T22:15:42Z"/>
        <d v="2016-07-14T22:19:56Z"/>
        <d v="2016-07-14T22:20:30Z"/>
        <d v="2016-07-14T22:22:35Z"/>
        <d v="2016-07-14T22:22:39Z"/>
        <d v="2016-07-14T22:23:02Z"/>
        <d v="2016-07-14T22:28:16Z"/>
        <d v="2016-07-14T22:35:51Z"/>
        <d v="2016-07-14T22:46:35Z"/>
        <d v="2016-07-14T22:54:09Z"/>
        <d v="2016-07-14T22:54:12Z"/>
        <d v="2016-07-14T23:06:44Z"/>
        <d v="2016-07-14T23:10:05Z"/>
        <d v="2016-07-14T23:19:41Z"/>
        <d v="2016-07-14T23:22:24Z"/>
        <d v="2016-07-14T23:22:28Z"/>
        <d v="2016-07-14T23:24:27Z"/>
        <d v="2016-07-14T23:38:08Z"/>
        <d v="2016-07-14T23:39:47Z"/>
        <d v="2016-07-14T23:41:09Z"/>
        <d v="2016-07-14T23:42:27Z"/>
        <d v="2016-07-14T23:43:02Z"/>
        <d v="2016-07-14T23:52:06Z"/>
        <d v="2016-07-15T00:09:09Z"/>
        <d v="2016-07-15T00:19:05Z"/>
        <d v="2016-07-15T00:19:53Z"/>
        <d v="2016-07-15T00:20:15Z"/>
        <d v="2016-07-15T00:20:52Z"/>
        <d v="2016-07-15T00:26:36Z"/>
        <d v="2016-07-15T00:26:39Z"/>
        <d v="2016-07-15T00:30:35Z"/>
        <d v="2016-07-15T00:52:01Z"/>
        <d v="2016-07-15T00:53:01Z"/>
        <d v="2016-07-15T01:02:15Z"/>
        <d v="2016-07-15T01:04:28Z"/>
        <d v="2016-07-15T01:14:00Z"/>
        <d v="2016-07-15T01:20:44Z"/>
        <d v="2016-07-15T01:27:47Z"/>
        <d v="2016-07-15T01:31:34Z"/>
        <d v="2016-07-15T01:37:01Z"/>
        <d v="2016-07-15T01:43:11Z"/>
        <d v="2016-07-15T01:49:06Z"/>
        <d v="2016-07-15T01:50:12Z"/>
        <d v="2016-07-15T01:51:08Z"/>
        <d v="2016-07-15T01:51:17Z"/>
        <d v="2016-07-15T01:53:20Z"/>
        <d v="2016-07-15T01:59:17Z"/>
        <d v="2016-07-15T02:09:15Z"/>
        <d v="2016-07-15T02:20:24Z"/>
        <d v="2016-07-15T02:22:32Z"/>
        <d v="2016-07-15T02:38:44Z"/>
        <d v="2016-07-15T02:41:29Z"/>
        <d v="2016-07-15T02:42:51Z"/>
        <d v="2016-07-15T02:59:36Z"/>
        <d v="2016-07-15T02:59:38Z"/>
        <d v="2016-07-15T03:03:18Z"/>
        <d v="2016-07-15T03:06:28Z"/>
        <d v="2016-07-15T03:07:48Z"/>
        <d v="2016-07-15T03:08:38Z"/>
        <d v="2016-07-15T03:13:10Z"/>
        <d v="2016-07-15T03:18:52Z"/>
        <d v="2016-07-15T03:19:59Z"/>
        <d v="2016-07-15T03:21:40Z"/>
        <d v="2016-07-15T03:25:14Z"/>
        <d v="2016-07-15T03:25:23Z"/>
        <d v="2016-07-15T03:28:06Z"/>
        <d v="2016-07-15T03:45:59Z"/>
        <d v="2016-07-15T03:47:26Z"/>
        <d v="2016-07-15T04:00:41Z"/>
        <d v="2016-07-15T04:03:50Z"/>
        <d v="2016-07-15T04:10:18Z"/>
        <d v="2016-07-15T04:20:15Z"/>
        <d v="2016-07-15T04:20:46Z"/>
        <d v="2016-07-15T04:21:04Z"/>
        <d v="2016-07-15T04:29:02Z"/>
        <d v="2016-07-15T04:31:33Z"/>
        <d v="2016-07-15T04:37:39Z"/>
        <d v="2016-07-15T04:42:16Z"/>
        <d v="2016-07-15T04:50:21Z"/>
        <d v="2016-07-15T04:51:09Z"/>
        <d v="2016-07-15T04:51:13Z"/>
        <d v="2016-07-15T04:54:24Z"/>
        <d v="2016-07-15T04:56:23Z"/>
        <d v="2016-07-15T05:05:11Z"/>
        <d v="2016-07-15T05:07:43Z"/>
        <d v="2016-07-15T05:08:36Z"/>
        <d v="2016-07-15T05:09:02Z"/>
        <d v="2016-07-15T05:17:35Z"/>
        <d v="2016-07-15T05:19:19Z"/>
        <d v="2016-07-15T05:19:40Z"/>
        <d v="2016-07-15T05:20:53Z"/>
        <d v="2016-07-15T05:22:55Z"/>
        <d v="2016-07-15T05:25:38Z"/>
        <d v="2016-07-15T05:28:04Z"/>
        <d v="2016-07-15T05:28:50Z"/>
        <d v="2016-07-15T05:33:09Z"/>
        <d v="2016-07-15T05:33:11Z"/>
        <d v="2016-07-15T05:40:28Z"/>
        <d v="2016-07-15T05:43:37Z"/>
        <d v="2016-07-15T05:45:23Z"/>
        <d v="2016-07-15T05:48:23Z"/>
        <d v="2016-07-15T05:54:44Z"/>
        <d v="2016-07-15T05:55:11Z"/>
        <d v="2016-07-15T05:56:56Z"/>
        <d v="2016-07-15T05:58:33Z"/>
        <d v="2016-07-15T06:02:17Z"/>
        <d v="2016-07-15T06:09:11Z"/>
        <d v="2016-07-15T06:09:52Z"/>
        <d v="2016-07-15T06:10:06Z"/>
        <d v="2016-07-15T06:10:37Z"/>
        <d v="2016-07-15T06:10:58Z"/>
        <d v="2016-07-15T06:16:34Z"/>
        <d v="2016-07-15T06:18:51Z"/>
        <d v="2016-07-15T06:21:03Z"/>
        <d v="2016-07-15T06:21:15Z"/>
        <d v="2016-07-15T06:29:49Z"/>
        <d v="2016-07-15T06:31:11Z"/>
        <d v="2016-07-15T06:34:55Z"/>
        <d v="2016-07-15T06:41:27Z"/>
        <d v="2016-07-15T06:57:40Z"/>
        <d v="2016-07-15T07:01:00Z"/>
        <d v="2016-07-15T07:02:35Z"/>
        <d v="2016-07-15T07:03:18Z"/>
        <d v="2016-07-15T07:07:53Z"/>
        <d v="2016-07-15T07:08:09Z"/>
        <d v="2016-07-15T07:19:18Z"/>
        <d v="2016-07-15T07:26:20Z"/>
        <d v="2016-07-15T07:27:30Z"/>
        <d v="2016-07-15T07:27:37Z"/>
        <d v="2016-07-15T07:39:22Z"/>
        <d v="2016-07-15T07:39:41Z"/>
        <d v="2016-07-15T07:41:08Z"/>
        <d v="2016-07-15T07:41:36Z"/>
        <d v="2016-07-15T07:42:22Z"/>
        <d v="2016-07-15T07:46:01Z"/>
        <d v="2016-07-15T07:50:44Z"/>
        <d v="2016-07-15T07:55:54Z"/>
        <d v="2016-07-15T07:58:18Z"/>
        <d v="2016-07-15T07:58:52Z"/>
        <d v="2016-07-15T07:59:34Z"/>
        <d v="2016-07-15T08:06:06Z"/>
        <d v="2016-07-15T08:16:05Z"/>
        <d v="2016-07-15T08:23:09Z"/>
        <d v="2016-07-15T08:24:44Z"/>
        <d v="2016-07-15T08:25:08Z"/>
        <d v="2016-07-15T08:27:07Z"/>
        <d v="2016-07-15T08:27:56Z"/>
        <d v="2016-07-15T08:39:22Z"/>
        <d v="2016-07-15T08:40:46Z"/>
        <d v="2016-07-15T08:40:52Z"/>
        <d v="2016-07-15T08:42:40Z"/>
        <d v="2016-07-15T08:46:26Z"/>
        <d v="2016-07-15T08:46:52Z"/>
        <d v="2016-07-15T08:49:20Z"/>
        <d v="2016-07-15T08:59:46Z"/>
        <d v="2016-07-15T09:01:29Z"/>
        <d v="2016-07-15T09:06:22Z"/>
        <d v="2016-07-15T09:07:25Z"/>
        <d v="2016-07-15T09:07:28Z"/>
        <d v="2016-07-15T09:07:45Z"/>
        <d v="2016-07-15T09:11:55Z"/>
        <d v="2016-07-15T09:14:50Z"/>
        <d v="2016-07-15T09:15:16Z"/>
        <d v="2016-07-15T09:32:02Z"/>
        <d v="2016-07-15T09:34:14Z"/>
        <d v="2016-07-15T10:00:54Z"/>
        <d v="2016-07-15T10:07:19Z"/>
        <d v="2016-07-15T10:10:48Z"/>
        <d v="2016-07-15T10:12:03Z"/>
        <d v="2016-07-15T10:18:54Z"/>
        <d v="2016-07-15T10:20:55Z"/>
        <d v="2016-07-15T10:23:54Z"/>
        <d v="2016-07-15T10:28:33Z"/>
        <d v="2016-07-15T10:29:08Z"/>
        <d v="2016-07-15T10:44:46Z"/>
        <d v="2016-07-15T10:49:35Z"/>
        <d v="2016-07-15T10:53:00Z"/>
        <d v="2016-07-15T10:55:41Z"/>
        <d v="2016-07-15T10:57:44Z"/>
        <d v="2016-07-15T10:58:18Z"/>
        <d v="2016-07-15T11:08:29Z"/>
        <d v="2016-07-15T11:14:55Z"/>
        <d v="2016-07-15T11:15:11Z"/>
        <d v="2016-07-15T11:38:24Z"/>
        <d v="2016-07-15T11:41:48Z"/>
        <d v="2016-07-15T11:44:53Z"/>
        <d v="2016-07-15T11:52:19Z"/>
        <d v="2016-07-15T11:52:45Z"/>
        <d v="2016-07-15T11:54:33Z"/>
        <d v="2016-07-15T11:56:37Z"/>
        <d v="2016-07-15T12:00:50Z"/>
        <d v="2016-07-15T12:05:38Z"/>
        <d v="2016-07-15T12:12:45Z"/>
        <d v="2016-07-15T12:14:51Z"/>
        <d v="2016-07-15T12:21:13Z"/>
        <d v="2016-07-15T12:28:32Z"/>
        <d v="2016-07-15T12:29:07Z"/>
        <d v="2016-07-15T12:34:15Z"/>
        <d v="2016-07-15T12:40:38Z"/>
        <d v="2016-07-15T12:42:42Z"/>
        <d v="2016-07-15T12:45:32Z"/>
        <d v="2016-07-15T12:50:24Z"/>
        <d v="2016-07-15T12:51:21Z"/>
        <d v="2016-07-15T12:52:31Z"/>
        <d v="2016-07-15T12:57:23Z"/>
        <d v="2016-07-15T13:04:46Z"/>
        <d v="2016-07-15T13:09:54Z"/>
        <d v="2016-07-15T13:10:11Z"/>
        <d v="2016-07-15T13:10:25Z"/>
        <d v="2016-07-15T13:14:10Z"/>
        <d v="2016-07-15T13:17:58Z"/>
        <d v="2016-07-15T13:25:52Z"/>
        <d v="2016-07-15T13:29:51Z"/>
        <d v="2016-07-15T13:30:10Z"/>
        <d v="2016-07-15T13:34:37Z"/>
        <d v="2016-07-15T13:35:15Z"/>
        <d v="2016-07-15T13:35:57Z"/>
        <d v="2016-07-15T13:41:06Z"/>
        <d v="2016-07-15T13:44:09Z"/>
        <d v="2016-07-15T13:44:15Z"/>
        <d v="2016-07-15T13:57:54Z"/>
        <d v="2016-07-15T13:58:07Z"/>
        <d v="2016-07-15T14:00:19Z"/>
        <d v="2016-07-15T14:04:06Z"/>
        <d v="2016-07-15T14:05:38Z"/>
        <d v="2016-07-15T14:06:37Z"/>
        <d v="2016-07-15T14:10:05Z"/>
        <d v="2016-07-15T14:10:43Z"/>
        <d v="2016-07-15T14:18:01Z"/>
        <d v="2016-07-15T14:21:03Z"/>
        <d v="2016-07-15T14:23:03Z"/>
        <d v="2016-07-15T14:26:34Z"/>
        <d v="2016-07-15T14:35:30Z"/>
        <d v="2016-07-15T14:36:17Z"/>
        <d v="2016-07-15T14:38:06Z"/>
        <d v="2016-07-15T14:38:55Z"/>
        <d v="2016-07-15T14:40:10Z"/>
        <d v="2016-07-15T14:41:44Z"/>
        <d v="2016-07-15T15:01:11Z"/>
        <d v="2016-07-15T15:02:50Z"/>
        <d v="2016-07-15T15:05:13Z"/>
        <d v="2016-07-15T15:08:25Z"/>
        <d v="2016-07-15T15:12:08Z"/>
        <d v="2016-07-15T15:24:26Z"/>
        <d v="2016-07-15T15:27:59Z"/>
        <d v="2016-07-15T15:28:37Z"/>
        <d v="2016-07-15T15:29:25Z"/>
        <d v="2016-07-15T15:32:54Z"/>
        <d v="2016-07-15T15:34:16Z"/>
        <d v="2016-07-15T15:37:15Z"/>
        <d v="2016-07-15T15:38:20Z"/>
        <d v="2016-07-15T15:42:12Z"/>
        <d v="2016-07-15T15:46:11Z"/>
        <d v="2016-07-15T15:46:19Z"/>
        <d v="2016-07-15T15:50:27Z"/>
        <d v="2016-07-15T15:52:06Z"/>
        <d v="2016-07-15T15:54:55Z"/>
        <d v="2016-07-15T16:07:31Z"/>
        <d v="2016-07-15T16:18:59Z"/>
        <d v="2016-07-15T16:19:03Z"/>
        <d v="2016-07-15T16:20:39Z"/>
        <d v="2016-07-15T16:24:44Z"/>
        <d v="2016-07-15T16:25:38Z"/>
        <d v="2016-07-15T16:25:51Z"/>
        <d v="2016-07-15T16:32:42Z"/>
        <d v="2016-07-15T16:37:26Z"/>
        <d v="2016-07-15T16:37:36Z"/>
        <d v="2016-07-15T16:38:45Z"/>
        <d v="2016-07-15T16:41:53Z"/>
        <d v="2016-07-15T16:42:53Z"/>
        <d v="2016-07-15T16:43:12Z"/>
        <d v="2016-07-15T16:43:36Z"/>
        <d v="2016-07-15T16:44:22Z"/>
        <d v="2016-07-15T16:46:33Z"/>
        <d v="2016-07-15T16:47:39Z"/>
        <d v="2016-07-15T16:51:23Z"/>
        <d v="2016-07-15T16:53:23Z"/>
        <d v="2016-07-15T17:00:26Z"/>
        <d v="2016-07-15T17:05:16Z"/>
        <d v="2016-07-15T17:06:38Z"/>
        <d v="2016-07-15T17:08:43Z"/>
        <d v="2016-07-15T17:08:54Z"/>
        <d v="2016-07-15T17:11:14Z"/>
        <d v="2016-07-15T17:13:58Z"/>
        <d v="2016-07-15T17:14:08Z"/>
        <d v="2016-07-15T17:14:28Z"/>
        <d v="2016-07-15T17:15:57Z"/>
        <d v="2016-07-15T17:16:13Z"/>
        <d v="2016-07-15T17:16:52Z"/>
        <d v="2016-07-15T17:22:03Z"/>
        <d v="2016-07-15T17:22:39Z"/>
        <d v="2016-07-15T17:22:51Z"/>
        <d v="2016-07-15T17:26:10Z"/>
        <d v="2016-07-15T17:27:28Z"/>
        <d v="2016-07-15T17:28:26Z"/>
        <d v="2016-07-15T17:28:39Z"/>
        <d v="2016-07-15T17:32:56Z"/>
        <d v="2016-07-15T17:34:28Z"/>
        <d v="2016-07-15T17:35:39Z"/>
        <d v="2016-07-15T17:35:52Z"/>
        <d v="2016-07-15T17:36:15Z"/>
        <d v="2016-07-15T17:37:12Z"/>
        <d v="2016-07-15T17:37:44Z"/>
        <d v="2016-07-15T17:39:44Z"/>
        <d v="2016-07-15T17:42:07Z"/>
        <d v="2016-07-15T17:44:18Z"/>
        <d v="2016-07-15T17:44:31Z"/>
        <d v="2016-07-15T17:46:24Z"/>
        <d v="2016-07-15T17:48:34Z"/>
        <d v="2016-07-15T17:48:55Z"/>
        <d v="2016-07-15T17:51:02Z"/>
        <d v="2016-07-15T17:51:18Z"/>
        <d v="2016-07-15T17:52:26Z"/>
        <d v="2016-07-15T17:54:59Z"/>
        <d v="2016-07-15T17:56:33Z"/>
        <d v="2016-07-15T17:57:07Z"/>
        <d v="2016-07-15T18:01:11Z"/>
        <d v="2016-07-15T18:02:07Z"/>
        <d v="2016-07-15T18:02:24Z"/>
        <d v="2016-07-15T18:03:01Z"/>
        <d v="2016-07-15T18:04:28Z"/>
        <d v="2016-07-15T18:04:51Z"/>
        <d v="2016-07-15T18:05:56Z"/>
        <d v="2016-07-15T18:06:23Z"/>
        <d v="2016-07-15T18:06:35Z"/>
        <d v="2016-07-15T18:06:52Z"/>
        <d v="2016-07-15T18:10:18Z"/>
        <d v="2016-07-15T18:10:20Z"/>
        <d v="2016-07-15T18:10:29Z"/>
        <d v="2016-07-15T18:12:14Z"/>
        <d v="2016-07-15T18:13:22Z"/>
        <d v="2016-07-15T18:13:56Z"/>
        <d v="2016-07-15T18:14:38Z"/>
        <d v="2016-07-15T18:14:52Z"/>
        <d v="2016-07-15T18:15:02Z"/>
        <d v="2016-07-15T18:15:40Z"/>
        <d v="2016-07-15T18:15:46Z"/>
        <d v="2016-07-15T18:16:11Z"/>
        <d v="2016-07-15T18:17:11Z"/>
        <d v="2016-07-15T18:18:28Z"/>
        <d v="2016-07-15T18:19:03Z"/>
        <d v="2016-07-15T18:19:55Z"/>
        <d v="2016-07-15T18:20:36Z"/>
        <d v="2016-07-15T18:22:01Z"/>
        <d v="2016-07-15T18:22:36Z"/>
        <d v="2016-07-15T18:23:02Z"/>
        <d v="2016-07-15T18:24:14Z"/>
        <d v="2016-07-15T18:24:55Z"/>
        <d v="2016-07-15T18:25:07Z"/>
        <d v="2016-07-15T18:25:29Z"/>
        <d v="2016-07-15T18:27:49Z"/>
        <d v="2016-07-15T18:28:55Z"/>
        <d v="2016-07-15T18:29:36Z"/>
        <d v="2016-07-15T18:30:33Z"/>
        <d v="2016-07-15T18:30:45Z"/>
        <d v="2016-07-15T18:30:48Z"/>
        <d v="2016-07-15T18:31:59Z"/>
        <d v="2016-07-15T18:32:47Z"/>
        <d v="2016-07-15T18:33:07Z"/>
        <d v="2016-07-15T18:33:11Z"/>
        <d v="2016-07-15T18:34:36Z"/>
        <d v="2016-07-15T18:37:54Z"/>
        <d v="2016-07-15T18:38:18Z"/>
        <d v="2016-07-15T18:43:08Z"/>
        <d v="2016-07-15T18:44:01Z"/>
        <d v="2016-07-15T18:44:06Z"/>
        <d v="2016-07-15T18:44:37Z"/>
        <d v="2016-07-15T18:45:29Z"/>
        <d v="2016-07-15T18:45:52Z"/>
        <d v="2016-07-15T18:48:52Z"/>
        <d v="2016-07-15T18:49:03Z"/>
        <d v="2016-07-15T18:49:05Z"/>
        <d v="2016-07-15T18:49:34Z"/>
        <d v="2016-07-15T18:49:52Z"/>
        <d v="2016-07-15T18:50:36Z"/>
        <d v="2016-07-15T18:52:36Z"/>
        <d v="2016-07-15T18:53:38Z"/>
        <d v="2016-07-15T18:55:00Z"/>
        <d v="2016-07-15T18:56:18Z"/>
        <d v="2016-07-15T18:56:46Z"/>
        <d v="2016-07-15T18:59:24Z"/>
        <d v="2016-07-15T18:59:48Z"/>
        <d v="2016-07-15T18:59:56Z"/>
        <d v="2016-07-15T19:02:00Z"/>
        <d v="2016-07-15T19:02:10Z"/>
        <d v="2016-07-15T19:04:23Z"/>
        <d v="2016-07-15T19:05:34Z"/>
        <d v="2016-07-15T19:06:52Z"/>
        <d v="2016-07-15T19:07:35Z"/>
        <d v="2016-07-15T19:08:15Z"/>
        <d v="2016-07-15T19:08:58Z"/>
        <d v="2016-07-15T19:09:02Z"/>
        <d v="2016-07-15T19:09:08Z"/>
        <d v="2016-07-15T19:11:17Z"/>
        <d v="2016-07-15T19:11:44Z"/>
        <d v="2016-07-15T19:18:21Z"/>
        <d v="2016-07-15T19:18:28Z"/>
        <d v="2016-07-15T19:19:01Z"/>
        <d v="2016-07-15T19:19:20Z"/>
        <d v="2016-07-15T19:19:36Z"/>
        <d v="2016-07-15T19:19:46Z"/>
        <d v="2016-07-15T19:19:53Z"/>
        <d v="2016-07-15T19:20:56Z"/>
        <d v="2016-07-15T19:21:44Z"/>
        <d v="2016-07-15T19:24:14Z"/>
        <d v="2016-07-15T19:30:04Z"/>
        <d v="2016-07-15T19:31:37Z"/>
        <d v="2016-07-15T19:34:29Z"/>
        <d v="2016-07-15T19:34:36Z"/>
        <d v="2016-07-15T19:35:41Z"/>
        <d v="2016-07-15T19:37:27Z"/>
        <d v="2016-07-15T19:39:04Z"/>
        <d v="2016-07-15T19:40:25Z"/>
        <d v="2016-07-15T19:40:35Z"/>
        <d v="2016-07-15T19:40:51Z"/>
        <d v="2016-07-15T19:41:26Z"/>
        <d v="2016-07-15T19:44:14Z"/>
        <d v="2016-07-15T19:48:10Z"/>
        <d v="2016-07-15T19:49:13Z"/>
        <d v="2016-07-15T19:49:18Z"/>
        <d v="2016-07-15T19:50:16Z"/>
        <d v="2016-07-15T19:51:23Z"/>
        <d v="2016-07-15T19:52:29Z"/>
        <d v="2016-07-15T19:52:38Z"/>
        <d v="2016-07-15T19:53:41Z"/>
        <d v="2016-07-15T19:54:31Z"/>
        <d v="2016-07-15T19:54:55Z"/>
        <d v="2016-07-15T19:55:57Z"/>
        <d v="2016-07-15T19:59:01Z"/>
        <d v="2016-07-15T20:00:30Z"/>
        <d v="2016-07-15T20:01:35Z"/>
        <d v="2016-07-15T20:05:31Z"/>
        <d v="2016-07-15T20:06:12Z"/>
        <d v="2016-07-15T20:06:15Z"/>
        <d v="2016-07-15T20:06:20Z"/>
        <d v="2016-07-15T20:06:22Z"/>
        <d v="2016-07-15T20:06:28Z"/>
        <d v="2016-07-15T20:08:29Z"/>
        <d v="2016-07-15T20:10:42Z"/>
        <d v="2016-07-15T20:10:43Z"/>
        <d v="2016-07-15T20:12:47Z"/>
        <d v="2016-07-15T20:12:57Z"/>
        <d v="2016-07-15T20:13:19Z"/>
        <d v="2016-07-15T20:14:15Z"/>
        <d v="2016-07-15T20:15:04Z"/>
        <d v="2016-07-15T20:15:30Z"/>
        <d v="2016-07-15T20:15:59Z"/>
        <d v="2016-07-15T20:16:22Z"/>
        <d v="2016-07-15T20:19:05Z"/>
        <d v="2016-07-15T20:19:08Z"/>
        <d v="2016-07-15T20:19:28Z"/>
        <d v="2016-07-15T20:20:38Z"/>
        <d v="2016-07-15T20:23:05Z"/>
        <d v="2016-07-15T20:23:50Z"/>
        <d v="2016-07-15T20:23:59Z"/>
        <d v="2016-07-15T20:24:55Z"/>
        <d v="2016-07-15T20:27:44Z"/>
        <d v="2016-07-15T20:28:23Z"/>
        <d v="2016-07-15T20:28:26Z"/>
        <d v="2016-07-15T20:31:24Z"/>
        <d v="2016-07-15T20:33:37Z"/>
        <d v="2016-07-15T20:33:46Z"/>
        <d v="2016-07-15T20:34:07Z"/>
        <d v="2016-07-15T20:34:19Z"/>
        <d v="2016-07-15T20:34:24Z"/>
        <d v="2016-07-15T20:35:28Z"/>
        <d v="2016-07-15T20:36:37Z"/>
        <d v="2016-07-15T20:39:00Z"/>
        <d v="2016-07-15T20:39:41Z"/>
        <d v="2016-07-15T20:40:47Z"/>
        <d v="2016-07-15T20:41:34Z"/>
        <d v="2016-07-15T20:43:52Z"/>
        <d v="2016-07-15T20:43:53Z"/>
        <d v="2016-07-15T20:45:30Z"/>
        <d v="2016-07-15T20:45:59Z"/>
        <d v="2016-07-15T20:46:02Z"/>
        <d v="2016-07-15T20:46:49Z"/>
        <d v="2016-07-15T20:48:02Z"/>
        <d v="2016-07-15T20:48:29Z"/>
        <d v="2016-07-15T20:49:50Z"/>
        <d v="2016-07-15T20:51:33Z"/>
        <d v="2016-07-15T20:51:49Z"/>
        <d v="2016-07-15T20:51:50Z"/>
        <d v="2016-07-15T20:52:28Z"/>
        <d v="2016-07-15T20:52:29Z"/>
        <d v="2016-07-15T20:52:44Z"/>
        <d v="2016-07-15T20:54:03Z"/>
        <d v="2016-07-15T20:54:45Z"/>
        <d v="2016-07-15T20:54:50Z"/>
        <d v="2016-07-15T20:55:29Z"/>
        <d v="2016-07-15T20:55:46Z"/>
        <d v="2016-07-15T20:57:01Z"/>
        <d v="2016-07-15T20:59:40Z"/>
        <d v="2016-07-15T21:01:08Z"/>
        <d v="2016-07-15T21:02:25Z"/>
        <d v="2016-07-15T21:04:01Z"/>
        <d v="2016-07-15T21:05:56Z"/>
        <d v="2016-07-15T21:06:08Z"/>
        <d v="2016-07-15T21:08:26Z"/>
        <d v="2016-07-15T21:08:54Z"/>
        <d v="2016-07-15T21:09:35Z"/>
        <d v="2016-07-15T21:11:40Z"/>
        <d v="2016-07-15T21:12:32Z"/>
        <d v="2016-07-15T21:12:45Z"/>
        <d v="2016-07-15T21:15:21Z"/>
        <d v="2016-07-15T21:16:03Z"/>
        <d v="2016-07-15T21:16:17Z"/>
        <d v="2016-07-15T21:16:31Z"/>
        <d v="2016-07-15T21:20:21Z"/>
        <d v="2016-07-15T21:20:28Z"/>
        <d v="2016-07-15T21:22:23Z"/>
        <d v="2016-07-15T21:23:15Z"/>
        <d v="2016-07-15T21:23:24Z"/>
        <d v="2016-07-15T21:24:05Z"/>
        <d v="2016-07-15T21:26:47Z"/>
        <d v="2016-07-15T21:28:16Z"/>
        <d v="2016-07-15T21:29:57Z"/>
        <d v="2016-07-15T21:30:10Z"/>
        <d v="2016-07-15T21:30:53Z"/>
        <d v="2016-07-15T21:32:55Z"/>
        <d v="2016-07-15T21:37:14Z"/>
        <d v="2016-07-15T21:39:04Z"/>
        <d v="2016-07-15T21:39:52Z"/>
        <d v="2016-07-15T21:39:57Z"/>
        <d v="2016-07-15T21:40:10Z"/>
        <d v="2016-07-15T21:40:33Z"/>
        <d v="2016-07-15T21:41:02Z"/>
        <d v="2016-07-15T21:43:07Z"/>
        <d v="2016-07-15T21:43:55Z"/>
        <d v="2016-07-15T21:44:05Z"/>
        <d v="2016-07-15T21:44:55Z"/>
        <d v="2016-07-15T21:47:07Z"/>
        <d v="2016-07-15T21:51:04Z"/>
        <d v="2016-07-15T21:51:10Z"/>
        <d v="2016-07-15T21:52:01Z"/>
        <d v="2016-07-15T21:52:53Z"/>
        <d v="2016-07-15T21:53:37Z"/>
        <d v="2016-07-15T21:54:21Z"/>
        <d v="2016-07-15T21:56:00Z"/>
        <d v="2016-07-15T21:59:40Z"/>
        <d v="2016-07-15T22:01:46Z"/>
        <d v="2016-07-15T22:02:01Z"/>
        <d v="2016-07-15T22:03:02Z"/>
        <d v="2016-07-15T22:03:39Z"/>
        <d v="2016-07-15T22:04:25Z"/>
        <d v="2016-07-15T22:04:45Z"/>
        <d v="2016-07-15T22:04:58Z"/>
        <d v="2016-07-15T22:06:19Z"/>
        <d v="2016-07-15T22:08:54Z"/>
        <d v="2016-07-15T22:11:08Z"/>
        <d v="2016-07-15T22:12:38Z"/>
        <d v="2016-07-15T22:17:35Z"/>
        <d v="2016-07-15T22:18:37Z"/>
        <d v="2016-07-15T22:18:53Z"/>
        <d v="2016-07-15T22:20:46Z"/>
        <d v="2016-07-15T22:21:14Z"/>
        <d v="2016-07-15T22:21:19Z"/>
        <d v="2016-07-15T22:22:23Z"/>
        <d v="2016-07-15T22:23:42Z"/>
        <d v="2016-07-15T22:25:04Z"/>
        <d v="2016-07-15T22:26:06Z"/>
        <d v="2016-07-15T22:26:26Z"/>
        <d v="2016-07-15T22:28:52Z"/>
        <d v="2016-07-15T22:32:09Z"/>
        <d v="2016-07-15T22:33:50Z"/>
        <d v="2016-07-15T22:34:01Z"/>
        <d v="2016-07-15T22:36:13Z"/>
        <d v="2016-07-15T22:37:37Z"/>
        <d v="2016-07-15T22:43:46Z"/>
        <d v="2016-07-15T22:49:33Z"/>
        <d v="2016-07-15T22:49:45Z"/>
        <d v="2016-07-15T22:51:18Z"/>
        <d v="2016-07-15T22:56:00Z"/>
        <d v="2016-07-15T22:58:15Z"/>
        <d v="2016-07-15T23:03:23Z"/>
        <d v="2016-07-15T23:08:14Z"/>
        <d v="2016-07-15T23:11:41Z"/>
        <d v="2016-07-15T23:14:36Z"/>
        <d v="2016-07-15T23:14:39Z"/>
        <d v="2016-07-15T23:16:48Z"/>
        <d v="2016-07-15T23:18:21Z"/>
        <d v="2016-07-15T23:21:53Z"/>
        <d v="2016-07-15T23:26:50Z"/>
        <d v="2016-07-15T23:27:55Z"/>
        <d v="2016-07-15T23:35:50Z"/>
        <d v="2016-07-15T23:39:15Z"/>
        <d v="2016-07-15T23:42:51Z"/>
        <d v="2016-07-15T23:43:54Z"/>
        <d v="2016-07-15T23:46:03Z"/>
        <d v="2016-07-15T23:46:20Z"/>
        <d v="2016-07-15T23:49:03Z"/>
        <d v="2016-07-15T23:50:05Z"/>
        <d v="2016-07-15T23:52:06Z"/>
        <d v="2016-07-15T23:54:39Z"/>
        <d v="2016-07-15T23:55:03Z"/>
      </sharedItems>
    </cacheField>
    <cacheField name="request hour" numFmtId="0">
      <sharedItems containsSemiMixedTypes="0" containsString="0" containsNumber="1" containsInteger="1">
        <n v="11.0"/>
        <n v="17.0"/>
        <n v="9.0"/>
        <n v="21.0"/>
        <n v="8.0"/>
        <n v="6.0"/>
        <n v="5.0"/>
        <n v="12.0"/>
        <n v="4.0"/>
        <n v="14.0"/>
        <n v="22.0"/>
        <n v="10.0"/>
        <n v="18.0"/>
        <n v="15.0"/>
        <n v="2.0"/>
        <n v="13.0"/>
        <n v="16.0"/>
        <n v="19.0"/>
        <n v="7.0"/>
        <n v="20.0"/>
        <n v="0.0"/>
        <n v="3.0"/>
        <n v="23.0"/>
        <n v="1.0"/>
      </sharedItems>
    </cacheField>
    <cacheField name="Drop timestamp">
      <sharedItems containsDate="1" containsMixedTypes="1">
        <d v="2016-07-11T13:00:00Z"/>
        <d v="2016-07-11T18:47:00Z"/>
        <d v="2016-07-12T09:58:00Z"/>
        <d v="2016-07-12T22:03:00Z"/>
        <d v="2016-07-13T09:25:47Z"/>
        <d v="2016-07-13T22:28:59Z"/>
        <d v="2016-07-14T07:13:15Z"/>
        <d v="2016-07-15T06:07:52Z"/>
        <d v="2016-07-15T18:50:51Z"/>
        <d v="2016-07-11T07:25:00Z"/>
        <d v="2016-07-12T06:02:00Z"/>
        <d v="2016-07-12T12:57:00Z"/>
        <d v="2016-07-13T05:23:03Z"/>
        <d v="2016-07-13T09:16:19Z"/>
        <d v="2016-07-13T15:35:18Z"/>
        <d v="2016-07-13T18:20:51Z"/>
        <d v="2016-07-14T12:36:46Z"/>
        <d v="2016-07-14T23:18:52Z"/>
        <d v="2016-07-11T10:31:00Z"/>
        <d v="2016-07-11T19:23:00Z"/>
        <d v="2016-07-12T12:23:00Z"/>
        <d v="2016-07-12T16:40:00Z"/>
        <d v="2016-07-12T18:28:00Z"/>
        <d v="2016-07-13T09:22:37Z"/>
        <d v="2016-07-13T22:51:23Z"/>
        <d v="2016-07-14T22:25:19Z"/>
        <d v="2016-07-15T03:24:43Z"/>
        <d v="2016-07-15T10:53:06Z"/>
        <d v="2016-07-11T13:49:00Z"/>
        <d v="2016-07-12T07:10:00Z"/>
        <d v="2016-07-12T10:27:00Z"/>
        <d v="2016-07-12T17:01:00Z"/>
        <d v="2016-07-13T06:09:59Z"/>
        <d v="2016-07-13T20:32:04Z"/>
        <d v="2016-07-14T03:21:38Z"/>
        <d v="2016-07-14T13:45:28Z"/>
        <d v="2016-07-15T09:37:20Z"/>
        <d v="2016-07-15T15:47:31Z"/>
        <d v="2016-07-11T08:31:00Z"/>
        <d v="2016-07-11T12:01:00Z"/>
        <d v="2016-07-11T21:45:00Z"/>
        <d v="2016-07-12T09:23:00Z"/>
        <d v="2016-07-12T15:50:00Z"/>
        <d v="2016-07-12T22:29:00Z"/>
        <d v="2016-07-13T08:29:47Z"/>
        <d v="2016-07-13T12:46:38Z"/>
        <d v="2016-07-14T07:49:38Z"/>
        <d v="2016-07-15T10:07:07Z"/>
        <d v="2016-07-15T23:51:00Z"/>
        <d v="2016-07-12T06:28:00Z"/>
        <d v="2016-07-12T13:51:00Z"/>
        <d v="2016-07-13T07:40:35Z"/>
        <d v="2016-07-13T22:45:24Z"/>
        <d v="2016-07-14T03:30:27Z"/>
        <d v="2016-07-14T15:38:14Z"/>
        <d v="2016-07-14T22:25:43Z"/>
        <d v="2016-07-15T01:07:39Z"/>
        <d v="2016-07-15T08:38:55Z"/>
        <d v="2016-07-15T15:33:53Z"/>
        <d v="2016-07-11T20:41:00Z"/>
        <d v="2016-07-11T23:12:00Z"/>
        <d v="2016-07-12T21:28:00Z"/>
        <d v="2016-07-14T04:39:04Z"/>
        <d v="2016-07-14T10:17:01Z"/>
        <d v="2016-07-14T19:50:57Z"/>
        <d v="2016-07-15T10:40:39Z"/>
        <d v="2016-07-15T16:36:56Z"/>
        <d v="2016-07-11T09:18:00Z"/>
        <d v="2016-07-11T20:30:00Z"/>
        <d v="2016-07-12T09:24:00Z"/>
        <d v="2016-07-12T22:20:00Z"/>
        <d v="2016-07-13T11:07:02Z"/>
        <d v="2016-07-14T12:59:34Z"/>
        <d v="2016-07-11T09:52:00Z"/>
        <d v="2016-07-11T18:52:00Z"/>
        <d v="2016-07-12T00:23:00Z"/>
        <d v="2016-07-12T05:56:00Z"/>
        <d v="2016-07-12T18:54:00Z"/>
        <d v="2016-07-13T08:36:37Z"/>
        <d v="2016-07-13T17:31:49Z"/>
        <d v="2016-07-13T21:27:29Z"/>
        <d v="2016-07-14T00:58:39Z"/>
        <d v="2016-07-14T05:07:07Z"/>
        <d v="2016-07-14T19:02:42Z"/>
        <d v="2016-07-15T06:25:49Z"/>
        <d v="2016-07-15T12:32:12Z"/>
        <d v="2016-07-12T10:01:00Z"/>
        <d v="2016-07-12T16:14:00Z"/>
        <d v="2016-07-13T10:52:37Z"/>
        <d v="2016-07-14T08:22:09Z"/>
        <d v="2016-07-14T14:10:56Z"/>
        <d v="2016-07-15T07:19:53Z"/>
        <d v="2016-07-15T17:44:44Z"/>
        <d v="2016-07-12T15:02:00Z"/>
        <d v="2016-07-13T11:02:52Z"/>
        <d v="2016-07-13T14:09:00Z"/>
        <d v="2016-07-14T07:12:41Z"/>
        <d v="2016-07-14T19:14:36Z"/>
        <d v="2016-07-15T07:59:00Z"/>
        <d v="2016-07-15T09:13:04Z"/>
        <d v="2016-07-15T20:26:51Z"/>
        <d v="2016-07-11T04:09:00Z"/>
        <d v="2016-07-11T07:40:00Z"/>
        <d v="2016-07-11T21:38:00Z"/>
        <d v="2016-07-12T06:59:00Z"/>
        <d v="2016-07-12T21:26:00Z"/>
        <d v="2016-07-12T23:05:00Z"/>
        <d v="2016-07-14T03:13:09Z"/>
        <d v="2016-07-14T11:39:01Z"/>
        <d v="2016-07-14T20:14:03Z"/>
        <d v="2016-07-15T08:12:37Z"/>
        <d v="2016-07-15T10:50:50Z"/>
        <d v="2016-07-15T19:46:04Z"/>
        <d v="2016-07-11T06:28:00Z"/>
        <d v="2016-07-11T08:28:00Z"/>
        <d v="2016-07-11T12:42:00Z"/>
        <d v="2016-07-11T19:57:00Z"/>
        <d v="2016-07-12T08:42:00Z"/>
        <d v="2016-07-13T09:12:19Z"/>
        <d v="2016-07-14T06:45:32Z"/>
        <d v="2016-07-14T12:00:12Z"/>
        <d v="2016-07-14T22:24:13Z"/>
        <d v="2016-07-15T06:02:27Z"/>
        <d v="2016-07-15T22:41:18Z"/>
        <d v="2016-07-11T06:09:00Z"/>
        <d v="2016-07-11T07:07:00Z"/>
        <d v="2016-07-12T10:07:00Z"/>
        <d v="2016-07-12T22:14:00Z"/>
        <d v="2016-07-13T13:55:59Z"/>
        <d v="2016-07-14T22:16:40Z"/>
        <d v="2016-07-15T18:33:13Z"/>
        <d v="2016-07-16T00:37:46Z"/>
        <d v="2016-07-11T20:24:00Z"/>
        <d v="2016-07-13T00:35:12Z"/>
        <d v="2016-07-13T10:30:58Z"/>
        <d v="2016-07-13T22:21:15Z"/>
        <d v="2016-07-14T09:22:01Z"/>
        <d v="2016-07-14T21:05:18Z"/>
        <d v="2016-07-15T13:25:27Z"/>
        <d v="2016-07-15T20:40:45Z"/>
        <d v="2016-07-11T12:31:00Z"/>
        <d v="2016-07-11T15:03:00Z"/>
        <d v="2016-07-11T21:52:00Z"/>
        <d v="2016-07-13T00:27:21Z"/>
        <d v="2016-07-13T05:56:11Z"/>
        <d v="2016-07-13T10:45:28Z"/>
        <d v="2016-07-13T16:45:44Z"/>
        <d v="2016-07-13T22:55:54Z"/>
        <d v="2016-07-14T05:46:29Z"/>
        <d v="2016-07-14T09:19:20Z"/>
        <d v="2016-07-14T15:06:40Z"/>
        <d v="2016-07-14T23:53:42Z"/>
        <d v="2016-07-15T17:30:08Z"/>
        <d v="2016-07-15T21:32:49Z"/>
        <d v="2016-07-11T13:06:00Z"/>
        <d v="2016-07-11T19:26:00Z"/>
        <d v="2016-07-12T23:25:00Z"/>
        <d v="2016-07-13T08:26:07Z"/>
        <d v="2016-07-14T15:39:03Z"/>
        <d v="2016-07-14T19:43:44Z"/>
        <d v="2016-07-15T00:25:26Z"/>
        <d v="2016-07-15T05:47:13Z"/>
        <d v="2016-07-15T12:55:02Z"/>
        <d v="2016-07-15T21:00:31Z"/>
        <d v="2016-07-11T10:16:00Z"/>
        <d v="2016-07-11T21:18:00Z"/>
        <d v="2016-07-12T04:27:00Z"/>
        <d v="2016-07-12T09:57:00Z"/>
        <d v="2016-07-12T12:13:00Z"/>
        <d v="2016-07-13T02:37:08Z"/>
        <d v="2016-07-13T06:10:40Z"/>
        <d v="2016-07-13T23:33:20Z"/>
        <d v="2016-07-14T17:34:39Z"/>
        <d v="2016-07-14T21:56:21Z"/>
        <d v="2016-07-15T10:55:22Z"/>
        <d v="2016-07-11T10:02:00Z"/>
        <d v="2016-07-12T06:35:00Z"/>
        <d v="2016-07-12T15:09:00Z"/>
        <d v="2016-07-12T22:44:00Z"/>
        <d v="2016-07-13T21:46:24Z"/>
        <d v="2016-07-14T06:59:46Z"/>
        <d v="2016-07-14T08:54:39Z"/>
        <d v="2016-07-15T10:59:27Z"/>
        <d v="2016-07-15T12:53:36Z"/>
        <d v="2016-07-11T10:05:00Z"/>
        <d v="2016-07-11T15:01:00Z"/>
        <d v="2016-07-11T22:06:00Z"/>
        <d v="2016-07-12T17:18:00Z"/>
        <d v="2016-07-12T19:23:00Z"/>
        <d v="2016-07-13T13:30:26Z"/>
        <d v="2016-07-13T20:35:08Z"/>
        <d v="2016-07-14T09:48:08Z"/>
        <d v="2016-07-15T20:30:05Z"/>
        <d v="2016-07-12T10:52:00Z"/>
        <d v="2016-07-12T12:56:00Z"/>
        <d v="2016-07-13T21:22:42Z"/>
        <d v="2016-07-14T09:12:02Z"/>
        <d v="2016-07-15T13:38:01Z"/>
        <d v="2016-07-15T22:12:36Z"/>
        <d v="2016-07-11T06:06:00Z"/>
        <d v="2016-07-11T13:45:00Z"/>
        <d v="2016-07-11T19:34:00Z"/>
        <d v="2016-07-11T22:14:00Z"/>
        <d v="2016-07-12T11:42:00Z"/>
        <d v="2016-07-12T21:38:00Z"/>
        <d v="2016-07-13T08:58:46Z"/>
        <d v="2016-07-13T13:23:39Z"/>
        <d v="2016-07-13T19:29:07Z"/>
        <d v="2016-07-14T16:49:03Z"/>
        <d v="2016-07-14T20:48:58Z"/>
        <d v="2016-07-15T00:19:50Z"/>
        <d v="2016-07-15T06:50:02Z"/>
        <d v="2016-07-15T10:37:05Z"/>
        <d v="2016-07-15T23:17:53Z"/>
        <d v="2016-07-11T10:37:00Z"/>
        <d v="2016-07-11T16:43:00Z"/>
        <d v="2016-07-12T01:33:00Z"/>
        <d v="2016-07-12T07:09:00Z"/>
        <d v="2016-07-12T09:01:00Z"/>
        <d v="2016-07-12T17:21:00Z"/>
        <d v="2016-07-13T03:51:35Z"/>
        <d v="2016-07-14T07:02:28Z"/>
        <d v="2016-07-14T13:34:58Z"/>
        <d v="2016-07-15T03:08:35Z"/>
        <d v="2016-07-15T06:00:16Z"/>
        <d v="2016-07-15T09:42:27Z"/>
        <d v="2016-07-15T11:58:44Z"/>
        <d v="2016-07-15T16:29:40Z"/>
        <d v="2016-07-11T09:08:00Z"/>
        <d v="2016-07-11T20:48:00Z"/>
        <d v="2016-07-13T01:49:08Z"/>
        <d v="2016-07-13T05:33:20Z"/>
        <d v="2016-07-13T13:25:14Z"/>
        <d v="2016-07-13T16:50:46Z"/>
        <d v="2016-07-13T21:39:02Z"/>
        <d v="2016-07-14T06:05:01Z"/>
        <d v="2016-07-14T12:49:14Z"/>
        <d v="2016-07-14T18:54:03Z"/>
        <d v="2016-07-14T22:30:11Z"/>
        <d v="2016-07-15T09:26:33Z"/>
        <d v="2016-07-15T16:40:41Z"/>
        <d v="2016-07-15T19:53:29Z"/>
        <d v="2016-07-11T17:21:00Z"/>
        <d v="2016-07-13T00:40:52Z"/>
        <d v="2016-07-13T06:19:18Z"/>
        <d v="2016-07-13T15:57:24Z"/>
        <d v="2016-07-13T19:31:56Z"/>
        <d v="2016-07-13T21:21:24Z"/>
        <d v="2016-07-14T10:22:52Z"/>
        <d v="2016-07-14T18:41:40Z"/>
        <d v="2016-07-15T06:53:22Z"/>
        <d v="2016-07-15T18:08:11Z"/>
        <d v="2016-07-15T22:54:02Z"/>
        <d v="2016-07-11T08:10:00Z"/>
        <d v="2016-07-11T18:06:00Z"/>
        <d v="2016-07-11T19:09:00Z"/>
        <d v="2016-07-11T23:00:00Z"/>
        <d v="2016-07-13T06:14:07Z"/>
        <d v="2016-07-13T09:22:42Z"/>
        <d v="2016-07-13T17:13:44Z"/>
        <d v="2016-07-13T23:27:43Z"/>
        <d v="2016-07-15T20:16:57Z"/>
        <d v="2016-07-11T06:44:00Z"/>
        <d v="2016-07-11T13:10:00Z"/>
        <d v="2016-07-11T17:25:00Z"/>
        <d v="2016-07-12T12:49:00Z"/>
        <d v="2016-07-12T17:02:00Z"/>
        <d v="2016-07-12T21:20:00Z"/>
        <d v="2016-07-13T06:27:07Z"/>
        <d v="2016-07-13T20:48:05Z"/>
        <d v="2016-07-14T09:00:36Z"/>
        <d v="2016-07-14T21:52:37Z"/>
        <d v="2016-07-15T19:35:10Z"/>
        <d v="2016-07-15T23:13:18Z"/>
        <d v="2016-07-11T05:26:00Z"/>
        <d v="2016-07-11T21:53:00Z"/>
        <d v="2016-07-12T08:40:00Z"/>
        <d v="2016-07-13T05:13:54Z"/>
        <d v="2016-07-13T10:24:39Z"/>
        <d v="2016-07-13T20:47:17Z"/>
        <d v="2016-07-14T18:58:49Z"/>
        <d v="2016-07-15T21:53:29Z"/>
        <d v="2016-07-16T00:12:12Z"/>
        <d v="2016-07-12T07:18:00Z"/>
        <d v="2016-07-12T13:12:00Z"/>
        <d v="2016-07-13T06:18:22Z"/>
        <d v="2016-07-13T07:28:05Z"/>
        <d v="2016-07-13T14:51:51Z"/>
        <d v="2016-07-13T19:12:22Z"/>
        <d v="2016-07-13T21:42:32Z"/>
        <d v="2016-07-14T10:49:39Z"/>
        <d v="2016-07-15T19:42:21Z"/>
        <d v="2016-07-15T20:26:32Z"/>
        <d v="2016-07-11T10:24:00Z"/>
        <d v="2016-07-12T03:55:00Z"/>
        <d v="2016-07-12T08:10:00Z"/>
        <d v="2016-07-12T16:48:00Z"/>
        <d v="2016-07-12T23:18:00Z"/>
        <d v="2016-07-13T09:41:42Z"/>
        <d v="2016-07-13T20:55:01Z"/>
        <d v="2016-07-14T09:13:10Z"/>
        <d v="2016-07-14T17:56:08Z"/>
        <d v="2016-07-15T05:34:09Z"/>
        <d v="2016-07-15T21:01:21Z"/>
        <d v="2016-07-16T00:11:55Z"/>
        <d v="2016-07-11T16:45:00Z"/>
        <d v="2016-07-11T20:31:00Z"/>
        <d v="2016-07-12T10:35:00Z"/>
        <d v="2016-07-15T07:07:34Z"/>
        <d v="2016-07-15T10:08:03Z"/>
        <d v="2016-07-15T15:41:12Z"/>
        <d v="2016-07-15T23:07:50Z"/>
        <d v="2016-07-12T18:33:00Z"/>
        <d v="2016-07-13T12:14:06Z"/>
        <d v="2016-07-13T20:34:21Z"/>
        <d v="2016-07-14T17:15:01Z"/>
        <d v="2016-07-15T10:32:41Z"/>
        <d v="2016-07-15T17:55:50Z"/>
        <d v="2016-07-15T22:17:22Z"/>
        <d v="2016-07-11T06:37:00Z"/>
        <d v="2016-07-11T16:32:00Z"/>
        <d v="2016-07-11T19:04:00Z"/>
        <d v="2016-07-12T06:13:00Z"/>
        <d v="2016-07-12T12:55:00Z"/>
        <d v="2016-07-13T09:12:57Z"/>
        <d v="2016-07-13T23:38:37Z"/>
        <d v="2016-07-14T06:15:24Z"/>
        <d v="2016-07-15T18:49:29Z"/>
        <d v="2016-07-11T16:44:00Z"/>
        <d v="2016-07-13T03:16:56Z"/>
        <d v="2016-07-13T06:22:39Z"/>
        <d v="2016-07-13T18:17:24Z"/>
        <d v="2016-07-14T12:55:21Z"/>
        <d v="2016-07-14T20:05:07Z"/>
        <d v="2016-07-11T09:05:00Z"/>
        <d v="2016-07-11T17:34:00Z"/>
        <d v="2016-07-11T23:21:00Z"/>
        <d v="2016-07-12T06:47:00Z"/>
        <d v="2016-07-12T12:43:00Z"/>
        <d v="2016-07-13T07:00:33Z"/>
        <d v="2016-07-13T15:33:04Z"/>
        <d v="2016-07-13T19:31:28Z"/>
        <d v="2016-07-14T05:26:48Z"/>
        <d v="2016-07-14T15:37:25Z"/>
        <d v="2016-07-15T21:38:06Z"/>
        <d v="2016-07-15T23:22:48Z"/>
        <d v="2016-07-11T21:20:00Z"/>
        <d v="2016-07-12T07:30:00Z"/>
        <d v="2016-07-12T10:30:00Z"/>
        <d v="2016-07-12T17:12:00Z"/>
        <d v="2016-07-13T04:33:15Z"/>
        <d v="2016-07-13T08:40:52Z"/>
        <d v="2016-07-13T15:45:52Z"/>
        <d v="2016-07-13T22:26:18Z"/>
        <d v="2016-07-14T09:55:40Z"/>
        <d v="2016-07-14T21:57:39Z"/>
        <d v="2016-07-15T07:17:47Z"/>
        <d v="2016-07-15T22:56:08Z"/>
        <d v="2016-07-11T06:45:00Z"/>
        <d v="2016-07-11T08:53:00Z"/>
        <d v="2016-07-11T10:20:00Z"/>
        <d v="2016-07-12T09:45:00Z"/>
        <d v="2016-07-12T19:14:00Z"/>
        <d v="2016-07-12T22:18:00Z"/>
        <d v="2016-07-14T06:42:12Z"/>
        <d v="2016-07-14T15:04:54Z"/>
        <d v="2016-07-14T21:06:33Z"/>
        <d v="2016-07-14T23:45:53Z"/>
        <d v="2016-07-15T13:55:27Z"/>
        <d v="2016-07-15T18:03:53Z"/>
        <d v="2016-07-15T18:57:24Z"/>
        <d v="2016-07-11T06:17:00Z"/>
        <d v="2016-07-12T07:44:00Z"/>
        <d v="2016-07-12T09:59:00Z"/>
        <d v="2016-07-13T09:01:02Z"/>
        <d v="2016-07-13T15:34:26Z"/>
        <d v="2016-07-14T06:24:48Z"/>
        <d v="2016-07-15T09:17:55Z"/>
        <d v="2016-07-15T11:49:20Z"/>
        <d v="2016-07-15T19:30:28Z"/>
        <d v="2016-07-11T07:14:00Z"/>
        <d v="2016-07-11T16:09:00Z"/>
        <d v="2016-07-13T08:32:47Z"/>
        <d v="2016-07-13T20:08:38Z"/>
        <d v="2016-07-14T07:23:02Z"/>
        <d v="2016-07-14T15:51:37Z"/>
        <d v="2016-07-12T00:34:00Z"/>
        <d v="2016-07-12T06:52:00Z"/>
        <d v="2016-07-12T21:37:00Z"/>
        <d v="2016-07-13T20:40:51Z"/>
        <d v="2016-07-14T15:02:55Z"/>
        <d v="2016-07-14T23:45:17Z"/>
        <d v="2016-07-15T22:03:09Z"/>
        <d v="2016-07-12T12:09:00Z"/>
        <d v="2016-07-13T21:24:23Z"/>
        <d v="2016-07-14T06:37:57Z"/>
        <d v="2016-07-14T14:36:58Z"/>
        <d v="2016-07-15T08:24:55Z"/>
        <d v="2016-07-15T19:21:59Z"/>
        <d v="2016-07-16T00:12:03Z"/>
        <d v="2016-07-11T07:15:00Z"/>
        <d v="2016-07-12T23:17:00Z"/>
        <d v="2016-07-13T05:29:11Z"/>
        <d v="2016-07-14T00:04:39Z"/>
        <d v="2016-07-14T19:16:18Z"/>
        <d v="2016-07-15T05:44:45Z"/>
        <d v="2016-07-15T07:16:35Z"/>
        <d v="2016-07-11T05:48:00Z"/>
        <d v="2016-07-12T09:52:00Z"/>
        <d v="2016-07-12T16:32:00Z"/>
        <d v="2016-07-13T18:50:29Z"/>
        <d v="2016-07-14T00:03:31Z"/>
        <d v="2016-07-14T06:23:14Z"/>
        <d v="2016-07-14T12:47:18Z"/>
        <d v="2016-07-15T09:55:23Z"/>
        <d v="2016-07-15T14:51:36Z"/>
        <d v="2016-07-11T05:52:00Z"/>
        <d v="2016-07-11T08:45:00Z"/>
        <d v="2016-07-11T17:27:00Z"/>
        <d v="2016-07-11T21:31:00Z"/>
        <d v="2016-07-12T21:33:00Z"/>
        <d v="2016-07-13T09:12:13Z"/>
        <d v="2016-07-13T19:51:00Z"/>
        <d v="2016-07-14T07:47:58Z"/>
        <d v="2016-07-15T07:59:21Z"/>
        <d v="2016-07-12T08:56:00Z"/>
        <d v="2016-07-12T16:42:00Z"/>
        <d v="2016-07-13T03:45:00Z"/>
        <d v="2016-07-13T06:53:54Z"/>
        <d v="2016-07-13T09:38:31Z"/>
        <d v="2016-07-13T14:38:35Z"/>
        <d v="2016-07-15T03:43:43Z"/>
        <d v="2016-07-15T08:24:01Z"/>
        <d v="2016-07-11T13:29:00Z"/>
        <d v="2016-07-11T23:02:00Z"/>
        <d v="2016-07-12T07:15:00Z"/>
        <d v="2016-07-13T07:17:20Z"/>
        <d v="2016-07-13T16:44:23Z"/>
        <d v="2016-07-13T19:58:45Z"/>
        <d v="2016-07-14T20:40:50Z"/>
        <d v="2016-07-15T03:09:26Z"/>
        <d v="2016-07-15T08:48:45Z"/>
        <d v="2016-07-15T13:35:03Z"/>
        <d v="2016-07-15T20:27:36Z"/>
        <d v="2016-07-11T19:33:00Z"/>
        <d v="2016-07-12T09:27:00Z"/>
        <d v="2016-07-13T03:03:11Z"/>
        <d v="2016-07-13T16:06:48Z"/>
        <d v="2016-07-14T07:35:54Z"/>
        <d v="2016-07-14T20:05:50Z"/>
        <d v="2016-07-15T00:47:06Z"/>
        <d v="2016-07-15T07:18:48Z"/>
        <d v="2016-07-15T18:16:35Z"/>
        <d v="2016-07-11T09:45:00Z"/>
        <d v="2016-07-11T23:06:00Z"/>
        <d v="2016-07-12T08:15:00Z"/>
        <d v="2016-07-12T17:16:00Z"/>
        <d v="2016-07-12T20:07:00Z"/>
        <d v="2016-07-13T08:47:52Z"/>
        <d v="2016-07-13T19:07:06Z"/>
        <d v="2016-07-13T21:41:49Z"/>
        <d v="2016-07-14T00:34:05Z"/>
        <d v="2016-07-14T03:23:21Z"/>
        <d v="2016-07-14T13:47:19Z"/>
        <d v="2016-07-14T19:14:54Z"/>
        <d v="2016-07-15T07:02:34Z"/>
        <d v="2016-07-11T10:52:00Z"/>
        <d v="2016-07-12T06:32:00Z"/>
        <d v="2016-07-12T20:28:00Z"/>
        <d v="2016-07-12T22:51:00Z"/>
        <d v="2016-07-13T07:25:58Z"/>
        <d v="2016-07-14T00:50:46Z"/>
        <d v="2016-07-14T08:07:07Z"/>
        <d v="2016-07-14T11:28:51Z"/>
        <d v="2016-07-14T22:00:26Z"/>
        <d v="2016-07-15T12:11:05Z"/>
        <d v="2016-07-15T17:20:36Z"/>
        <d v="2016-07-15T19:46:41Z"/>
        <d v="2016-07-13T13:10:08Z"/>
        <d v="2016-07-13T23:15:39Z"/>
        <d v="2016-07-14T09:08:19Z"/>
        <d v="2016-07-14T19:19:51Z"/>
        <d v="2016-07-14T22:15:12Z"/>
        <d v="2016-07-15T08:12:26Z"/>
        <d v="2016-07-15T10:18:31Z"/>
        <d v="2016-07-15T21:30:57Z"/>
        <d v="2016-07-11T14:30:00Z"/>
        <d v="2016-07-11T17:32:00Z"/>
        <d v="2016-07-12T05:27:00Z"/>
        <d v="2016-07-12T11:22:00Z"/>
        <d v="2016-07-12T20:59:00Z"/>
        <d v="2016-07-13T07:47:34Z"/>
        <d v="2016-07-13T23:34:07Z"/>
        <d v="2016-07-14T06:24:49Z"/>
        <d v="2016-07-14T13:39:06Z"/>
        <d v="2016-07-14T19:41:29Z"/>
        <d v="2016-07-15T07:12:45Z"/>
        <d v="2016-07-15T10:52:49Z"/>
        <d v="2016-07-15T22:21:17Z"/>
        <d v="2016-07-11T05:28:00Z"/>
        <d v="2016-07-11T14:25:00Z"/>
        <d v="2016-07-12T07:49:00Z"/>
        <d v="2016-07-12T12:35:00Z"/>
        <d v="2016-07-12T18:07:00Z"/>
        <d v="2016-07-13T07:13:57Z"/>
        <d v="2016-07-13T21:06:29Z"/>
        <d v="2016-07-14T15:47:44Z"/>
        <d v="2016-07-14T20:34:00Z"/>
        <d v="2016-07-11T08:35:00Z"/>
        <d v="2016-07-12T17:14:00Z"/>
        <d v="2016-07-13T06:23:03Z"/>
        <d v="2016-07-13T07:11:44Z"/>
        <d v="2016-07-13T19:27:56Z"/>
        <d v="2016-07-14T16:37:19Z"/>
        <d v="2016-07-15T23:34:39Z"/>
        <d v="2016-07-11T07:23:00Z"/>
        <d v="2016-07-11T09:34:00Z"/>
        <d v="2016-07-12T06:33:00Z"/>
        <d v="2016-07-12T08:50:00Z"/>
        <d v="2016-07-12T19:12:00Z"/>
        <d v="2016-07-13T11:31:51Z"/>
        <d v="2016-07-13T18:43:17Z"/>
        <d v="2016-07-14T16:41:07Z"/>
        <d v="2016-07-11T10:36:00Z"/>
        <d v="2016-07-12T08:47:00Z"/>
        <d v="2016-07-13T00:37:17Z"/>
        <d v="2016-07-13T07:41:17Z"/>
        <d v="2016-07-13T21:35:51Z"/>
        <d v="2016-07-14T02:26:06Z"/>
        <d v="2016-07-14T03:33:26Z"/>
        <d v="2016-07-14T06:58:26Z"/>
        <d v="2016-07-14T19:06:04Z"/>
        <d v="2016-07-15T20:08:25Z"/>
        <d v="2016-07-12T11:52:00Z"/>
        <d v="2016-07-13T10:49:37Z"/>
        <d v="2016-07-13T17:35:37Z"/>
        <d v="2016-07-14T12:05:37Z"/>
        <d v="2016-07-15T03:13:00Z"/>
        <d v="2016-07-15T08:09:48Z"/>
        <d v="2016-07-11T12:52:00Z"/>
        <d v="2016-07-11T23:55:00Z"/>
        <d v="2016-07-12T07:41:00Z"/>
        <d v="2016-07-12T13:07:00Z"/>
        <d v="2016-07-12T22:54:00Z"/>
        <d v="2016-07-14T13:45:06Z"/>
        <d v="2016-07-15T18:45:25Z"/>
        <d v="2016-07-11T13:44:00Z"/>
        <d v="2016-07-11T19:25:00Z"/>
        <d v="2016-07-13T08:53:21Z"/>
        <d v="2016-07-13T17:04:40Z"/>
        <d v="2016-07-14T09:56:16Z"/>
        <d v="2016-07-14T16:25:11Z"/>
        <d v="2016-07-14T17:51:22Z"/>
        <d v="2016-07-14T19:08:17Z"/>
        <d v="2016-07-11T06:19:00Z"/>
        <d v="2016-07-11T10:42:00Z"/>
        <d v="2016-07-11T18:31:00Z"/>
        <d v="2016-07-11T20:58:00Z"/>
        <d v="2016-07-12T16:22:00Z"/>
        <d v="2016-07-14T00:42:31Z"/>
        <d v="2016-07-14T05:42:08Z"/>
        <d v="2016-07-14T11:37:46Z"/>
        <d v="2016-07-11T13:17:00Z"/>
        <d v="2016-07-11T22:59:00Z"/>
        <d v="2016-07-12T21:42:00Z"/>
        <d v="2016-07-13T20:34:16Z"/>
        <d v="2016-07-13T23:25:59Z"/>
        <d v="2016-07-14T13:10:26Z"/>
        <d v="2016-07-14T20:02:05Z"/>
        <d v="2016-07-15T11:23:49Z"/>
        <d v="2016-07-12T00:22:00Z"/>
        <d v="2016-07-12T18:39:00Z"/>
        <d v="2016-07-12T20:17:00Z"/>
        <d v="2016-07-13T02:55:01Z"/>
        <d v="2016-07-13T13:16:34Z"/>
        <d v="2016-07-14T09:25:43Z"/>
        <d v="2016-07-14T17:13:53Z"/>
        <d v="2016-07-14T20:01:24Z"/>
        <d v="2016-07-15T07:08:30Z"/>
        <d v="2016-07-15T14:44:05Z"/>
        <d v="2016-07-11T09:24:00Z"/>
        <d v="2016-07-11T12:48:00Z"/>
        <d v="2016-07-12T10:18:00Z"/>
        <d v="2016-07-14T00:21:38Z"/>
        <d v="2016-07-15T09:19:35Z"/>
        <d v="2016-07-15T21:45:32Z"/>
        <d v="2016-07-11T06:08:00Z"/>
        <d v="2016-07-11T11:44:00Z"/>
        <d v="2016-07-12T21:35:00Z"/>
        <d v="2016-07-13T05:42:58Z"/>
        <d v="2016-07-13T18:32:16Z"/>
        <d v="2016-07-14T19:37:00Z"/>
        <d v="2016-07-15T04:54:26Z"/>
        <d v="2016-07-15T11:12:53Z"/>
        <d v="2016-07-15T18:05:53Z"/>
        <d v="2016-07-15T23:14:39Z"/>
        <d v="2016-07-11T12:25:00Z"/>
        <d v="2016-07-12T09:08:00Z"/>
        <d v="2016-07-12T14:51:00Z"/>
        <d v="2016-07-13T10:00:18Z"/>
        <d v="2016-07-13T23:50:55Z"/>
        <d v="2016-07-14T08:54:46Z"/>
        <d v="2016-07-14T22:19:37Z"/>
        <d v="2016-07-15T01:42:51Z"/>
        <d v="2016-07-15T06:09:36Z"/>
        <d v="2016-07-11T16:30:00Z"/>
        <d v="2016-07-12T08:04:00Z"/>
        <d v="2016-07-12T11:41:00Z"/>
        <d v="2016-07-12T22:36:00Z"/>
        <d v="2016-07-13T17:47:12Z"/>
        <d v="2016-07-13T18:55:15Z"/>
        <d v="2016-07-14T21:45:04Z"/>
        <d v="2016-07-15T06:19:03Z"/>
        <d v="2016-07-15T11:20:09Z"/>
        <d v="2016-07-15T15:30:31Z"/>
        <d v="2016-07-16T00:36:53Z"/>
        <d v="2016-07-11T07:34:00Z"/>
        <d v="2016-07-11T17:41:00Z"/>
        <d v="2016-07-12T08:44:00Z"/>
        <d v="2016-07-13T23:04:13Z"/>
        <d v="2016-07-14T22:21:00Z"/>
        <d v="2016-07-15T10:23:11Z"/>
        <d v="2016-07-15T19:22:05Z"/>
        <d v="2016-07-11T14:17:00Z"/>
        <d v="2016-07-11T23:45:00Z"/>
        <d v="2016-07-12T09:06:00Z"/>
        <d v="2016-07-12T14:59:00Z"/>
        <d v="2016-07-13T08:53:34Z"/>
        <d v="2016-07-14T14:22:19Z"/>
        <d v="2016-07-14T19:39:52Z"/>
        <d v="2016-07-15T07:00:21Z"/>
        <d v="2016-07-16T00:58:57Z"/>
        <d v="2016-07-12T06:06:00Z"/>
        <d v="2016-07-12T14:29:00Z"/>
        <d v="2016-07-13T06:28:32Z"/>
        <d v="2016-07-13T15:01:27Z"/>
        <d v="2016-07-14T04:38:59Z"/>
        <d v="2016-07-14T08:11:28Z"/>
        <d v="2016-07-14T17:15:13Z"/>
        <d v="2016-07-11T05:30:00Z"/>
        <d v="2016-07-11T09:02:00Z"/>
        <d v="2016-07-11T11:59:00Z"/>
        <d v="2016-07-11T19:10:00Z"/>
        <d v="2016-07-12T11:18:00Z"/>
        <d v="2016-07-12T15:22:00Z"/>
        <d v="2016-07-13T00:01:12Z"/>
        <d v="2016-07-13T07:42:26Z"/>
        <d v="2016-07-13T20:55:56Z"/>
        <d v="2016-07-14T09:52:26Z"/>
        <d v="2016-07-14T14:20:34Z"/>
        <d v="2016-07-14T18:34:08Z"/>
        <d v="2016-07-15T18:55:37Z"/>
        <d v="2016-07-11T10:56:00Z"/>
        <d v="2016-07-11T14:44:00Z"/>
        <d v="2016-07-12T19:00:00Z"/>
        <d v="2016-07-13T07:13:25Z"/>
        <d v="2016-07-13T19:25:25Z"/>
        <d v="2016-07-14T07:25:59Z"/>
        <d v="2016-07-14T09:01:47Z"/>
        <d v="2016-07-14T19:49:02Z"/>
        <d v="2016-07-15T06:10:15Z"/>
        <d v="2016-07-15T08:33:38Z"/>
        <d v="2016-07-15T12:30:23Z"/>
        <d v="2016-07-15T16:59:06Z"/>
        <d v="2016-07-15T21:56:10Z"/>
        <d v="2016-07-11T10:17:00Z"/>
        <d v="2016-07-11T12:43:00Z"/>
        <d v="2016-07-11T18:24:00Z"/>
        <d v="2016-07-12T07:42:00Z"/>
        <d v="2016-07-12T11:51:00Z"/>
        <d v="2016-07-12T21:53:00Z"/>
        <d v="2016-07-13T08:26:59Z"/>
        <d v="2016-07-14T19:55:35Z"/>
        <d v="2016-07-11T06:34:00Z"/>
        <d v="2016-07-13T07:19:44Z"/>
        <d v="2016-07-14T16:28:14Z"/>
        <d v="2016-07-14T23:22:32Z"/>
        <d v="2016-07-15T02:46:45Z"/>
        <d v="2016-07-15T23:51:58Z"/>
        <d v="2016-07-11T06:00:00Z"/>
        <d v="2016-07-11T08:32:00Z"/>
        <d v="2016-07-11T17:53:00Z"/>
        <d v="2016-07-11T22:56:00Z"/>
        <d v="2016-07-12T10:03:00Z"/>
        <d v="2016-07-13T03:10:15Z"/>
        <d v="2016-07-13T10:35:55Z"/>
        <d v="2016-07-13T16:53:47Z"/>
        <d v="2016-07-14T05:59:54Z"/>
        <d v="2016-07-15T07:36:28Z"/>
        <d v="2016-07-15T11:21:25Z"/>
        <d v="2016-07-15T23:37:30Z"/>
        <d v="2016-07-11T16:53:00Z"/>
        <d v="2016-07-12T05:57:00Z"/>
        <d v="2016-07-13T04:42:07Z"/>
        <d v="2016-07-13T06:37:36Z"/>
        <d v="2016-07-13T08:45:40Z"/>
        <d v="2016-07-13T23:25:38Z"/>
        <d v="2016-07-14T09:39:07Z"/>
        <d v="2016-07-14T19:44:24Z"/>
        <d v="2016-07-14T20:45:59Z"/>
        <d v="2016-07-15T10:23:51Z"/>
        <d v="2016-07-15T20:41:40Z"/>
        <d v="2016-07-11T10:30:00Z"/>
        <d v="2016-07-11T18:23:00Z"/>
        <d v="2016-07-12T14:09:00Z"/>
        <d v="2016-07-12T18:24:00Z"/>
        <d v="2016-07-12T22:56:00Z"/>
        <d v="2016-07-13T07:28:34Z"/>
        <d v="2016-07-13T11:24:06Z"/>
        <d v="2016-07-13T19:01:12Z"/>
        <d v="2016-07-15T06:28:41Z"/>
        <d v="2016-07-15T23:13:20Z"/>
        <d v="2016-07-11T06:07:00Z"/>
        <d v="2016-07-11T07:20:00Z"/>
        <d v="2016-07-11T18:48:00Z"/>
        <d v="2016-07-12T07:27:00Z"/>
        <d v="2016-07-12T17:09:00Z"/>
        <d v="2016-07-13T05:27:13Z"/>
        <d v="2016-07-13T08:44:39Z"/>
        <d v="2016-07-13T19:46:35Z"/>
        <d v="2016-07-14T06:16:57Z"/>
        <d v="2016-07-14T19:08:42Z"/>
        <d v="2016-07-14T19:47:40Z"/>
        <d v="2016-07-15T20:44:57Z"/>
        <d v="2016-07-11T08:49:00Z"/>
        <d v="2016-07-11T19:16:00Z"/>
        <d v="2016-07-11T21:07:00Z"/>
        <d v="2016-07-12T13:42:00Z"/>
        <d v="2016-07-12T21:22:00Z"/>
        <d v="2016-07-13T13:07:25Z"/>
        <d v="2016-07-13T18:36:10Z"/>
        <d v="2016-07-14T07:30:47Z"/>
        <d v="2016-07-15T10:26:32Z"/>
        <d v="2016-07-15T21:32:35Z"/>
        <d v="2016-07-11T03:34:00Z"/>
        <d v="2016-07-11T13:31:00Z"/>
        <d v="2016-07-11T19:53:00Z"/>
        <d v="2016-07-11T23:24:00Z"/>
        <d v="2016-07-12T08:45:00Z"/>
        <d v="2016-07-12T11:32:00Z"/>
        <d v="2016-07-13T11:08:03Z"/>
        <d v="2016-07-13T18:48:14Z"/>
        <d v="2016-07-13T23:50:19Z"/>
        <d v="2016-07-14T07:59:18Z"/>
        <d v="2016-07-14T13:34:02Z"/>
        <d v="2016-07-14T18:20:41Z"/>
        <d v="2016-07-15T11:47:09Z"/>
        <d v="2016-07-11T13:51:00Z"/>
        <d v="2016-07-11T15:57:00Z"/>
        <d v="2016-07-11T22:28:00Z"/>
        <d v="2016-07-12T05:46:00Z"/>
        <d v="2016-07-12T15:21:00Z"/>
        <d v="2016-07-12T21:04:00Z"/>
        <d v="2016-07-13T23:09:11Z"/>
        <d v="2016-07-14T08:18:10Z"/>
        <d v="2016-07-14T20:45:20Z"/>
        <d v="2016-07-15T09:40:06Z"/>
        <d v="2016-07-16T00:08:14Z"/>
        <d v="2016-07-11T01:31:00Z"/>
        <d v="2016-07-11T07:38:00Z"/>
        <d v="2016-07-11T14:50:00Z"/>
        <d v="2016-07-11T22:35:00Z"/>
        <d v="2016-07-12T15:54:00Z"/>
        <d v="2016-07-12T20:35:00Z"/>
        <d v="2016-07-12T23:22:00Z"/>
        <d v="2016-07-13T17:46:15Z"/>
        <d v="2016-07-13T21:51:36Z"/>
        <d v="2016-07-14T01:03:59Z"/>
        <d v="2016-07-15T20:52:51Z"/>
        <d v="2016-07-11T07:43:00Z"/>
        <d v="2016-07-11T08:44:00Z"/>
        <d v="2016-07-11T22:42:00Z"/>
        <d v="2016-07-12T07:59:00Z"/>
        <d v="2016-07-12T13:01:00Z"/>
        <d v="2016-07-12T20:23:00Z"/>
        <d v="2016-07-13T08:26:41Z"/>
        <d v="2016-07-13T12:57:04Z"/>
        <d v="2016-07-13T15:50:57Z"/>
        <d v="2016-07-14T06:13:22Z"/>
        <d v="2016-07-15T08:45:07Z"/>
        <d v="2016-07-15T15:17:05Z"/>
        <d v="2016-07-16T00:51:38Z"/>
        <d v="2016-07-11T07:54:00Z"/>
        <d v="2016-07-11T10:47:00Z"/>
        <d v="2016-07-11T11:39:00Z"/>
        <d v="2016-07-12T06:18:00Z"/>
        <d v="2016-07-12T08:35:00Z"/>
        <d v="2016-07-12T20:53:00Z"/>
        <d v="2016-07-13T14:37:56Z"/>
        <d v="2016-07-14T06:38:45Z"/>
        <d v="2016-07-15T21:08:34Z"/>
        <d v="2016-07-11T10:43:00Z"/>
        <d v="2016-07-11T23:17:00Z"/>
        <d v="2016-07-13T15:32:12Z"/>
        <d v="2016-07-13T18:36:58Z"/>
        <d v="2016-07-14T20:04:07Z"/>
        <d v="2016-07-15T00:39:38Z"/>
        <d v="2016-07-15T08:54:41Z"/>
        <d v="2016-07-11T09:56:00Z"/>
        <d v="2016-07-11T11:53:00Z"/>
        <d v="2016-07-13T08:47:40Z"/>
        <d v="2016-07-13T21:16:50Z"/>
        <d v="2016-07-14T04:05:22Z"/>
        <d v="2016-07-14T21:49:56Z"/>
        <d v="2016-07-15T02:05:26Z"/>
        <d v="2016-07-15T06:36:52Z"/>
        <d v="2016-07-15T20:31:59Z"/>
        <d v="2016-07-11T12:56:00Z"/>
        <d v="2016-07-12T12:32:00Z"/>
        <d v="2016-07-13T06:51:33Z"/>
        <d v="2016-07-13T16:48:47Z"/>
        <d v="2016-07-13T18:07:08Z"/>
        <d v="2016-07-13T21:43:20Z"/>
        <d v="2016-07-13T23:15:31Z"/>
        <d v="2016-07-14T08:09:53Z"/>
        <d v="2016-07-14T14:08:52Z"/>
        <d v="2016-07-15T09:40:10Z"/>
        <d v="2016-07-15T18:38:55Z"/>
        <d v="2016-07-16T00:19:56Z"/>
        <d v="2016-07-11T04:33:00Z"/>
        <d v="2016-07-11T10:08:00Z"/>
        <d v="2016-07-11T22:58:00Z"/>
        <d v="2016-07-12T02:15:00Z"/>
        <d v="2016-07-12T07:50:00Z"/>
        <d v="2016-07-12T17:55:00Z"/>
        <d v="2016-07-13T09:19:27Z"/>
        <d v="2016-07-13T14:34:41Z"/>
        <d v="2016-07-14T12:20:11Z"/>
        <d v="2016-07-15T10:47:56Z"/>
        <d v="2016-07-15T16:15:26Z"/>
        <d v="2016-07-15T19:07:32Z"/>
        <d v="2016-07-15T22:55:40Z"/>
        <d v="2016-07-11T07:10:00Z"/>
        <d v="2016-07-11T20:15:00Z"/>
        <d v="2016-07-12T08:16:00Z"/>
        <d v="2016-07-14T12:14:06Z"/>
        <d v="2016-07-14T18:16:00Z"/>
        <d v="2016-07-15T01:48:20Z"/>
        <d v="2016-07-15T11:47:41Z"/>
        <d v="2016-07-15T16:22:39Z"/>
        <d v="2016-07-15T21:39:52Z"/>
        <d v="2016-07-11T16:34:00Z"/>
        <d v="2016-07-12T06:38:00Z"/>
        <d v="2016-07-12T10:10:00Z"/>
        <d v="2016-07-13T06:05:31Z"/>
        <d v="2016-07-14T09:02:00Z"/>
        <d v="2016-07-14T13:49:32Z"/>
        <d v="2016-07-14T21:35:12Z"/>
        <d v="2016-07-15T11:55:36Z"/>
        <d v="2016-07-15T16:19:24Z"/>
        <d v="2016-07-15T20:59:46Z"/>
        <d v="2016-07-11T07:50:00Z"/>
        <d v="2016-07-11T14:48:00Z"/>
        <d v="2016-07-11T19:14:00Z"/>
        <d v="2016-07-12T09:14:00Z"/>
        <d v="2016-07-14T00:31:11Z"/>
        <d v="2016-07-14T22:12:28Z"/>
        <d v="2016-07-15T21:12:20Z"/>
        <d v="2016-07-12T07:32:00Z"/>
        <d v="2016-07-13T06:50:15Z"/>
        <d v="2016-07-13T19:54:48Z"/>
        <d v="2016-07-14T00:35:55Z"/>
        <d v="2016-07-14T07:59:34Z"/>
        <d v="2016-07-14T16:07:31Z"/>
        <d v="2016-07-15T13:18:10Z"/>
        <d v="2016-07-11T23:03:00Z"/>
        <d v="2016-07-12T05:22:00Z"/>
        <d v="2016-07-12T17:04:00Z"/>
        <d v="2016-07-13T03:54:57Z"/>
        <d v="2016-07-13T19:43:28Z"/>
        <d v="2016-07-14T14:46:06Z"/>
        <d v="2016-07-14T16:22:04Z"/>
        <d v="2016-07-11T18:41:00Z"/>
        <d v="2016-07-12T17:31:00Z"/>
        <d v="2016-07-12T21:39:00Z"/>
        <d v="2016-07-12T22:58:00Z"/>
        <d v="2016-07-13T10:08:48Z"/>
        <d v="2016-07-13T12:00:50Z"/>
        <d v="2016-07-13T13:19:04Z"/>
        <d v="2016-07-15T07:10:36Z"/>
        <d v="2016-07-15T18:20:13Z"/>
        <d v="2016-07-11T19:15:00Z"/>
        <d v="2016-07-12T10:58:00Z"/>
        <d v="2016-07-13T09:07:49Z"/>
        <d v="2016-07-13T15:17:16Z"/>
        <d v="2016-07-14T14:59:32Z"/>
        <d v="2016-07-11T14:29:00Z"/>
        <d v="2016-07-12T00:49:00Z"/>
        <d v="2016-07-12T10:05:00Z"/>
        <d v="2016-07-12T21:15:00Z"/>
        <d v="2016-07-13T10:45:47Z"/>
        <d v="2016-07-13T13:37:51Z"/>
        <d v="2016-07-13T19:40:08Z"/>
        <d v="2016-07-11T04:22:00Z"/>
        <d v="2016-07-13T18:51:03Z"/>
        <d v="2016-07-14T07:08:09Z"/>
        <d v="2016-07-14T18:20:32Z"/>
        <d v="2016-07-15T06:06:40Z"/>
        <d v="2016-07-15T07:14:40Z"/>
        <d v="2016-07-15T23:00:45Z"/>
        <d v="2016-07-11T06:40:00Z"/>
        <d v="2016-07-11T08:40:00Z"/>
        <d v="2016-07-11T19:48:00Z"/>
        <d v="2016-07-12T00:39:00Z"/>
        <d v="2016-07-12T17:56:00Z"/>
        <d v="2016-07-13T08:14:23Z"/>
        <d v="2016-07-13T22:56:32Z"/>
        <d v="2016-07-14T07:27:20Z"/>
        <d v="2016-07-14T13:44:08Z"/>
        <d v="2016-07-15T18:11:45Z"/>
        <d v="2016-07-13T18:22:34Z"/>
        <d v="2016-07-13T21:16:23Z"/>
        <d v="2016-07-14T12:44:54Z"/>
        <d v="2016-07-14T16:05:37Z"/>
        <d v="2016-07-15T00:01:32Z"/>
        <d v="2016-07-15T11:38:44Z"/>
        <d v="2016-07-15T21:48:54Z"/>
        <d v="2016-07-12T12:47:00Z"/>
        <d v="2016-07-12T20:32:00Z"/>
        <d v="2016-07-13T08:12:48Z"/>
        <d v="2016-07-13T10:17:39Z"/>
        <d v="2016-07-13T18:54:39Z"/>
        <d v="2016-07-13T23:41:58Z"/>
        <d v="2016-07-14T08:03:57Z"/>
        <d v="2016-07-14T17:39:23Z"/>
        <d v="2016-07-15T11:48:25Z"/>
        <d v="2016-07-15T16:06:54Z"/>
        <d v="2016-07-15T18:46:03Z"/>
        <d v="2016-07-11T08:55:00Z"/>
        <d v="2016-07-11T18:42:00Z"/>
        <d v="2016-07-12T00:14:00Z"/>
        <d v="2016-07-13T10:33:38Z"/>
        <d v="2016-07-14T19:20:18Z"/>
        <d v="2016-07-15T00:17:24Z"/>
        <d v="2016-07-15T22:28:38Z"/>
        <d v="2016-07-11T03:57:00Z"/>
        <d v="2016-07-11T05:38:00Z"/>
        <d v="2016-07-11T06:47:00Z"/>
        <d v="2016-07-11T11:01:00Z"/>
        <d v="2016-07-12T07:12:00Z"/>
        <d v="2016-07-14T00:47:55Z"/>
        <d v="2016-07-14T08:16:29Z"/>
        <d v="2016-07-15T10:05:53Z"/>
        <d v="2016-07-12T05:40:00Z"/>
        <d v="2016-07-12T20:02:00Z"/>
        <d v="2016-07-12T22:42:00Z"/>
        <d v="2016-07-13T13:09:40Z"/>
        <d v="2016-07-13T23:22:35Z"/>
        <d v="2016-07-14T10:16:38Z"/>
        <d v="2016-07-15T22:19:18Z"/>
        <d v="2016-07-11T09:16:00Z"/>
        <d v="2016-07-11T23:58:00Z"/>
        <d v="2016-07-12T10:43:00Z"/>
        <d v="2016-07-12T19:22:00Z"/>
        <d v="2016-07-13T10:28:33Z"/>
        <d v="2016-07-14T22:46:06Z"/>
        <d v="2016-07-15T06:01:41Z"/>
        <d v="2016-07-15T09:53:01Z"/>
        <d v="2016-07-15T20:34:01Z"/>
        <d v="2016-07-15T23:59:35Z"/>
        <d v="2016-07-12T15:36:00Z"/>
        <d v="2016-07-13T20:57:08Z"/>
        <d v="2016-07-14T10:05:11Z"/>
        <d v="2016-07-14T21:38:20Z"/>
        <d v="2016-07-15T21:27:36Z"/>
        <d v="2016-07-11T10:55:00Z"/>
        <d v="2016-07-12T10:20:00Z"/>
        <d v="2016-07-13T06:39:33Z"/>
        <d v="2016-07-15T00:39:55Z"/>
        <d v="2016-07-15T10:54:15Z"/>
        <d v="2016-07-11T06:46:00Z"/>
        <d v="2016-07-11T20:55:00Z"/>
        <d v="2016-07-12T09:19:00Z"/>
        <d v="2016-07-12T20:50:00Z"/>
        <d v="2016-07-13T02:35:10Z"/>
        <d v="2016-07-13T08:08:45Z"/>
        <d v="2016-07-14T00:14:14Z"/>
        <d v="2016-07-14T14:29:40Z"/>
        <d v="2016-07-14T21:16:51Z"/>
        <d v="2016-07-15T06:40:01Z"/>
        <d v="2016-07-15T08:58:39Z"/>
        <d v="2016-07-15T11:06:42Z"/>
        <d v="2016-07-15T19:07:36Z"/>
        <d v="2016-07-16T00:02:06Z"/>
        <d v="2016-07-11T10:38:00Z"/>
        <d v="2016-07-11T21:29:00Z"/>
        <d v="2016-07-12T05:58:00Z"/>
        <d v="2016-07-13T11:39:21Z"/>
        <d v="2016-07-14T03:05:32Z"/>
        <d v="2016-07-14T06:01:38Z"/>
        <d v="2016-07-14T17:31:10Z"/>
        <d v="2016-07-14T19:01:55Z"/>
        <d v="2016-07-11T03:03:00Z"/>
        <d v="2016-07-11T06:10:00Z"/>
        <d v="2016-07-11T18:19:00Z"/>
        <d v="2016-07-11T20:38:00Z"/>
        <d v="2016-07-13T09:28:32Z"/>
        <d v="2016-07-13T12:14:07Z"/>
        <d v="2016-07-13T19:13:36Z"/>
        <d v="2016-07-14T05:50:07Z"/>
        <d v="2016-07-14T08:28:35Z"/>
        <d v="2016-07-14T12:41:11Z"/>
        <d v="2016-07-14T16:11:37Z"/>
        <d v="2016-07-14T18:44:26Z"/>
        <d v="2016-07-15T18:19:03Z"/>
        <d v="2016-07-11T07:17:00Z"/>
        <d v="2016-07-12T00:32:00Z"/>
        <d v="2016-07-12T06:07:00Z"/>
        <d v="2016-07-14T08:15:45Z"/>
        <d v="2016-07-15T01:10:34Z"/>
        <d v="2016-07-15T18:32:51Z"/>
        <d v="2016-07-11T03:23:00Z"/>
        <d v="2016-07-11T07:47:00Z"/>
        <d v="2016-07-11T19:19:00Z"/>
        <d v="2016-07-11T22:29:00Z"/>
        <d v="2016-07-12T12:41:00Z"/>
        <d v="2016-07-13T11:04:59Z"/>
        <d v="2016-07-13T18:27:42Z"/>
        <d v="2016-07-13T22:37:59Z"/>
        <d v="2016-07-14T10:52:16Z"/>
        <d v="2016-07-14T11:46:14Z"/>
        <d v="2016-07-14T20:13:18Z"/>
        <d v="2016-07-15T00:24:00Z"/>
        <d v="2016-07-15T18:08:57Z"/>
        <d v="2016-07-11T10:04:00Z"/>
        <d v="2016-07-11T18:58:00Z"/>
        <d v="2016-07-12T02:42:00Z"/>
        <d v="2016-07-12T12:17:00Z"/>
        <d v="2016-07-13T10:46:44Z"/>
        <d v="2016-07-13T17:21:31Z"/>
        <d v="2016-07-14T10:09:11Z"/>
        <d v="2016-07-14T22:51:25Z"/>
        <d v="2016-07-15T06:25:29Z"/>
        <d v="2016-07-15T16:12:22Z"/>
        <d v="2016-07-15T20:36:23Z"/>
        <d v="2016-07-11T14:55:00Z"/>
        <d v="2016-07-13T07:47:08Z"/>
        <d v="2016-07-13T16:45:19Z"/>
        <d v="2016-07-14T01:22:47Z"/>
        <d v="2016-07-15T02:16:07Z"/>
        <d v="2016-07-15T08:45:09Z"/>
        <d v="2016-07-12T08:48:00Z"/>
        <d v="2016-07-12T19:49:00Z"/>
        <d v="2016-07-13T19:59:30Z"/>
        <d v="2016-07-13T23:46:18Z"/>
        <d v="2016-07-14T09:08:49Z"/>
        <d v="2016-07-14T21:08:12Z"/>
        <d v="2016-07-15T06:05:55Z"/>
        <d v="2016-07-15T09:29:41Z"/>
        <d v="2016-07-15T14:19:12Z"/>
        <d v="2016-07-16T00:01:05Z"/>
        <d v="2016-07-11T06:39:00Z"/>
        <d v="2016-07-12T00:07:00Z"/>
        <d v="2016-07-12T06:04:00Z"/>
        <d v="2016-07-13T07:15:24Z"/>
        <d v="2016-07-13T23:51:51Z"/>
        <d v="2016-07-14T12:20:33Z"/>
        <d v="2016-07-14T21:02:52Z"/>
        <d v="2016-07-15T22:02:20Z"/>
        <d v="2016-07-16T01:09:24Z"/>
        <d v="2016-07-12T06:22:00Z"/>
        <d v="2016-07-12T10:11:00Z"/>
        <d v="2016-07-12T17:33:00Z"/>
        <d v="2016-07-12T20:40:00Z"/>
        <d v="2016-07-13T06:40:37Z"/>
        <d v="2016-07-13T11:51:09Z"/>
        <d v="2016-07-13T22:28:35Z"/>
        <d v="2016-07-14T07:44:15Z"/>
        <d v="2016-07-14T23:12:36Z"/>
        <d v="2016-07-15T10:29:00Z"/>
        <d v="2016-07-15T14:32:29Z"/>
        <d v="2016-07-11T14:07:00Z"/>
        <d v="2016-07-11T16:27:00Z"/>
        <d v="2016-07-12T12:04:00Z"/>
        <d v="2016-07-13T07:42:11Z"/>
        <d v="2016-07-13T11:19:30Z"/>
        <d v="2016-07-14T08:08:40Z"/>
        <d v="2016-07-14T14:41:09Z"/>
        <d v="2016-07-14T19:59:54Z"/>
        <d v="2016-07-15T10:32:39Z"/>
        <d v="2016-07-11T06:04:00Z"/>
        <d v="2016-07-11T06:57:00Z"/>
        <d v="2016-07-12T10:38:00Z"/>
        <d v="2016-07-12T14:19:00Z"/>
        <d v="2016-07-13T10:48:18Z"/>
        <d v="2016-07-13T14:58:52Z"/>
        <d v="2016-07-13T22:54:33Z"/>
        <d v="2016-07-14T17:59:47Z"/>
        <d v="2016-07-15T11:33:59Z"/>
        <d v="2016-07-15T18:57:00Z"/>
        <d v="2016-07-13T23:43:32Z"/>
        <d v="2016-07-14T03:07:14Z"/>
        <d v="2016-07-14T13:54:26Z"/>
        <d v="2016-07-15T17:33:03Z"/>
        <d v="2016-07-11T20:44:00Z"/>
        <d v="2016-07-12T09:39:00Z"/>
        <d v="2016-07-12T16:30:00Z"/>
        <d v="2016-07-13T08:19:23Z"/>
        <d v="2016-07-13T12:15:03Z"/>
        <d v="2016-07-13T13:54:49Z"/>
        <d v="2016-07-13T21:37:51Z"/>
        <d v="2016-07-14T06:57:26Z"/>
        <d v="2016-07-14T20:49:12Z"/>
        <d v="2016-07-15T10:46:16Z"/>
        <d v="2016-07-15T19:23:29Z"/>
        <d v="2016-07-15T21:15:32Z"/>
        <d v="2016-07-11T01:58:00Z"/>
        <d v="2016-07-12T11:53:00Z"/>
        <d v="2016-07-13T09:11:31Z"/>
        <d v="2016-07-13T17:43:04Z"/>
        <d v="2016-07-13T20:21:51Z"/>
        <d v="2016-07-14T04:03:44Z"/>
        <d v="2016-07-14T07:50:21Z"/>
        <d v="2016-07-14T16:23:40Z"/>
        <d v="2016-07-15T11:01:40Z"/>
        <d v="2016-07-11T22:11:00Z"/>
        <d v="2016-07-12T03:48:00Z"/>
        <d v="2016-07-13T02:20:13Z"/>
        <d v="2016-07-13T08:10:12Z"/>
        <d v="2016-07-14T18:25:16Z"/>
        <d v="2016-07-15T23:21:03Z"/>
        <d v="2016-07-11T06:14:00Z"/>
        <d v="2016-07-11T12:17:00Z"/>
        <d v="2016-07-11T16:03:00Z"/>
        <d v="2016-07-11T18:16:00Z"/>
        <d v="2016-07-12T16:10:00Z"/>
        <d v="2016-07-13T01:52:45Z"/>
        <d v="2016-07-13T16:58:03Z"/>
        <d v="2016-07-13T20:00:18Z"/>
        <d v="2016-07-14T19:46:51Z"/>
        <d v="2016-07-15T05:52:14Z"/>
        <d v="2016-07-15T15:24:34Z"/>
        <d v="2016-07-16T00:04:20Z"/>
        <d v="2016-07-11T20:20:00Z"/>
        <d v="2016-07-12T05:41:00Z"/>
        <d v="2016-07-12T21:30:00Z"/>
        <d v="2016-07-13T08:53:01Z"/>
        <d v="2016-07-14T13:43:14Z"/>
        <d v="2016-07-14T18:36:07Z"/>
        <d v="2016-07-15T10:41:40Z"/>
        <d v="2016-07-11T10:58:00Z"/>
        <d v="2016-07-12T00:50:00Z"/>
        <d v="2016-07-13T07:58:34Z"/>
        <d v="2016-07-13T20:07:29Z"/>
        <d v="2016-07-15T00:33:38Z"/>
        <d v="2016-07-11T04:35:00Z"/>
        <d v="2016-07-11T19:46:00Z"/>
        <d v="2016-07-12T20:13:00Z"/>
        <d v="2016-07-13T19:37:39Z"/>
        <d v="2016-07-14T12:52:26Z"/>
        <d v="2016-07-14T22:05:19Z"/>
        <d v="2016-07-15T06:52:07Z"/>
        <d v="2016-07-11T13:28:00Z"/>
        <d v="2016-07-11T17:35:00Z"/>
        <d v="2016-07-11T19:40:00Z"/>
        <d v="2016-07-12T14:01:00Z"/>
        <d v="2016-07-12T19:01:00Z"/>
        <d v="2016-07-12T22:01:00Z"/>
        <d v="2016-07-13T08:27:04Z"/>
        <d v="2016-07-13T16:10:35Z"/>
        <d v="2016-07-13T23:57:04Z"/>
        <d v="2016-07-14T09:44:43Z"/>
        <d v="2016-07-14T19:52:35Z"/>
        <d v="2016-07-15T10:34:41Z"/>
        <d v="2016-07-15T20:18:14Z"/>
        <d v="2016-07-15T21:25:25Z"/>
        <d v="2016-07-11T05:34:00Z"/>
        <d v="2016-07-11T11:11:00Z"/>
        <d v="2016-07-11T21:30:00Z"/>
        <d v="2016-07-12T09:56:00Z"/>
        <d v="2016-07-12T18:27:00Z"/>
        <d v="2016-07-13T11:06:30Z"/>
        <d v="2016-07-13T15:15:11Z"/>
        <d v="2016-07-13T20:32:31Z"/>
        <d v="2016-07-13T23:13:03Z"/>
        <d v="2016-07-14T10:19:52Z"/>
        <d v="2016-07-14T14:36:31Z"/>
        <d v="2016-07-14T21:38:02Z"/>
        <d v="2016-07-15T19:52:54Z"/>
        <d v="2016-07-15T21:40:52Z"/>
        <d v="2016-07-11T10:48:00Z"/>
        <d v="2016-07-11T13:39:00Z"/>
        <d v="2016-07-12T20:58:00Z"/>
        <d v="2016-07-13T12:50:23Z"/>
        <d v="2016-07-13T19:58:54Z"/>
        <d v="2016-07-15T13:25:19Z"/>
        <d v="2016-07-15T23:03:53Z"/>
        <d v="2016-07-11T18:49:00Z"/>
        <d v="2016-07-11T20:06:00Z"/>
        <d v="2016-07-12T08:17:00Z"/>
        <d v="2016-07-12T21:09:00Z"/>
        <d v="2016-07-13T08:04:32Z"/>
        <d v="2016-07-13T11:15:05Z"/>
        <d v="2016-07-14T06:44:04Z"/>
        <d v="2016-07-14T09:21:26Z"/>
        <d v="2016-07-14T15:12:03Z"/>
        <d v="2016-07-14T20:20:11Z"/>
        <d v="2016-07-15T09:11:50Z"/>
        <d v="2016-07-15T23:43:26Z"/>
        <d v="2016-07-11T20:01:00Z"/>
        <d v="2016-07-12T12:08:00Z"/>
        <d v="2016-07-13T17:07:29Z"/>
        <d v="2016-07-14T21:30:32Z"/>
        <d v="2016-07-15T06:28:13Z"/>
        <d v="2016-07-15T07:47:08Z"/>
        <d v="2016-07-15T22:22:03Z"/>
        <d v="2016-07-11T10:44:00Z"/>
        <d v="2016-07-11T13:46:00Z"/>
        <d v="2016-07-11T20:05:00Z"/>
        <d v="2016-07-11T23:07:00Z"/>
        <d v="2016-07-12T08:13:00Z"/>
        <d v="2016-07-12T12:27:00Z"/>
        <d v="2016-07-13T15:19:21Z"/>
        <d v="2016-07-14T07:10:54Z"/>
        <d v="2016-07-16T00:25:19Z"/>
        <d v="2016-07-12T11:46:00Z"/>
        <d v="2016-07-13T01:41:13Z"/>
        <d v="2016-07-14T08:58:13Z"/>
        <d v="2016-07-14T16:59:30Z"/>
        <d v="2016-07-14T20:49:31Z"/>
        <d v="2016-07-11T09:35:00Z"/>
        <d v="2016-07-11T11:57:00Z"/>
        <d v="2016-07-11T15:50:00Z"/>
        <d v="2016-07-11T20:12:00Z"/>
        <d v="2016-07-12T08:21:00Z"/>
        <d v="2016-07-13T01:25:16Z"/>
        <d v="2016-07-13T06:27:39Z"/>
        <d v="2016-07-13T21:09:11Z"/>
        <d v="2016-07-15T11:36:14Z"/>
        <d v="2016-07-15T13:36:00Z"/>
        <d v="2016-07-11T15:00:00Z"/>
        <d v="2016-07-12T06:49:00Z"/>
        <d v="2016-07-12T15:37:00Z"/>
        <d v="2016-07-12T18:59:00Z"/>
        <d v="2016-07-14T08:58:52Z"/>
        <d v="2016-07-14T13:58:09Z"/>
        <d v="2016-07-15T08:21:15Z"/>
        <d v="2016-07-11T09:47:00Z"/>
        <d v="2016-07-11T12:37:00Z"/>
        <d v="2016-07-11T18:59:00Z"/>
        <d v="2016-07-11T20:09:00Z"/>
        <d v="2016-07-12T19:03:00Z"/>
        <d v="2016-07-12T23:06:00Z"/>
        <d v="2016-07-14T00:37:22Z"/>
        <d v="2016-07-14T19:53:53Z"/>
        <d v="2016-07-15T00:47:44Z"/>
        <d v="2016-07-15T07:48:28Z"/>
        <d v="2016-07-15T18:57:17Z"/>
        <d v="2016-07-15T22:05:47Z"/>
        <d v="2016-07-11T11:26:00Z"/>
        <d v="2016-07-11T12:45:00Z"/>
        <d v="2016-07-12T09:32:00Z"/>
        <d v="2016-07-13T14:15:43Z"/>
        <d v="2016-07-14T08:40:21Z"/>
        <d v="2016-07-11T01:11:00Z"/>
        <d v="2016-07-11T13:15:00Z"/>
        <d v="2016-07-12T07:47:00Z"/>
        <d v="2016-07-12T19:31:00Z"/>
        <d v="2016-07-13T18:22:53Z"/>
        <d v="2016-07-14T09:10:17Z"/>
        <d v="2016-07-11T14:18:00Z"/>
        <d v="2016-07-11T20:33:00Z"/>
        <d v="2016-07-12T11:25:00Z"/>
        <d v="2016-07-13T09:54:19Z"/>
        <d v="2016-07-13T23:09:05Z"/>
        <d v="2016-07-14T19:22:11Z"/>
        <d v="2016-07-15T05:55:18Z"/>
        <d v="2016-07-15T19:01:48Z"/>
        <d v="2016-07-15T22:03:39Z"/>
        <d v="2016-07-16T00:51:09Z"/>
        <d v="2016-07-11T05:39:00Z"/>
        <d v="2016-07-11T22:55:00Z"/>
        <d v="2016-07-12T17:49:00Z"/>
        <d v="2016-07-13T07:16:02Z"/>
        <d v="2016-07-13T17:02:17Z"/>
        <d v="2016-07-15T10:42:07Z"/>
        <d v="2016-07-15T18:20:41Z"/>
        <d v="2016-07-16T00:09:36Z"/>
        <d v="2016-07-11T07:21:00Z"/>
        <d v="2016-07-12T14:32:00Z"/>
        <d v="2016-07-13T04:45:45Z"/>
        <d v="2016-07-13T09:01:06Z"/>
        <d v="2016-07-13T13:02:04Z"/>
        <d v="2016-07-14T03:44:02Z"/>
        <d v="2016-07-14T18:12:23Z"/>
        <d v="2016-07-15T06:59:52Z"/>
        <d v="2016-07-15T20:26:09Z"/>
        <d v="2016-07-12T14:00:00Z"/>
        <d v="2016-07-13T18:36:41Z"/>
        <d v="2016-07-13T23:50:57Z"/>
        <d v="2016-07-14T10:30:52Z"/>
        <d v="2016-07-15T06:16:58Z"/>
        <d v="2016-07-15T10:11:52Z"/>
        <d v="2016-07-11T04:46:00Z"/>
        <d v="2016-07-11T08:11:00Z"/>
        <d v="2016-07-13T05:51:59Z"/>
        <d v="2016-07-13T16:36:40Z"/>
        <d v="2016-07-14T05:40:46Z"/>
        <d v="2016-07-14T12:16:28Z"/>
        <d v="2016-07-14T15:11:08Z"/>
        <d v="2016-07-14T22:58:08Z"/>
        <d v="2016-07-15T22:46:08Z"/>
        <d v="2016-07-11T23:10:00Z"/>
        <d v="2016-07-12T13:30:00Z"/>
        <d v="2016-07-13T03:38:59Z"/>
        <d v="2016-07-14T00:34:07Z"/>
        <d v="2016-07-14T06:06:59Z"/>
        <d v="2016-07-14T15:52:43Z"/>
        <d v="2016-07-15T20:53:07Z"/>
        <d v="2016-07-15T23:01:42Z"/>
        <d v="2016-07-11T13:14:00Z"/>
        <d v="2016-07-12T07:58:00Z"/>
        <d v="2016-07-12T14:57:00Z"/>
        <d v="2016-07-13T06:01:54Z"/>
        <d v="2016-07-13T10:24:06Z"/>
        <d v="2016-07-15T21:58:22Z"/>
        <d v="2016-07-11T07:09:00Z"/>
        <d v="2016-07-11T13:58:00Z"/>
        <d v="2016-07-12T01:09:00Z"/>
        <d v="2016-07-12T11:11:00Z"/>
        <d v="2016-07-12T20:19:00Z"/>
        <d v="2016-07-13T19:54:38Z"/>
        <d v="2016-07-14T17:48:47Z"/>
        <d v="2016-07-14T21:42:26Z"/>
        <d v="2016-07-15T20:25:19Z"/>
        <d v="2016-07-11T22:51:00Z"/>
        <d v="2016-07-12T15:06:00Z"/>
        <d v="2016-07-13T09:38:07Z"/>
        <d v="2016-07-13T10:54:06Z"/>
        <d v="2016-07-14T03:59:55Z"/>
        <d v="2016-07-14T18:41:20Z"/>
        <d v="2016-07-15T07:38:28Z"/>
        <d v="2016-07-11T08:43:00Z"/>
        <d v="2016-07-11T11:10:00Z"/>
        <d v="2016-07-12T15:20:00Z"/>
        <d v="2016-07-14T10:08:27Z"/>
        <d v="2016-07-15T06:04:42Z"/>
        <d v="2016-07-15T20:28:29Z"/>
        <d v="2016-07-15T21:58:24Z"/>
        <d v="2016-07-12T10:24:00Z"/>
        <d v="2016-07-12T16:43:00Z"/>
        <d v="2016-07-13T08:50:48Z"/>
        <d v="2016-07-14T18:18:41Z"/>
        <d v="2016-07-14T20:54:03Z"/>
        <d v="2016-07-15T23:27:26Z"/>
        <d v="2016-07-12T01:06:00Z"/>
        <d v="2016-07-13T09:35:55Z"/>
        <d v="2016-07-13T16:09:31Z"/>
        <d v="2016-07-13T22:32:43Z"/>
        <d v="2016-07-14T06:08:38Z"/>
        <d v="2016-07-14T15:58:17Z"/>
        <d v="2016-07-14T19:50:38Z"/>
        <d v="2016-07-11T08:08:00Z"/>
        <d v="2016-07-13T00:31:24Z"/>
        <d v="2016-07-13T07:23:57Z"/>
        <d v="2016-07-14T12:59:56Z"/>
        <d v="2016-07-16T00:09:09Z"/>
        <d v="2016-07-11T04:19:00Z"/>
        <d v="2016-07-12T08:12:00Z"/>
        <d v="2016-07-13T18:21:38Z"/>
        <d v="2016-07-13T21:27:07Z"/>
        <d v="2016-07-15T17:48:25Z"/>
        <d v="2016-07-15T22:22:19Z"/>
        <d v="2016-07-11T18:12:00Z"/>
        <d v="2016-07-12T07:14:00Z"/>
        <d v="2016-07-12T16:47:00Z"/>
        <d v="2016-07-13T05:50:39Z"/>
        <d v="2016-07-13T15:22:23Z"/>
        <d v="2016-07-14T07:33:32Z"/>
        <d v="2016-07-15T06:15:39Z"/>
        <d v="2016-07-15T19:10:07Z"/>
        <d v="2016-07-15T20:15:49Z"/>
        <d v="2016-07-15T23:27:31Z"/>
        <d v="2016-07-11T10:10:00Z"/>
        <d v="2016-07-11T14:08:00Z"/>
        <d v="2016-07-12T00:53:00Z"/>
        <d v="2016-07-13T06:49:02Z"/>
        <d v="2016-07-13T14:39:48Z"/>
        <d v="2016-07-14T21:00:35Z"/>
        <d v="2016-07-15T04:52:36Z"/>
        <d v="2016-07-15T10:34:28Z"/>
        <d v="2016-07-15T12:12:23Z"/>
        <d v="2016-07-11T15:06:00Z"/>
        <d v="2016-07-11T17:24:00Z"/>
        <d v="2016-07-12T23:07:00Z"/>
        <d v="2016-07-13T06:59:42Z"/>
        <d v="2016-07-13T14:20:54Z"/>
        <d v="2016-07-13T20:11:22Z"/>
        <d v="2016-07-14T11:53:49Z"/>
        <d v="2016-07-11T12:49:00Z"/>
        <d v="2016-07-12T06:03:00Z"/>
        <d v="2016-07-12T09:54:00Z"/>
        <d v="2016-07-12T14:33:00Z"/>
        <d v="2016-07-12T18:35:00Z"/>
        <d v="2016-07-15T01:04:40Z"/>
        <d v="2016-07-11T01:06:00Z"/>
        <d v="2016-07-11T09:57:00Z"/>
        <d v="2016-07-12T08:38:00Z"/>
        <d v="2016-07-13T05:29:40Z"/>
        <d v="2016-07-13T23:16:43Z"/>
        <d v="2016-07-14T06:36:39Z"/>
        <d v="2016-07-14T21:24:38Z"/>
        <d v="2016-07-15T06:03:45Z"/>
        <d v="2016-07-15T10:48:56Z"/>
        <d v="2016-07-15T13:03:34Z"/>
        <d v="2016-07-11T10:14:00Z"/>
        <d v="2016-07-11T13:09:00Z"/>
        <d v="2016-07-12T12:03:00Z"/>
        <d v="2016-07-12T18:18:00Z"/>
        <d v="2016-07-13T13:50:52Z"/>
        <d v="2016-07-13T18:06:23Z"/>
        <d v="2016-07-14T00:06:50Z"/>
        <d v="2016-07-14T06:35:16Z"/>
        <d v="2016-07-15T08:21:28Z"/>
        <d v="2016-07-11T06:01:00Z"/>
        <d v="2016-07-11T17:23:00Z"/>
        <d v="2016-07-11T20:08:00Z"/>
        <d v="2016-07-13T07:10:08Z"/>
        <d v="2016-07-14T02:54:21Z"/>
        <d v="2016-07-14T16:12:44Z"/>
        <d v="2016-07-14T22:21:52Z"/>
        <d v="2016-07-11T23:04:00Z"/>
        <d v="2016-07-12T07:13:00Z"/>
        <d v="2016-07-12T14:36:00Z"/>
        <d v="2016-07-12T20:11:00Z"/>
        <d v="2016-07-13T10:42:22Z"/>
        <d v="2016-07-13T14:29:30Z"/>
        <d v="2016-07-13T23:41:02Z"/>
        <d v="2016-07-14T10:04:44Z"/>
        <d v="2016-07-14T19:04:51Z"/>
        <d v="2016-07-15T14:01:33Z"/>
        <d v="2016-07-15T20:21:00Z"/>
        <d v="2016-07-11T09:32:00Z"/>
        <d v="2016-07-14T00:33:31Z"/>
        <d v="2016-07-14T16:58:40Z"/>
        <d v="2016-07-15T04:28:09Z"/>
        <d v="2016-07-15T09:11:58Z"/>
        <d v="2016-07-15T14:56:19Z"/>
        <d v="2016-07-15T22:46:22Z"/>
        <d v="2016-07-11T07:05:00Z"/>
        <d v="2016-07-11T14:38:00Z"/>
        <d v="2016-07-12T08:32:00Z"/>
        <d v="2016-07-12T11:54:00Z"/>
        <d v="2016-07-12T18:30:00Z"/>
        <d v="2016-07-13T10:31:41Z"/>
        <d v="2016-07-13T21:48:44Z"/>
        <d v="2016-07-14T18:38:29Z"/>
        <d v="2016-07-15T03:23:54Z"/>
        <d v="2016-07-15T19:27:57Z"/>
        <d v="2016-07-11T06:49:00Z"/>
        <d v="2016-07-11T15:27:00Z"/>
        <d v="2016-07-11T21:57:00Z"/>
        <d v="2016-07-12T03:42:00Z"/>
        <d v="2016-07-12T10:42:00Z"/>
        <d v="2016-07-12T19:36:00Z"/>
        <d v="2016-07-13T00:03:21Z"/>
        <d v="2016-07-13T08:14:19Z"/>
        <d v="2016-07-13T12:28:38Z"/>
        <d v="2016-07-13T18:09:59Z"/>
        <d v="2016-07-14T08:24:33Z"/>
        <d v="2016-07-11T20:52:00Z"/>
        <d v="2016-07-13T10:57:30Z"/>
        <d v="2016-07-14T00:22:26Z"/>
        <d v="2016-07-14T08:24:08Z"/>
        <d v="2016-07-14T15:50:58Z"/>
        <d v="2016-07-14T22:45:23Z"/>
        <d v="2016-07-14T23:42:51Z"/>
        <d v="2016-07-15T09:30:13Z"/>
        <d v="2016-07-11T13:55:00Z"/>
        <d v="2016-07-12T14:06:00Z"/>
        <d v="2016-07-12T21:50:00Z"/>
        <d v="2016-07-13T23:58:00Z"/>
        <d v="2016-07-14T08:57:30Z"/>
        <d v="2016-07-14T23:13:16Z"/>
        <d v="2016-07-15T12:49:39Z"/>
        <d v="2016-07-15T17:16:45Z"/>
        <d v="2016-07-15T19:05:06Z"/>
        <d v="2016-07-11T12:57:00Z"/>
        <d v="2016-07-11T19:39:00Z"/>
        <d v="2016-07-11T23:52:00Z"/>
        <d v="2016-07-12T17:03:00Z"/>
        <d v="2016-07-12T20:12:00Z"/>
        <d v="2016-07-13T06:34:27Z"/>
        <d v="2016-07-14T10:47:05Z"/>
        <d v="2016-07-14T20:55:36Z"/>
        <d v="2016-07-12T10:44:00Z"/>
        <d v="2016-07-12T17:44:00Z"/>
        <d v="2016-07-13T18:07:53Z"/>
        <d v="2016-07-13T20:46:01Z"/>
        <d v="2016-07-14T19:35:00Z"/>
        <d v="2016-07-11T07:45:00Z"/>
        <d v="2016-07-12T00:05:00Z"/>
        <d v="2016-07-12T13:57:00Z"/>
        <d v="2016-07-12T21:51:00Z"/>
        <d v="2016-07-13T22:50:38Z"/>
        <d v="2016-07-14T08:34:21Z"/>
        <d v="2016-07-14T16:18:25Z"/>
        <d v="2016-07-15T22:36:08Z"/>
        <d v="2016-07-11T10:12:00Z"/>
        <d v="2016-07-13T08:50:37Z"/>
        <d v="2016-07-13T17:53:56Z"/>
        <d v="2016-07-14T10:46:02Z"/>
        <d v="2016-07-14T17:32:58Z"/>
        <d v="2016-07-14T21:59:26Z"/>
        <d v="2016-07-12T08:24:00Z"/>
        <d v="2016-07-12T19:46:00Z"/>
        <d v="2016-07-13T03:54:54Z"/>
        <d v="2016-07-13T14:56:07Z"/>
        <d v="2016-07-13T21:21:35Z"/>
        <d v="2016-07-14T06:56:04Z"/>
        <d v="2016-07-15T06:51:04Z"/>
        <d v="2016-07-15T11:54:35Z"/>
        <d v="2016-07-15T20:22:56Z"/>
        <d v="2016-07-11T16:47:00Z"/>
        <d v="2016-07-12T21:55:00Z"/>
        <d v="2016-07-13T05:06:39Z"/>
        <d v="2016-07-14T20:17:28Z"/>
        <d v="2016-07-14T22:35:39Z"/>
        <d v="2016-07-11T03:31:00Z"/>
        <d v="2016-07-13T01:40:54Z"/>
        <d v="2016-07-13T06:24:44Z"/>
        <d v="2016-07-13T09:13:33Z"/>
        <d v="2016-07-13T18:03:50Z"/>
        <d v="2016-07-13T22:46:22Z"/>
        <d v="2016-07-14T08:07:51Z"/>
        <d v="2016-07-14T09:07:38Z"/>
        <d v="2016-07-15T08:51:47Z"/>
        <d v="2016-07-15T11:04:43Z"/>
        <d v="2016-07-11T15:02:00Z"/>
        <d v="2016-07-11T17:57:00Z"/>
        <d v="2016-07-12T16:27:00Z"/>
        <d v="2016-07-12T20:04:00Z"/>
        <d v="2016-07-13T01:58:09Z"/>
        <d v="2016-07-13T07:17:36Z"/>
        <d v="2016-07-13T17:55:50Z"/>
        <d v="2016-07-13T21:10:17Z"/>
        <d v="2016-07-14T21:59:37Z"/>
        <d v="2016-07-15T23:08:33Z"/>
        <d v="2016-07-11T15:34:00Z"/>
        <d v="2016-07-11T17:44:00Z"/>
        <d v="2016-07-12T00:06:00Z"/>
        <d v="2016-07-12T09:13:00Z"/>
        <d v="2016-07-12T13:25:00Z"/>
        <d v="2016-07-12T23:21:00Z"/>
        <d v="2016-07-13T07:01:42Z"/>
        <d v="2016-07-13T09:59:05Z"/>
        <d v="2016-07-14T09:57:19Z"/>
        <d v="2016-07-14T11:25:20Z"/>
        <d v="2016-07-15T11:04:32Z"/>
        <d v="2016-07-15T22:30:22Z"/>
        <d v="2016-07-11T17:08:00Z"/>
        <d v="2016-07-12T10:19:00Z"/>
        <d v="2016-07-12T21:36:00Z"/>
        <d v="2016-07-13T18:35:16Z"/>
        <d v="2016-07-13T22:16:02Z"/>
        <d v="2016-07-14T05:21:42Z"/>
        <d v="2016-07-14T13:54:59Z"/>
        <d v="2016-07-15T05:47:16Z"/>
        <d v="2016-07-15T10:44:45Z"/>
        <d v="2016-07-15T22:44:41Z"/>
        <d v="2016-07-11T09:53:00Z"/>
        <d v="2016-07-12T07:19:00Z"/>
        <d v="2016-07-12T20:38:00Z"/>
        <d v="2016-07-14T08:52:11Z"/>
        <d v="2016-07-14T16:41:05Z"/>
        <d v="2016-07-14T21:26:22Z"/>
        <d v="2016-07-15T08:08:48Z"/>
        <d v="2016-07-11T17:18:00Z"/>
        <d v="2016-07-12T08:06:00Z"/>
        <d v="2016-07-12T12:44:00Z"/>
        <d v="2016-07-12T21:40:00Z"/>
        <d v="2016-07-13T07:03:47Z"/>
        <d v="2016-07-13T11:31:53Z"/>
        <d v="2016-07-13T23:21:28Z"/>
        <d v="2016-07-15T09:22:31Z"/>
        <d v="2016-07-11T19:37:00Z"/>
        <d v="2016-07-12T05:19:00Z"/>
        <d v="2016-07-12T17:46:00Z"/>
        <d v="2016-07-13T06:07:10Z"/>
        <d v="2016-07-13T09:21:33Z"/>
        <d v="2016-07-13T23:25:18Z"/>
        <d v="2016-07-14T03:57:26Z"/>
        <d v="2016-07-14T14:00:22Z"/>
        <d v="2016-07-15T04:27:10Z"/>
        <d v="2016-07-15T07:35:48Z"/>
        <d v="2016-07-15T09:56:53Z"/>
        <d v="2016-07-15T15:07:16Z"/>
        <d v="2016-07-11T18:43:00Z"/>
        <d v="2016-07-12T08:49:00Z"/>
        <d v="2016-07-12T09:41:00Z"/>
        <d v="2016-07-12T19:26:00Z"/>
        <d v="2016-07-13T07:49:08Z"/>
        <d v="2016-07-13T13:42:02Z"/>
        <d v="2016-07-13T20:01:21Z"/>
        <d v="2016-07-14T07:42:31Z"/>
        <d v="2016-07-14T16:20:37Z"/>
        <d v="2016-07-14T21:49:35Z"/>
        <d v="2016-07-15T12:10:16Z"/>
        <d v="2016-07-15T14:50:25Z"/>
        <d v="2016-07-11T13:25:00Z"/>
        <d v="2016-07-11T16:25:00Z"/>
        <d v="2016-07-11T18:07:00Z"/>
        <d v="2016-07-12T13:29:00Z"/>
        <d v="2016-07-12T19:34:00Z"/>
        <d v="2016-07-13T09:35:25Z"/>
        <d v="2016-07-13T22:35:57Z"/>
        <d v="2016-07-14T06:46:37Z"/>
        <d v="2016-07-14T12:55:56Z"/>
        <d v="2016-07-15T06:19:44Z"/>
        <d v="2016-07-13T00:42:21Z"/>
        <d v="2016-07-13T07:56:00Z"/>
        <d v="2016-07-14T12:24:33Z"/>
        <d v="2016-07-14T21:38:17Z"/>
        <d v="2016-07-15T08:33:56Z"/>
        <d v="2016-07-15T20:01:58Z"/>
        <d v="2016-07-15T21:02:10Z"/>
        <d v="2016-07-11T17:54:00Z"/>
        <d v="2016-07-12T15:55:00Z"/>
        <d v="2016-07-12T22:35:00Z"/>
        <d v="2016-07-13T07:15:52Z"/>
        <d v="2016-07-13T20:21:31Z"/>
        <d v="2016-07-13T23:42:21Z"/>
        <d v="2016-07-15T05:42:24Z"/>
        <d v="2016-07-15T09:09:26Z"/>
        <d v="2016-07-15T19:49:02Z"/>
        <d v="2016-07-12T10:09:00Z"/>
        <d v="2016-07-12T23:45:00Z"/>
        <d v="2016-07-13T11:20:59Z"/>
        <d v="2016-07-13T16:46:54Z"/>
        <d v="2016-07-13T19:54:19Z"/>
        <d v="2016-07-14T10:38:27Z"/>
        <d v="2016-07-15T08:16:15Z"/>
        <d v="2016-07-15T14:02:50Z"/>
        <d v="2016-07-11T20:11:00Z"/>
        <d v="2016-07-11T23:54:00Z"/>
        <d v="2016-07-12T08:03:00Z"/>
        <d v="2016-07-12T20:46:00Z"/>
        <d v="2016-07-13T06:25:57Z"/>
        <d v="2016-07-13T15:58:30Z"/>
        <d v="2016-07-14T01:50:05Z"/>
        <d v="2016-07-14T03:44:55Z"/>
        <d v="2016-07-14T10:22:31Z"/>
        <d v="2016-07-14T20:37:28Z"/>
        <d v="2016-07-11T11:30:00Z"/>
        <d v="2016-07-11T17:36:00Z"/>
        <d v="2016-07-12T06:46:00Z"/>
        <d v="2016-07-13T05:34:02Z"/>
        <d v="2016-07-13T09:57:50Z"/>
        <d v="2016-07-13T23:23:04Z"/>
        <d v="2016-07-14T08:42:05Z"/>
        <d v="2016-07-15T19:57:43Z"/>
        <d v="2016-07-11T06:48:00Z"/>
        <d v="2016-07-11T10:57:00Z"/>
        <d v="2016-07-11T14:19:00Z"/>
        <d v="2016-07-12T02:18:00Z"/>
        <d v="2016-07-13T09:18:31Z"/>
        <d v="2016-07-13T11:52:17Z"/>
        <d v="2016-07-13T17:49:15Z"/>
        <d v="2016-07-13T19:51:44Z"/>
        <d v="2016-07-14T14:10:11Z"/>
        <d v="2016-07-14T21:48:04Z"/>
        <d v="2016-07-15T06:17:39Z"/>
        <d v="2016-07-15T12:57:34Z"/>
        <d v="2016-07-15T23:03:25Z"/>
        <d v="2016-07-11T20:28:00Z"/>
        <d v="2016-07-12T23:34:00Z"/>
        <d v="2016-07-13T12:31:07Z"/>
        <d v="2016-07-13T23:20:24Z"/>
        <d v="2016-07-14T00:23:39Z"/>
        <d v="2016-07-14T07:01:16Z"/>
        <d v="2016-07-14T08:48:46Z"/>
        <d v="2016-07-14T19:13:08Z"/>
        <d v="2016-07-15T05:56:52Z"/>
        <d v="2016-07-15T18:00:13Z"/>
        <d v="2016-07-12T00:09:00Z"/>
        <d v="2016-07-12T21:16:00Z"/>
        <d v="2016-07-13T08:49:05Z"/>
        <d v="2016-07-13T17:25:52Z"/>
        <d v="2016-07-14T00:55:13Z"/>
        <d v="2016-07-14T09:12:29Z"/>
        <d v="2016-07-15T06:27:48Z"/>
        <d v="2016-07-15T09:55:12Z"/>
        <d v="2016-07-15T12:40:49Z"/>
        <d v="2016-07-15T18:50:37Z"/>
        <d v="2016-07-11T15:46:00Z"/>
        <d v="2016-07-12T16:24:00Z"/>
        <d v="2016-07-14T11:13:05Z"/>
        <d v="2016-07-15T06:01:35Z"/>
        <d v="2016-07-11T06:30:00Z"/>
        <d v="2016-07-11T14:49:00Z"/>
        <d v="2016-07-12T15:18:00Z"/>
        <d v="2016-07-12T21:41:00Z"/>
        <d v="2016-07-13T00:26:55Z"/>
        <d v="2016-07-13T08:33:39Z"/>
        <d v="2016-07-14T00:38:46Z"/>
        <d v="2016-07-14T05:53:29Z"/>
        <d v="2016-07-14T11:19:06Z"/>
        <d v="2016-07-14T19:18:51Z"/>
        <d v="2016-07-15T07:46:59Z"/>
        <d v="2016-07-15T13:25:21Z"/>
        <d v="2016-07-15T19:36:59Z"/>
        <d v="2016-07-13T05:41:19Z"/>
        <d v="2016-07-14T06:36:36Z"/>
        <d v="2016-07-14T13:56:11Z"/>
        <d v="2016-07-14T18:17:49Z"/>
        <d v="2016-07-15T17:49:26Z"/>
        <d v="2016-07-13T02:51:32Z"/>
        <d v="2016-07-13T08:53:42Z"/>
        <d v="2016-07-13T17:52:31Z"/>
        <d v="2016-07-14T09:22:57Z"/>
        <d v="2016-07-14T14:13:30Z"/>
        <d v="2016-07-14T20:27:04Z"/>
        <d v="2016-07-16T00:11:21Z"/>
        <d v="2016-07-12T19:07:00Z"/>
        <d v="2016-07-13T15:58:37Z"/>
        <d v="2016-07-14T10:58:21Z"/>
        <d v="2016-07-14T18:53:49Z"/>
        <d v="2016-07-15T02:34:12Z"/>
        <d v="2016-07-15T09:18:32Z"/>
        <d v="2016-07-11T17:56:00Z"/>
        <d v="2016-07-12T05:55:00Z"/>
        <d v="2016-07-13T22:05:11Z"/>
        <d v="2016-07-14T09:19:29Z"/>
        <d v="2016-07-14T17:21:26Z"/>
        <d v="2016-07-11T09:10:00Z"/>
        <d v="2016-07-11T13:53:00Z"/>
        <d v="2016-07-11T23:18:00Z"/>
        <d v="2016-07-12T10:32:00Z"/>
        <d v="2016-07-12T11:27:00Z"/>
        <d v="2016-07-13T04:19:45Z"/>
        <d v="2016-07-13T15:21:25Z"/>
        <d v="2016-07-14T19:07:04Z"/>
        <d v="2016-07-15T11:26:56Z"/>
        <d v="2016-07-15T12:39:52Z"/>
        <d v="2016-07-15T17:39:38Z"/>
        <d v="2016-07-11T02:05:00Z"/>
        <d v="2016-07-11T16:54:00Z"/>
        <d v="2016-07-11T21:03:00Z"/>
        <d v="2016-07-11T23:51:00Z"/>
        <d v="2016-07-13T04:00:42Z"/>
        <d v="2016-07-13T09:41:31Z"/>
        <d v="2016-07-13T12:50:35Z"/>
        <d v="2016-07-14T05:32:44Z"/>
        <d v="2016-07-14T23:44:30Z"/>
        <d v="2016-07-15T19:04:43Z"/>
        <d v="2016-07-11T11:23:00Z"/>
        <d v="2016-07-11T22:38:00Z"/>
        <d v="2016-07-12T07:51:00Z"/>
        <d v="2016-07-13T04:59:15Z"/>
        <d v="2016-07-13T19:48:13Z"/>
        <d v="2016-07-14T18:57:28Z"/>
        <d v="2016-07-15T14:32:22Z"/>
        <d v="2016-07-15T23:08:05Z"/>
        <d v="2016-07-11T07:32:00Z"/>
        <d v="2016-07-11T10:21:00Z"/>
        <d v="2016-07-12T06:53:00Z"/>
        <d v="2016-07-13T13:41:52Z"/>
        <d v="2016-07-14T01:17:01Z"/>
        <d v="2016-07-14T11:03:54Z"/>
        <d v="2016-07-14T12:58:01Z"/>
        <d v="2016-07-14T16:23:03Z"/>
        <d v="2016-07-15T09:36:13Z"/>
        <d v="2016-07-15T14:00:39Z"/>
        <d v="2016-07-16T00:11:44Z"/>
        <d v="2016-07-11T08:23:00Z"/>
        <d v="2016-07-11T11:12:00Z"/>
        <d v="2016-07-11T22:16:00Z"/>
        <d v="2016-07-12T09:00:00Z"/>
        <d v="2016-07-13T08:04:52Z"/>
        <d v="2016-07-13T20:04:51Z"/>
        <d v="2016-07-14T09:38:30Z"/>
        <d v="2016-07-14T19:09:31Z"/>
        <d v="2016-07-15T08:58:00Z"/>
        <d v="2016-07-15T15:30:03Z"/>
        <d v="2016-07-16T00:18:48Z"/>
        <d v="2016-07-11T01:53:00Z"/>
        <d v="2016-07-11T10:54:00Z"/>
        <d v="2016-07-12T13:48:00Z"/>
        <d v="2016-07-12T23:33:00Z"/>
        <d v="2016-07-13T18:38:39Z"/>
        <d v="2016-07-14T15:25:12Z"/>
        <d v="2016-07-14T19:33:36Z"/>
        <d v="2016-07-15T09:15:16Z"/>
        <d v="2016-07-15T14:03:29Z"/>
        <d v="2016-07-15T22:20:19Z"/>
        <d v="2016-07-11T06:11:00Z"/>
        <d v="2016-07-12T09:12:00Z"/>
        <d v="2016-07-12T10:36:00Z"/>
        <d v="2016-07-14T22:19:25Z"/>
        <d v="2016-07-15T00:46:22Z"/>
        <d v="2016-07-15T10:07:32Z"/>
        <d v="2016-07-15T13:03:40Z"/>
        <d v="2016-07-16T00:20:14Z"/>
        <d v="2016-07-11T12:10:00Z"/>
        <d v="2016-07-11T17:14:00Z"/>
        <d v="2016-07-12T14:24:00Z"/>
        <d v="2016-07-13T06:47:48Z"/>
        <d v="2016-07-13T18:07:05Z"/>
        <d v="2016-07-14T05:52:03Z"/>
        <d v="2016-07-14T20:53:21Z"/>
        <d v="2016-07-15T06:26:16Z"/>
        <d v="2016-07-15T22:06:38Z"/>
        <d v="2016-07-11T16:15:00Z"/>
        <d v="2016-07-11T23:37:00Z"/>
        <d v="2016-07-12T06:55:00Z"/>
        <d v="2016-07-13T14:55:59Z"/>
        <d v="2016-07-13T18:29:14Z"/>
        <d v="2016-07-14T13:28:04Z"/>
        <d v="2016-07-14T23:41:47Z"/>
        <d v="2016-07-15T08:53:11Z"/>
        <d v="2016-07-12T07:07:00Z"/>
        <d v="2016-07-13T11:06:56Z"/>
        <d v="2016-07-14T12:38:04Z"/>
        <d v="2016-07-14T20:25:43Z"/>
        <d v="2016-07-15T04:53:45Z"/>
        <d v="2016-07-15T08:20:46Z"/>
        <d v="2016-07-15T17:24:19Z"/>
        <d v="2016-07-11T06:55:00Z"/>
        <d v="2016-07-11T19:07:00Z"/>
        <d v="2016-07-11T23:46:00Z"/>
        <d v="2016-07-13T07:45:47Z"/>
        <d v="2016-07-13T16:37:13Z"/>
        <d v="2016-07-13T21:41:24Z"/>
        <d v="2016-07-14T06:53:22Z"/>
        <d v="2016-07-15T21:17:23Z"/>
        <d v="2016-07-15T23:43:24Z"/>
        <d v="2016-07-11T11:58:00Z"/>
        <d v="2016-07-11T21:40:00Z"/>
        <d v="2016-07-12T13:05:00Z"/>
        <d v="2016-07-12T22:00:00Z"/>
        <d v="2016-07-13T05:56:07Z"/>
        <d v="2016-07-13T07:35:04Z"/>
        <d v="2016-07-14T10:20:53Z"/>
        <d v="2016-07-14T13:22:59Z"/>
        <d v="2016-07-14T20:21:57Z"/>
        <d v="2016-07-15T17:44:51Z"/>
        <d v="2016-07-11T11:02:00Z"/>
        <d v="2016-07-12T11:40:00Z"/>
        <d v="2016-07-13T20:20:17Z"/>
        <d v="2016-07-14T07:12:50Z"/>
        <d v="2016-07-14T23:23:40Z"/>
        <d v="2016-07-15T03:25:33Z"/>
        <d v="2016-07-15T22:50:50Z"/>
        <d v="2016-07-11T18:39:00Z"/>
        <d v="2016-07-13T08:45:26Z"/>
        <d v="2016-07-14T18:17:52Z"/>
        <d v="2016-07-15T10:18:04Z"/>
        <d v="2016-07-11T18:33:00Z"/>
        <d v="2016-07-12T20:09:00Z"/>
        <d v="2016-07-13T16:34:49Z"/>
        <d v="2016-07-13T20:50:38Z"/>
        <d v="2016-07-14T03:28:10Z"/>
        <d v="2016-07-14T12:14:46Z"/>
        <d v="2016-07-14T18:27:47Z"/>
        <d v="2016-07-11T23:05:00Z"/>
        <d v="2016-07-12T15:04:00Z"/>
        <d v="2016-07-12T22:26:00Z"/>
        <d v="2016-07-13T06:17:18Z"/>
        <d v="2016-07-13T07:01:26Z"/>
        <d v="2016-07-13T14:36:47Z"/>
        <d v="2016-07-15T07:32:20Z"/>
        <d v="2016-07-12T14:28:00Z"/>
        <d v="2016-07-13T08:28:29Z"/>
        <d v="2016-07-13T18:11:49Z"/>
        <d v="2016-07-14T20:16:24Z"/>
        <d v="2016-07-15T11:55:28Z"/>
        <d v="2016-07-15T20:24:42Z"/>
        <d v="2016-07-12T06:54:00Z"/>
        <d v="2016-07-12T15:13:00Z"/>
        <d v="2016-07-13T00:22:19Z"/>
        <d v="2016-07-13T14:05:36Z"/>
        <d v="2016-07-13T18:22:58Z"/>
        <d v="2016-07-14T06:38:23Z"/>
        <d v="2016-07-15T19:37:36Z"/>
        <d v="2016-07-15T20:26:07Z"/>
        <d v="2016-07-12T06:01:00Z"/>
        <d v="2016-07-12T14:22:00Z"/>
        <d v="2016-07-14T09:21:33Z"/>
        <d v="2016-07-14T12:10:50Z"/>
        <d v="2016-07-14T18:31:27Z"/>
        <d v="2016-07-15T00:05:34Z"/>
        <d v="2016-07-15T18:32:39Z"/>
        <d v="2016-07-11T11:51:00Z"/>
        <d v="2016-07-11T17:05:00Z"/>
        <d v="2016-07-12T06:58:00Z"/>
        <d v="2016-07-12T11:16:00Z"/>
        <d v="2016-07-13T06:10:20Z"/>
        <d v="2016-07-13T09:52:19Z"/>
        <d v="2016-07-13T12:37:07Z"/>
        <d v="2016-07-14T00:44:12Z"/>
        <d v="2016-07-14T09:07:03Z"/>
        <d v="2016-07-15T20:13:55Z"/>
        <d v="2016-07-15T22:39:29Z"/>
        <d v="2016-07-11T18:45:00Z"/>
        <d v="2016-07-11T21:28:00Z"/>
        <d v="2016-07-12T22:15:00Z"/>
        <d v="2016-07-13T16:56:33Z"/>
        <d v="2016-07-14T00:44:29Z"/>
        <d v="2016-07-14T12:32:12Z"/>
        <d v="2016-07-14T18:07:29Z"/>
        <d v="2016-07-15T07:59:29Z"/>
        <d v="2016-07-11T12:47:00Z"/>
        <d v="2016-07-12T15:56:00Z"/>
        <d v="2016-07-12T18:53:00Z"/>
        <d v="2016-07-13T07:24:41Z"/>
        <d v="2016-07-13T22:29:22Z"/>
        <d v="2016-07-14T08:57:44Z"/>
        <d v="2016-07-15T11:01:26Z"/>
        <d v="2016-07-11T06:53:00Z"/>
        <d v="2016-07-11T09:21:00Z"/>
        <d v="2016-07-11T21:12:00Z"/>
        <d v="2016-07-12T20:01:00Z"/>
        <d v="2016-07-13T08:11:53Z"/>
        <d v="2016-07-13T20:08:49Z"/>
        <d v="2016-07-14T09:27:15Z"/>
        <d v="2016-07-14T16:29:47Z"/>
        <d v="2016-07-15T05:49:14Z"/>
        <d v="2016-07-15T10:14:54Z"/>
        <d v="2016-07-11T18:27:00Z"/>
        <d v="2016-07-13T02:10:44Z"/>
        <d v="2016-07-15T06:49:57Z"/>
        <d v="2016-07-15T07:37:30Z"/>
        <d v="2016-07-11T05:40:00Z"/>
        <d v="2016-07-11T10:00:00Z"/>
        <d v="2016-07-12T05:38:00Z"/>
        <d v="2016-07-13T17:59:39Z"/>
        <d v="2016-07-14T16:53:31Z"/>
        <d v="2016-07-11T20:43:00Z"/>
        <d v="2016-07-12T05:26:00Z"/>
        <d v="2016-07-13T14:34:22Z"/>
        <d v="2016-07-14T00:07:29Z"/>
        <d v="2016-07-14T08:07:17Z"/>
        <d v="2016-07-14T19:11:34Z"/>
        <d v="2016-07-14T23:58:25Z"/>
        <d v="2016-07-15T08:03:04Z"/>
        <d v="2016-07-15T12:04:15Z"/>
        <d v="2016-07-16T00:39:38Z"/>
        <d v="2016-07-11T07:41:00Z"/>
        <d v="2016-07-12T00:26:00Z"/>
        <d v="2016-07-13T02:35:58Z"/>
        <d v="2016-07-13T07:18:33Z"/>
        <d v="2016-07-14T10:16:36Z"/>
        <d v="2016-07-14T14:27:36Z"/>
        <d v="2016-07-14T17:59:00Z"/>
        <d v="2016-07-15T10:30:26Z"/>
        <d v="2016-07-15T14:45:27Z"/>
        <d v="2016-07-12T04:33:00Z"/>
        <d v="2016-07-12T13:21:00Z"/>
        <d v="2016-07-12T16:38:00Z"/>
        <d v="2016-07-13T05:25:32Z"/>
        <d v="2016-07-13T21:39:13Z"/>
        <d v="2016-07-14T03:36:42Z"/>
        <d v="2016-07-14T08:49:55Z"/>
        <d v="2016-07-14T11:32:19Z"/>
        <d v="2016-07-14T18:58:25Z"/>
        <d v="2016-07-15T13:25:34Z"/>
        <d v="2016-07-11T14:40:00Z"/>
        <d v="2016-07-12T08:39:00Z"/>
        <d v="2016-07-12T12:10:00Z"/>
        <d v="2016-07-13T20:07:03Z"/>
        <d v="2016-07-14T08:06:45Z"/>
        <d v="2016-07-14T18:31:45Z"/>
        <d v="2016-07-14T20:30:49Z"/>
        <d v="2016-07-15T08:00:10Z"/>
        <d v="2016-07-15T12:32:18Z"/>
        <d v="2016-07-15T18:31:48Z"/>
        <d v="2016-07-15T20:58:08Z"/>
        <d v="2016-07-12T17:58:00Z"/>
        <d v="2016-07-13T02:52:06Z"/>
        <d v="2016-07-13T08:11:25Z"/>
        <d v="2016-07-14T02:43:27Z"/>
        <d v="2016-07-14T19:07:03Z"/>
        <d v="2016-07-14T23:34:06Z"/>
        <d v="2016-07-15T15:18:36Z"/>
        <d v="2016-07-15T21:19:51Z"/>
        <d v="2016-07-11T08:52:00Z"/>
        <d v="2016-07-13T01:10:37Z"/>
        <d v="2016-07-13T08:54:31Z"/>
        <d v="2016-07-13T13:56:02Z"/>
        <d v="2016-07-14T09:19:54Z"/>
        <d v="2016-07-14T21:38:07Z"/>
        <d v="2016-07-15T00:27:56Z"/>
        <d v="2016-07-15T05:51:20Z"/>
        <d v="2016-07-15T08:51:49Z"/>
        <d v="2016-07-15T15:55:36Z"/>
        <d v="2016-07-16T00:25:05Z"/>
        <d v="2016-07-12T23:29:00Z"/>
        <d v="2016-07-13T06:08:13Z"/>
        <d v="2016-07-13T13:32:27Z"/>
        <d v="2016-07-13T20:33:02Z"/>
        <d v="2016-07-14T19:44:16Z"/>
        <d v="2016-07-15T01:06:42Z"/>
        <d v="2016-07-15T07:44:27Z"/>
        <d v="2016-07-15T20:56:05Z"/>
        <d v="2016-07-11T06:58:00Z"/>
        <d v="2016-07-11T13:04:00Z"/>
        <d v="2016-07-12T05:20:00Z"/>
        <d v="2016-07-12T11:15:00Z"/>
        <d v="2016-07-13T10:45:06Z"/>
        <d v="2016-07-13T13:10:59Z"/>
        <d v="2016-07-14T00:13:33Z"/>
        <d v="2016-07-14T07:41:36Z"/>
        <d v="2016-07-15T00:03:26Z"/>
        <d v="2016-07-15T09:41:56Z"/>
        <d v="2016-07-15T18:08:55Z"/>
        <d v="2016-07-11T21:13:00Z"/>
        <d v="2016-07-12T10:34:00Z"/>
        <d v="2016-07-12T18:32:00Z"/>
        <d v="2016-07-13T06:25:44Z"/>
        <d v="2016-07-13T12:20:49Z"/>
        <d v="2016-07-14T07:45:50Z"/>
        <d v="2016-07-14T22:08:13Z"/>
        <d v="2016-07-15T02:04:05Z"/>
        <d v="2016-07-15T06:19:01Z"/>
        <d v="2016-07-15T13:51:53Z"/>
        <d v="2016-07-11T19:03:00Z"/>
        <d v="2016-07-11T21:02:00Z"/>
        <d v="2016-07-12T05:25:00Z"/>
        <d v="2016-07-12T17:22:00Z"/>
        <d v="2016-07-12T22:21:00Z"/>
        <d v="2016-07-13T18:18:36Z"/>
        <d v="2016-07-13T23:34:04Z"/>
        <d v="2016-07-14T23:35:14Z"/>
        <d v="2016-07-16T00:13:56Z"/>
        <d v="2016-07-11T01:59:00Z"/>
        <d v="2016-07-11T09:07:00Z"/>
        <d v="2016-07-11T15:11:00Z"/>
        <d v="2016-07-12T18:38:00Z"/>
        <d v="2016-07-13T00:16:45Z"/>
        <d v="2016-07-13T12:59:09Z"/>
        <d v="2016-07-14T06:12:49Z"/>
        <d v="2016-07-15T19:07:30Z"/>
        <d v="2016-07-15T23:58:03Z"/>
        <d v="2016-07-12T12:48:00Z"/>
        <d v="2016-07-13T17:37:06Z"/>
        <d v="2016-07-14T06:32:28Z"/>
        <d v="2016-07-14T10:01:21Z"/>
        <d v="2016-07-14T20:46:26Z"/>
        <d v="2016-07-15T11:35:30Z"/>
        <d v="2016-07-11T22:05:00Z"/>
        <d v="2016-07-12T07:31:00Z"/>
        <d v="2016-07-12T20:36:00Z"/>
        <d v="2016-07-14T07:36:47Z"/>
        <d v="2016-07-14T15:01:57Z"/>
        <d v="2016-07-14T18:34:05Z"/>
        <d v="2016-07-15T10:19:50Z"/>
        <d v="2016-07-15T19:16:04Z"/>
        <d v="2016-07-11T07:51:00Z"/>
        <d v="2016-07-11T08:54:00Z"/>
        <d v="2016-07-12T12:59:00Z"/>
        <d v="2016-07-13T13:03:23Z"/>
        <d v="2016-07-13T23:52:32Z"/>
        <d v="2016-07-14T06:29:10Z"/>
        <d v="2016-07-14T16:54:23Z"/>
        <d v="2016-07-14T21:39:30Z"/>
        <d v="2016-07-15T10:17:51Z"/>
        <d v="2016-07-15T11:51:19Z"/>
        <d v="2016-07-15T15:27:41Z"/>
        <d v="2016-07-11T12:41:00Z"/>
        <d v="2016-07-12T20:03:00Z"/>
        <d v="2016-07-13T07:00:15Z"/>
        <d v="2016-07-13T19:33:43Z"/>
        <d v="2016-07-14T10:23:37Z"/>
        <d v="2016-07-15T07:34:28Z"/>
        <d v="2016-07-15T16:27:51Z"/>
        <d v="2016-07-15T22:07:06Z"/>
        <d v="2016-07-11T08:18:00Z"/>
        <d v="2016-07-11T20:42:00Z"/>
        <d v="2016-07-12T04:08:00Z"/>
        <d v="2016-07-12T05:54:00Z"/>
        <d v="2016-07-12T11:05:00Z"/>
        <d v="2016-07-12T17:25:00Z"/>
        <d v="2016-07-12T19:59:00Z"/>
        <d v="2016-07-13T10:39:14Z"/>
        <d v="2016-07-13T12:28:39Z"/>
        <d v="2016-07-14T05:24:45Z"/>
        <d v="2016-07-14T13:33:54Z"/>
        <d v="2016-07-15T06:00:45Z"/>
        <d v="2016-07-15T15:46:10Z"/>
        <d v="2016-07-15T20:19:01Z"/>
        <d v="2016-07-15T22:49:26Z"/>
        <d v="2016-07-11T16:38:00Z"/>
        <d v="2016-07-12T15:24:00Z"/>
        <d v="2016-07-13T06:15:26Z"/>
        <d v="2016-07-13T19:58:53Z"/>
        <d v="2016-07-14T08:07:31Z"/>
        <d v="2016-07-15T00:04:20Z"/>
        <d v="2016-07-15T07:03:22Z"/>
        <d v="2016-07-11T02:00:00Z"/>
        <d v="2016-07-11T22:31:00Z"/>
        <d v="2016-07-12T14:02:00Z"/>
        <d v="2016-07-14T07:58:29Z"/>
        <d v="2016-07-14T13:59:44Z"/>
        <d v="2016-07-14T18:55:35Z"/>
        <d v="2016-07-14T21:40:19Z"/>
        <d v="2016-07-15T08:43:50Z"/>
        <d v="2016-07-15T12:40:36Z"/>
        <d v="2016-07-15T20:42:24Z"/>
        <d v="2016-07-15T21:35:47Z"/>
        <d v="2016-07-12T08:25:00Z"/>
        <d v="2016-07-12T13:43:00Z"/>
        <d v="2016-07-13T15:31:24Z"/>
        <d v="2016-07-14T02:35:52Z"/>
        <d v="2016-07-14T06:26:11Z"/>
        <d v="2016-07-14T12:33:10Z"/>
        <d v="2016-07-15T22:12:13Z"/>
        <d v="2016-07-16T00:30:46Z"/>
        <d v="2016-07-12T18:13:00Z"/>
        <d v="2016-07-12T23:40:00Z"/>
        <d v="2016-07-13T05:48:25Z"/>
        <d v="2016-07-13T08:07:40Z"/>
        <d v="2016-07-13T22:33:05Z"/>
        <d v="2016-07-14T10:49:32Z"/>
        <d v="2016-07-14T13:09:47Z"/>
        <d v="2016-07-14T19:39:57Z"/>
        <d v="2016-07-12T10:54:00Z"/>
        <d v="2016-07-12T19:28:00Z"/>
        <d v="2016-07-13T08:53:44Z"/>
        <d v="2016-07-14T01:48:00Z"/>
        <d v="2016-07-14T09:01:25Z"/>
        <d v="2016-07-15T13:12:07Z"/>
        <d v="2016-07-11T05:44:00Z"/>
        <d v="2016-07-12T12:20:00Z"/>
        <d v="2016-07-12T18:51:00Z"/>
        <d v="2016-07-13T16:11:42Z"/>
        <d v="2016-07-13T20:06:50Z"/>
        <d v="2016-07-14T09:44:52Z"/>
        <d v="2016-07-14T18:51:37Z"/>
        <d v="2016-07-15T08:23:20Z"/>
        <d v="2016-07-15T22:26:09Z"/>
        <d v="2016-07-12T06:10:00Z"/>
        <d v="2016-07-13T20:32:44Z"/>
        <d v="2016-07-14T19:28:46Z"/>
        <d v="2016-07-15T06:03:05Z"/>
        <d v="2016-07-15T19:05:19Z"/>
        <d v="2016-07-11T18:37:00Z"/>
        <d v="2016-07-12T09:46:00Z"/>
        <d v="2016-07-12T11:39:00Z"/>
        <d v="2016-07-12T18:42:00Z"/>
        <d v="2016-07-14T00:48:20Z"/>
        <d v="2016-07-14T16:23:52Z"/>
        <d v="2016-07-14T19:26:14Z"/>
        <d v="2016-07-11T13:30:00Z"/>
        <d v="2016-07-11T21:48:00Z"/>
        <d v="2016-07-12T00:52:00Z"/>
        <d v="2016-07-12T11:34:00Z"/>
        <d v="2016-07-13T08:41:07Z"/>
        <d v="2016-07-13T10:08:32Z"/>
        <d v="2016-07-13T22:15:26Z"/>
        <d v="2016-07-15T08:43:55Z"/>
        <d v="2016-07-15T23:13:48Z"/>
        <d v="2016-07-11T07:31:00Z"/>
        <d v="2016-07-11T22:54:00Z"/>
        <d v="2016-07-12T10:25:00Z"/>
        <d v="2016-07-13T09:33:03Z"/>
        <d v="2016-07-13T13:24:08Z"/>
        <d v="2016-07-13T18:50:00Z"/>
        <d v="2016-07-14T08:08:59Z"/>
        <d v="2016-07-15T01:17:53Z"/>
        <d v="2016-07-15T03:12:36Z"/>
        <d v="2016-07-15T15:40:21Z"/>
        <d v="2016-07-15T20:01:24Z"/>
        <d v="2016-07-11T13:27:00Z"/>
        <d v="2016-07-11T15:53:00Z"/>
        <d v="2016-07-11T20:34:00Z"/>
        <d v="2016-07-12T08:22:00Z"/>
        <d v="2016-07-13T08:56:35Z"/>
        <d v="2016-07-14T06:12:50Z"/>
        <d v="2016-07-15T11:02:34Z"/>
        <d v="2016-07-15T14:45:10Z"/>
        <d v="2016-07-11T07:28:00Z"/>
        <d v="2016-07-11T21:51:00Z"/>
        <d v="2016-07-12T18:34:00Z"/>
        <d v="2016-07-13T07:17:54Z"/>
        <d v="2016-07-14T12:17:43Z"/>
        <d v="2016-07-15T01:07:49Z"/>
        <d v="2016-07-15T16:10:22Z"/>
        <d v="2016-07-11T10:06:00Z"/>
        <d v="2016-07-11T16:20:00Z"/>
        <d v="2016-07-11T18:09:00Z"/>
        <d v="2016-07-12T05:34:00Z"/>
        <d v="2016-07-12T22:13:00Z"/>
        <d v="2016-07-13T07:47:48Z"/>
        <d v="2016-07-14T10:17:42Z"/>
        <d v="2016-07-14T22:45:34Z"/>
        <d v="2016-07-15T21:03:56Z"/>
        <d v="2016-07-11T15:35:00Z"/>
        <d v="2016-07-12T07:29:00Z"/>
        <d v="2016-07-12T16:08:00Z"/>
        <d v="2016-07-13T11:05:45Z"/>
        <d v="2016-07-13T21:27:28Z"/>
        <d v="2016-07-14T12:04:00Z"/>
        <d v="2016-07-15T19:24:50Z"/>
        <d v="2016-07-11T14:10:00Z"/>
        <d v="2016-07-12T08:30:00Z"/>
        <d v="2016-07-13T12:37:31Z"/>
        <d v="2016-07-16T00:02:03Z"/>
        <d v="2016-07-13T07:44:09Z"/>
        <d v="2016-07-13T18:13:34Z"/>
        <d v="2016-07-14T19:38:27Z"/>
        <d v="2016-07-15T22:41:24Z"/>
        <d v="2016-07-12T09:33:00Z"/>
        <d v="2016-07-13T13:04:40Z"/>
        <d v="2016-07-13T17:55:53Z"/>
        <d v="2016-07-14T00:23:01Z"/>
        <d v="2016-07-15T03:48:26Z"/>
        <d v="2016-07-15T08:08:29Z"/>
        <d v="2016-07-15T10:52:06Z"/>
        <d v="2016-07-15T22:00:53Z"/>
        <d v="2016-07-11T14:54:00Z"/>
        <d v="2016-07-12T22:57:00Z"/>
        <d v="2016-07-13T08:21:15Z"/>
        <d v="2016-07-13T11:17:10Z"/>
        <d v="2016-07-13T13:31:43Z"/>
        <d v="2016-07-13T22:54:49Z"/>
        <d v="2016-07-14T07:14:24Z"/>
        <d v="2016-07-14T21:24:08Z"/>
        <d v="2016-07-15T06:33:06Z"/>
        <d v="2016-07-15T12:35:31Z"/>
        <d v="2016-07-15T21:27:20Z"/>
        <d v="2016-07-16T00:30:17Z"/>
        <d v="2016-07-11T06:29:00Z"/>
        <d v="2016-07-11T22:33:00Z"/>
        <d v="2016-07-12T01:38:00Z"/>
        <d v="2016-07-13T14:46:54Z"/>
        <d v="2016-07-14T09:56:04Z"/>
        <d v="2016-07-15T11:19:40Z"/>
        <d v="2016-07-15T16:27:26Z"/>
        <d v="2016-07-11T09:11:00Z"/>
        <d v="2016-07-13T04:42:24Z"/>
        <d v="2016-07-13T06:24:51Z"/>
        <d v="2016-07-13T11:13:38Z"/>
        <d v="2016-07-14T19:55:39Z"/>
        <d v="2016-07-15T18:14:48Z"/>
        <d v="2016-07-11T09:55:00Z"/>
        <d v="2016-07-11T13:56:00Z"/>
        <d v="2016-07-11T18:51:00Z"/>
        <d v="2016-07-11T23:15:00Z"/>
        <d v="2016-07-12T19:48:00Z"/>
        <d v="2016-07-14T01:51:34Z"/>
        <d v="2016-07-14T06:56:01Z"/>
        <d v="2016-07-14T17:11:23Z"/>
        <d v="2016-07-15T14:15:15Z"/>
        <d v="2016-07-15T18:24:22Z"/>
        <d v="2016-07-11T04:54:00Z"/>
        <d v="2016-07-11T14:27:00Z"/>
        <d v="2016-07-12T11:44:00Z"/>
        <d v="2016-07-13T20:12:19Z"/>
        <d v="2016-07-14T08:17:53Z"/>
        <d v="2016-07-14T14:15:40Z"/>
        <d v="2016-07-14T22:44:00Z"/>
        <d v="2016-07-11T05:47:00Z"/>
        <d v="2016-07-11T21:35:00Z"/>
        <d v="2016-07-12T22:10:00Z"/>
        <d v="2016-07-13T00:12:32Z"/>
        <d v="2016-07-13T07:37:12Z"/>
        <d v="2016-07-14T16:12:19Z"/>
        <d v="2016-07-15T05:31:32Z"/>
        <d v="2016-07-15T15:36:20Z"/>
        <d v="2016-07-11T23:36:00Z"/>
        <d v="2016-07-12T06:45:00Z"/>
        <d v="2016-07-13T10:18:32Z"/>
        <d v="2016-07-13T11:35:02Z"/>
        <d v="2016-07-14T08:10:56Z"/>
        <d v="2016-07-15T17:50:14Z"/>
        <d v="2016-07-15T21:31:02Z"/>
        <d v="2016-07-15T23:49:25Z"/>
        <d v="2016-07-11T13:50:00Z"/>
        <d v="2016-07-11T22:36:00Z"/>
        <d v="2016-07-12T12:37:00Z"/>
        <d v="2016-07-13T16:19:11Z"/>
        <d v="2016-07-13T22:48:54Z"/>
        <d v="2016-07-14T13:13:27Z"/>
        <d v="2016-07-15T12:00:31Z"/>
        <d v="2016-07-15T18:52:00Z"/>
        <d v="2016-07-12T06:20:00Z"/>
        <d v="2016-07-13T08:29:02Z"/>
        <d v="2016-07-13T11:42:50Z"/>
        <d v="2016-07-14T18:35:46Z"/>
        <d v="2016-07-14T22:47:26Z"/>
        <d v="2016-07-15T23:12:18Z"/>
        <d v="2016-07-11T08:59:00Z"/>
        <d v="2016-07-12T05:42:00Z"/>
        <d v="2016-07-14T20:14:02Z"/>
        <d v="2016-07-14T23:40:58Z"/>
        <d v="2016-07-15T21:17:15Z"/>
        <d v="2016-07-11T07:55:00Z"/>
        <d v="2016-07-11T17:52:00Z"/>
        <d v="2016-07-11T20:18:00Z"/>
        <d v="2016-07-12T07:55:00Z"/>
        <d v="2016-07-12T18:40:00Z"/>
        <d v="2016-07-13T07:55:18Z"/>
        <d v="2016-07-13T18:46:32Z"/>
        <d v="2016-07-14T13:21:51Z"/>
        <d v="2016-07-15T09:32:17Z"/>
        <d v="2016-07-15T13:49:54Z"/>
        <d v="2016-07-15T22:26:15Z"/>
        <d v="2016-07-11T08:48:00Z"/>
        <d v="2016-07-11T21:01:00Z"/>
        <d v="2016-07-12T16:55:00Z"/>
        <d v="2016-07-13T12:50:46Z"/>
        <d v="2016-07-14T15:21:15Z"/>
        <d v="2016-07-15T16:07:30Z"/>
        <d v="2016-07-11T16:33:00Z"/>
        <d v="2016-07-11T22:47:00Z"/>
        <d v="2016-07-12T06:17:00Z"/>
        <d v="2016-07-12T09:02:00Z"/>
        <d v="2016-07-13T07:11:55Z"/>
        <d v="2016-07-13T16:17:36Z"/>
        <d v="2016-07-14T09:34:51Z"/>
        <d v="2016-07-15T21:16:02Z"/>
        <d v="2016-07-11T01:35:00Z"/>
        <d v="2016-07-11T09:03:00Z"/>
        <d v="2016-07-11T21:42:00Z"/>
        <d v="2016-07-13T21:34:37Z"/>
        <d v="2016-07-14T10:32:27Z"/>
        <d v="2016-07-14T19:24:02Z"/>
        <d v="2016-07-11T05:58:00Z"/>
        <d v="2016-07-11T22:01:00Z"/>
        <d v="2016-07-12T08:07:00Z"/>
        <d v="2016-07-15T21:05:28Z"/>
        <d v="2016-07-11T09:17:00Z"/>
        <d v="2016-07-11T19:44:00Z"/>
        <d v="2016-07-12T18:02:00Z"/>
        <d v="2016-07-13T15:07:07Z"/>
        <d v="2016-07-13T19:39:13Z"/>
        <d v="2016-07-14T07:42:17Z"/>
        <d v="2016-07-14T13:38:15Z"/>
        <d v="2016-07-15T10:34:23Z"/>
        <d v="2016-07-15T13:51:26Z"/>
        <d v="2016-07-13T05:06:41Z"/>
        <d v="2016-07-13T18:33:37Z"/>
        <d v="2016-07-14T19:24:59Z"/>
        <d v="2016-07-15T00:52:50Z"/>
        <d v="2016-07-15T09:52:31Z"/>
        <d v="2016-07-11T07:08:00Z"/>
        <d v="2016-07-11T13:03:00Z"/>
        <d v="2016-07-12T16:56:00Z"/>
        <d v="2016-07-13T13:30:18Z"/>
        <d v="2016-07-13T23:34:24Z"/>
        <d v="2016-07-14T08:22:15Z"/>
        <d v="2016-07-14T14:04:20Z"/>
        <d v="2016-07-14T16:52:28Z"/>
        <d v="2016-07-15T07:39:36Z"/>
        <d v="2016-07-15T23:23:44Z"/>
        <d v="2016-07-11T12:28:00Z"/>
        <d v="2016-07-11T19:01:00Z"/>
        <d v="2016-07-12T09:29:00Z"/>
        <d v="2016-07-12T12:21:00Z"/>
        <d v="2016-07-13T06:08:39Z"/>
        <d v="2016-07-13T16:23:36Z"/>
        <d v="2016-07-14T10:18:27Z"/>
        <d v="2016-07-14T12:57:06Z"/>
        <d v="2016-07-15T06:25:46Z"/>
        <d v="2016-07-15T16:03:55Z"/>
        <d v="2016-07-11T06:03:00Z"/>
        <d v="2016-07-11T20:51:00Z"/>
        <d v="2016-07-12T07:48:00Z"/>
        <d v="2016-07-12T21:32:00Z"/>
        <d v="2016-07-13T08:14:35Z"/>
        <d v="2016-07-13T21:24:14Z"/>
        <d v="2016-07-14T07:19:20Z"/>
        <d v="2016-07-14T13:05:45Z"/>
        <d v="2016-07-15T16:15:36Z"/>
        <d v="2016-07-11T11:03:00Z"/>
        <d v="2016-07-14T09:17:44Z"/>
        <d v="2016-07-15T05:54:26Z"/>
        <d v="2016-07-15T11:08:19Z"/>
        <d v="2016-07-11T12:12:00Z"/>
        <d v="2016-07-12T04:09:00Z"/>
        <d v="2016-07-12T09:22:00Z"/>
        <d v="2016-07-13T10:48:29Z"/>
        <d v="2016-07-14T22:28:36Z"/>
        <d v="2016-07-15T06:13:40Z"/>
        <d v="2016-07-15T10:29:06Z"/>
        <d v="2016-07-15T18:24:44Z"/>
        <d v="2016-07-11T07:19:00Z"/>
        <d v="2016-07-11T15:54:00Z"/>
        <d v="2016-07-11T19:08:00Z"/>
        <d v="2016-07-12T06:15:00Z"/>
        <d v="2016-07-13T21:28:07Z"/>
        <d v="2016-07-13T22:40:43Z"/>
        <d v="2016-07-14T04:42:17Z"/>
        <d v="2016-07-15T08:23:13Z"/>
        <d v="2016-07-15T10:35:38Z"/>
        <d v="2016-07-15T14:30:50Z"/>
        <d v="2016-07-15T17:20:32Z"/>
        <d v="2016-07-11T09:25:00Z"/>
        <d v="2016-07-11T12:58:00Z"/>
        <d v="2016-07-11T15:32:00Z"/>
        <d v="2016-07-12T12:16:00Z"/>
        <d v="2016-07-12T17:10:00Z"/>
        <d v="2016-07-12T19:45:00Z"/>
        <d v="2016-07-13T10:44:23Z"/>
        <d v="2016-07-13T16:04:48Z"/>
        <d v="2016-07-13T21:13:37Z"/>
        <d v="2016-07-14T11:31:43Z"/>
        <d v="2016-07-14T20:06:00Z"/>
        <d v="2016-07-15T09:01:46Z"/>
        <d v="2016-07-16T00:49:54Z"/>
        <d v="2016-07-11T08:15:00Z"/>
        <d v="2016-07-11T16:52:00Z"/>
        <d v="2016-07-12T17:40:00Z"/>
        <d v="2016-07-13T06:29:18Z"/>
        <d v="2016-07-13T17:22:26Z"/>
        <d v="2016-07-13T20:48:13Z"/>
        <d v="2016-07-15T04:04:20Z"/>
        <d v="2016-07-15T15:09:22Z"/>
        <d v="2016-07-11T08:01:00Z"/>
        <d v="2016-07-11T11:25:00Z"/>
        <d v="2016-07-11T23:43:00Z"/>
        <d v="2016-07-12T14:37:00Z"/>
        <d v="2016-07-12T20:47:00Z"/>
        <d v="2016-07-13T05:37:28Z"/>
        <d v="2016-07-13T22:09:18Z"/>
        <d v="2016-07-14T09:20:40Z"/>
        <d v="2016-07-15T07:39:49Z"/>
        <d v="2016-07-15T19:37:24Z"/>
        <d v="2016-07-15T22:21:22Z"/>
        <d v="2016-07-11T12:02:00Z"/>
        <d v="2016-07-11T15:42:00Z"/>
        <d v="2016-07-13T23:33:44Z"/>
        <d v="2016-07-14T18:54:51Z"/>
        <d v="2016-07-15T19:50:18Z"/>
        <d v="2016-07-12T07:37:00Z"/>
        <d v="2016-07-13T18:29:48Z"/>
        <d v="2016-07-14T11:11:25Z"/>
        <d v="2016-07-15T10:53:39Z"/>
        <d v="2016-07-15T19:18:27Z"/>
        <d v="2016-07-11T09:26:00Z"/>
        <d v="2016-07-12T13:34:00Z"/>
        <d v="2016-07-13T06:26:06Z"/>
        <d v="2016-07-13T08:55:31Z"/>
        <d v="2016-07-13T16:45:57Z"/>
        <d v="2016-07-13T23:26:52Z"/>
        <d v="2016-07-14T09:40:20Z"/>
        <d v="2016-07-15T08:22:44Z"/>
        <d v="2016-07-15T16:06:05Z"/>
        <d v="2016-07-15T19:02:40Z"/>
        <d v="2016-07-15T19:50:39Z"/>
        <d v="2016-07-11T05:51:00Z"/>
        <d v="2016-07-11T18:18:00Z"/>
        <d v="2016-07-13T06:22:58Z"/>
        <d v="2016-07-13T12:47:18Z"/>
        <d v="2016-07-15T05:41:21Z"/>
        <d v="2016-07-15T17:23:29Z"/>
        <d v="2016-07-15T21:18:30Z"/>
        <d v="2016-07-11T11:54:00Z"/>
        <d v="2016-07-11T16:04:00Z"/>
        <d v="2016-07-11T20:53:00Z"/>
        <d v="2016-07-12T19:56:00Z"/>
        <d v="2016-07-13T06:28:37Z"/>
        <d v="2016-07-13T11:36:14Z"/>
        <d v="2016-07-14T08:26:03Z"/>
        <d v="2016-07-14T20:08:00Z"/>
        <d v="2016-07-15T03:57:34Z"/>
        <d v="2016-07-15T08:07:42Z"/>
        <d v="2016-07-11T14:22:00Z"/>
        <d v="2016-07-14T10:08:17Z"/>
        <d v="2016-07-14T16:19:27Z"/>
        <d v="2016-07-15T15:12:20Z"/>
        <d v="2016-07-15T21:22:33Z"/>
        <d v="2016-07-11T13:16:00Z"/>
        <d v="2016-07-13T04:21:53Z"/>
        <d v="2016-07-13T08:07:22Z"/>
        <d v="2016-07-13T18:02:55Z"/>
        <d v="2016-07-13T22:02:10Z"/>
        <d v="2016-07-15T23:27:52Z"/>
        <d v="2016-07-11T09:27:00Z"/>
        <d v="2016-07-11T14:02:00Z"/>
        <d v="2016-07-11T21:39:00Z"/>
        <d v="2016-07-13T07:05:09Z"/>
        <d v="2016-07-13T22:24:40Z"/>
        <d v="2016-07-14T07:36:04Z"/>
        <d v="2016-07-14T08:44:13Z"/>
        <d v="2016-07-14T20:43:30Z"/>
        <d v="2016-07-15T11:44:04Z"/>
        <d v="2016-07-15T23:37:35Z"/>
        <d v="2016-07-11T00:51:00Z"/>
        <d v="2016-07-12T12:00:00Z"/>
        <d v="2016-07-13T21:37:45Z"/>
        <d v="2016-07-14T18:23:17Z"/>
        <d v="2016-07-15T03:04:34Z"/>
        <d v="2016-07-15T20:48:05Z"/>
        <d v="2016-07-11T05:53:00Z"/>
        <d v="2016-07-11T17:12:00Z"/>
        <d v="2016-07-11T19:20:00Z"/>
        <d v="2016-07-11T22:39:00Z"/>
        <d v="2016-07-12T07:23:00Z"/>
        <d v="2016-07-12T10:28:00Z"/>
        <d v="2016-07-12T15:43:00Z"/>
        <d v="2016-07-13T05:53:14Z"/>
        <d v="2016-07-15T12:12:58Z"/>
        <d v="2016-07-15T13:19:49Z"/>
        <d v="2016-07-11T18:57:00Z"/>
        <d v="2016-07-12T10:08:00Z"/>
        <d v="2016-07-13T04:06:25Z"/>
        <d v="2016-07-13T20:15:14Z"/>
        <d v="2016-07-13T23:46:08Z"/>
        <d v="2016-07-15T08:48:49Z"/>
        <d v="2016-07-15T22:49:32Z"/>
        <d v="2016-07-11T23:13:00Z"/>
        <d v="2016-07-12T22:07:00Z"/>
        <d v="2016-07-13T19:35:35Z"/>
        <d v="2016-07-14T02:09:47Z"/>
        <d v="2016-07-14T18:31:31Z"/>
        <d v="2016-07-11T06:41:00Z"/>
        <d v="2016-07-12T21:25:00Z"/>
        <d v="2016-07-13T20:31:58Z"/>
        <d v="2016-07-14T10:18:58Z"/>
        <d v="2016-07-14T13:28:25Z"/>
        <d v="2016-07-15T07:23:32Z"/>
        <d v="2016-07-15T08:07:52Z"/>
        <d v="2016-07-15T11:29:14Z"/>
        <d v="2016-07-15T13:22:06Z"/>
        <d v="2016-07-15T18:06:25Z"/>
        <d v="2016-07-15T23:04:55Z"/>
        <d v="2016-07-11T05:23:00Z"/>
        <d v="2016-07-12T23:20:00Z"/>
        <d v="2016-07-13T11:23:53Z"/>
        <d v="2016-07-13T18:23:41Z"/>
        <d v="2016-07-14T22:25:10Z"/>
        <d v="2016-07-15T09:08:12Z"/>
        <d v="2016-07-15T23:21:50Z"/>
        <d v="2016-07-12T14:58:00Z"/>
        <d v="2016-07-12T19:17:00Z"/>
        <d v="2016-07-13T20:51:03Z"/>
        <d v="2016-07-14T11:40:50Z"/>
        <d v="2016-07-15T06:43:14Z"/>
        <d v="2016-07-15T20:03:36Z"/>
        <d v="2016-07-15T23:12:06Z"/>
        <d v="2016-07-16T00:35:45Z"/>
        <d v="2016-07-11T10:09:00Z"/>
        <d v="2016-07-11T20:32:00Z"/>
        <d v="2016-07-12T09:11:00Z"/>
        <d v="2016-07-12T20:26:00Z"/>
        <d v="2016-07-13T13:35:00Z"/>
        <d v="2016-07-12T20:44:00Z"/>
        <d v="2016-07-13T14:04:50Z"/>
        <d v="2016-07-13T21:26:11Z"/>
        <d v="2016-07-15T08:01:28Z"/>
        <d v="2016-07-16T00:10:16Z"/>
        <d v="2016-07-11T06:16:00Z"/>
        <d v="2016-07-11T22:32:00Z"/>
        <d v="2016-07-12T01:55:00Z"/>
        <d v="2016-07-12T11:58:00Z"/>
        <d v="2016-07-13T06:46:52Z"/>
        <d v="2016-07-13T11:06:19Z"/>
        <d v="2016-07-14T09:51:58Z"/>
        <d v="2016-07-14T21:26:49Z"/>
        <d v="2016-07-15T05:55:55Z"/>
        <d v="2016-07-15T21:50:36Z"/>
        <d v="2016-07-11T20:54:00Z"/>
        <d v="2016-07-12T09:10:00Z"/>
        <d v="2016-07-13T09:47:47Z"/>
        <d v="2016-07-14T22:09:36Z"/>
        <d v="2016-07-15T21:02:25Z"/>
        <d v="2016-07-11T10:41:00Z"/>
        <d v="2016-07-11T13:20:00Z"/>
        <d v="2016-07-12T00:15:00Z"/>
        <d v="2016-07-12T08:14:00Z"/>
        <d v="2016-07-13T00:28:33Z"/>
        <d v="2016-07-13T07:04:39Z"/>
        <d v="2016-07-13T22:24:52Z"/>
        <d v="2016-07-14T23:21:22Z"/>
        <d v="2016-07-15T07:10:49Z"/>
        <d v="2016-07-11T02:37:00Z"/>
        <d v="2016-07-11T06:52:00Z"/>
        <d v="2016-07-11T19:41:00Z"/>
        <d v="2016-07-12T10:00:00Z"/>
        <d v="2016-07-12T23:44:00Z"/>
        <d v="2016-07-13T20:30:48Z"/>
        <d v="2016-07-14T01:12:21Z"/>
        <d v="2016-07-14T06:00:11Z"/>
        <d v="2016-07-14T18:30:48Z"/>
        <d v="2016-07-15T14:56:02Z"/>
        <d v="2016-07-12T20:56:00Z"/>
        <d v="2016-07-13T12:55:12Z"/>
        <d v="2016-07-13T19:25:22Z"/>
        <d v="2016-07-14T01:02:24Z"/>
        <d v="2016-07-14T05:07:30Z"/>
        <d v="2016-07-14T06:54:57Z"/>
        <d v="2016-07-14T18:01:28Z"/>
        <d v="2016-07-14T22:41:48Z"/>
        <d v="2016-07-15T00:39:24Z"/>
        <d v="2016-07-15T18:59:11Z"/>
        <d v="2016-07-11T22:15:00Z"/>
        <d v="2016-07-12T19:09:00Z"/>
        <d v="2016-07-13T08:30:57Z"/>
        <d v="2016-07-13T22:05:34Z"/>
        <d v="2016-07-14T09:54:56Z"/>
        <d v="2016-07-14T21:12:48Z"/>
        <d v="2016-07-15T19:19:30Z"/>
        <d v="2016-07-11T23:35:00Z"/>
        <d v="2016-07-13T07:20:52Z"/>
        <d v="2016-07-13T13:16:03Z"/>
        <d v="2016-07-13T23:43:13Z"/>
        <d v="2016-07-15T09:56:07Z"/>
        <s v="NA"/>
      </sharedItems>
    </cacheField>
    <cacheField name="clean drop timestamp">
      <sharedItems containsDate="1" containsMixedTypes="1">
        <d v="2016-07-11T13:00:00Z"/>
        <d v="2016-07-11T18:47:00Z"/>
        <d v="2016-07-12T09:58:00Z"/>
        <d v="2016-07-12T22:03:00Z"/>
        <d v="2016-07-13T09:25:47Z"/>
        <d v="2016-07-13T22:28:59Z"/>
        <d v="2016-07-14T07:13:15Z"/>
        <d v="2016-07-15T06:07:52Z"/>
        <d v="2016-07-15T18:50:51Z"/>
        <d v="2016-07-11T07:25:00Z"/>
        <d v="2016-07-12T06:02:00Z"/>
        <d v="2016-07-12T12:57:00Z"/>
        <d v="2016-07-13T05:23:03Z"/>
        <d v="2016-07-13T09:16:19Z"/>
        <d v="2016-07-13T15:35:18Z"/>
        <d v="2016-07-13T18:20:51Z"/>
        <d v="2016-07-14T12:36:46Z"/>
        <d v="2016-07-14T23:18:52Z"/>
        <d v="2016-07-11T10:31:00Z"/>
        <d v="2016-07-11T19:23:00Z"/>
        <d v="2016-07-12T12:23:00Z"/>
        <d v="2016-07-12T16:40:00Z"/>
        <d v="2016-07-12T18:28:00Z"/>
        <d v="2016-07-13T09:22:37Z"/>
        <d v="2016-07-13T22:51:23Z"/>
        <d v="2016-07-14T22:25:19Z"/>
        <d v="2016-07-15T03:24:43Z"/>
        <d v="2016-07-15T10:53:06Z"/>
        <d v="2016-07-11T13:49:00Z"/>
        <d v="2016-07-12T07:10:00Z"/>
        <d v="2016-07-12T10:27:00Z"/>
        <d v="2016-07-12T17:01:00Z"/>
        <d v="2016-07-13T06:09:59Z"/>
        <d v="2016-07-13T20:32:04Z"/>
        <d v="2016-07-14T03:21:38Z"/>
        <d v="2016-07-14T13:45:28Z"/>
        <d v="2016-07-15T09:37:20Z"/>
        <d v="2016-07-15T15:47:31Z"/>
        <d v="2016-07-11T08:31:00Z"/>
        <d v="2016-07-11T12:01:00Z"/>
        <d v="2016-07-11T21:45:00Z"/>
        <d v="2016-07-12T09:23:00Z"/>
        <d v="2016-07-12T15:50:00Z"/>
        <d v="2016-07-12T22:29:00Z"/>
        <d v="2016-07-13T08:29:47Z"/>
        <d v="2016-07-13T12:46:38Z"/>
        <d v="2016-07-14T07:49:38Z"/>
        <d v="2016-07-15T10:07:07Z"/>
        <d v="2016-07-15T23:51:00Z"/>
        <d v="2016-07-12T06:28:00Z"/>
        <d v="2016-07-12T13:51:00Z"/>
        <d v="2016-07-13T07:40:35Z"/>
        <d v="2016-07-13T22:45:24Z"/>
        <d v="2016-07-14T03:30:27Z"/>
        <d v="2016-07-14T15:38:14Z"/>
        <d v="2016-07-14T22:25:43Z"/>
        <d v="2016-07-15T01:07:39Z"/>
        <d v="2016-07-15T08:38:55Z"/>
        <d v="2016-07-15T15:33:53Z"/>
        <d v="2016-07-11T20:41:00Z"/>
        <d v="2016-07-11T23:12:00Z"/>
        <d v="2016-07-12T21:28:00Z"/>
        <d v="2016-07-14T04:39:04Z"/>
        <d v="2016-07-14T10:17:01Z"/>
        <d v="2016-07-14T19:50:57Z"/>
        <d v="2016-07-15T10:40:39Z"/>
        <d v="2016-07-15T16:36:56Z"/>
        <d v="2016-07-11T09:18:00Z"/>
        <d v="2016-07-11T20:30:00Z"/>
        <d v="2016-07-12T09:24:00Z"/>
        <d v="2016-07-12T22:20:00Z"/>
        <d v="2016-07-13T11:07:02Z"/>
        <d v="2016-07-14T12:59:34Z"/>
        <d v="2016-07-11T09:52:00Z"/>
        <d v="2016-07-11T18:52:00Z"/>
        <d v="2016-07-12T00:23:00Z"/>
        <d v="2016-07-12T05:56:00Z"/>
        <d v="2016-07-12T18:54:00Z"/>
        <d v="2016-07-13T08:36:37Z"/>
        <d v="2016-07-13T17:31:49Z"/>
        <d v="2016-07-13T21:27:29Z"/>
        <d v="2016-07-14T00:58:39Z"/>
        <d v="2016-07-14T05:07:07Z"/>
        <d v="2016-07-14T19:02:42Z"/>
        <d v="2016-07-15T06:25:49Z"/>
        <d v="2016-07-15T12:32:12Z"/>
        <d v="2016-07-12T10:01:00Z"/>
        <d v="2016-07-12T16:14:00Z"/>
        <d v="2016-07-13T10:52:37Z"/>
        <d v="2016-07-14T08:22:09Z"/>
        <d v="2016-07-14T14:10:56Z"/>
        <d v="2016-07-15T07:19:53Z"/>
        <d v="2016-07-15T17:44:44Z"/>
        <d v="2016-07-12T15:02:00Z"/>
        <d v="2016-07-13T11:02:52Z"/>
        <d v="2016-07-13T14:09:00Z"/>
        <d v="2016-07-14T07:12:41Z"/>
        <d v="2016-07-14T19:14:36Z"/>
        <d v="2016-07-15T07:59:00Z"/>
        <d v="2016-07-15T09:13:04Z"/>
        <d v="2016-07-15T20:26:51Z"/>
        <d v="2016-07-11T04:09:00Z"/>
        <d v="2016-07-11T07:40:00Z"/>
        <d v="2016-07-11T21:38:00Z"/>
        <d v="2016-07-12T06:59:00Z"/>
        <d v="2016-07-12T21:26:00Z"/>
        <d v="2016-07-12T23:05:00Z"/>
        <d v="2016-07-14T03:13:09Z"/>
        <d v="2016-07-14T11:39:01Z"/>
        <d v="2016-07-14T20:14:03Z"/>
        <d v="2016-07-15T08:12:37Z"/>
        <d v="2016-07-15T10:50:50Z"/>
        <d v="2016-07-15T19:46:04Z"/>
        <d v="2016-07-11T06:28:00Z"/>
        <d v="2016-07-11T08:28:00Z"/>
        <d v="2016-07-11T12:42:00Z"/>
        <d v="2016-07-11T19:57:00Z"/>
        <d v="2016-07-12T08:42:00Z"/>
        <d v="2016-07-13T09:12:19Z"/>
        <d v="2016-07-14T06:45:32Z"/>
        <d v="2016-07-14T12:00:12Z"/>
        <d v="2016-07-14T22:24:13Z"/>
        <d v="2016-07-15T06:02:27Z"/>
        <d v="2016-07-15T22:41:18Z"/>
        <d v="2016-07-11T06:09:00Z"/>
        <d v="2016-07-11T07:07:00Z"/>
        <d v="2016-07-12T10:07:00Z"/>
        <d v="2016-07-12T22:14:00Z"/>
        <d v="2016-07-13T13:55:59Z"/>
        <d v="2016-07-14T22:16:40Z"/>
        <d v="2016-07-15T18:33:13Z"/>
        <d v="2016-07-16T00:37:46Z"/>
        <d v="2016-07-11T20:24:00Z"/>
        <d v="2016-07-13T00:35:12Z"/>
        <d v="2016-07-13T10:30:58Z"/>
        <d v="2016-07-13T22:21:15Z"/>
        <d v="2016-07-14T09:22:01Z"/>
        <d v="2016-07-14T21:05:18Z"/>
        <d v="2016-07-15T13:25:27Z"/>
        <d v="2016-07-15T20:40:45Z"/>
        <d v="2016-07-11T12:31:00Z"/>
        <d v="2016-07-11T15:03:00Z"/>
        <d v="2016-07-11T21:52:00Z"/>
        <d v="2016-07-13T00:27:21Z"/>
        <d v="2016-07-13T05:56:11Z"/>
        <d v="2016-07-13T10:45:28Z"/>
        <d v="2016-07-13T16:45:44Z"/>
        <d v="2016-07-13T22:55:54Z"/>
        <d v="2016-07-14T05:46:29Z"/>
        <d v="2016-07-14T09:19:20Z"/>
        <d v="2016-07-14T15:06:40Z"/>
        <d v="2016-07-14T23:53:42Z"/>
        <d v="2016-07-15T17:30:08Z"/>
        <d v="2016-07-15T21:32:49Z"/>
        <d v="2016-07-11T13:06:00Z"/>
        <d v="2016-07-11T19:26:00Z"/>
        <d v="2016-07-12T23:25:00Z"/>
        <d v="2016-07-13T08:26:07Z"/>
        <d v="2016-07-14T15:39:03Z"/>
        <d v="2016-07-14T19:43:44Z"/>
        <d v="2016-07-15T00:25:26Z"/>
        <d v="2016-07-15T05:47:13Z"/>
        <d v="2016-07-15T12:55:02Z"/>
        <d v="2016-07-15T21:00:31Z"/>
        <d v="2016-07-11T10:16:00Z"/>
        <d v="2016-07-11T21:18:00Z"/>
        <d v="2016-07-12T04:27:00Z"/>
        <d v="2016-07-12T09:57:00Z"/>
        <d v="2016-07-12T12:13:00Z"/>
        <d v="2016-07-13T02:37:08Z"/>
        <d v="2016-07-13T06:10:40Z"/>
        <d v="2016-07-13T23:33:20Z"/>
        <d v="2016-07-14T17:34:39Z"/>
        <d v="2016-07-14T21:56:21Z"/>
        <d v="2016-07-15T10:55:22Z"/>
        <d v="2016-07-11T10:02:00Z"/>
        <d v="2016-07-12T06:35:00Z"/>
        <d v="2016-07-12T15:09:00Z"/>
        <d v="2016-07-12T22:44:00Z"/>
        <d v="2016-07-13T21:46:24Z"/>
        <d v="2016-07-14T06:59:46Z"/>
        <d v="2016-07-14T08:54:39Z"/>
        <d v="2016-07-15T10:59:27Z"/>
        <d v="2016-07-15T12:53:36Z"/>
        <d v="2016-07-11T10:05:00Z"/>
        <d v="2016-07-11T15:01:00Z"/>
        <d v="2016-07-11T22:06:00Z"/>
        <d v="2016-07-12T17:18:00Z"/>
        <d v="2016-07-12T19:23:00Z"/>
        <d v="2016-07-13T13:30:26Z"/>
        <d v="2016-07-13T20:35:08Z"/>
        <d v="2016-07-14T09:48:08Z"/>
        <d v="2016-07-15T20:30:05Z"/>
        <d v="2016-07-12T10:52:00Z"/>
        <d v="2016-07-12T12:56:00Z"/>
        <d v="2016-07-13T21:22:42Z"/>
        <d v="2016-07-14T09:12:02Z"/>
        <d v="2016-07-15T13:38:01Z"/>
        <d v="2016-07-15T22:12:36Z"/>
        <d v="2016-07-11T06:06:00Z"/>
        <d v="2016-07-11T13:45:00Z"/>
        <d v="2016-07-11T19:34:00Z"/>
        <d v="2016-07-11T22:14:00Z"/>
        <d v="2016-07-12T11:42:00Z"/>
        <d v="2016-07-12T21:38:00Z"/>
        <d v="2016-07-13T08:58:46Z"/>
        <d v="2016-07-13T13:23:39Z"/>
        <d v="2016-07-13T19:29:07Z"/>
        <d v="2016-07-14T16:49:03Z"/>
        <d v="2016-07-14T20:48:58Z"/>
        <d v="2016-07-15T00:19:50Z"/>
        <d v="2016-07-15T06:50:02Z"/>
        <d v="2016-07-15T10:37:05Z"/>
        <d v="2016-07-15T23:17:53Z"/>
        <d v="2016-07-11T10:37:00Z"/>
        <d v="2016-07-11T16:43:00Z"/>
        <d v="2016-07-12T01:33:00Z"/>
        <d v="2016-07-12T07:09:00Z"/>
        <d v="2016-07-12T09:01:00Z"/>
        <d v="2016-07-12T17:21:00Z"/>
        <d v="2016-07-13T03:51:35Z"/>
        <d v="2016-07-14T07:02:28Z"/>
        <d v="2016-07-14T13:34:58Z"/>
        <d v="2016-07-15T03:08:35Z"/>
        <d v="2016-07-15T06:00:16Z"/>
        <d v="2016-07-15T09:42:27Z"/>
        <d v="2016-07-15T11:58:44Z"/>
        <d v="2016-07-15T16:29:40Z"/>
        <d v="2016-07-11T09:08:00Z"/>
        <d v="2016-07-11T20:48:00Z"/>
        <d v="2016-07-13T01:49:08Z"/>
        <d v="2016-07-13T05:33:20Z"/>
        <d v="2016-07-13T13:25:14Z"/>
        <d v="2016-07-13T16:50:46Z"/>
        <d v="2016-07-13T21:39:02Z"/>
        <d v="2016-07-14T06:05:01Z"/>
        <d v="2016-07-14T12:49:14Z"/>
        <d v="2016-07-14T18:54:03Z"/>
        <d v="2016-07-14T22:30:11Z"/>
        <d v="2016-07-15T09:26:33Z"/>
        <d v="2016-07-15T16:40:41Z"/>
        <d v="2016-07-15T19:53:29Z"/>
        <d v="2016-07-11T17:21:00Z"/>
        <d v="2016-07-13T00:40:52Z"/>
        <d v="2016-07-13T06:19:18Z"/>
        <d v="2016-07-13T15:57:24Z"/>
        <d v="2016-07-13T19:31:56Z"/>
        <d v="2016-07-13T21:21:24Z"/>
        <d v="2016-07-14T10:22:52Z"/>
        <d v="2016-07-14T18:41:40Z"/>
        <d v="2016-07-15T06:53:22Z"/>
        <d v="2016-07-15T18:08:11Z"/>
        <d v="2016-07-15T22:54:02Z"/>
        <d v="2016-07-11T08:10:00Z"/>
        <d v="2016-07-11T18:06:00Z"/>
        <d v="2016-07-11T19:09:00Z"/>
        <d v="2016-07-11T23:00:00Z"/>
        <d v="2016-07-13T06:14:07Z"/>
        <d v="2016-07-13T09:22:42Z"/>
        <d v="2016-07-13T17:13:44Z"/>
        <d v="2016-07-13T23:27:43Z"/>
        <d v="2016-07-15T20:16:57Z"/>
        <d v="2016-07-11T06:44:00Z"/>
        <d v="2016-07-11T13:10:00Z"/>
        <d v="2016-07-11T17:25:00Z"/>
        <d v="2016-07-12T12:49:00Z"/>
        <d v="2016-07-12T17:02:00Z"/>
        <d v="2016-07-12T21:20:00Z"/>
        <d v="2016-07-13T06:27:07Z"/>
        <d v="2016-07-13T20:48:05Z"/>
        <d v="2016-07-14T09:00:36Z"/>
        <d v="2016-07-14T21:52:37Z"/>
        <d v="2016-07-15T19:35:10Z"/>
        <d v="2016-07-15T23:13:18Z"/>
        <d v="2016-07-11T05:26:00Z"/>
        <d v="2016-07-11T21:53:00Z"/>
        <d v="2016-07-12T08:40:00Z"/>
        <d v="2016-07-13T05:13:54Z"/>
        <d v="2016-07-13T10:24:39Z"/>
        <d v="2016-07-13T20:47:17Z"/>
        <d v="2016-07-14T18:58:49Z"/>
        <d v="2016-07-15T21:53:29Z"/>
        <d v="2016-07-16T00:12:12Z"/>
        <d v="2016-07-12T07:18:00Z"/>
        <d v="2016-07-12T13:12:00Z"/>
        <d v="2016-07-13T06:18:22Z"/>
        <d v="2016-07-13T07:28:05Z"/>
        <d v="2016-07-13T14:51:51Z"/>
        <d v="2016-07-13T19:12:22Z"/>
        <d v="2016-07-13T21:42:32Z"/>
        <d v="2016-07-14T10:49:39Z"/>
        <d v="2016-07-15T19:42:21Z"/>
        <d v="2016-07-15T20:26:32Z"/>
        <d v="2016-07-11T10:24:00Z"/>
        <d v="2016-07-12T03:55:00Z"/>
        <d v="2016-07-12T08:10:00Z"/>
        <d v="2016-07-12T16:48:00Z"/>
        <d v="2016-07-12T23:18:00Z"/>
        <d v="2016-07-13T09:41:42Z"/>
        <d v="2016-07-13T20:55:01Z"/>
        <d v="2016-07-14T09:13:10Z"/>
        <d v="2016-07-14T17:56:08Z"/>
        <d v="2016-07-15T05:34:09Z"/>
        <d v="2016-07-15T21:01:21Z"/>
        <d v="2016-07-16T00:11:55Z"/>
        <d v="2016-07-11T16:45:00Z"/>
        <d v="2016-07-11T20:31:00Z"/>
        <d v="2016-07-12T10:35:00Z"/>
        <d v="2016-07-15T07:07:34Z"/>
        <d v="2016-07-15T10:08:03Z"/>
        <d v="2016-07-15T15:41:12Z"/>
        <d v="2016-07-15T23:07:50Z"/>
        <d v="2016-07-12T18:33:00Z"/>
        <d v="2016-07-13T12:14:06Z"/>
        <d v="2016-07-13T20:34:21Z"/>
        <d v="2016-07-14T17:15:01Z"/>
        <d v="2016-07-15T10:32:41Z"/>
        <d v="2016-07-15T17:55:50Z"/>
        <d v="2016-07-15T22:17:22Z"/>
        <d v="2016-07-11T06:37:00Z"/>
        <d v="2016-07-11T16:32:00Z"/>
        <d v="2016-07-11T19:04:00Z"/>
        <d v="2016-07-12T06:13:00Z"/>
        <d v="2016-07-12T12:55:00Z"/>
        <d v="2016-07-13T09:12:57Z"/>
        <d v="2016-07-13T23:38:37Z"/>
        <d v="2016-07-14T06:15:24Z"/>
        <d v="2016-07-15T18:49:29Z"/>
        <d v="2016-07-11T16:44:00Z"/>
        <d v="2016-07-13T03:16:56Z"/>
        <d v="2016-07-13T06:22:39Z"/>
        <d v="2016-07-13T18:17:24Z"/>
        <d v="2016-07-14T12:55:21Z"/>
        <d v="2016-07-14T20:05:07Z"/>
        <d v="2016-07-11T09:05:00Z"/>
        <d v="2016-07-11T17:34:00Z"/>
        <d v="2016-07-11T23:21:00Z"/>
        <d v="2016-07-12T06:47:00Z"/>
        <d v="2016-07-12T12:43:00Z"/>
        <d v="2016-07-13T07:00:33Z"/>
        <d v="2016-07-13T15:33:04Z"/>
        <d v="2016-07-13T19:31:28Z"/>
        <d v="2016-07-14T05:26:48Z"/>
        <d v="2016-07-14T15:37:25Z"/>
        <d v="2016-07-15T21:38:06Z"/>
        <d v="2016-07-15T23:22:48Z"/>
        <d v="2016-07-11T21:20:00Z"/>
        <d v="2016-07-12T07:30:00Z"/>
        <d v="2016-07-12T10:30:00Z"/>
        <d v="2016-07-12T17:12:00Z"/>
        <d v="2016-07-13T04:33:15Z"/>
        <d v="2016-07-13T08:40:52Z"/>
        <d v="2016-07-13T15:45:52Z"/>
        <d v="2016-07-13T22:26:18Z"/>
        <d v="2016-07-14T09:55:40Z"/>
        <d v="2016-07-14T21:57:39Z"/>
        <d v="2016-07-15T07:17:47Z"/>
        <d v="2016-07-15T22:56:08Z"/>
        <d v="2016-07-11T06:45:00Z"/>
        <d v="2016-07-11T08:53:00Z"/>
        <d v="2016-07-11T10:20:00Z"/>
        <d v="2016-07-12T09:45:00Z"/>
        <d v="2016-07-12T19:14:00Z"/>
        <d v="2016-07-12T22:18:00Z"/>
        <d v="2016-07-14T06:42:12Z"/>
        <d v="2016-07-14T15:04:54Z"/>
        <d v="2016-07-14T21:06:33Z"/>
        <d v="2016-07-14T23:45:53Z"/>
        <d v="2016-07-15T13:55:27Z"/>
        <d v="2016-07-15T18:03:53Z"/>
        <d v="2016-07-15T18:57:24Z"/>
        <d v="2016-07-11T06:17:00Z"/>
        <d v="2016-07-12T07:44:00Z"/>
        <d v="2016-07-12T09:59:00Z"/>
        <d v="2016-07-13T09:01:02Z"/>
        <d v="2016-07-13T15:34:26Z"/>
        <d v="2016-07-14T06:24:48Z"/>
        <d v="2016-07-15T09:17:55Z"/>
        <d v="2016-07-15T11:49:20Z"/>
        <d v="2016-07-15T19:30:28Z"/>
        <d v="2016-07-11T07:14:00Z"/>
        <d v="2016-07-11T16:09:00Z"/>
        <d v="2016-07-13T08:32:47Z"/>
        <d v="2016-07-13T20:08:38Z"/>
        <d v="2016-07-14T07:23:02Z"/>
        <d v="2016-07-14T15:51:37Z"/>
        <d v="2016-07-12T00:34:00Z"/>
        <d v="2016-07-12T06:52:00Z"/>
        <d v="2016-07-12T21:37:00Z"/>
        <d v="2016-07-13T20:40:51Z"/>
        <d v="2016-07-14T15:02:55Z"/>
        <d v="2016-07-14T23:45:17Z"/>
        <d v="2016-07-15T22:03:09Z"/>
        <d v="2016-07-12T12:09:00Z"/>
        <d v="2016-07-13T21:24:23Z"/>
        <d v="2016-07-14T06:37:57Z"/>
        <d v="2016-07-14T14:36:58Z"/>
        <d v="2016-07-15T08:24:55Z"/>
        <d v="2016-07-15T19:21:59Z"/>
        <d v="2016-07-16T00:12:03Z"/>
        <d v="2016-07-11T07:15:00Z"/>
        <d v="2016-07-12T23:17:00Z"/>
        <d v="2016-07-13T05:29:11Z"/>
        <d v="2016-07-14T00:04:39Z"/>
        <d v="2016-07-14T19:16:18Z"/>
        <d v="2016-07-15T05:44:45Z"/>
        <d v="2016-07-15T07:16:35Z"/>
        <d v="2016-07-11T05:48:00Z"/>
        <d v="2016-07-12T09:52:00Z"/>
        <d v="2016-07-12T16:32:00Z"/>
        <d v="2016-07-13T18:50:29Z"/>
        <d v="2016-07-14T00:03:31Z"/>
        <d v="2016-07-14T06:23:14Z"/>
        <d v="2016-07-14T12:47:18Z"/>
        <d v="2016-07-15T09:55:23Z"/>
        <d v="2016-07-15T14:51:36Z"/>
        <d v="2016-07-11T05:52:00Z"/>
        <d v="2016-07-11T08:45:00Z"/>
        <d v="2016-07-11T17:27:00Z"/>
        <d v="2016-07-11T21:31:00Z"/>
        <d v="2016-07-12T21:33:00Z"/>
        <d v="2016-07-13T09:12:13Z"/>
        <d v="2016-07-13T19:51:00Z"/>
        <d v="2016-07-14T07:47:58Z"/>
        <d v="2016-07-15T07:59:21Z"/>
        <d v="2016-07-12T08:56:00Z"/>
        <d v="2016-07-12T16:42:00Z"/>
        <d v="2016-07-13T03:45:00Z"/>
        <d v="2016-07-13T06:53:54Z"/>
        <d v="2016-07-13T09:38:31Z"/>
        <d v="2016-07-13T14:38:35Z"/>
        <d v="2016-07-15T03:43:43Z"/>
        <d v="2016-07-15T08:24:01Z"/>
        <d v="2016-07-11T13:29:00Z"/>
        <d v="2016-07-11T23:02:00Z"/>
        <d v="2016-07-12T07:15:00Z"/>
        <d v="2016-07-13T07:17:20Z"/>
        <d v="2016-07-13T16:44:23Z"/>
        <d v="2016-07-13T19:58:45Z"/>
        <d v="2016-07-14T20:40:50Z"/>
        <d v="2016-07-15T03:09:26Z"/>
        <d v="2016-07-15T08:48:45Z"/>
        <d v="2016-07-15T13:35:03Z"/>
        <d v="2016-07-15T20:27:36Z"/>
        <d v="2016-07-11T19:33:00Z"/>
        <d v="2016-07-12T09:27:00Z"/>
        <d v="2016-07-13T03:03:11Z"/>
        <d v="2016-07-13T16:06:48Z"/>
        <d v="2016-07-14T07:35:54Z"/>
        <d v="2016-07-14T20:05:50Z"/>
        <d v="2016-07-15T00:47:06Z"/>
        <d v="2016-07-15T07:18:48Z"/>
        <d v="2016-07-15T18:16:35Z"/>
        <d v="2016-07-11T09:45:00Z"/>
        <d v="2016-07-11T23:06:00Z"/>
        <d v="2016-07-12T08:15:00Z"/>
        <d v="2016-07-12T17:16:00Z"/>
        <d v="2016-07-12T20:07:00Z"/>
        <d v="2016-07-13T08:47:52Z"/>
        <d v="2016-07-13T19:07:06Z"/>
        <d v="2016-07-13T21:41:49Z"/>
        <d v="2016-07-14T00:34:05Z"/>
        <d v="2016-07-14T03:23:21Z"/>
        <d v="2016-07-14T13:47:19Z"/>
        <d v="2016-07-14T19:14:54Z"/>
        <d v="2016-07-15T07:02:34Z"/>
        <d v="2016-07-11T10:52:00Z"/>
        <d v="2016-07-12T06:32:00Z"/>
        <d v="2016-07-12T20:28:00Z"/>
        <d v="2016-07-12T22:51:00Z"/>
        <d v="2016-07-13T07:25:58Z"/>
        <d v="2016-07-14T00:50:46Z"/>
        <d v="2016-07-14T08:07:07Z"/>
        <d v="2016-07-14T11:28:51Z"/>
        <d v="2016-07-14T22:00:26Z"/>
        <d v="2016-07-15T12:11:05Z"/>
        <d v="2016-07-15T17:20:36Z"/>
        <d v="2016-07-15T19:46:41Z"/>
        <d v="2016-07-13T13:10:08Z"/>
        <d v="2016-07-13T23:15:39Z"/>
        <d v="2016-07-14T09:08:19Z"/>
        <d v="2016-07-14T19:19:51Z"/>
        <d v="2016-07-14T22:15:12Z"/>
        <d v="2016-07-15T08:12:26Z"/>
        <d v="2016-07-15T10:18:31Z"/>
        <d v="2016-07-15T21:30:57Z"/>
        <d v="2016-07-11T14:30:00Z"/>
        <d v="2016-07-11T17:32:00Z"/>
        <d v="2016-07-12T05:27:00Z"/>
        <d v="2016-07-12T11:22:00Z"/>
        <d v="2016-07-12T20:59:00Z"/>
        <d v="2016-07-13T07:47:34Z"/>
        <d v="2016-07-13T23:34:07Z"/>
        <d v="2016-07-14T06:24:49Z"/>
        <d v="2016-07-14T13:39:06Z"/>
        <d v="2016-07-14T19:41:29Z"/>
        <d v="2016-07-15T07:12:45Z"/>
        <d v="2016-07-15T10:52:49Z"/>
        <d v="2016-07-15T22:21:17Z"/>
        <d v="2016-07-11T05:28:00Z"/>
        <d v="2016-07-11T14:25:00Z"/>
        <d v="2016-07-12T07:49:00Z"/>
        <d v="2016-07-12T12:35:00Z"/>
        <d v="2016-07-12T18:07:00Z"/>
        <d v="2016-07-13T07:13:57Z"/>
        <d v="2016-07-13T21:06:29Z"/>
        <d v="2016-07-14T15:47:44Z"/>
        <d v="2016-07-14T20:34:00Z"/>
        <d v="2016-07-11T08:35:00Z"/>
        <d v="2016-07-12T17:14:00Z"/>
        <d v="2016-07-13T06:23:03Z"/>
        <d v="2016-07-13T07:11:44Z"/>
        <d v="2016-07-13T19:27:56Z"/>
        <d v="2016-07-14T16:37:19Z"/>
        <d v="2016-07-15T23:34:39Z"/>
        <d v="2016-07-11T07:23:00Z"/>
        <d v="2016-07-11T09:34:00Z"/>
        <d v="2016-07-12T06:33:00Z"/>
        <d v="2016-07-12T08:50:00Z"/>
        <d v="2016-07-12T19:12:00Z"/>
        <d v="2016-07-13T11:31:51Z"/>
        <d v="2016-07-13T18:43:17Z"/>
        <d v="2016-07-14T16:41:07Z"/>
        <d v="2016-07-11T10:36:00Z"/>
        <d v="2016-07-12T08:47:00Z"/>
        <d v="2016-07-13T00:37:17Z"/>
        <d v="2016-07-13T07:41:17Z"/>
        <d v="2016-07-13T21:35:51Z"/>
        <d v="2016-07-14T02:26:06Z"/>
        <d v="2016-07-14T03:33:26Z"/>
        <d v="2016-07-14T06:58:26Z"/>
        <d v="2016-07-14T19:06:04Z"/>
        <d v="2016-07-15T20:08:25Z"/>
        <d v="2016-07-12T11:52:00Z"/>
        <d v="2016-07-13T10:49:37Z"/>
        <d v="2016-07-13T17:35:37Z"/>
        <d v="2016-07-14T12:05:37Z"/>
        <d v="2016-07-15T03:13:00Z"/>
        <d v="2016-07-15T08:09:48Z"/>
        <d v="2016-07-11T12:52:00Z"/>
        <d v="2016-07-11T23:55:00Z"/>
        <d v="2016-07-12T07:41:00Z"/>
        <d v="2016-07-12T13:07:00Z"/>
        <d v="2016-07-12T22:54:00Z"/>
        <d v="2016-07-14T13:45:06Z"/>
        <d v="2016-07-15T18:45:25Z"/>
        <d v="2016-07-11T13:44:00Z"/>
        <d v="2016-07-11T19:25:00Z"/>
        <d v="2016-07-13T08:53:21Z"/>
        <d v="2016-07-13T17:04:40Z"/>
        <d v="2016-07-14T09:56:16Z"/>
        <d v="2016-07-14T16:25:11Z"/>
        <d v="2016-07-14T17:51:22Z"/>
        <d v="2016-07-14T19:08:17Z"/>
        <d v="2016-07-11T06:19:00Z"/>
        <d v="2016-07-11T10:42:00Z"/>
        <d v="2016-07-11T18:31:00Z"/>
        <d v="2016-07-11T20:58:00Z"/>
        <d v="2016-07-12T16:22:00Z"/>
        <d v="2016-07-14T00:42:31Z"/>
        <d v="2016-07-14T05:42:08Z"/>
        <d v="2016-07-14T11:37:46Z"/>
        <d v="2016-07-11T13:17:00Z"/>
        <d v="2016-07-11T22:59:00Z"/>
        <d v="2016-07-12T21:42:00Z"/>
        <d v="2016-07-13T20:34:16Z"/>
        <d v="2016-07-13T23:25:59Z"/>
        <d v="2016-07-14T13:10:26Z"/>
        <d v="2016-07-14T20:02:05Z"/>
        <d v="2016-07-15T11:23:49Z"/>
        <d v="2016-07-12T00:22:00Z"/>
        <d v="2016-07-12T18:39:00Z"/>
        <d v="2016-07-12T20:17:00Z"/>
        <d v="2016-07-13T02:55:01Z"/>
        <d v="2016-07-13T13:16:34Z"/>
        <d v="2016-07-14T09:25:43Z"/>
        <d v="2016-07-14T17:13:53Z"/>
        <d v="2016-07-14T20:01:24Z"/>
        <d v="2016-07-15T07:08:30Z"/>
        <d v="2016-07-15T14:44:05Z"/>
        <d v="2016-07-11T09:24:00Z"/>
        <d v="2016-07-11T12:48:00Z"/>
        <d v="2016-07-12T10:18:00Z"/>
        <d v="2016-07-14T00:21:38Z"/>
        <d v="2016-07-15T09:19:35Z"/>
        <d v="2016-07-15T21:45:32Z"/>
        <d v="2016-07-11T06:08:00Z"/>
        <d v="2016-07-11T11:44:00Z"/>
        <d v="2016-07-12T21:35:00Z"/>
        <d v="2016-07-13T05:42:58Z"/>
        <d v="2016-07-13T18:32:16Z"/>
        <d v="2016-07-14T19:37:00Z"/>
        <d v="2016-07-15T04:54:26Z"/>
        <d v="2016-07-15T11:12:53Z"/>
        <d v="2016-07-15T18:05:53Z"/>
        <d v="2016-07-15T23:14:39Z"/>
        <d v="2016-07-11T12:25:00Z"/>
        <d v="2016-07-12T09:08:00Z"/>
        <d v="2016-07-12T14:51:00Z"/>
        <d v="2016-07-13T10:00:18Z"/>
        <d v="2016-07-13T23:50:55Z"/>
        <d v="2016-07-14T08:54:46Z"/>
        <d v="2016-07-14T22:19:37Z"/>
        <d v="2016-07-15T01:42:51Z"/>
        <d v="2016-07-15T06:09:36Z"/>
        <d v="2016-07-11T16:30:00Z"/>
        <d v="2016-07-12T08:04:00Z"/>
        <d v="2016-07-12T11:41:00Z"/>
        <d v="2016-07-12T22:36:00Z"/>
        <d v="2016-07-13T17:47:12Z"/>
        <d v="2016-07-13T18:55:15Z"/>
        <d v="2016-07-14T21:45:04Z"/>
        <d v="2016-07-15T06:19:03Z"/>
        <d v="2016-07-15T11:20:09Z"/>
        <d v="2016-07-15T15:30:31Z"/>
        <d v="2016-07-16T00:36:53Z"/>
        <d v="2016-07-11T07:34:00Z"/>
        <d v="2016-07-11T17:41:00Z"/>
        <d v="2016-07-12T08:44:00Z"/>
        <d v="2016-07-13T23:04:13Z"/>
        <d v="2016-07-14T22:21:00Z"/>
        <d v="2016-07-15T10:23:11Z"/>
        <d v="2016-07-15T19:22:05Z"/>
        <d v="2016-07-11T14:17:00Z"/>
        <d v="2016-07-11T23:45:00Z"/>
        <d v="2016-07-12T09:06:00Z"/>
        <d v="2016-07-12T14:59:00Z"/>
        <d v="2016-07-13T08:53:34Z"/>
        <d v="2016-07-14T14:22:19Z"/>
        <d v="2016-07-14T19:39:52Z"/>
        <d v="2016-07-15T07:00:21Z"/>
        <d v="2016-07-16T00:58:57Z"/>
        <d v="2016-07-12T06:06:00Z"/>
        <d v="2016-07-12T14:29:00Z"/>
        <d v="2016-07-13T06:28:32Z"/>
        <d v="2016-07-13T15:01:27Z"/>
        <d v="2016-07-14T04:38:59Z"/>
        <d v="2016-07-14T08:11:28Z"/>
        <d v="2016-07-14T17:15:13Z"/>
        <d v="2016-07-11T05:30:00Z"/>
        <d v="2016-07-11T09:02:00Z"/>
        <d v="2016-07-11T11:59:00Z"/>
        <d v="2016-07-11T19:10:00Z"/>
        <d v="2016-07-12T11:18:00Z"/>
        <d v="2016-07-12T15:22:00Z"/>
        <d v="2016-07-13T00:01:12Z"/>
        <d v="2016-07-13T07:42:26Z"/>
        <d v="2016-07-13T20:55:56Z"/>
        <d v="2016-07-14T09:52:26Z"/>
        <d v="2016-07-14T14:20:34Z"/>
        <d v="2016-07-14T18:34:08Z"/>
        <d v="2016-07-15T18:55:37Z"/>
        <d v="2016-07-11T10:56:00Z"/>
        <d v="2016-07-11T14:44:00Z"/>
        <d v="2016-07-12T19:00:00Z"/>
        <d v="2016-07-13T07:13:25Z"/>
        <d v="2016-07-13T19:25:25Z"/>
        <d v="2016-07-14T07:25:59Z"/>
        <d v="2016-07-14T09:01:47Z"/>
        <d v="2016-07-14T19:49:02Z"/>
        <d v="2016-07-15T06:10:15Z"/>
        <d v="2016-07-15T08:33:38Z"/>
        <d v="2016-07-15T12:30:23Z"/>
        <d v="2016-07-15T16:59:06Z"/>
        <d v="2016-07-15T21:56:10Z"/>
        <d v="2016-07-11T10:17:00Z"/>
        <d v="2016-07-11T12:43:00Z"/>
        <d v="2016-07-11T18:24:00Z"/>
        <d v="2016-07-12T07:42:00Z"/>
        <d v="2016-07-12T11:51:00Z"/>
        <d v="2016-07-12T21:53:00Z"/>
        <d v="2016-07-13T08:26:59Z"/>
        <d v="2016-07-14T19:55:35Z"/>
        <d v="2016-07-11T06:34:00Z"/>
        <d v="2016-07-13T07:19:44Z"/>
        <d v="2016-07-14T16:28:14Z"/>
        <d v="2016-07-14T23:22:32Z"/>
        <d v="2016-07-15T02:46:45Z"/>
        <d v="2016-07-15T23:51:58Z"/>
        <d v="2016-07-11T06:00:00Z"/>
        <d v="2016-07-11T08:32:00Z"/>
        <d v="2016-07-11T17:53:00Z"/>
        <d v="2016-07-11T22:56:00Z"/>
        <d v="2016-07-12T10:03:00Z"/>
        <d v="2016-07-13T03:10:15Z"/>
        <d v="2016-07-13T10:35:55Z"/>
        <d v="2016-07-13T16:53:47Z"/>
        <d v="2016-07-14T05:59:54Z"/>
        <d v="2016-07-15T07:36:28Z"/>
        <d v="2016-07-15T11:21:25Z"/>
        <d v="2016-07-15T23:37:30Z"/>
        <d v="2016-07-11T16:53:00Z"/>
        <d v="2016-07-12T05:57:00Z"/>
        <d v="2016-07-13T04:42:07Z"/>
        <d v="2016-07-13T06:37:36Z"/>
        <d v="2016-07-13T08:45:40Z"/>
        <d v="2016-07-13T23:25:38Z"/>
        <d v="2016-07-14T09:39:07Z"/>
        <d v="2016-07-14T19:44:24Z"/>
        <d v="2016-07-14T20:45:59Z"/>
        <d v="2016-07-15T10:23:51Z"/>
        <d v="2016-07-15T20:41:40Z"/>
        <d v="2016-07-11T10:30:00Z"/>
        <d v="2016-07-11T18:23:00Z"/>
        <d v="2016-07-12T14:09:00Z"/>
        <d v="2016-07-12T18:24:00Z"/>
        <d v="2016-07-12T22:56:00Z"/>
        <d v="2016-07-13T07:28:34Z"/>
        <d v="2016-07-13T11:24:06Z"/>
        <d v="2016-07-13T19:01:12Z"/>
        <d v="2016-07-15T06:28:41Z"/>
        <d v="2016-07-15T23:13:20Z"/>
        <d v="2016-07-11T06:07:00Z"/>
        <d v="2016-07-11T07:20:00Z"/>
        <d v="2016-07-11T18:48:00Z"/>
        <d v="2016-07-12T07:27:00Z"/>
        <d v="2016-07-12T17:09:00Z"/>
        <d v="2016-07-13T05:27:13Z"/>
        <d v="2016-07-13T08:44:39Z"/>
        <d v="2016-07-13T19:46:35Z"/>
        <d v="2016-07-14T06:16:57Z"/>
        <d v="2016-07-14T19:08:42Z"/>
        <d v="2016-07-14T19:47:40Z"/>
        <d v="2016-07-15T20:44:57Z"/>
        <d v="2016-07-11T08:49:00Z"/>
        <d v="2016-07-11T19:16:00Z"/>
        <d v="2016-07-11T21:07:00Z"/>
        <d v="2016-07-12T13:42:00Z"/>
        <d v="2016-07-12T21:22:00Z"/>
        <d v="2016-07-13T13:07:25Z"/>
        <d v="2016-07-13T18:36:10Z"/>
        <d v="2016-07-14T07:30:47Z"/>
        <d v="2016-07-15T10:26:32Z"/>
        <d v="2016-07-15T21:32:35Z"/>
        <d v="2016-07-11T03:34:00Z"/>
        <d v="2016-07-11T13:31:00Z"/>
        <d v="2016-07-11T19:53:00Z"/>
        <d v="2016-07-11T23:24:00Z"/>
        <d v="2016-07-12T08:45:00Z"/>
        <d v="2016-07-12T11:32:00Z"/>
        <d v="2016-07-13T11:08:03Z"/>
        <d v="2016-07-13T18:48:14Z"/>
        <d v="2016-07-13T23:50:19Z"/>
        <d v="2016-07-14T07:59:18Z"/>
        <d v="2016-07-14T13:34:02Z"/>
        <d v="2016-07-14T18:20:41Z"/>
        <d v="2016-07-15T11:47:09Z"/>
        <d v="2016-07-11T13:51:00Z"/>
        <d v="2016-07-11T15:57:00Z"/>
        <d v="2016-07-11T22:28:00Z"/>
        <d v="2016-07-12T05:46:00Z"/>
        <d v="2016-07-12T15:21:00Z"/>
        <d v="2016-07-12T21:04:00Z"/>
        <d v="2016-07-13T23:09:11Z"/>
        <d v="2016-07-14T08:18:10Z"/>
        <d v="2016-07-14T20:45:20Z"/>
        <d v="2016-07-15T09:40:06Z"/>
        <d v="2016-07-16T00:08:14Z"/>
        <d v="2016-07-11T01:31:00Z"/>
        <d v="2016-07-11T07:38:00Z"/>
        <d v="2016-07-11T14:50:00Z"/>
        <d v="2016-07-11T22:35:00Z"/>
        <d v="2016-07-12T15:54:00Z"/>
        <d v="2016-07-12T20:35:00Z"/>
        <d v="2016-07-12T23:22:00Z"/>
        <d v="2016-07-13T17:46:15Z"/>
        <d v="2016-07-13T21:51:36Z"/>
        <d v="2016-07-14T01:03:59Z"/>
        <d v="2016-07-15T20:52:51Z"/>
        <d v="2016-07-11T07:43:00Z"/>
        <d v="2016-07-11T08:44:00Z"/>
        <d v="2016-07-11T22:42:00Z"/>
        <d v="2016-07-12T07:59:00Z"/>
        <d v="2016-07-12T13:01:00Z"/>
        <d v="2016-07-12T20:23:00Z"/>
        <d v="2016-07-13T08:26:41Z"/>
        <d v="2016-07-13T12:57:04Z"/>
        <d v="2016-07-13T15:50:57Z"/>
        <d v="2016-07-14T06:13:22Z"/>
        <d v="2016-07-15T08:45:07Z"/>
        <d v="2016-07-15T15:17:05Z"/>
        <d v="2016-07-16T00:51:38Z"/>
        <d v="2016-07-11T07:54:00Z"/>
        <d v="2016-07-11T10:47:00Z"/>
        <d v="2016-07-11T11:39:00Z"/>
        <d v="2016-07-12T06:18:00Z"/>
        <d v="2016-07-12T08:35:00Z"/>
        <d v="2016-07-12T20:53:00Z"/>
        <d v="2016-07-13T14:37:56Z"/>
        <d v="2016-07-14T06:38:45Z"/>
        <d v="2016-07-15T21:08:34Z"/>
        <d v="2016-07-11T10:43:00Z"/>
        <d v="2016-07-11T23:17:00Z"/>
        <d v="2016-07-13T15:32:12Z"/>
        <d v="2016-07-13T18:36:58Z"/>
        <d v="2016-07-14T20:04:07Z"/>
        <d v="2016-07-15T00:39:38Z"/>
        <d v="2016-07-15T08:54:41Z"/>
        <d v="2016-07-11T09:56:00Z"/>
        <d v="2016-07-11T11:53:00Z"/>
        <d v="2016-07-13T08:47:40Z"/>
        <d v="2016-07-13T21:16:50Z"/>
        <d v="2016-07-14T04:05:22Z"/>
        <d v="2016-07-14T21:49:56Z"/>
        <d v="2016-07-15T02:05:26Z"/>
        <d v="2016-07-15T06:36:52Z"/>
        <d v="2016-07-15T20:31:59Z"/>
        <d v="2016-07-11T12:56:00Z"/>
        <d v="2016-07-12T12:32:00Z"/>
        <d v="2016-07-13T06:51:33Z"/>
        <d v="2016-07-13T16:48:47Z"/>
        <d v="2016-07-13T18:07:08Z"/>
        <d v="2016-07-13T21:43:20Z"/>
        <d v="2016-07-13T23:15:31Z"/>
        <d v="2016-07-14T08:09:53Z"/>
        <d v="2016-07-14T14:08:52Z"/>
        <d v="2016-07-15T09:40:10Z"/>
        <d v="2016-07-15T18:38:55Z"/>
        <d v="2016-07-16T00:19:56Z"/>
        <d v="2016-07-11T04:33:00Z"/>
        <d v="2016-07-11T10:08:00Z"/>
        <d v="2016-07-11T22:58:00Z"/>
        <d v="2016-07-12T02:15:00Z"/>
        <d v="2016-07-12T07:50:00Z"/>
        <d v="2016-07-12T17:55:00Z"/>
        <d v="2016-07-13T09:19:27Z"/>
        <d v="2016-07-13T14:34:41Z"/>
        <d v="2016-07-14T12:20:11Z"/>
        <d v="2016-07-15T10:47:56Z"/>
        <d v="2016-07-15T16:15:26Z"/>
        <d v="2016-07-15T19:07:32Z"/>
        <d v="2016-07-15T22:55:40Z"/>
        <d v="2016-07-11T07:10:00Z"/>
        <d v="2016-07-11T20:15:00Z"/>
        <d v="2016-07-12T08:16:00Z"/>
        <d v="2016-07-14T12:14:06Z"/>
        <d v="2016-07-14T18:16:00Z"/>
        <d v="2016-07-15T01:48:20Z"/>
        <d v="2016-07-15T11:47:41Z"/>
        <d v="2016-07-15T16:22:39Z"/>
        <d v="2016-07-15T21:39:52Z"/>
        <d v="2016-07-11T16:34:00Z"/>
        <d v="2016-07-12T06:38:00Z"/>
        <d v="2016-07-12T10:10:00Z"/>
        <d v="2016-07-13T06:05:31Z"/>
        <d v="2016-07-14T09:02:00Z"/>
        <d v="2016-07-14T13:49:32Z"/>
        <d v="2016-07-14T21:35:12Z"/>
        <d v="2016-07-15T11:55:36Z"/>
        <d v="2016-07-15T16:19:24Z"/>
        <d v="2016-07-15T20:59:46Z"/>
        <d v="2016-07-11T07:50:00Z"/>
        <d v="2016-07-11T14:48:00Z"/>
        <d v="2016-07-11T19:14:00Z"/>
        <d v="2016-07-12T09:14:00Z"/>
        <d v="2016-07-14T00:31:11Z"/>
        <d v="2016-07-14T22:12:28Z"/>
        <d v="2016-07-15T21:12:20Z"/>
        <d v="2016-07-12T07:32:00Z"/>
        <d v="2016-07-13T06:50:15Z"/>
        <d v="2016-07-13T19:54:48Z"/>
        <d v="2016-07-14T00:35:55Z"/>
        <d v="2016-07-14T07:59:34Z"/>
        <d v="2016-07-14T16:07:31Z"/>
        <d v="2016-07-15T13:18:10Z"/>
        <d v="2016-07-11T23:03:00Z"/>
        <d v="2016-07-12T05:22:00Z"/>
        <d v="2016-07-12T17:04:00Z"/>
        <d v="2016-07-13T03:54:57Z"/>
        <d v="2016-07-13T19:43:28Z"/>
        <d v="2016-07-14T14:46:06Z"/>
        <d v="2016-07-14T16:22:04Z"/>
        <d v="2016-07-11T18:41:00Z"/>
        <d v="2016-07-12T17:31:00Z"/>
        <d v="2016-07-12T21:39:00Z"/>
        <d v="2016-07-12T22:58:00Z"/>
        <d v="2016-07-13T10:08:48Z"/>
        <d v="2016-07-13T12:00:50Z"/>
        <d v="2016-07-13T13:19:04Z"/>
        <d v="2016-07-15T07:10:36Z"/>
        <d v="2016-07-15T18:20:13Z"/>
        <d v="2016-07-11T19:15:00Z"/>
        <d v="2016-07-12T10:58:00Z"/>
        <d v="2016-07-13T09:07:49Z"/>
        <d v="2016-07-13T15:17:16Z"/>
        <d v="2016-07-14T14:59:32Z"/>
        <d v="2016-07-11T14:29:00Z"/>
        <d v="2016-07-12T00:49:00Z"/>
        <d v="2016-07-12T10:05:00Z"/>
        <d v="2016-07-12T21:15:00Z"/>
        <d v="2016-07-13T10:45:47Z"/>
        <d v="2016-07-13T13:37:51Z"/>
        <d v="2016-07-13T19:40:08Z"/>
        <d v="2016-07-11T04:22:00Z"/>
        <d v="2016-07-13T18:51:03Z"/>
        <d v="2016-07-14T07:08:09Z"/>
        <d v="2016-07-14T18:20:32Z"/>
        <d v="2016-07-15T06:06:40Z"/>
        <d v="2016-07-15T07:14:40Z"/>
        <d v="2016-07-15T23:00:45Z"/>
        <d v="2016-07-11T06:40:00Z"/>
        <d v="2016-07-11T08:40:00Z"/>
        <d v="2016-07-11T19:48:00Z"/>
        <d v="2016-07-12T00:39:00Z"/>
        <d v="2016-07-12T17:56:00Z"/>
        <d v="2016-07-13T08:14:23Z"/>
        <d v="2016-07-13T22:56:32Z"/>
        <d v="2016-07-14T07:27:20Z"/>
        <d v="2016-07-14T13:44:08Z"/>
        <d v="2016-07-15T18:11:45Z"/>
        <d v="2016-07-13T18:22:34Z"/>
        <d v="2016-07-13T21:16:23Z"/>
        <d v="2016-07-14T12:44:54Z"/>
        <d v="2016-07-14T16:05:37Z"/>
        <d v="2016-07-15T00:01:32Z"/>
        <d v="2016-07-15T11:38:44Z"/>
        <d v="2016-07-15T21:48:54Z"/>
        <d v="2016-07-12T12:47:00Z"/>
        <d v="2016-07-12T20:32:00Z"/>
        <d v="2016-07-13T08:12:48Z"/>
        <d v="2016-07-13T10:17:39Z"/>
        <d v="2016-07-13T18:54:39Z"/>
        <d v="2016-07-13T23:41:58Z"/>
        <d v="2016-07-14T08:03:57Z"/>
        <d v="2016-07-14T17:39:23Z"/>
        <d v="2016-07-15T11:48:25Z"/>
        <d v="2016-07-15T16:06:54Z"/>
        <d v="2016-07-15T18:46:03Z"/>
        <d v="2016-07-11T08:55:00Z"/>
        <d v="2016-07-11T18:42:00Z"/>
        <d v="2016-07-12T00:14:00Z"/>
        <d v="2016-07-13T10:33:38Z"/>
        <d v="2016-07-14T19:20:18Z"/>
        <d v="2016-07-15T00:17:24Z"/>
        <d v="2016-07-15T22:28:38Z"/>
        <d v="2016-07-11T03:57:00Z"/>
        <d v="2016-07-11T05:38:00Z"/>
        <d v="2016-07-11T06:47:00Z"/>
        <d v="2016-07-11T11:01:00Z"/>
        <d v="2016-07-12T07:12:00Z"/>
        <d v="2016-07-14T00:47:55Z"/>
        <d v="2016-07-14T08:16:29Z"/>
        <d v="2016-07-15T10:05:53Z"/>
        <d v="2016-07-12T05:40:00Z"/>
        <d v="2016-07-12T20:02:00Z"/>
        <d v="2016-07-12T22:42:00Z"/>
        <d v="2016-07-13T13:09:40Z"/>
        <d v="2016-07-13T23:22:35Z"/>
        <d v="2016-07-14T10:16:38Z"/>
        <d v="2016-07-15T22:19:18Z"/>
        <d v="2016-07-11T09:16:00Z"/>
        <d v="2016-07-11T23:58:00Z"/>
        <d v="2016-07-12T10:43:00Z"/>
        <d v="2016-07-12T19:22:00Z"/>
        <d v="2016-07-13T10:28:33Z"/>
        <d v="2016-07-14T22:46:06Z"/>
        <d v="2016-07-15T06:01:41Z"/>
        <d v="2016-07-15T09:53:01Z"/>
        <d v="2016-07-15T20:34:01Z"/>
        <d v="2016-07-15T23:59:35Z"/>
        <d v="2016-07-12T15:36:00Z"/>
        <d v="2016-07-13T20:57:08Z"/>
        <d v="2016-07-14T10:05:11Z"/>
        <d v="2016-07-14T21:38:20Z"/>
        <d v="2016-07-15T21:27:36Z"/>
        <d v="2016-07-11T10:55:00Z"/>
        <d v="2016-07-12T10:20:00Z"/>
        <d v="2016-07-13T06:39:33Z"/>
        <d v="2016-07-15T00:39:55Z"/>
        <d v="2016-07-15T10:54:15Z"/>
        <d v="2016-07-11T06:46:00Z"/>
        <d v="2016-07-11T20:55:00Z"/>
        <d v="2016-07-12T09:19:00Z"/>
        <d v="2016-07-12T20:50:00Z"/>
        <d v="2016-07-13T02:35:10Z"/>
        <d v="2016-07-13T08:08:45Z"/>
        <d v="2016-07-14T00:14:14Z"/>
        <d v="2016-07-14T14:29:40Z"/>
        <d v="2016-07-14T21:16:51Z"/>
        <d v="2016-07-15T06:40:01Z"/>
        <d v="2016-07-15T08:58:39Z"/>
        <d v="2016-07-15T11:06:42Z"/>
        <d v="2016-07-15T19:07:36Z"/>
        <d v="2016-07-16T00:02:06Z"/>
        <d v="2016-07-11T10:38:00Z"/>
        <d v="2016-07-11T21:29:00Z"/>
        <d v="2016-07-12T05:58:00Z"/>
        <d v="2016-07-13T11:39:21Z"/>
        <d v="2016-07-14T03:05:32Z"/>
        <d v="2016-07-14T06:01:38Z"/>
        <d v="2016-07-14T17:31:10Z"/>
        <d v="2016-07-14T19:01:55Z"/>
        <d v="2016-07-11T03:03:00Z"/>
        <d v="2016-07-11T06:10:00Z"/>
        <d v="2016-07-11T18:19:00Z"/>
        <d v="2016-07-11T20:38:00Z"/>
        <d v="2016-07-13T09:28:32Z"/>
        <d v="2016-07-13T12:14:07Z"/>
        <d v="2016-07-13T19:13:36Z"/>
        <d v="2016-07-14T05:50:07Z"/>
        <d v="2016-07-14T08:28:35Z"/>
        <d v="2016-07-14T12:41:11Z"/>
        <d v="2016-07-14T16:11:37Z"/>
        <d v="2016-07-14T18:44:26Z"/>
        <d v="2016-07-15T18:19:03Z"/>
        <d v="2016-07-11T07:17:00Z"/>
        <d v="2016-07-12T00:32:00Z"/>
        <d v="2016-07-12T06:07:00Z"/>
        <d v="2016-07-14T08:15:45Z"/>
        <d v="2016-07-15T01:10:34Z"/>
        <d v="2016-07-15T18:32:51Z"/>
        <d v="2016-07-11T03:23:00Z"/>
        <d v="2016-07-11T07:47:00Z"/>
        <d v="2016-07-11T19:19:00Z"/>
        <d v="2016-07-11T22:29:00Z"/>
        <d v="2016-07-12T12:41:00Z"/>
        <d v="2016-07-13T11:04:59Z"/>
        <d v="2016-07-13T18:27:42Z"/>
        <d v="2016-07-13T22:37:59Z"/>
        <d v="2016-07-14T10:52:16Z"/>
        <d v="2016-07-14T11:46:14Z"/>
        <d v="2016-07-14T20:13:18Z"/>
        <d v="2016-07-15T00:24:00Z"/>
        <d v="2016-07-15T18:08:57Z"/>
        <d v="2016-07-11T10:04:00Z"/>
        <d v="2016-07-11T18:58:00Z"/>
        <d v="2016-07-12T02:42:00Z"/>
        <d v="2016-07-12T12:17:00Z"/>
        <d v="2016-07-13T10:46:44Z"/>
        <d v="2016-07-13T17:21:31Z"/>
        <d v="2016-07-14T10:09:11Z"/>
        <d v="2016-07-14T22:51:25Z"/>
        <d v="2016-07-15T06:25:29Z"/>
        <d v="2016-07-15T16:12:22Z"/>
        <d v="2016-07-15T20:36:23Z"/>
        <d v="2016-07-11T14:55:00Z"/>
        <d v="2016-07-13T07:47:08Z"/>
        <d v="2016-07-13T16:45:19Z"/>
        <d v="2016-07-14T01:22:47Z"/>
        <d v="2016-07-15T02:16:07Z"/>
        <d v="2016-07-15T08:45:09Z"/>
        <d v="2016-07-12T08:48:00Z"/>
        <d v="2016-07-12T19:49:00Z"/>
        <d v="2016-07-13T19:59:30Z"/>
        <d v="2016-07-13T23:46:18Z"/>
        <d v="2016-07-14T09:08:49Z"/>
        <d v="2016-07-14T21:08:12Z"/>
        <d v="2016-07-15T06:05:55Z"/>
        <d v="2016-07-15T09:29:41Z"/>
        <d v="2016-07-15T14:19:12Z"/>
        <d v="2016-07-16T00:01:05Z"/>
        <d v="2016-07-11T06:39:00Z"/>
        <d v="2016-07-12T00:07:00Z"/>
        <d v="2016-07-12T06:04:00Z"/>
        <d v="2016-07-13T07:15:24Z"/>
        <d v="2016-07-13T23:51:51Z"/>
        <d v="2016-07-14T12:20:33Z"/>
        <d v="2016-07-14T21:02:52Z"/>
        <d v="2016-07-15T22:02:20Z"/>
        <d v="2016-07-16T01:09:24Z"/>
        <d v="2016-07-12T06:22:00Z"/>
        <d v="2016-07-12T10:11:00Z"/>
        <d v="2016-07-12T17:33:00Z"/>
        <d v="2016-07-12T20:40:00Z"/>
        <d v="2016-07-13T06:40:37Z"/>
        <d v="2016-07-13T11:51:09Z"/>
        <d v="2016-07-13T22:28:35Z"/>
        <d v="2016-07-14T07:44:15Z"/>
        <d v="2016-07-14T23:12:36Z"/>
        <d v="2016-07-15T10:29:00Z"/>
        <d v="2016-07-15T14:32:29Z"/>
        <d v="2016-07-11T14:07:00Z"/>
        <d v="2016-07-11T16:27:00Z"/>
        <d v="2016-07-12T12:04:00Z"/>
        <d v="2016-07-13T07:42:11Z"/>
        <d v="2016-07-13T11:19:30Z"/>
        <d v="2016-07-14T08:08:40Z"/>
        <d v="2016-07-14T14:41:09Z"/>
        <d v="2016-07-14T19:59:54Z"/>
        <d v="2016-07-15T10:32:39Z"/>
        <d v="2016-07-11T06:04:00Z"/>
        <d v="2016-07-11T06:57:00Z"/>
        <d v="2016-07-12T10:38:00Z"/>
        <d v="2016-07-12T14:19:00Z"/>
        <d v="2016-07-13T10:48:18Z"/>
        <d v="2016-07-13T14:58:52Z"/>
        <d v="2016-07-13T22:54:33Z"/>
        <d v="2016-07-14T17:59:47Z"/>
        <d v="2016-07-15T11:33:59Z"/>
        <d v="2016-07-15T18:57:00Z"/>
        <d v="2016-07-13T23:43:32Z"/>
        <d v="2016-07-14T03:07:14Z"/>
        <d v="2016-07-14T13:54:26Z"/>
        <d v="2016-07-15T17:33:03Z"/>
        <d v="2016-07-11T20:44:00Z"/>
        <d v="2016-07-12T09:39:00Z"/>
        <d v="2016-07-12T16:30:00Z"/>
        <d v="2016-07-13T08:19:23Z"/>
        <d v="2016-07-13T12:15:03Z"/>
        <d v="2016-07-13T13:54:49Z"/>
        <d v="2016-07-13T21:37:51Z"/>
        <d v="2016-07-14T06:57:26Z"/>
        <d v="2016-07-14T20:49:12Z"/>
        <d v="2016-07-15T10:46:16Z"/>
        <d v="2016-07-15T19:23:29Z"/>
        <d v="2016-07-15T21:15:32Z"/>
        <d v="2016-07-11T01:58:00Z"/>
        <d v="2016-07-12T11:53:00Z"/>
        <d v="2016-07-13T09:11:31Z"/>
        <d v="2016-07-13T17:43:04Z"/>
        <d v="2016-07-13T20:21:51Z"/>
        <d v="2016-07-14T04:03:44Z"/>
        <d v="2016-07-14T07:50:21Z"/>
        <d v="2016-07-14T16:23:40Z"/>
        <d v="2016-07-15T11:01:40Z"/>
        <d v="2016-07-11T22:11:00Z"/>
        <d v="2016-07-12T03:48:00Z"/>
        <d v="2016-07-13T02:20:13Z"/>
        <d v="2016-07-13T08:10:12Z"/>
        <d v="2016-07-14T18:25:16Z"/>
        <d v="2016-07-15T23:21:03Z"/>
        <d v="2016-07-11T06:14:00Z"/>
        <d v="2016-07-11T12:17:00Z"/>
        <d v="2016-07-11T16:03:00Z"/>
        <d v="2016-07-11T18:16:00Z"/>
        <d v="2016-07-12T16:10:00Z"/>
        <d v="2016-07-13T01:52:45Z"/>
        <d v="2016-07-13T16:58:03Z"/>
        <d v="2016-07-13T20:00:18Z"/>
        <d v="2016-07-14T19:46:51Z"/>
        <d v="2016-07-15T05:52:14Z"/>
        <d v="2016-07-15T15:24:34Z"/>
        <d v="2016-07-16T00:04:20Z"/>
        <d v="2016-07-11T20:20:00Z"/>
        <d v="2016-07-12T05:41:00Z"/>
        <d v="2016-07-12T21:30:00Z"/>
        <d v="2016-07-13T08:53:01Z"/>
        <d v="2016-07-14T13:43:14Z"/>
        <d v="2016-07-14T18:36:07Z"/>
        <d v="2016-07-15T10:41:40Z"/>
        <d v="2016-07-11T10:58:00Z"/>
        <d v="2016-07-12T00:50:00Z"/>
        <d v="2016-07-13T07:58:34Z"/>
        <d v="2016-07-13T20:07:29Z"/>
        <d v="2016-07-15T00:33:38Z"/>
        <d v="2016-07-11T04:35:00Z"/>
        <d v="2016-07-11T19:46:00Z"/>
        <d v="2016-07-12T20:13:00Z"/>
        <d v="2016-07-13T19:37:39Z"/>
        <d v="2016-07-14T12:52:26Z"/>
        <d v="2016-07-14T22:05:19Z"/>
        <d v="2016-07-15T06:52:07Z"/>
        <d v="2016-07-11T13:28:00Z"/>
        <d v="2016-07-11T17:35:00Z"/>
        <d v="2016-07-11T19:40:00Z"/>
        <d v="2016-07-12T14:01:00Z"/>
        <d v="2016-07-12T19:01:00Z"/>
        <d v="2016-07-12T22:01:00Z"/>
        <d v="2016-07-13T08:27:04Z"/>
        <d v="2016-07-13T16:10:35Z"/>
        <d v="2016-07-13T23:57:04Z"/>
        <d v="2016-07-14T09:44:43Z"/>
        <d v="2016-07-14T19:52:35Z"/>
        <d v="2016-07-15T10:34:41Z"/>
        <d v="2016-07-15T20:18:14Z"/>
        <d v="2016-07-15T21:25:25Z"/>
        <d v="2016-07-11T05:34:00Z"/>
        <d v="2016-07-11T11:11:00Z"/>
        <d v="2016-07-11T21:30:00Z"/>
        <d v="2016-07-12T09:56:00Z"/>
        <d v="2016-07-12T18:27:00Z"/>
        <d v="2016-07-13T11:06:30Z"/>
        <d v="2016-07-13T15:15:11Z"/>
        <d v="2016-07-13T20:32:31Z"/>
        <d v="2016-07-13T23:13:03Z"/>
        <d v="2016-07-14T10:19:52Z"/>
        <d v="2016-07-14T14:36:31Z"/>
        <d v="2016-07-14T21:38:02Z"/>
        <d v="2016-07-15T19:52:54Z"/>
        <d v="2016-07-15T21:40:52Z"/>
        <d v="2016-07-11T10:48:00Z"/>
        <d v="2016-07-11T13:39:00Z"/>
        <d v="2016-07-12T20:58:00Z"/>
        <d v="2016-07-13T12:50:23Z"/>
        <d v="2016-07-13T19:58:54Z"/>
        <d v="2016-07-15T13:25:19Z"/>
        <d v="2016-07-15T23:03:53Z"/>
        <d v="2016-07-11T18:49:00Z"/>
        <d v="2016-07-11T20:06:00Z"/>
        <d v="2016-07-12T08:17:00Z"/>
        <d v="2016-07-12T21:09:00Z"/>
        <d v="2016-07-13T08:04:32Z"/>
        <d v="2016-07-13T11:15:05Z"/>
        <d v="2016-07-14T06:44:04Z"/>
        <d v="2016-07-14T09:21:26Z"/>
        <d v="2016-07-14T15:12:03Z"/>
        <d v="2016-07-14T20:20:11Z"/>
        <d v="2016-07-15T09:11:50Z"/>
        <d v="2016-07-15T23:43:26Z"/>
        <d v="2016-07-11T20:01:00Z"/>
        <d v="2016-07-12T12:08:00Z"/>
        <d v="2016-07-13T17:07:29Z"/>
        <d v="2016-07-14T21:30:32Z"/>
        <d v="2016-07-15T06:28:13Z"/>
        <d v="2016-07-15T07:47:08Z"/>
        <d v="2016-07-15T22:22:03Z"/>
        <d v="2016-07-11T10:44:00Z"/>
        <d v="2016-07-11T13:46:00Z"/>
        <d v="2016-07-11T20:05:00Z"/>
        <d v="2016-07-11T23:07:00Z"/>
        <d v="2016-07-12T08:13:00Z"/>
        <d v="2016-07-12T12:27:00Z"/>
        <d v="2016-07-13T15:19:21Z"/>
        <d v="2016-07-14T07:10:54Z"/>
        <d v="2016-07-16T00:25:19Z"/>
        <d v="2016-07-12T11:46:00Z"/>
        <d v="2016-07-13T01:41:13Z"/>
        <d v="2016-07-14T08:58:13Z"/>
        <d v="2016-07-14T16:59:30Z"/>
        <d v="2016-07-14T20:49:31Z"/>
        <d v="2016-07-11T09:35:00Z"/>
        <d v="2016-07-11T11:57:00Z"/>
        <d v="2016-07-11T15:50:00Z"/>
        <d v="2016-07-11T20:12:00Z"/>
        <d v="2016-07-12T08:21:00Z"/>
        <d v="2016-07-13T01:25:16Z"/>
        <d v="2016-07-13T06:27:39Z"/>
        <d v="2016-07-13T21:09:11Z"/>
        <d v="2016-07-15T11:36:14Z"/>
        <d v="2016-07-15T13:36:00Z"/>
        <d v="2016-07-11T15:00:00Z"/>
        <d v="2016-07-12T06:49:00Z"/>
        <d v="2016-07-12T15:37:00Z"/>
        <d v="2016-07-12T18:59:00Z"/>
        <d v="2016-07-14T08:58:52Z"/>
        <d v="2016-07-14T13:58:09Z"/>
        <d v="2016-07-15T08:21:15Z"/>
        <d v="2016-07-11T09:47:00Z"/>
        <d v="2016-07-11T12:37:00Z"/>
        <d v="2016-07-11T18:59:00Z"/>
        <d v="2016-07-11T20:09:00Z"/>
        <d v="2016-07-12T19:03:00Z"/>
        <d v="2016-07-12T23:06:00Z"/>
        <d v="2016-07-14T00:37:22Z"/>
        <d v="2016-07-14T19:53:53Z"/>
        <d v="2016-07-15T00:47:44Z"/>
        <d v="2016-07-15T07:48:28Z"/>
        <d v="2016-07-15T18:57:17Z"/>
        <d v="2016-07-15T22:05:47Z"/>
        <d v="2016-07-11T11:26:00Z"/>
        <d v="2016-07-11T12:45:00Z"/>
        <d v="2016-07-12T09:32:00Z"/>
        <d v="2016-07-13T14:15:43Z"/>
        <d v="2016-07-14T08:40:21Z"/>
        <d v="2016-07-11T01:11:00Z"/>
        <d v="2016-07-11T13:15:00Z"/>
        <d v="2016-07-12T07:47:00Z"/>
        <d v="2016-07-12T19:31:00Z"/>
        <d v="2016-07-13T18:22:53Z"/>
        <d v="2016-07-14T09:10:17Z"/>
        <d v="2016-07-11T14:18:00Z"/>
        <d v="2016-07-11T20:33:00Z"/>
        <d v="2016-07-12T11:25:00Z"/>
        <d v="2016-07-13T09:54:19Z"/>
        <d v="2016-07-13T23:09:05Z"/>
        <d v="2016-07-14T19:22:11Z"/>
        <d v="2016-07-15T05:55:18Z"/>
        <d v="2016-07-15T19:01:48Z"/>
        <d v="2016-07-15T22:03:39Z"/>
        <d v="2016-07-16T00:51:09Z"/>
        <d v="2016-07-11T05:39:00Z"/>
        <d v="2016-07-11T22:55:00Z"/>
        <d v="2016-07-12T17:49:00Z"/>
        <d v="2016-07-13T07:16:02Z"/>
        <d v="2016-07-13T17:02:17Z"/>
        <d v="2016-07-15T10:42:07Z"/>
        <d v="2016-07-15T18:20:41Z"/>
        <d v="2016-07-16T00:09:36Z"/>
        <d v="2016-07-11T07:21:00Z"/>
        <d v="2016-07-12T14:32:00Z"/>
        <d v="2016-07-13T04:45:45Z"/>
        <d v="2016-07-13T09:01:06Z"/>
        <d v="2016-07-13T13:02:04Z"/>
        <d v="2016-07-14T03:44:02Z"/>
        <d v="2016-07-14T18:12:23Z"/>
        <d v="2016-07-15T06:59:52Z"/>
        <d v="2016-07-15T20:26:09Z"/>
        <d v="2016-07-12T14:00:00Z"/>
        <d v="2016-07-13T18:36:41Z"/>
        <d v="2016-07-13T23:50:57Z"/>
        <d v="2016-07-14T10:30:52Z"/>
        <d v="2016-07-15T06:16:58Z"/>
        <d v="2016-07-15T10:11:52Z"/>
        <d v="2016-07-11T04:46:00Z"/>
        <d v="2016-07-11T08:11:00Z"/>
        <d v="2016-07-13T05:51:59Z"/>
        <d v="2016-07-13T16:36:40Z"/>
        <d v="2016-07-14T05:40:46Z"/>
        <d v="2016-07-14T12:16:28Z"/>
        <d v="2016-07-14T15:11:08Z"/>
        <d v="2016-07-14T22:58:08Z"/>
        <d v="2016-07-15T22:46:08Z"/>
        <d v="2016-07-11T23:10:00Z"/>
        <d v="2016-07-12T13:30:00Z"/>
        <d v="2016-07-13T03:38:59Z"/>
        <d v="2016-07-14T00:34:07Z"/>
        <d v="2016-07-14T06:06:59Z"/>
        <d v="2016-07-14T15:52:43Z"/>
        <d v="2016-07-15T20:53:07Z"/>
        <d v="2016-07-15T23:01:42Z"/>
        <d v="2016-07-11T13:14:00Z"/>
        <d v="2016-07-12T07:58:00Z"/>
        <d v="2016-07-12T14:57:00Z"/>
        <d v="2016-07-13T06:01:54Z"/>
        <d v="2016-07-13T10:24:06Z"/>
        <d v="2016-07-15T21:58:22Z"/>
        <d v="2016-07-11T07:09:00Z"/>
        <d v="2016-07-11T13:58:00Z"/>
        <d v="2016-07-12T01:09:00Z"/>
        <d v="2016-07-12T11:11:00Z"/>
        <d v="2016-07-12T20:19:00Z"/>
        <d v="2016-07-13T19:54:38Z"/>
        <d v="2016-07-14T17:48:47Z"/>
        <d v="2016-07-14T21:42:26Z"/>
        <d v="2016-07-15T20:25:19Z"/>
        <d v="2016-07-11T22:51:00Z"/>
        <d v="2016-07-12T15:06:00Z"/>
        <d v="2016-07-13T09:38:07Z"/>
        <d v="2016-07-13T10:54:06Z"/>
        <d v="2016-07-14T03:59:55Z"/>
        <d v="2016-07-14T18:41:20Z"/>
        <d v="2016-07-15T07:38:28Z"/>
        <d v="2016-07-11T08:43:00Z"/>
        <d v="2016-07-11T11:10:00Z"/>
        <d v="2016-07-12T15:20:00Z"/>
        <d v="2016-07-14T10:08:27Z"/>
        <d v="2016-07-15T06:04:42Z"/>
        <d v="2016-07-15T20:28:29Z"/>
        <d v="2016-07-15T21:58:24Z"/>
        <d v="2016-07-12T10:24:00Z"/>
        <d v="2016-07-12T16:43:00Z"/>
        <d v="2016-07-13T08:50:48Z"/>
        <d v="2016-07-14T18:18:41Z"/>
        <d v="2016-07-14T20:54:03Z"/>
        <d v="2016-07-15T23:27:26Z"/>
        <d v="2016-07-12T01:06:00Z"/>
        <d v="2016-07-13T09:35:55Z"/>
        <d v="2016-07-13T16:09:31Z"/>
        <d v="2016-07-13T22:32:43Z"/>
        <d v="2016-07-14T06:08:38Z"/>
        <d v="2016-07-14T15:58:17Z"/>
        <d v="2016-07-14T19:50:38Z"/>
        <d v="2016-07-11T08:08:00Z"/>
        <d v="2016-07-13T00:31:24Z"/>
        <d v="2016-07-13T07:23:57Z"/>
        <d v="2016-07-14T12:59:56Z"/>
        <d v="2016-07-16T00:09:09Z"/>
        <d v="2016-07-11T04:19:00Z"/>
        <d v="2016-07-12T08:12:00Z"/>
        <d v="2016-07-13T18:21:38Z"/>
        <d v="2016-07-13T21:27:07Z"/>
        <d v="2016-07-15T17:48:25Z"/>
        <d v="2016-07-15T22:22:19Z"/>
        <d v="2016-07-11T18:12:00Z"/>
        <d v="2016-07-12T07:14:00Z"/>
        <d v="2016-07-12T16:47:00Z"/>
        <d v="2016-07-13T05:50:39Z"/>
        <d v="2016-07-13T15:22:23Z"/>
        <d v="2016-07-14T07:33:32Z"/>
        <d v="2016-07-15T06:15:39Z"/>
        <d v="2016-07-15T19:10:07Z"/>
        <d v="2016-07-15T20:15:49Z"/>
        <d v="2016-07-15T23:27:31Z"/>
        <d v="2016-07-11T10:10:00Z"/>
        <d v="2016-07-11T14:08:00Z"/>
        <d v="2016-07-12T00:53:00Z"/>
        <d v="2016-07-13T06:49:02Z"/>
        <d v="2016-07-13T14:39:48Z"/>
        <d v="2016-07-14T21:00:35Z"/>
        <d v="2016-07-15T04:52:36Z"/>
        <d v="2016-07-15T10:34:28Z"/>
        <d v="2016-07-15T12:12:23Z"/>
        <d v="2016-07-11T15:06:00Z"/>
        <d v="2016-07-11T17:24:00Z"/>
        <d v="2016-07-12T23:07:00Z"/>
        <d v="2016-07-13T06:59:42Z"/>
        <d v="2016-07-13T14:20:54Z"/>
        <d v="2016-07-13T20:11:22Z"/>
        <d v="2016-07-14T11:53:49Z"/>
        <d v="2016-07-11T12:49:00Z"/>
        <d v="2016-07-12T06:03:00Z"/>
        <d v="2016-07-12T09:54:00Z"/>
        <d v="2016-07-12T14:33:00Z"/>
        <d v="2016-07-12T18:35:00Z"/>
        <d v="2016-07-15T01:04:40Z"/>
        <d v="2016-07-11T01:06:00Z"/>
        <d v="2016-07-11T09:57:00Z"/>
        <d v="2016-07-12T08:38:00Z"/>
        <d v="2016-07-13T05:29:40Z"/>
        <d v="2016-07-13T23:16:43Z"/>
        <d v="2016-07-14T06:36:39Z"/>
        <d v="2016-07-14T21:24:38Z"/>
        <d v="2016-07-15T06:03:45Z"/>
        <d v="2016-07-15T10:48:56Z"/>
        <d v="2016-07-15T13:03:34Z"/>
        <d v="2016-07-11T10:14:00Z"/>
        <d v="2016-07-11T13:09:00Z"/>
        <d v="2016-07-12T12:03:00Z"/>
        <d v="2016-07-12T18:18:00Z"/>
        <d v="2016-07-13T13:50:52Z"/>
        <d v="2016-07-13T18:06:23Z"/>
        <d v="2016-07-14T00:06:50Z"/>
        <d v="2016-07-14T06:35:16Z"/>
        <d v="2016-07-15T08:21:28Z"/>
        <d v="2016-07-11T06:01:00Z"/>
        <d v="2016-07-11T17:23:00Z"/>
        <d v="2016-07-11T20:08:00Z"/>
        <d v="2016-07-13T07:10:08Z"/>
        <d v="2016-07-14T02:54:21Z"/>
        <d v="2016-07-14T16:12:44Z"/>
        <d v="2016-07-14T22:21:52Z"/>
        <d v="2016-07-11T23:04:00Z"/>
        <d v="2016-07-12T07:13:00Z"/>
        <d v="2016-07-12T14:36:00Z"/>
        <d v="2016-07-12T20:11:00Z"/>
        <d v="2016-07-13T10:42:22Z"/>
        <d v="2016-07-13T14:29:30Z"/>
        <d v="2016-07-13T23:41:02Z"/>
        <d v="2016-07-14T10:04:44Z"/>
        <d v="2016-07-14T19:04:51Z"/>
        <d v="2016-07-15T14:01:33Z"/>
        <d v="2016-07-15T20:21:00Z"/>
        <d v="2016-07-11T09:32:00Z"/>
        <d v="2016-07-14T00:33:31Z"/>
        <d v="2016-07-14T16:58:40Z"/>
        <d v="2016-07-15T04:28:09Z"/>
        <d v="2016-07-15T09:11:58Z"/>
        <d v="2016-07-15T14:56:19Z"/>
        <d v="2016-07-15T22:46:22Z"/>
        <d v="2016-07-11T07:05:00Z"/>
        <d v="2016-07-11T14:38:00Z"/>
        <d v="2016-07-12T08:32:00Z"/>
        <d v="2016-07-12T11:54:00Z"/>
        <d v="2016-07-12T18:30:00Z"/>
        <d v="2016-07-13T10:31:41Z"/>
        <d v="2016-07-13T21:48:44Z"/>
        <d v="2016-07-14T18:38:29Z"/>
        <d v="2016-07-15T03:23:54Z"/>
        <d v="2016-07-15T19:27:57Z"/>
        <d v="2016-07-11T06:49:00Z"/>
        <d v="2016-07-11T15:27:00Z"/>
        <d v="2016-07-11T21:57:00Z"/>
        <d v="2016-07-12T03:42:00Z"/>
        <d v="2016-07-12T10:42:00Z"/>
        <d v="2016-07-12T19:36:00Z"/>
        <d v="2016-07-13T00:03:21Z"/>
        <d v="2016-07-13T08:14:19Z"/>
        <d v="2016-07-13T12:28:38Z"/>
        <d v="2016-07-13T18:09:59Z"/>
        <d v="2016-07-14T08:24:33Z"/>
        <d v="2016-07-11T20:52:00Z"/>
        <d v="2016-07-13T10:57:30Z"/>
        <d v="2016-07-14T00:22:26Z"/>
        <d v="2016-07-14T08:24:08Z"/>
        <d v="2016-07-14T15:50:58Z"/>
        <d v="2016-07-14T22:45:23Z"/>
        <d v="2016-07-14T23:42:51Z"/>
        <d v="2016-07-15T09:30:13Z"/>
        <d v="2016-07-11T13:55:00Z"/>
        <d v="2016-07-12T14:06:00Z"/>
        <d v="2016-07-12T21:50:00Z"/>
        <d v="2016-07-13T23:58:00Z"/>
        <d v="2016-07-14T08:57:30Z"/>
        <d v="2016-07-14T23:13:16Z"/>
        <d v="2016-07-15T12:49:39Z"/>
        <d v="2016-07-15T17:16:45Z"/>
        <d v="2016-07-15T19:05:06Z"/>
        <d v="2016-07-11T12:57:00Z"/>
        <d v="2016-07-11T19:39:00Z"/>
        <d v="2016-07-11T23:52:00Z"/>
        <d v="2016-07-12T17:03:00Z"/>
        <d v="2016-07-12T20:12:00Z"/>
        <d v="2016-07-13T06:34:27Z"/>
        <d v="2016-07-14T10:47:05Z"/>
        <d v="2016-07-14T20:55:36Z"/>
        <d v="2016-07-12T10:44:00Z"/>
        <d v="2016-07-12T17:44:00Z"/>
        <d v="2016-07-13T18:07:53Z"/>
        <d v="2016-07-13T20:46:01Z"/>
        <d v="2016-07-14T19:35:00Z"/>
        <d v="2016-07-11T07:45:00Z"/>
        <d v="2016-07-12T00:05:00Z"/>
        <d v="2016-07-12T13:57:00Z"/>
        <d v="2016-07-12T21:51:00Z"/>
        <d v="2016-07-13T22:50:38Z"/>
        <d v="2016-07-14T08:34:21Z"/>
        <d v="2016-07-14T16:18:25Z"/>
        <d v="2016-07-15T22:36:08Z"/>
        <d v="2016-07-11T10:12:00Z"/>
        <d v="2016-07-13T08:50:37Z"/>
        <d v="2016-07-13T17:53:56Z"/>
        <d v="2016-07-14T10:46:02Z"/>
        <d v="2016-07-14T17:32:58Z"/>
        <d v="2016-07-14T21:59:26Z"/>
        <d v="2016-07-12T08:24:00Z"/>
        <d v="2016-07-12T19:46:00Z"/>
        <d v="2016-07-13T03:54:54Z"/>
        <d v="2016-07-13T14:56:07Z"/>
        <d v="2016-07-13T21:21:35Z"/>
        <d v="2016-07-14T06:56:04Z"/>
        <d v="2016-07-15T06:51:04Z"/>
        <d v="2016-07-15T11:54:35Z"/>
        <d v="2016-07-15T20:22:56Z"/>
        <d v="2016-07-11T16:47:00Z"/>
        <d v="2016-07-12T21:55:00Z"/>
        <d v="2016-07-13T05:06:39Z"/>
        <d v="2016-07-14T20:17:28Z"/>
        <d v="2016-07-14T22:35:39Z"/>
        <d v="2016-07-11T03:31:00Z"/>
        <d v="2016-07-13T01:40:54Z"/>
        <d v="2016-07-13T06:24:44Z"/>
        <d v="2016-07-13T09:13:33Z"/>
        <d v="2016-07-13T18:03:50Z"/>
        <d v="2016-07-13T22:46:22Z"/>
        <d v="2016-07-14T08:07:51Z"/>
        <d v="2016-07-14T09:07:38Z"/>
        <d v="2016-07-15T08:51:47Z"/>
        <d v="2016-07-15T11:04:43Z"/>
        <d v="2016-07-11T15:02:00Z"/>
        <d v="2016-07-11T17:57:00Z"/>
        <d v="2016-07-12T16:27:00Z"/>
        <d v="2016-07-12T20:04:00Z"/>
        <d v="2016-07-13T01:58:09Z"/>
        <d v="2016-07-13T07:17:36Z"/>
        <d v="2016-07-13T17:55:50Z"/>
        <d v="2016-07-13T21:10:17Z"/>
        <d v="2016-07-14T21:59:37Z"/>
        <d v="2016-07-15T23:08:33Z"/>
        <d v="2016-07-11T15:34:00Z"/>
        <d v="2016-07-11T17:44:00Z"/>
        <d v="2016-07-12T00:06:00Z"/>
        <d v="2016-07-12T09:13:00Z"/>
        <d v="2016-07-12T13:25:00Z"/>
        <d v="2016-07-12T23:21:00Z"/>
        <d v="2016-07-13T07:01:42Z"/>
        <d v="2016-07-13T09:59:05Z"/>
        <d v="2016-07-14T09:57:19Z"/>
        <d v="2016-07-14T11:25:20Z"/>
        <d v="2016-07-15T11:04:32Z"/>
        <d v="2016-07-15T22:30:22Z"/>
        <d v="2016-07-11T17:08:00Z"/>
        <d v="2016-07-12T10:19:00Z"/>
        <d v="2016-07-12T21:36:00Z"/>
        <d v="2016-07-13T18:35:16Z"/>
        <d v="2016-07-13T22:16:02Z"/>
        <d v="2016-07-14T05:21:42Z"/>
        <d v="2016-07-14T13:54:59Z"/>
        <d v="2016-07-15T05:47:16Z"/>
        <d v="2016-07-15T10:44:45Z"/>
        <d v="2016-07-15T22:44:41Z"/>
        <d v="2016-07-11T09:53:00Z"/>
        <d v="2016-07-12T07:19:00Z"/>
        <d v="2016-07-12T20:38:00Z"/>
        <d v="2016-07-14T08:52:11Z"/>
        <d v="2016-07-14T16:41:05Z"/>
        <d v="2016-07-14T21:26:22Z"/>
        <d v="2016-07-15T08:08:48Z"/>
        <d v="2016-07-11T17:18:00Z"/>
        <d v="2016-07-12T08:06:00Z"/>
        <d v="2016-07-12T12:44:00Z"/>
        <d v="2016-07-12T21:40:00Z"/>
        <d v="2016-07-13T07:03:47Z"/>
        <d v="2016-07-13T11:31:53Z"/>
        <d v="2016-07-13T23:21:28Z"/>
        <d v="2016-07-15T09:22:31Z"/>
        <d v="2016-07-11T19:37:00Z"/>
        <d v="2016-07-12T05:19:00Z"/>
        <d v="2016-07-12T17:46:00Z"/>
        <d v="2016-07-13T06:07:10Z"/>
        <d v="2016-07-13T09:21:33Z"/>
        <d v="2016-07-13T23:25:18Z"/>
        <d v="2016-07-14T03:57:26Z"/>
        <d v="2016-07-14T14:00:22Z"/>
        <d v="2016-07-15T04:27:10Z"/>
        <d v="2016-07-15T07:35:48Z"/>
        <d v="2016-07-15T09:56:53Z"/>
        <d v="2016-07-15T15:07:16Z"/>
        <d v="2016-07-11T18:43:00Z"/>
        <d v="2016-07-12T08:49:00Z"/>
        <d v="2016-07-12T09:41:00Z"/>
        <d v="2016-07-12T19:26:00Z"/>
        <d v="2016-07-13T07:49:08Z"/>
        <d v="2016-07-13T13:42:02Z"/>
        <d v="2016-07-13T20:01:21Z"/>
        <d v="2016-07-14T07:42:31Z"/>
        <d v="2016-07-14T16:20:37Z"/>
        <d v="2016-07-14T21:49:35Z"/>
        <d v="2016-07-15T12:10:16Z"/>
        <d v="2016-07-15T14:50:25Z"/>
        <d v="2016-07-11T13:25:00Z"/>
        <d v="2016-07-11T16:25:00Z"/>
        <d v="2016-07-11T18:07:00Z"/>
        <d v="2016-07-12T13:29:00Z"/>
        <d v="2016-07-12T19:34:00Z"/>
        <d v="2016-07-13T09:35:25Z"/>
        <d v="2016-07-13T22:35:57Z"/>
        <d v="2016-07-14T06:46:37Z"/>
        <d v="2016-07-14T12:55:56Z"/>
        <d v="2016-07-15T06:19:44Z"/>
        <d v="2016-07-13T00:42:21Z"/>
        <d v="2016-07-13T07:56:00Z"/>
        <d v="2016-07-14T12:24:33Z"/>
        <d v="2016-07-14T21:38:17Z"/>
        <d v="2016-07-15T08:33:56Z"/>
        <d v="2016-07-15T20:01:58Z"/>
        <d v="2016-07-15T21:02:10Z"/>
        <d v="2016-07-11T17:54:00Z"/>
        <d v="2016-07-12T15:55:00Z"/>
        <d v="2016-07-12T22:35:00Z"/>
        <d v="2016-07-13T07:15:52Z"/>
        <d v="2016-07-13T20:21:31Z"/>
        <d v="2016-07-13T23:42:21Z"/>
        <d v="2016-07-15T05:42:24Z"/>
        <d v="2016-07-15T09:09:26Z"/>
        <d v="2016-07-15T19:49:02Z"/>
        <d v="2016-07-12T10:09:00Z"/>
        <d v="2016-07-12T23:45:00Z"/>
        <d v="2016-07-13T11:20:59Z"/>
        <d v="2016-07-13T16:46:54Z"/>
        <d v="2016-07-13T19:54:19Z"/>
        <d v="2016-07-14T10:38:27Z"/>
        <d v="2016-07-15T08:16:15Z"/>
        <d v="2016-07-15T14:02:50Z"/>
        <d v="2016-07-11T20:11:00Z"/>
        <d v="2016-07-11T23:54:00Z"/>
        <d v="2016-07-12T08:03:00Z"/>
        <d v="2016-07-12T20:46:00Z"/>
        <d v="2016-07-13T06:25:57Z"/>
        <d v="2016-07-13T15:58:30Z"/>
        <d v="2016-07-14T01:50:05Z"/>
        <d v="2016-07-14T03:44:55Z"/>
        <d v="2016-07-14T10:22:31Z"/>
        <d v="2016-07-14T20:37:28Z"/>
        <d v="2016-07-11T11:30:00Z"/>
        <d v="2016-07-11T17:36:00Z"/>
        <d v="2016-07-12T06:46:00Z"/>
        <d v="2016-07-13T05:34:02Z"/>
        <d v="2016-07-13T09:57:50Z"/>
        <d v="2016-07-13T23:23:04Z"/>
        <d v="2016-07-14T08:42:05Z"/>
        <d v="2016-07-15T19:57:43Z"/>
        <d v="2016-07-11T06:48:00Z"/>
        <d v="2016-07-11T10:57:00Z"/>
        <d v="2016-07-11T14:19:00Z"/>
        <d v="2016-07-12T02:18:00Z"/>
        <d v="2016-07-13T09:18:31Z"/>
        <d v="2016-07-13T11:52:17Z"/>
        <d v="2016-07-13T17:49:15Z"/>
        <d v="2016-07-13T19:51:44Z"/>
        <d v="2016-07-14T14:10:11Z"/>
        <d v="2016-07-14T21:48:04Z"/>
        <d v="2016-07-15T06:17:39Z"/>
        <d v="2016-07-15T12:57:34Z"/>
        <d v="2016-07-15T23:03:25Z"/>
        <d v="2016-07-11T20:28:00Z"/>
        <d v="2016-07-12T23:34:00Z"/>
        <d v="2016-07-13T12:31:07Z"/>
        <d v="2016-07-13T23:20:24Z"/>
        <d v="2016-07-14T00:23:39Z"/>
        <d v="2016-07-14T07:01:16Z"/>
        <d v="2016-07-14T08:48:46Z"/>
        <d v="2016-07-14T19:13:08Z"/>
        <d v="2016-07-15T05:56:52Z"/>
        <d v="2016-07-15T18:00:13Z"/>
        <d v="2016-07-12T00:09:00Z"/>
        <d v="2016-07-12T21:16:00Z"/>
        <d v="2016-07-13T08:49:05Z"/>
        <d v="2016-07-13T17:25:52Z"/>
        <d v="2016-07-14T00:55:13Z"/>
        <d v="2016-07-14T09:12:29Z"/>
        <d v="2016-07-15T06:27:48Z"/>
        <d v="2016-07-15T09:55:12Z"/>
        <d v="2016-07-15T12:40:49Z"/>
        <d v="2016-07-15T18:50:37Z"/>
        <d v="2016-07-11T15:46:00Z"/>
        <d v="2016-07-12T16:24:00Z"/>
        <d v="2016-07-14T11:13:05Z"/>
        <d v="2016-07-15T06:01:35Z"/>
        <d v="2016-07-11T06:30:00Z"/>
        <d v="2016-07-11T14:49:00Z"/>
        <d v="2016-07-12T15:18:00Z"/>
        <d v="2016-07-12T21:41:00Z"/>
        <d v="2016-07-13T00:26:55Z"/>
        <d v="2016-07-13T08:33:39Z"/>
        <d v="2016-07-14T00:38:46Z"/>
        <d v="2016-07-14T05:53:29Z"/>
        <d v="2016-07-14T11:19:06Z"/>
        <d v="2016-07-14T19:18:51Z"/>
        <d v="2016-07-15T07:46:59Z"/>
        <d v="2016-07-15T13:25:21Z"/>
        <d v="2016-07-15T19:36:59Z"/>
        <d v="2016-07-13T05:41:19Z"/>
        <d v="2016-07-14T06:36:36Z"/>
        <d v="2016-07-14T13:56:11Z"/>
        <d v="2016-07-14T18:17:49Z"/>
        <d v="2016-07-15T17:49:26Z"/>
        <d v="2016-07-13T02:51:32Z"/>
        <d v="2016-07-13T08:53:42Z"/>
        <d v="2016-07-13T17:52:31Z"/>
        <d v="2016-07-14T09:22:57Z"/>
        <d v="2016-07-14T14:13:30Z"/>
        <d v="2016-07-14T20:27:04Z"/>
        <d v="2016-07-16T00:11:21Z"/>
        <d v="2016-07-12T19:07:00Z"/>
        <d v="2016-07-13T15:58:37Z"/>
        <d v="2016-07-14T10:58:21Z"/>
        <d v="2016-07-14T18:53:49Z"/>
        <d v="2016-07-15T02:34:12Z"/>
        <d v="2016-07-15T09:18:32Z"/>
        <d v="2016-07-11T17:56:00Z"/>
        <d v="2016-07-12T05:55:00Z"/>
        <d v="2016-07-13T22:05:11Z"/>
        <d v="2016-07-14T09:19:29Z"/>
        <d v="2016-07-14T17:21:26Z"/>
        <d v="2016-07-11T09:10:00Z"/>
        <d v="2016-07-11T13:53:00Z"/>
        <d v="2016-07-11T23:18:00Z"/>
        <d v="2016-07-12T10:32:00Z"/>
        <d v="2016-07-12T11:27:00Z"/>
        <d v="2016-07-13T04:19:45Z"/>
        <d v="2016-07-13T15:21:25Z"/>
        <d v="2016-07-14T19:07:04Z"/>
        <d v="2016-07-15T11:26:56Z"/>
        <d v="2016-07-15T12:39:52Z"/>
        <d v="2016-07-15T17:39:38Z"/>
        <d v="2016-07-11T02:05:00Z"/>
        <d v="2016-07-11T16:54:00Z"/>
        <d v="2016-07-11T21:03:00Z"/>
        <d v="2016-07-11T23:51:00Z"/>
        <d v="2016-07-13T04:00:42Z"/>
        <d v="2016-07-13T09:41:31Z"/>
        <d v="2016-07-13T12:50:35Z"/>
        <d v="2016-07-14T05:32:44Z"/>
        <d v="2016-07-14T23:44:30Z"/>
        <d v="2016-07-15T19:04:43Z"/>
        <d v="2016-07-11T11:23:00Z"/>
        <d v="2016-07-11T22:38:00Z"/>
        <d v="2016-07-12T07:51:00Z"/>
        <d v="2016-07-13T04:59:15Z"/>
        <d v="2016-07-13T19:48:13Z"/>
        <d v="2016-07-14T18:57:28Z"/>
        <d v="2016-07-15T14:32:22Z"/>
        <d v="2016-07-15T23:08:05Z"/>
        <d v="2016-07-11T07:32:00Z"/>
        <d v="2016-07-11T10:21:00Z"/>
        <d v="2016-07-12T06:53:00Z"/>
        <d v="2016-07-13T13:41:52Z"/>
        <d v="2016-07-14T01:17:01Z"/>
        <d v="2016-07-14T11:03:54Z"/>
        <d v="2016-07-14T12:58:01Z"/>
        <d v="2016-07-14T16:23:03Z"/>
        <d v="2016-07-15T09:36:13Z"/>
        <d v="2016-07-15T14:00:39Z"/>
        <d v="2016-07-16T00:11:44Z"/>
        <d v="2016-07-11T08:23:00Z"/>
        <d v="2016-07-11T11:12:00Z"/>
        <d v="2016-07-11T22:16:00Z"/>
        <d v="2016-07-12T09:00:00Z"/>
        <d v="2016-07-13T08:04:52Z"/>
        <d v="2016-07-13T20:04:51Z"/>
        <d v="2016-07-14T09:38:30Z"/>
        <d v="2016-07-14T19:09:31Z"/>
        <d v="2016-07-15T08:58:00Z"/>
        <d v="2016-07-15T15:30:03Z"/>
        <d v="2016-07-16T00:18:48Z"/>
        <d v="2016-07-11T01:53:00Z"/>
        <d v="2016-07-11T10:54:00Z"/>
        <d v="2016-07-12T13:48:00Z"/>
        <d v="2016-07-12T23:33:00Z"/>
        <d v="2016-07-13T18:38:39Z"/>
        <d v="2016-07-14T15:25:12Z"/>
        <d v="2016-07-14T19:33:36Z"/>
        <d v="2016-07-15T09:15:16Z"/>
        <d v="2016-07-15T14:03:29Z"/>
        <d v="2016-07-15T22:20:19Z"/>
        <d v="2016-07-11T06:11:00Z"/>
        <d v="2016-07-12T09:12:00Z"/>
        <d v="2016-07-12T10:36:00Z"/>
        <d v="2016-07-14T22:19:25Z"/>
        <d v="2016-07-15T00:46:22Z"/>
        <d v="2016-07-15T10:07:32Z"/>
        <d v="2016-07-15T13:03:40Z"/>
        <d v="2016-07-16T00:20:14Z"/>
        <d v="2016-07-11T12:10:00Z"/>
        <d v="2016-07-11T17:14:00Z"/>
        <d v="2016-07-12T14:24:00Z"/>
        <d v="2016-07-13T06:47:48Z"/>
        <d v="2016-07-13T18:07:05Z"/>
        <d v="2016-07-14T05:52:03Z"/>
        <d v="2016-07-14T20:53:21Z"/>
        <d v="2016-07-15T06:26:16Z"/>
        <d v="2016-07-15T22:06:38Z"/>
        <d v="2016-07-11T16:15:00Z"/>
        <d v="2016-07-11T23:37:00Z"/>
        <d v="2016-07-12T06:55:00Z"/>
        <d v="2016-07-13T14:55:59Z"/>
        <d v="2016-07-13T18:29:14Z"/>
        <d v="2016-07-14T13:28:04Z"/>
        <d v="2016-07-14T23:41:47Z"/>
        <d v="2016-07-15T08:53:11Z"/>
        <d v="2016-07-12T07:07:00Z"/>
        <d v="2016-07-13T11:06:56Z"/>
        <d v="2016-07-14T12:38:04Z"/>
        <d v="2016-07-14T20:25:43Z"/>
        <d v="2016-07-15T04:53:45Z"/>
        <d v="2016-07-15T08:20:46Z"/>
        <d v="2016-07-15T17:24:19Z"/>
        <d v="2016-07-11T06:55:00Z"/>
        <d v="2016-07-11T19:07:00Z"/>
        <d v="2016-07-11T23:46:00Z"/>
        <d v="2016-07-13T07:45:47Z"/>
        <d v="2016-07-13T16:37:13Z"/>
        <d v="2016-07-13T21:41:24Z"/>
        <d v="2016-07-14T06:53:22Z"/>
        <d v="2016-07-15T21:17:23Z"/>
        <d v="2016-07-15T23:43:24Z"/>
        <d v="2016-07-11T11:58:00Z"/>
        <d v="2016-07-11T21:40:00Z"/>
        <d v="2016-07-12T13:05:00Z"/>
        <d v="2016-07-12T22:00:00Z"/>
        <d v="2016-07-13T05:56:07Z"/>
        <d v="2016-07-13T07:35:04Z"/>
        <d v="2016-07-14T10:20:53Z"/>
        <d v="2016-07-14T13:22:59Z"/>
        <d v="2016-07-14T20:21:57Z"/>
        <d v="2016-07-15T17:44:51Z"/>
        <d v="2016-07-11T11:02:00Z"/>
        <d v="2016-07-12T11:40:00Z"/>
        <d v="2016-07-13T20:20:17Z"/>
        <d v="2016-07-14T07:12:50Z"/>
        <d v="2016-07-14T23:23:40Z"/>
        <d v="2016-07-15T03:25:33Z"/>
        <d v="2016-07-15T22:50:50Z"/>
        <d v="2016-07-11T18:39:00Z"/>
        <d v="2016-07-13T08:45:26Z"/>
        <d v="2016-07-14T18:17:52Z"/>
        <d v="2016-07-15T10:18:04Z"/>
        <d v="2016-07-11T18:33:00Z"/>
        <d v="2016-07-12T20:09:00Z"/>
        <d v="2016-07-13T16:34:49Z"/>
        <d v="2016-07-13T20:50:38Z"/>
        <d v="2016-07-14T03:28:10Z"/>
        <d v="2016-07-14T12:14:46Z"/>
        <d v="2016-07-14T18:27:47Z"/>
        <d v="2016-07-11T23:05:00Z"/>
        <d v="2016-07-12T15:04:00Z"/>
        <d v="2016-07-12T22:26:00Z"/>
        <d v="2016-07-13T06:17:18Z"/>
        <d v="2016-07-13T07:01:26Z"/>
        <d v="2016-07-13T14:36:47Z"/>
        <d v="2016-07-15T07:32:20Z"/>
        <d v="2016-07-12T14:28:00Z"/>
        <d v="2016-07-13T08:28:29Z"/>
        <d v="2016-07-13T18:11:49Z"/>
        <d v="2016-07-14T20:16:24Z"/>
        <d v="2016-07-15T11:55:28Z"/>
        <d v="2016-07-15T20:24:42Z"/>
        <d v="2016-07-12T06:54:00Z"/>
        <d v="2016-07-12T15:13:00Z"/>
        <d v="2016-07-13T00:22:19Z"/>
        <d v="2016-07-13T14:05:36Z"/>
        <d v="2016-07-13T18:22:58Z"/>
        <d v="2016-07-14T06:38:23Z"/>
        <d v="2016-07-15T19:37:36Z"/>
        <d v="2016-07-15T20:26:07Z"/>
        <d v="2016-07-12T06:01:00Z"/>
        <d v="2016-07-12T14:22:00Z"/>
        <d v="2016-07-14T09:21:33Z"/>
        <d v="2016-07-14T12:10:50Z"/>
        <d v="2016-07-14T18:31:27Z"/>
        <d v="2016-07-15T00:05:34Z"/>
        <d v="2016-07-15T18:32:39Z"/>
        <d v="2016-07-11T11:51:00Z"/>
        <d v="2016-07-11T17:05:00Z"/>
        <d v="2016-07-12T06:58:00Z"/>
        <d v="2016-07-12T11:16:00Z"/>
        <d v="2016-07-13T06:10:20Z"/>
        <d v="2016-07-13T09:52:19Z"/>
        <d v="2016-07-13T12:37:07Z"/>
        <d v="2016-07-14T00:44:12Z"/>
        <d v="2016-07-14T09:07:03Z"/>
        <d v="2016-07-15T20:13:55Z"/>
        <d v="2016-07-15T22:39:29Z"/>
        <d v="2016-07-11T18:45:00Z"/>
        <d v="2016-07-11T21:28:00Z"/>
        <d v="2016-07-12T22:15:00Z"/>
        <d v="2016-07-13T16:56:33Z"/>
        <d v="2016-07-14T00:44:29Z"/>
        <d v="2016-07-14T12:32:12Z"/>
        <d v="2016-07-14T18:07:29Z"/>
        <d v="2016-07-15T07:59:29Z"/>
        <d v="2016-07-11T12:47:00Z"/>
        <d v="2016-07-12T15:56:00Z"/>
        <d v="2016-07-12T18:53:00Z"/>
        <d v="2016-07-13T07:24:41Z"/>
        <d v="2016-07-13T22:29:22Z"/>
        <d v="2016-07-14T08:57:44Z"/>
        <d v="2016-07-15T11:01:26Z"/>
        <d v="2016-07-11T06:53:00Z"/>
        <d v="2016-07-11T09:21:00Z"/>
        <d v="2016-07-11T21:12:00Z"/>
        <d v="2016-07-12T20:01:00Z"/>
        <d v="2016-07-13T08:11:53Z"/>
        <d v="2016-07-13T20:08:49Z"/>
        <d v="2016-07-14T09:27:15Z"/>
        <d v="2016-07-14T16:29:47Z"/>
        <d v="2016-07-15T05:49:14Z"/>
        <d v="2016-07-15T10:14:54Z"/>
        <d v="2016-07-11T18:27:00Z"/>
        <d v="2016-07-13T02:10:44Z"/>
        <d v="2016-07-15T06:49:57Z"/>
        <d v="2016-07-15T07:37:30Z"/>
        <d v="2016-07-11T05:40:00Z"/>
        <d v="2016-07-11T10:00:00Z"/>
        <d v="2016-07-12T05:38:00Z"/>
        <d v="2016-07-13T17:59:39Z"/>
        <d v="2016-07-14T16:53:31Z"/>
        <d v="2016-07-11T20:43:00Z"/>
        <d v="2016-07-12T05:26:00Z"/>
        <d v="2016-07-13T14:34:22Z"/>
        <d v="2016-07-14T00:07:29Z"/>
        <d v="2016-07-14T08:07:17Z"/>
        <d v="2016-07-14T19:11:34Z"/>
        <d v="2016-07-14T23:58:25Z"/>
        <d v="2016-07-15T08:03:04Z"/>
        <d v="2016-07-15T12:04:15Z"/>
        <d v="2016-07-16T00:39:38Z"/>
        <d v="2016-07-11T07:41:00Z"/>
        <d v="2016-07-12T00:26:00Z"/>
        <d v="2016-07-13T02:35:58Z"/>
        <d v="2016-07-13T07:18:33Z"/>
        <d v="2016-07-14T10:16:36Z"/>
        <d v="2016-07-14T14:27:36Z"/>
        <d v="2016-07-14T17:59:00Z"/>
        <d v="2016-07-15T10:30:26Z"/>
        <d v="2016-07-15T14:45:27Z"/>
        <d v="2016-07-12T04:33:00Z"/>
        <d v="2016-07-12T13:21:00Z"/>
        <d v="2016-07-12T16:38:00Z"/>
        <d v="2016-07-13T05:25:32Z"/>
        <d v="2016-07-13T21:39:13Z"/>
        <d v="2016-07-14T03:36:42Z"/>
        <d v="2016-07-14T08:49:55Z"/>
        <d v="2016-07-14T11:32:19Z"/>
        <d v="2016-07-14T18:58:25Z"/>
        <d v="2016-07-15T13:25:34Z"/>
        <d v="2016-07-11T14:40:00Z"/>
        <d v="2016-07-12T08:39:00Z"/>
        <d v="2016-07-12T12:10:00Z"/>
        <d v="2016-07-13T20:07:03Z"/>
        <d v="2016-07-14T08:06:45Z"/>
        <d v="2016-07-14T18:31:45Z"/>
        <d v="2016-07-14T20:30:49Z"/>
        <d v="2016-07-15T08:00:10Z"/>
        <d v="2016-07-15T12:32:18Z"/>
        <d v="2016-07-15T18:31:48Z"/>
        <d v="2016-07-15T20:58:08Z"/>
        <d v="2016-07-12T17:58:00Z"/>
        <d v="2016-07-13T02:52:06Z"/>
        <d v="2016-07-13T08:11:25Z"/>
        <d v="2016-07-14T02:43:27Z"/>
        <d v="2016-07-14T19:07:03Z"/>
        <d v="2016-07-14T23:34:06Z"/>
        <d v="2016-07-15T15:18:36Z"/>
        <d v="2016-07-15T21:19:51Z"/>
        <d v="2016-07-11T08:52:00Z"/>
        <d v="2016-07-13T01:10:37Z"/>
        <d v="2016-07-13T08:54:31Z"/>
        <d v="2016-07-13T13:56:02Z"/>
        <d v="2016-07-14T09:19:54Z"/>
        <d v="2016-07-14T21:38:07Z"/>
        <d v="2016-07-15T00:27:56Z"/>
        <d v="2016-07-15T05:51:20Z"/>
        <d v="2016-07-15T08:51:49Z"/>
        <d v="2016-07-15T15:55:36Z"/>
        <d v="2016-07-16T00:25:05Z"/>
        <d v="2016-07-12T23:29:00Z"/>
        <d v="2016-07-13T06:08:13Z"/>
        <d v="2016-07-13T13:32:27Z"/>
        <d v="2016-07-13T20:33:02Z"/>
        <d v="2016-07-14T19:44:16Z"/>
        <d v="2016-07-15T01:06:42Z"/>
        <d v="2016-07-15T07:44:27Z"/>
        <d v="2016-07-15T20:56:05Z"/>
        <d v="2016-07-11T06:58:00Z"/>
        <d v="2016-07-11T13:04:00Z"/>
        <d v="2016-07-12T05:20:00Z"/>
        <d v="2016-07-12T11:15:00Z"/>
        <d v="2016-07-13T10:45:06Z"/>
        <d v="2016-07-13T13:10:59Z"/>
        <d v="2016-07-14T00:13:33Z"/>
        <d v="2016-07-14T07:41:36Z"/>
        <d v="2016-07-15T00:03:26Z"/>
        <d v="2016-07-15T09:41:56Z"/>
        <d v="2016-07-15T18:08:55Z"/>
        <d v="2016-07-11T21:13:00Z"/>
        <d v="2016-07-12T10:34:00Z"/>
        <d v="2016-07-12T18:32:00Z"/>
        <d v="2016-07-13T06:25:44Z"/>
        <d v="2016-07-13T12:20:49Z"/>
        <d v="2016-07-14T07:45:50Z"/>
        <d v="2016-07-14T22:08:13Z"/>
        <d v="2016-07-15T02:04:05Z"/>
        <d v="2016-07-15T06:19:01Z"/>
        <d v="2016-07-15T13:51:53Z"/>
        <d v="2016-07-11T19:03:00Z"/>
        <d v="2016-07-11T21:02:00Z"/>
        <d v="2016-07-12T05:25:00Z"/>
        <d v="2016-07-12T17:22:00Z"/>
        <d v="2016-07-12T22:21:00Z"/>
        <d v="2016-07-13T18:18:36Z"/>
        <d v="2016-07-13T23:34:04Z"/>
        <d v="2016-07-14T23:35:14Z"/>
        <d v="2016-07-16T00:13:56Z"/>
        <d v="2016-07-11T01:59:00Z"/>
        <d v="2016-07-11T09:07:00Z"/>
        <d v="2016-07-11T15:11:00Z"/>
        <d v="2016-07-12T18:38:00Z"/>
        <d v="2016-07-13T00:16:45Z"/>
        <d v="2016-07-13T12:59:09Z"/>
        <d v="2016-07-14T06:12:49Z"/>
        <d v="2016-07-15T19:07:30Z"/>
        <d v="2016-07-15T23:58:03Z"/>
        <d v="2016-07-12T12:48:00Z"/>
        <d v="2016-07-13T17:37:06Z"/>
        <d v="2016-07-14T06:32:28Z"/>
        <d v="2016-07-14T10:01:21Z"/>
        <d v="2016-07-14T20:46:26Z"/>
        <d v="2016-07-15T11:35:30Z"/>
        <d v="2016-07-11T22:05:00Z"/>
        <d v="2016-07-12T07:31:00Z"/>
        <d v="2016-07-12T20:36:00Z"/>
        <d v="2016-07-14T07:36:47Z"/>
        <d v="2016-07-14T15:01:57Z"/>
        <d v="2016-07-14T18:34:05Z"/>
        <d v="2016-07-15T10:19:50Z"/>
        <d v="2016-07-15T19:16:04Z"/>
        <d v="2016-07-11T07:51:00Z"/>
        <d v="2016-07-11T08:54:00Z"/>
        <d v="2016-07-12T12:59:00Z"/>
        <d v="2016-07-13T13:03:23Z"/>
        <d v="2016-07-13T23:52:32Z"/>
        <d v="2016-07-14T06:29:10Z"/>
        <d v="2016-07-14T16:54:23Z"/>
        <d v="2016-07-14T21:39:30Z"/>
        <d v="2016-07-15T10:17:51Z"/>
        <d v="2016-07-15T11:51:19Z"/>
        <d v="2016-07-15T15:27:41Z"/>
        <d v="2016-07-11T12:41:00Z"/>
        <d v="2016-07-12T20:03:00Z"/>
        <d v="2016-07-13T07:00:15Z"/>
        <d v="2016-07-13T19:33:43Z"/>
        <d v="2016-07-14T10:23:37Z"/>
        <d v="2016-07-15T07:34:28Z"/>
        <d v="2016-07-15T16:27:51Z"/>
        <d v="2016-07-15T22:07:06Z"/>
        <d v="2016-07-11T08:18:00Z"/>
        <d v="2016-07-11T20:42:00Z"/>
        <d v="2016-07-12T04:08:00Z"/>
        <d v="2016-07-12T05:54:00Z"/>
        <d v="2016-07-12T11:05:00Z"/>
        <d v="2016-07-12T17:25:00Z"/>
        <d v="2016-07-12T19:59:00Z"/>
        <d v="2016-07-13T10:39:14Z"/>
        <d v="2016-07-13T12:28:39Z"/>
        <d v="2016-07-14T05:24:45Z"/>
        <d v="2016-07-14T13:33:54Z"/>
        <d v="2016-07-15T06:00:45Z"/>
        <d v="2016-07-15T15:46:10Z"/>
        <d v="2016-07-15T20:19:01Z"/>
        <d v="2016-07-15T22:49:26Z"/>
        <d v="2016-07-11T16:38:00Z"/>
        <d v="2016-07-12T15:24:00Z"/>
        <d v="2016-07-13T06:15:26Z"/>
        <d v="2016-07-13T19:58:53Z"/>
        <d v="2016-07-14T08:07:31Z"/>
        <d v="2016-07-15T00:04:20Z"/>
        <d v="2016-07-15T07:03:22Z"/>
        <d v="2016-07-11T02:00:00Z"/>
        <d v="2016-07-11T22:31:00Z"/>
        <d v="2016-07-12T14:02:00Z"/>
        <d v="2016-07-14T07:58:29Z"/>
        <d v="2016-07-14T13:59:44Z"/>
        <d v="2016-07-14T18:55:35Z"/>
        <d v="2016-07-14T21:40:19Z"/>
        <d v="2016-07-15T08:43:50Z"/>
        <d v="2016-07-15T12:40:36Z"/>
        <d v="2016-07-15T20:42:24Z"/>
        <d v="2016-07-15T21:35:47Z"/>
        <d v="2016-07-12T08:25:00Z"/>
        <d v="2016-07-12T13:43:00Z"/>
        <d v="2016-07-13T15:31:24Z"/>
        <d v="2016-07-14T02:35:52Z"/>
        <d v="2016-07-14T06:26:11Z"/>
        <d v="2016-07-14T12:33:10Z"/>
        <d v="2016-07-15T22:12:13Z"/>
        <d v="2016-07-16T00:30:46Z"/>
        <d v="2016-07-12T18:13:00Z"/>
        <d v="2016-07-12T23:40:00Z"/>
        <d v="2016-07-13T05:48:25Z"/>
        <d v="2016-07-13T08:07:40Z"/>
        <d v="2016-07-13T22:33:05Z"/>
        <d v="2016-07-14T10:49:32Z"/>
        <d v="2016-07-14T13:09:47Z"/>
        <d v="2016-07-14T19:39:57Z"/>
        <d v="2016-07-12T10:54:00Z"/>
        <d v="2016-07-12T19:28:00Z"/>
        <d v="2016-07-13T08:53:44Z"/>
        <d v="2016-07-14T01:48:00Z"/>
        <d v="2016-07-14T09:01:25Z"/>
        <d v="2016-07-15T13:12:07Z"/>
        <d v="2016-07-11T05:44:00Z"/>
        <d v="2016-07-12T12:20:00Z"/>
        <d v="2016-07-12T18:51:00Z"/>
        <d v="2016-07-13T16:11:42Z"/>
        <d v="2016-07-13T20:06:50Z"/>
        <d v="2016-07-14T09:44:52Z"/>
        <d v="2016-07-14T18:51:37Z"/>
        <d v="2016-07-15T08:23:20Z"/>
        <d v="2016-07-15T22:26:09Z"/>
        <d v="2016-07-12T06:10:00Z"/>
        <d v="2016-07-13T20:32:44Z"/>
        <d v="2016-07-14T19:28:46Z"/>
        <d v="2016-07-15T06:03:05Z"/>
        <d v="2016-07-15T19:05:19Z"/>
        <d v="2016-07-11T18:37:00Z"/>
        <d v="2016-07-12T09:46:00Z"/>
        <d v="2016-07-12T11:39:00Z"/>
        <d v="2016-07-12T18:42:00Z"/>
        <d v="2016-07-14T00:48:20Z"/>
        <d v="2016-07-14T16:23:52Z"/>
        <d v="2016-07-14T19:26:14Z"/>
        <d v="2016-07-11T13:30:00Z"/>
        <d v="2016-07-11T21:48:00Z"/>
        <d v="2016-07-12T00:52:00Z"/>
        <d v="2016-07-12T11:34:00Z"/>
        <d v="2016-07-13T08:41:07Z"/>
        <d v="2016-07-13T10:08:32Z"/>
        <d v="2016-07-13T22:15:26Z"/>
        <d v="2016-07-15T08:43:55Z"/>
        <d v="2016-07-15T23:13:48Z"/>
        <d v="2016-07-11T07:31:00Z"/>
        <d v="2016-07-11T22:54:00Z"/>
        <d v="2016-07-12T10:25:00Z"/>
        <d v="2016-07-13T09:33:03Z"/>
        <d v="2016-07-13T13:24:08Z"/>
        <d v="2016-07-13T18:50:00Z"/>
        <d v="2016-07-14T08:08:59Z"/>
        <d v="2016-07-15T01:17:53Z"/>
        <d v="2016-07-15T03:12:36Z"/>
        <d v="2016-07-15T15:40:21Z"/>
        <d v="2016-07-15T20:01:24Z"/>
        <d v="2016-07-11T13:27:00Z"/>
        <d v="2016-07-11T15:53:00Z"/>
        <d v="2016-07-11T20:34:00Z"/>
        <d v="2016-07-12T08:22:00Z"/>
        <d v="2016-07-13T08:56:35Z"/>
        <d v="2016-07-14T06:12:50Z"/>
        <d v="2016-07-15T11:02:34Z"/>
        <d v="2016-07-15T14:45:10Z"/>
        <d v="2016-07-11T07:28:00Z"/>
        <d v="2016-07-11T21:51:00Z"/>
        <d v="2016-07-12T18:34:00Z"/>
        <d v="2016-07-13T07:17:54Z"/>
        <d v="2016-07-14T12:17:43Z"/>
        <d v="2016-07-15T01:07:49Z"/>
        <d v="2016-07-15T16:10:22Z"/>
        <d v="2016-07-11T10:06:00Z"/>
        <d v="2016-07-11T16:20:00Z"/>
        <d v="2016-07-11T18:09:00Z"/>
        <d v="2016-07-12T05:34:00Z"/>
        <d v="2016-07-12T22:13:00Z"/>
        <d v="2016-07-13T07:47:48Z"/>
        <d v="2016-07-14T10:17:42Z"/>
        <d v="2016-07-14T22:45:34Z"/>
        <d v="2016-07-15T21:03:56Z"/>
        <d v="2016-07-11T15:35:00Z"/>
        <d v="2016-07-12T07:29:00Z"/>
        <d v="2016-07-12T16:08:00Z"/>
        <d v="2016-07-13T11:05:45Z"/>
        <d v="2016-07-13T21:27:28Z"/>
        <d v="2016-07-14T12:04:00Z"/>
        <d v="2016-07-15T19:24:50Z"/>
        <d v="2016-07-11T14:10:00Z"/>
        <d v="2016-07-12T08:30:00Z"/>
        <d v="2016-07-13T12:37:31Z"/>
        <d v="2016-07-16T00:02:03Z"/>
        <d v="2016-07-13T07:44:09Z"/>
        <d v="2016-07-13T18:13:34Z"/>
        <d v="2016-07-14T19:38:27Z"/>
        <d v="2016-07-15T22:41:24Z"/>
        <d v="2016-07-12T09:33:00Z"/>
        <d v="2016-07-13T13:04:40Z"/>
        <d v="2016-07-13T17:55:53Z"/>
        <d v="2016-07-14T00:23:01Z"/>
        <d v="2016-07-15T03:48:26Z"/>
        <d v="2016-07-15T08:08:29Z"/>
        <d v="2016-07-15T10:52:06Z"/>
        <d v="2016-07-15T22:00:53Z"/>
        <d v="2016-07-11T14:54:00Z"/>
        <d v="2016-07-12T22:57:00Z"/>
        <d v="2016-07-13T08:21:15Z"/>
        <d v="2016-07-13T11:17:10Z"/>
        <d v="2016-07-13T13:31:43Z"/>
        <d v="2016-07-13T22:54:49Z"/>
        <d v="2016-07-14T07:14:24Z"/>
        <d v="2016-07-14T21:24:08Z"/>
        <d v="2016-07-15T06:33:06Z"/>
        <d v="2016-07-15T12:35:31Z"/>
        <d v="2016-07-15T21:27:20Z"/>
        <d v="2016-07-16T00:30:17Z"/>
        <d v="2016-07-11T06:29:00Z"/>
        <d v="2016-07-11T22:33:00Z"/>
        <d v="2016-07-12T01:38:00Z"/>
        <d v="2016-07-13T14:46:54Z"/>
        <d v="2016-07-14T09:56:04Z"/>
        <d v="2016-07-15T11:19:40Z"/>
        <d v="2016-07-15T16:27:26Z"/>
        <d v="2016-07-11T09:11:00Z"/>
        <d v="2016-07-13T04:42:24Z"/>
        <d v="2016-07-13T06:24:51Z"/>
        <d v="2016-07-13T11:13:38Z"/>
        <d v="2016-07-14T19:55:39Z"/>
        <d v="2016-07-15T18:14:48Z"/>
        <d v="2016-07-11T09:55:00Z"/>
        <d v="2016-07-11T13:56:00Z"/>
        <d v="2016-07-11T18:51:00Z"/>
        <d v="2016-07-11T23:15:00Z"/>
        <d v="2016-07-12T19:48:00Z"/>
        <d v="2016-07-14T01:51:34Z"/>
        <d v="2016-07-14T06:56:01Z"/>
        <d v="2016-07-14T17:11:23Z"/>
        <d v="2016-07-15T14:15:15Z"/>
        <d v="2016-07-15T18:24:22Z"/>
        <d v="2016-07-11T04:54:00Z"/>
        <d v="2016-07-11T14:27:00Z"/>
        <d v="2016-07-12T11:44:00Z"/>
        <d v="2016-07-13T20:12:19Z"/>
        <d v="2016-07-14T08:17:53Z"/>
        <d v="2016-07-14T14:15:40Z"/>
        <d v="2016-07-14T22:44:00Z"/>
        <d v="2016-07-11T05:47:00Z"/>
        <d v="2016-07-11T21:35:00Z"/>
        <d v="2016-07-12T22:10:00Z"/>
        <d v="2016-07-13T00:12:32Z"/>
        <d v="2016-07-13T07:37:12Z"/>
        <d v="2016-07-14T16:12:19Z"/>
        <d v="2016-07-15T05:31:32Z"/>
        <d v="2016-07-15T15:36:20Z"/>
        <d v="2016-07-11T23:36:00Z"/>
        <d v="2016-07-12T06:45:00Z"/>
        <d v="2016-07-13T10:18:32Z"/>
        <d v="2016-07-13T11:35:02Z"/>
        <d v="2016-07-14T08:10:56Z"/>
        <d v="2016-07-15T17:50:14Z"/>
        <d v="2016-07-15T21:31:02Z"/>
        <d v="2016-07-15T23:49:25Z"/>
        <d v="2016-07-11T13:50:00Z"/>
        <d v="2016-07-11T22:36:00Z"/>
        <d v="2016-07-12T12:37:00Z"/>
        <d v="2016-07-13T16:19:11Z"/>
        <d v="2016-07-13T22:48:54Z"/>
        <d v="2016-07-14T13:13:27Z"/>
        <d v="2016-07-15T12:00:31Z"/>
        <d v="2016-07-15T18:52:00Z"/>
        <d v="2016-07-12T06:20:00Z"/>
        <d v="2016-07-13T08:29:02Z"/>
        <d v="2016-07-13T11:42:50Z"/>
        <d v="2016-07-14T18:35:46Z"/>
        <d v="2016-07-14T22:47:26Z"/>
        <d v="2016-07-15T23:12:18Z"/>
        <d v="2016-07-11T08:59:00Z"/>
        <d v="2016-07-12T05:42:00Z"/>
        <d v="2016-07-14T20:14:02Z"/>
        <d v="2016-07-14T23:40:58Z"/>
        <d v="2016-07-15T21:17:15Z"/>
        <d v="2016-07-11T07:55:00Z"/>
        <d v="2016-07-11T17:52:00Z"/>
        <d v="2016-07-11T20:18:00Z"/>
        <d v="2016-07-12T07:55:00Z"/>
        <d v="2016-07-12T18:40:00Z"/>
        <d v="2016-07-13T07:55:18Z"/>
        <d v="2016-07-13T18:46:32Z"/>
        <d v="2016-07-14T13:21:51Z"/>
        <d v="2016-07-15T09:32:17Z"/>
        <d v="2016-07-15T13:49:54Z"/>
        <d v="2016-07-15T22:26:15Z"/>
        <d v="2016-07-11T08:48:00Z"/>
        <d v="2016-07-11T21:01:00Z"/>
        <d v="2016-07-12T16:55:00Z"/>
        <d v="2016-07-13T12:50:46Z"/>
        <d v="2016-07-14T15:21:15Z"/>
        <d v="2016-07-15T16:07:30Z"/>
        <d v="2016-07-11T16:33:00Z"/>
        <d v="2016-07-11T22:47:00Z"/>
        <d v="2016-07-12T06:17:00Z"/>
        <d v="2016-07-12T09:02:00Z"/>
        <d v="2016-07-13T07:11:55Z"/>
        <d v="2016-07-13T16:17:36Z"/>
        <d v="2016-07-14T09:34:51Z"/>
        <d v="2016-07-15T21:16:02Z"/>
        <d v="2016-07-11T01:35:00Z"/>
        <d v="2016-07-11T09:03:00Z"/>
        <d v="2016-07-11T21:42:00Z"/>
        <d v="2016-07-13T21:34:37Z"/>
        <d v="2016-07-14T10:32:27Z"/>
        <d v="2016-07-14T19:24:02Z"/>
        <d v="2016-07-11T05:58:00Z"/>
        <d v="2016-07-11T22:01:00Z"/>
        <d v="2016-07-12T08:07:00Z"/>
        <d v="2016-07-15T21:05:28Z"/>
        <d v="2016-07-11T09:17:00Z"/>
        <d v="2016-07-11T19:44:00Z"/>
        <d v="2016-07-12T18:02:00Z"/>
        <d v="2016-07-13T15:07:07Z"/>
        <d v="2016-07-13T19:39:13Z"/>
        <d v="2016-07-14T07:42:17Z"/>
        <d v="2016-07-14T13:38:15Z"/>
        <d v="2016-07-15T10:34:23Z"/>
        <d v="2016-07-15T13:51:26Z"/>
        <d v="2016-07-13T05:06:41Z"/>
        <d v="2016-07-13T18:33:37Z"/>
        <d v="2016-07-14T19:24:59Z"/>
        <d v="2016-07-15T00:52:50Z"/>
        <d v="2016-07-15T09:52:31Z"/>
        <d v="2016-07-11T07:08:00Z"/>
        <d v="2016-07-11T13:03:00Z"/>
        <d v="2016-07-12T16:56:00Z"/>
        <d v="2016-07-13T13:30:18Z"/>
        <d v="2016-07-13T23:34:24Z"/>
        <d v="2016-07-14T08:22:15Z"/>
        <d v="2016-07-14T14:04:20Z"/>
        <d v="2016-07-14T16:52:28Z"/>
        <d v="2016-07-15T07:39:36Z"/>
        <d v="2016-07-15T23:23:44Z"/>
        <d v="2016-07-11T12:28:00Z"/>
        <d v="2016-07-11T19:01:00Z"/>
        <d v="2016-07-12T09:29:00Z"/>
        <d v="2016-07-12T12:21:00Z"/>
        <d v="2016-07-13T06:08:39Z"/>
        <d v="2016-07-13T16:23:36Z"/>
        <d v="2016-07-14T10:18:27Z"/>
        <d v="2016-07-14T12:57:06Z"/>
        <d v="2016-07-15T06:25:46Z"/>
        <d v="2016-07-15T16:03:55Z"/>
        <d v="2016-07-11T06:03:00Z"/>
        <d v="2016-07-11T20:51:00Z"/>
        <d v="2016-07-12T07:48:00Z"/>
        <d v="2016-07-12T21:32:00Z"/>
        <d v="2016-07-13T08:14:35Z"/>
        <d v="2016-07-13T21:24:14Z"/>
        <d v="2016-07-14T07:19:20Z"/>
        <d v="2016-07-14T13:05:45Z"/>
        <d v="2016-07-15T16:15:36Z"/>
        <d v="2016-07-11T11:03:00Z"/>
        <d v="2016-07-14T09:17:44Z"/>
        <d v="2016-07-15T05:54:26Z"/>
        <d v="2016-07-15T11:08:19Z"/>
        <d v="2016-07-11T12:12:00Z"/>
        <d v="2016-07-12T04:09:00Z"/>
        <d v="2016-07-12T09:22:00Z"/>
        <d v="2016-07-13T10:48:29Z"/>
        <d v="2016-07-14T22:28:36Z"/>
        <d v="2016-07-15T06:13:40Z"/>
        <d v="2016-07-15T10:29:06Z"/>
        <d v="2016-07-15T18:24:44Z"/>
        <d v="2016-07-11T07:19:00Z"/>
        <d v="2016-07-11T15:54:00Z"/>
        <d v="2016-07-11T19:08:00Z"/>
        <d v="2016-07-12T06:15:00Z"/>
        <d v="2016-07-13T21:28:07Z"/>
        <d v="2016-07-13T22:40:43Z"/>
        <d v="2016-07-14T04:42:17Z"/>
        <d v="2016-07-15T08:23:13Z"/>
        <d v="2016-07-15T10:35:38Z"/>
        <d v="2016-07-15T14:30:50Z"/>
        <d v="2016-07-15T17:20:32Z"/>
        <d v="2016-07-11T09:25:00Z"/>
        <d v="2016-07-11T12:58:00Z"/>
        <d v="2016-07-11T15:32:00Z"/>
        <d v="2016-07-12T12:16:00Z"/>
        <d v="2016-07-12T17:10:00Z"/>
        <d v="2016-07-12T19:45:00Z"/>
        <d v="2016-07-13T10:44:23Z"/>
        <d v="2016-07-13T16:04:48Z"/>
        <d v="2016-07-13T21:13:37Z"/>
        <d v="2016-07-14T11:31:43Z"/>
        <d v="2016-07-14T20:06:00Z"/>
        <d v="2016-07-15T09:01:46Z"/>
        <d v="2016-07-16T00:49:54Z"/>
        <d v="2016-07-11T08:15:00Z"/>
        <d v="2016-07-11T16:52:00Z"/>
        <d v="2016-07-12T17:40:00Z"/>
        <d v="2016-07-13T06:29:18Z"/>
        <d v="2016-07-13T17:22:26Z"/>
        <d v="2016-07-13T20:48:13Z"/>
        <d v="2016-07-15T04:04:20Z"/>
        <d v="2016-07-15T15:09:22Z"/>
        <d v="2016-07-11T08:01:00Z"/>
        <d v="2016-07-11T11:25:00Z"/>
        <d v="2016-07-11T23:43:00Z"/>
        <d v="2016-07-12T14:37:00Z"/>
        <d v="2016-07-12T20:47:00Z"/>
        <d v="2016-07-13T05:37:28Z"/>
        <d v="2016-07-13T22:09:18Z"/>
        <d v="2016-07-14T09:20:40Z"/>
        <d v="2016-07-15T07:39:49Z"/>
        <d v="2016-07-15T19:37:24Z"/>
        <d v="2016-07-15T22:21:22Z"/>
        <d v="2016-07-11T12:02:00Z"/>
        <d v="2016-07-11T15:42:00Z"/>
        <d v="2016-07-13T23:33:44Z"/>
        <d v="2016-07-14T18:54:51Z"/>
        <d v="2016-07-15T19:50:18Z"/>
        <d v="2016-07-12T07:37:00Z"/>
        <d v="2016-07-13T18:29:48Z"/>
        <d v="2016-07-14T11:11:25Z"/>
        <d v="2016-07-15T10:53:39Z"/>
        <d v="2016-07-15T19:18:27Z"/>
        <d v="2016-07-11T09:26:00Z"/>
        <d v="2016-07-12T13:34:00Z"/>
        <d v="2016-07-13T06:26:06Z"/>
        <d v="2016-07-13T08:55:31Z"/>
        <d v="2016-07-13T16:45:57Z"/>
        <d v="2016-07-13T23:26:52Z"/>
        <d v="2016-07-14T09:40:20Z"/>
        <d v="2016-07-15T08:22:44Z"/>
        <d v="2016-07-15T16:06:05Z"/>
        <d v="2016-07-15T19:02:40Z"/>
        <d v="2016-07-15T19:50:39Z"/>
        <d v="2016-07-11T05:51:00Z"/>
        <d v="2016-07-11T18:18:00Z"/>
        <d v="2016-07-13T06:22:58Z"/>
        <d v="2016-07-13T12:47:18Z"/>
        <d v="2016-07-15T05:41:21Z"/>
        <d v="2016-07-15T17:23:29Z"/>
        <d v="2016-07-15T21:18:30Z"/>
        <d v="2016-07-11T11:54:00Z"/>
        <d v="2016-07-11T16:04:00Z"/>
        <d v="2016-07-11T20:53:00Z"/>
        <d v="2016-07-12T19:56:00Z"/>
        <d v="2016-07-13T06:28:37Z"/>
        <d v="2016-07-13T11:36:14Z"/>
        <d v="2016-07-14T08:26:03Z"/>
        <d v="2016-07-14T20:08:00Z"/>
        <d v="2016-07-15T03:57:34Z"/>
        <d v="2016-07-15T08:07:42Z"/>
        <d v="2016-07-11T14:22:00Z"/>
        <d v="2016-07-14T10:08:17Z"/>
        <d v="2016-07-14T16:19:27Z"/>
        <d v="2016-07-15T15:12:20Z"/>
        <d v="2016-07-15T21:22:33Z"/>
        <d v="2016-07-11T13:16:00Z"/>
        <d v="2016-07-13T04:21:53Z"/>
        <d v="2016-07-13T08:07:22Z"/>
        <d v="2016-07-13T18:02:55Z"/>
        <d v="2016-07-13T22:02:10Z"/>
        <d v="2016-07-15T23:27:52Z"/>
        <d v="2016-07-11T09:27:00Z"/>
        <d v="2016-07-11T14:02:00Z"/>
        <d v="2016-07-11T21:39:00Z"/>
        <d v="2016-07-13T07:05:09Z"/>
        <d v="2016-07-13T22:24:40Z"/>
        <d v="2016-07-14T07:36:04Z"/>
        <d v="2016-07-14T08:44:13Z"/>
        <d v="2016-07-14T20:43:30Z"/>
        <d v="2016-07-15T11:44:04Z"/>
        <d v="2016-07-15T23:37:35Z"/>
        <d v="2016-07-11T00:51:00Z"/>
        <d v="2016-07-12T12:00:00Z"/>
        <d v="2016-07-13T21:37:45Z"/>
        <d v="2016-07-14T18:23:17Z"/>
        <d v="2016-07-15T03:04:34Z"/>
        <d v="2016-07-15T20:48:05Z"/>
        <d v="2016-07-11T05:53:00Z"/>
        <d v="2016-07-11T17:12:00Z"/>
        <d v="2016-07-11T19:20:00Z"/>
        <d v="2016-07-11T22:39:00Z"/>
        <d v="2016-07-12T07:23:00Z"/>
        <d v="2016-07-12T10:28:00Z"/>
        <d v="2016-07-12T15:43:00Z"/>
        <d v="2016-07-13T05:53:14Z"/>
        <d v="2016-07-15T12:12:58Z"/>
        <d v="2016-07-15T13:19:49Z"/>
        <d v="2016-07-11T18:57:00Z"/>
        <d v="2016-07-12T10:08:00Z"/>
        <d v="2016-07-13T04:06:25Z"/>
        <d v="2016-07-13T20:15:14Z"/>
        <d v="2016-07-13T23:46:08Z"/>
        <d v="2016-07-15T08:48:49Z"/>
        <d v="2016-07-15T22:49:32Z"/>
        <d v="2016-07-11T23:13:00Z"/>
        <d v="2016-07-12T22:07:00Z"/>
        <d v="2016-07-13T19:35:35Z"/>
        <d v="2016-07-14T02:09:47Z"/>
        <d v="2016-07-14T18:31:31Z"/>
        <d v="2016-07-11T06:41:00Z"/>
        <d v="2016-07-12T21:25:00Z"/>
        <d v="2016-07-13T20:31:58Z"/>
        <d v="2016-07-14T10:18:58Z"/>
        <d v="2016-07-14T13:28:25Z"/>
        <d v="2016-07-15T07:23:32Z"/>
        <d v="2016-07-15T08:07:52Z"/>
        <d v="2016-07-15T11:29:14Z"/>
        <d v="2016-07-15T13:22:06Z"/>
        <d v="2016-07-15T18:06:25Z"/>
        <d v="2016-07-15T23:04:55Z"/>
        <d v="2016-07-11T05:23:00Z"/>
        <d v="2016-07-12T23:20:00Z"/>
        <d v="2016-07-13T11:23:53Z"/>
        <d v="2016-07-13T18:23:41Z"/>
        <d v="2016-07-14T22:25:10Z"/>
        <d v="2016-07-15T09:08:12Z"/>
        <d v="2016-07-15T23:21:50Z"/>
        <d v="2016-07-12T14:58:00Z"/>
        <d v="2016-07-12T19:17:00Z"/>
        <d v="2016-07-13T20:51:03Z"/>
        <d v="2016-07-14T11:40:50Z"/>
        <d v="2016-07-15T06:43:14Z"/>
        <d v="2016-07-15T20:03:36Z"/>
        <d v="2016-07-15T23:12:06Z"/>
        <d v="2016-07-16T00:35:45Z"/>
        <d v="2016-07-11T10:09:00Z"/>
        <d v="2016-07-11T20:32:00Z"/>
        <d v="2016-07-12T09:11:00Z"/>
        <d v="2016-07-12T20:26:00Z"/>
        <d v="2016-07-13T13:35:00Z"/>
        <d v="2016-07-12T20:44:00Z"/>
        <d v="2016-07-13T14:04:50Z"/>
        <d v="2016-07-13T21:26:11Z"/>
        <d v="2016-07-15T08:01:28Z"/>
        <d v="2016-07-16T00:10:16Z"/>
        <d v="2016-07-11T06:16:00Z"/>
        <d v="2016-07-11T22:32:00Z"/>
        <d v="2016-07-12T01:55:00Z"/>
        <d v="2016-07-12T11:58:00Z"/>
        <d v="2016-07-13T06:46:52Z"/>
        <d v="2016-07-13T11:06:19Z"/>
        <d v="2016-07-14T09:51:58Z"/>
        <d v="2016-07-14T21:26:49Z"/>
        <d v="2016-07-15T05:55:55Z"/>
        <d v="2016-07-15T21:50:36Z"/>
        <d v="2016-07-11T20:54:00Z"/>
        <d v="2016-07-12T09:10:00Z"/>
        <d v="2016-07-13T09:47:47Z"/>
        <d v="2016-07-14T22:09:36Z"/>
        <d v="2016-07-15T21:02:25Z"/>
        <d v="2016-07-11T10:41:00Z"/>
        <d v="2016-07-11T13:20:00Z"/>
        <d v="2016-07-12T00:15:00Z"/>
        <d v="2016-07-12T08:14:00Z"/>
        <d v="2016-07-13T00:28:33Z"/>
        <d v="2016-07-13T07:04:39Z"/>
        <d v="2016-07-13T22:24:52Z"/>
        <d v="2016-07-14T23:21:22Z"/>
        <d v="2016-07-15T07:10:49Z"/>
        <d v="2016-07-11T02:37:00Z"/>
        <d v="2016-07-11T06:52:00Z"/>
        <d v="2016-07-11T19:41:00Z"/>
        <d v="2016-07-12T10:00:00Z"/>
        <d v="2016-07-12T23:44:00Z"/>
        <d v="2016-07-13T20:30:48Z"/>
        <d v="2016-07-14T01:12:21Z"/>
        <d v="2016-07-14T06:00:11Z"/>
        <d v="2016-07-14T18:30:48Z"/>
        <d v="2016-07-15T14:56:02Z"/>
        <d v="2016-07-12T20:56:00Z"/>
        <d v="2016-07-13T12:55:12Z"/>
        <d v="2016-07-13T19:25:22Z"/>
        <d v="2016-07-14T01:02:24Z"/>
        <d v="2016-07-14T05:07:30Z"/>
        <d v="2016-07-14T06:54:57Z"/>
        <d v="2016-07-14T18:01:28Z"/>
        <d v="2016-07-14T22:41:48Z"/>
        <d v="2016-07-15T00:39:24Z"/>
        <d v="2016-07-15T18:59:11Z"/>
        <d v="2016-07-11T22:15:00Z"/>
        <d v="2016-07-12T19:09:00Z"/>
        <d v="2016-07-13T08:30:57Z"/>
        <d v="2016-07-13T22:05:34Z"/>
        <d v="2016-07-14T09:54:56Z"/>
        <d v="2016-07-14T21:12:48Z"/>
        <d v="2016-07-15T19:19:30Z"/>
        <d v="2016-07-11T23:35:00Z"/>
        <d v="2016-07-13T07:20:52Z"/>
        <d v="2016-07-13T13:16:03Z"/>
        <d v="2016-07-13T23:43:13Z"/>
        <d v="2016-07-15T09:56:07Z"/>
        <s v="NA"/>
      </sharedItems>
    </cacheField>
    <cacheField name="Time slot" numFmtId="164">
      <sharedItems>
        <s v="Morning"/>
        <s v="Evening"/>
        <s v="Late Night"/>
        <s v="Early Morning"/>
        <s v="Afternoon"/>
        <s v="Night"/>
      </sharedItems>
    </cacheField>
    <cacheField name="Is cancelled" numFmtId="49">
      <sharedItems containsSemiMixedTypes="0" containsString="0" containsNumber="1" containsInteger="1">
        <n v="0.0"/>
        <n v="1.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Dashbord" cacheId="0" dataCaption="" compact="0" compactData="0">
  <location ref="A165:C172" firstHeaderRow="0" firstDataRow="2" firstDataCol="0"/>
  <pivotFields>
    <pivotField name="Request 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t="default"/>
      </items>
    </pivotField>
    <pivotField name="Pickup point" compact="0" outline="0" multipleItemSelectionAllowed="1" showAll="0">
      <items>
        <item x="0"/>
        <item x="1"/>
        <item t="default"/>
      </items>
    </pivotField>
    <pivotField name="Driv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t="default"/>
      </items>
    </pivotField>
    <pivotField name="Status" compact="0" outline="0" multipleItemSelectionAllowed="1" showAll="0">
      <items>
        <item x="0"/>
        <item x="1"/>
        <item x="2"/>
        <item t="default"/>
      </items>
    </pivotField>
    <pivotField name="Request timestamp"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t="default"/>
      </items>
    </pivotField>
    <pivotField name="clean request timestamp"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t="default"/>
      </items>
    </pivotField>
    <pivotField name="request hour"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Drop timestam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t="default"/>
      </items>
    </pivotField>
    <pivotField name="clean drop timestam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t="default"/>
      </items>
    </pivotField>
    <pivotField name="Time slot" axis="axisRow" compact="0" numFmtId="164" outline="0" multipleItemSelectionAllowed="1" showAll="0" sortType="ascending">
      <items>
        <item x="4"/>
        <item x="3"/>
        <item x="1"/>
        <item x="2"/>
        <item x="0"/>
        <item x="5"/>
        <item t="default"/>
      </items>
    </pivotField>
    <pivotField name="Is cancelled" dataField="1" compact="0" numFmtId="49" outline="0" multipleItemSelectionAllowed="1" showAll="0">
      <items>
        <item x="0"/>
        <item x="1"/>
        <item t="default"/>
      </items>
    </pivotField>
  </pivotFields>
  <rowFields>
    <field x="9"/>
  </rowFields>
  <colFields>
    <field x="-2"/>
  </colFields>
  <dataFields>
    <dataField name="SUM of Is cancelled" fld="10" baseField="0"/>
    <dataField name="COUNTA of Request Id" fld="0"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4.88"/>
  </cols>
  <sheetData>
    <row r="1">
      <c r="A1" s="1" t="s">
        <v>0</v>
      </c>
    </row>
    <row r="24">
      <c r="A24" s="2"/>
      <c r="B24" s="2"/>
      <c r="C24" s="2"/>
      <c r="D24" s="2"/>
      <c r="E24" s="2"/>
      <c r="F24" s="2"/>
      <c r="G24" s="2"/>
    </row>
    <row r="25">
      <c r="A25" s="3" t="s">
        <v>1</v>
      </c>
      <c r="B25" s="4"/>
      <c r="C25" s="4"/>
      <c r="D25" s="4"/>
      <c r="E25" s="4"/>
      <c r="F25" s="4"/>
      <c r="G25" s="5"/>
    </row>
    <row r="26">
      <c r="A26" s="6"/>
      <c r="B26" s="7"/>
      <c r="C26" s="7"/>
      <c r="D26" s="7"/>
      <c r="E26" s="7"/>
      <c r="F26" s="7"/>
      <c r="G26" s="8"/>
    </row>
    <row r="27">
      <c r="A27" s="2"/>
      <c r="B27" s="2"/>
      <c r="C27" s="2"/>
      <c r="D27" s="2"/>
      <c r="E27" s="2"/>
      <c r="F27" s="2"/>
      <c r="G27" s="2"/>
    </row>
    <row r="28">
      <c r="A28" s="9"/>
      <c r="B28" s="9"/>
      <c r="C28" s="9"/>
      <c r="D28" s="9"/>
      <c r="E28" s="9"/>
      <c r="F28" s="9"/>
      <c r="G28" s="9"/>
    </row>
    <row r="29">
      <c r="A29" s="9"/>
      <c r="B29" s="9"/>
      <c r="C29" s="9"/>
      <c r="D29" s="9"/>
      <c r="E29" s="9"/>
      <c r="F29" s="9"/>
      <c r="G29" s="9"/>
    </row>
    <row r="55">
      <c r="A55" s="10" t="s">
        <v>2</v>
      </c>
      <c r="B55" s="11"/>
      <c r="C55" s="11"/>
      <c r="D55" s="11"/>
      <c r="E55" s="11"/>
      <c r="F55" s="11"/>
      <c r="G55" s="12"/>
    </row>
    <row r="56">
      <c r="A56" s="13"/>
      <c r="G56" s="14"/>
    </row>
    <row r="57">
      <c r="A57" s="15"/>
      <c r="B57" s="16"/>
      <c r="C57" s="16"/>
      <c r="D57" s="16"/>
      <c r="E57" s="16"/>
      <c r="F57" s="16"/>
      <c r="G57" s="17"/>
    </row>
    <row r="156">
      <c r="A156" s="18" t="s">
        <v>3</v>
      </c>
      <c r="B156" s="18" t="s">
        <v>4</v>
      </c>
      <c r="C156" s="18" t="s">
        <v>5</v>
      </c>
      <c r="D156" s="18" t="s">
        <v>6</v>
      </c>
      <c r="E156" s="18" t="s">
        <v>7</v>
      </c>
      <c r="F156" s="18" t="s">
        <v>8</v>
      </c>
      <c r="G156" s="18" t="s">
        <v>9</v>
      </c>
    </row>
    <row r="157">
      <c r="A157" s="19" t="s">
        <v>10</v>
      </c>
      <c r="B157" s="20">
        <v>187.0</v>
      </c>
      <c r="C157" s="20">
        <v>213.0</v>
      </c>
      <c r="D157" s="20">
        <v>55.0</v>
      </c>
      <c r="E157" s="20">
        <v>127.0</v>
      </c>
      <c r="F157" s="20">
        <v>36.0</v>
      </c>
      <c r="G157" s="20">
        <v>33.0</v>
      </c>
    </row>
    <row r="158">
      <c r="A158" s="19" t="s">
        <v>11</v>
      </c>
      <c r="B158" s="20">
        <v>277.0</v>
      </c>
      <c r="C158" s="20">
        <v>327.0</v>
      </c>
      <c r="D158" s="20">
        <v>44.0</v>
      </c>
      <c r="E158" s="20">
        <v>263.0</v>
      </c>
      <c r="F158" s="20">
        <v>15.0</v>
      </c>
      <c r="G158" s="20">
        <v>526.0</v>
      </c>
    </row>
    <row r="159">
      <c r="A159" s="19" t="s">
        <v>12</v>
      </c>
      <c r="B159" s="20">
        <v>276.0</v>
      </c>
      <c r="C159" s="20">
        <v>296.0</v>
      </c>
      <c r="D159" s="20">
        <v>801.0</v>
      </c>
      <c r="E159" s="20">
        <v>82.0</v>
      </c>
      <c r="F159" s="20">
        <v>63.0</v>
      </c>
      <c r="G159" s="20">
        <v>42.0</v>
      </c>
    </row>
    <row r="160">
      <c r="A160" s="19" t="s">
        <v>13</v>
      </c>
      <c r="B160" s="20">
        <v>277.0</v>
      </c>
      <c r="C160" s="20">
        <v>283.0</v>
      </c>
      <c r="D160" s="20">
        <v>665.0</v>
      </c>
      <c r="E160" s="20">
        <v>109.0</v>
      </c>
      <c r="F160" s="20">
        <v>60.0</v>
      </c>
      <c r="G160" s="20">
        <v>45.0</v>
      </c>
    </row>
    <row r="161">
      <c r="A161" s="19" t="s">
        <v>14</v>
      </c>
      <c r="B161" s="20">
        <v>243.0</v>
      </c>
      <c r="C161" s="20">
        <v>316.0</v>
      </c>
      <c r="D161" s="20">
        <v>34.0</v>
      </c>
      <c r="E161" s="20">
        <v>245.0</v>
      </c>
      <c r="F161" s="20">
        <v>24.0</v>
      </c>
      <c r="G161" s="20">
        <v>406.0</v>
      </c>
    </row>
    <row r="162">
      <c r="A162" s="19" t="s">
        <v>15</v>
      </c>
      <c r="B162" s="20">
        <v>67.0</v>
      </c>
      <c r="C162" s="20">
        <v>69.0</v>
      </c>
      <c r="D162" s="20">
        <v>114.0</v>
      </c>
      <c r="E162" s="20">
        <v>111.0</v>
      </c>
      <c r="G162" s="20">
        <v>14.0</v>
      </c>
    </row>
    <row r="165">
      <c r="D165" s="21" t="s">
        <v>18</v>
      </c>
    </row>
    <row r="166">
      <c r="D166" s="23">
        <f t="shared" ref="D166:D171" si="1"> B166 / C166</f>
        <v>0.1059907834</v>
      </c>
    </row>
    <row r="167">
      <c r="D167" s="23">
        <f t="shared" si="1"/>
        <v>0.3725895317</v>
      </c>
    </row>
    <row r="168">
      <c r="D168" s="23">
        <f t="shared" si="1"/>
        <v>0.06730769231</v>
      </c>
    </row>
    <row r="169">
      <c r="D169" s="23">
        <f t="shared" si="1"/>
        <v>0.07296733843</v>
      </c>
    </row>
    <row r="170">
      <c r="D170" s="23">
        <f t="shared" si="1"/>
        <v>0.3391167192</v>
      </c>
    </row>
    <row r="171">
      <c r="D171" s="23">
        <f t="shared" si="1"/>
        <v>0.03733333333</v>
      </c>
    </row>
    <row r="172">
      <c r="D172" s="23"/>
    </row>
  </sheetData>
  <mergeCells count="3">
    <mergeCell ref="A1:F1"/>
    <mergeCell ref="A25:G26"/>
    <mergeCell ref="A55:G57"/>
  </mergeCell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2" max="2" width="10.13"/>
    <col customWidth="1" min="3" max="3" width="7.25"/>
    <col customWidth="1" min="4" max="4" width="14.25"/>
    <col customWidth="1" min="5" max="5" width="16.5"/>
    <col customWidth="1" min="6" max="6" width="19.13"/>
    <col customWidth="1" min="7" max="7" width="16.88"/>
    <col customWidth="1" min="8" max="8" width="16.5"/>
    <col customWidth="1" min="9" max="9" width="16.88"/>
    <col customWidth="1" min="10" max="10" width="11.25"/>
    <col customWidth="1" min="11" max="11" width="22.0"/>
  </cols>
  <sheetData>
    <row r="1">
      <c r="A1" s="18" t="s">
        <v>20</v>
      </c>
      <c r="B1" s="18" t="s">
        <v>21</v>
      </c>
      <c r="C1" s="18" t="s">
        <v>22</v>
      </c>
      <c r="D1" s="18" t="s">
        <v>23</v>
      </c>
      <c r="E1" s="18" t="s">
        <v>24</v>
      </c>
      <c r="F1" s="24" t="s">
        <v>25</v>
      </c>
      <c r="G1" s="18" t="s">
        <v>26</v>
      </c>
      <c r="H1" s="18" t="s">
        <v>27</v>
      </c>
      <c r="I1" s="24" t="s">
        <v>28</v>
      </c>
      <c r="J1" s="18" t="s">
        <v>3</v>
      </c>
      <c r="K1" s="25" t="s">
        <v>29</v>
      </c>
    </row>
    <row r="2">
      <c r="A2" s="18">
        <v>619.0</v>
      </c>
      <c r="B2" s="18" t="s">
        <v>30</v>
      </c>
      <c r="C2" s="18">
        <v>1.0</v>
      </c>
      <c r="D2" s="18" t="s">
        <v>31</v>
      </c>
      <c r="E2" s="26">
        <v>42562.49375</v>
      </c>
      <c r="F2" s="19">
        <f>IFERROR(__xludf.DUMMYFUNCTION("IFERROR(TO_DATE(E2), """")"),42562.49375)</f>
        <v>42562.49375</v>
      </c>
      <c r="G2" s="20">
        <f t="shared" ref="G2:G6746" si="1">IF(F2="", "", HOUR(F2))
</f>
        <v>11</v>
      </c>
      <c r="H2" s="26">
        <v>42562.541666666664</v>
      </c>
      <c r="I2" s="19">
        <f>IFERROR(__xludf.DUMMYFUNCTION("IFERROR(TO_DATE(H2), """")"),42562.541666666664)</f>
        <v>42562.54167</v>
      </c>
      <c r="J2" s="19" t="str">
        <f t="array" ref="J2:J6748">IF(G2:G6748="", "", IF(G2:G6748&lt;4, "Night", IF(G2:G6748&lt;8, "Early Morning", IF(G2:G6748&lt;12, "Morning", IF(G2:G6748&lt;16, "Afternoon", IF(G2:G6748&lt;20, "Evening", "Late Night"))))))</f>
        <v>Morning</v>
      </c>
      <c r="K2" s="22">
        <f t="shared" ref="K2:K6746" si="2">IF(D2="Cancelled", 1, 0)</f>
        <v>0</v>
      </c>
    </row>
    <row r="3">
      <c r="A3" s="18">
        <v>867.0</v>
      </c>
      <c r="B3" s="18" t="s">
        <v>30</v>
      </c>
      <c r="C3" s="18">
        <v>1.0</v>
      </c>
      <c r="D3" s="18" t="s">
        <v>31</v>
      </c>
      <c r="E3" s="26">
        <v>42562.74791666667</v>
      </c>
      <c r="F3" s="19">
        <f>IFERROR(__xludf.DUMMYFUNCTION("IFERROR(TO_DATE(E3), """")"),42562.74791666667)</f>
        <v>42562.74792</v>
      </c>
      <c r="G3" s="20">
        <f t="shared" si="1"/>
        <v>17</v>
      </c>
      <c r="H3" s="26">
        <v>42562.782638888886</v>
      </c>
      <c r="I3" s="19">
        <f>IFERROR(__xludf.DUMMYFUNCTION("IFERROR(TO_DATE(H3), """")"),42562.782638888886)</f>
        <v>42562.78264</v>
      </c>
      <c r="J3" s="19" t="s">
        <v>12</v>
      </c>
      <c r="K3" s="22">
        <f t="shared" si="2"/>
        <v>0</v>
      </c>
    </row>
    <row r="4">
      <c r="A4" s="18">
        <v>1807.0</v>
      </c>
      <c r="B4" s="18" t="s">
        <v>32</v>
      </c>
      <c r="C4" s="18">
        <v>1.0</v>
      </c>
      <c r="D4" s="18" t="s">
        <v>31</v>
      </c>
      <c r="E4" s="26">
        <v>42563.38680555556</v>
      </c>
      <c r="F4" s="19">
        <f>IFERROR(__xludf.DUMMYFUNCTION("IFERROR(TO_DATE(E4), """")"),42563.38680555556)</f>
        <v>42563.38681</v>
      </c>
      <c r="G4" s="20">
        <f t="shared" si="1"/>
        <v>9</v>
      </c>
      <c r="H4" s="26">
        <v>42563.41527777778</v>
      </c>
      <c r="I4" s="19">
        <f>IFERROR(__xludf.DUMMYFUNCTION("IFERROR(TO_DATE(H4), """")"),42563.41527777778)</f>
        <v>42563.41528</v>
      </c>
      <c r="J4" s="19" t="s">
        <v>14</v>
      </c>
      <c r="K4" s="22">
        <f t="shared" si="2"/>
        <v>0</v>
      </c>
    </row>
    <row r="5">
      <c r="A5" s="18">
        <v>2532.0</v>
      </c>
      <c r="B5" s="18" t="s">
        <v>30</v>
      </c>
      <c r="C5" s="18">
        <v>1.0</v>
      </c>
      <c r="D5" s="18" t="s">
        <v>31</v>
      </c>
      <c r="E5" s="26">
        <v>42563.88055555556</v>
      </c>
      <c r="F5" s="19">
        <f>IFERROR(__xludf.DUMMYFUNCTION("IFERROR(TO_DATE(E5), """")"),42563.88055555556)</f>
        <v>42563.88056</v>
      </c>
      <c r="G5" s="20">
        <f t="shared" si="1"/>
        <v>21</v>
      </c>
      <c r="H5" s="26">
        <v>42563.91875</v>
      </c>
      <c r="I5" s="19">
        <f>IFERROR(__xludf.DUMMYFUNCTION("IFERROR(TO_DATE(H5), """")"),42563.91875)</f>
        <v>42563.91875</v>
      </c>
      <c r="J5" s="19" t="s">
        <v>13</v>
      </c>
      <c r="K5" s="22">
        <f t="shared" si="2"/>
        <v>0</v>
      </c>
    </row>
    <row r="6">
      <c r="A6" s="18">
        <v>3112.0</v>
      </c>
      <c r="B6" s="18" t="s">
        <v>32</v>
      </c>
      <c r="C6" s="18">
        <v>1.0</v>
      </c>
      <c r="D6" s="18" t="s">
        <v>31</v>
      </c>
      <c r="E6" s="27">
        <v>42564.35643518518</v>
      </c>
      <c r="F6" s="19">
        <f>IFERROR(__xludf.DUMMYFUNCTION("IFERROR(TO_DATE(E6), """")"),42564.35643518518)</f>
        <v>42564.35644</v>
      </c>
      <c r="G6" s="20">
        <f t="shared" si="1"/>
        <v>8</v>
      </c>
      <c r="H6" s="27">
        <v>42564.392905092594</v>
      </c>
      <c r="I6" s="19">
        <f>IFERROR(__xludf.DUMMYFUNCTION("IFERROR(TO_DATE(H6), """")"),42564.392905092594)</f>
        <v>42564.39291</v>
      </c>
      <c r="J6" s="19" t="s">
        <v>14</v>
      </c>
      <c r="K6" s="22">
        <f t="shared" si="2"/>
        <v>0</v>
      </c>
    </row>
    <row r="7">
      <c r="A7" s="18">
        <v>3879.0</v>
      </c>
      <c r="B7" s="18" t="s">
        <v>30</v>
      </c>
      <c r="C7" s="18">
        <v>1.0</v>
      </c>
      <c r="D7" s="18" t="s">
        <v>31</v>
      </c>
      <c r="E7" s="27">
        <v>42564.91490740741</v>
      </c>
      <c r="F7" s="19">
        <f>IFERROR(__xludf.DUMMYFUNCTION("IFERROR(TO_DATE(E7), """")"),42564.91490740741)</f>
        <v>42564.91491</v>
      </c>
      <c r="G7" s="20">
        <f t="shared" si="1"/>
        <v>21</v>
      </c>
      <c r="H7" s="27">
        <v>42564.936793981484</v>
      </c>
      <c r="I7" s="19">
        <f>IFERROR(__xludf.DUMMYFUNCTION("IFERROR(TO_DATE(H7), """")"),42564.936793981484)</f>
        <v>42564.93679</v>
      </c>
      <c r="J7" s="19" t="s">
        <v>13</v>
      </c>
      <c r="K7" s="22">
        <f t="shared" si="2"/>
        <v>0</v>
      </c>
    </row>
    <row r="8">
      <c r="A8" s="18">
        <v>4270.0</v>
      </c>
      <c r="B8" s="18" t="s">
        <v>30</v>
      </c>
      <c r="C8" s="18">
        <v>1.0</v>
      </c>
      <c r="D8" s="18" t="s">
        <v>31</v>
      </c>
      <c r="E8" s="27">
        <v>42565.260787037034</v>
      </c>
      <c r="F8" s="19">
        <f>IFERROR(__xludf.DUMMYFUNCTION("IFERROR(TO_DATE(E8), """")"),42565.260787037034)</f>
        <v>42565.26079</v>
      </c>
      <c r="G8" s="20">
        <f t="shared" si="1"/>
        <v>6</v>
      </c>
      <c r="H8" s="27">
        <v>42565.30086805556</v>
      </c>
      <c r="I8" s="19">
        <f>IFERROR(__xludf.DUMMYFUNCTION("IFERROR(TO_DATE(H8), """")"),42565.30086805556)</f>
        <v>42565.30087</v>
      </c>
      <c r="J8" s="19" t="s">
        <v>11</v>
      </c>
      <c r="K8" s="22">
        <f t="shared" si="2"/>
        <v>0</v>
      </c>
    </row>
    <row r="9">
      <c r="A9" s="18">
        <v>5510.0</v>
      </c>
      <c r="B9" s="18" t="s">
        <v>30</v>
      </c>
      <c r="C9" s="18">
        <v>1.0</v>
      </c>
      <c r="D9" s="18" t="s">
        <v>31</v>
      </c>
      <c r="E9" s="27">
        <v>42566.216574074075</v>
      </c>
      <c r="F9" s="19">
        <f>IFERROR(__xludf.DUMMYFUNCTION("IFERROR(TO_DATE(E9), """")"),42566.216574074075)</f>
        <v>42566.21657</v>
      </c>
      <c r="G9" s="20">
        <f t="shared" si="1"/>
        <v>5</v>
      </c>
      <c r="H9" s="27">
        <v>42566.25546296296</v>
      </c>
      <c r="I9" s="19">
        <f>IFERROR(__xludf.DUMMYFUNCTION("IFERROR(TO_DATE(H9), """")"),42566.25546296296)</f>
        <v>42566.25546</v>
      </c>
      <c r="J9" s="19" t="s">
        <v>11</v>
      </c>
      <c r="K9" s="22">
        <f t="shared" si="2"/>
        <v>0</v>
      </c>
    </row>
    <row r="10">
      <c r="A10" s="18">
        <v>6248.0</v>
      </c>
      <c r="B10" s="18" t="s">
        <v>32</v>
      </c>
      <c r="C10" s="18">
        <v>1.0</v>
      </c>
      <c r="D10" s="18" t="s">
        <v>31</v>
      </c>
      <c r="E10" s="27">
        <v>42566.74822916667</v>
      </c>
      <c r="F10" s="19">
        <f>IFERROR(__xludf.DUMMYFUNCTION("IFERROR(TO_DATE(E10), """")"),42566.74822916667)</f>
        <v>42566.74823</v>
      </c>
      <c r="G10" s="20">
        <f t="shared" si="1"/>
        <v>17</v>
      </c>
      <c r="H10" s="27">
        <v>42566.7853125</v>
      </c>
      <c r="I10" s="19">
        <f>IFERROR(__xludf.DUMMYFUNCTION("IFERROR(TO_DATE(H10), """")"),42566.7853125)</f>
        <v>42566.78531</v>
      </c>
      <c r="J10" s="19" t="s">
        <v>12</v>
      </c>
      <c r="K10" s="22">
        <f t="shared" si="2"/>
        <v>0</v>
      </c>
    </row>
    <row r="11">
      <c r="A11" s="18">
        <v>267.0</v>
      </c>
      <c r="B11" s="18" t="s">
        <v>32</v>
      </c>
      <c r="C11" s="18">
        <v>2.0</v>
      </c>
      <c r="D11" s="18" t="s">
        <v>31</v>
      </c>
      <c r="E11" s="26">
        <v>42562.28194444445</v>
      </c>
      <c r="F11" s="19">
        <f>IFERROR(__xludf.DUMMYFUNCTION("IFERROR(TO_DATE(E11), """")"),42562.28194444445)</f>
        <v>42562.28194</v>
      </c>
      <c r="G11" s="20">
        <f t="shared" si="1"/>
        <v>6</v>
      </c>
      <c r="H11" s="26">
        <v>42562.30902777778</v>
      </c>
      <c r="I11" s="19">
        <f>IFERROR(__xludf.DUMMYFUNCTION("IFERROR(TO_DATE(H11), """")"),42562.30902777778)</f>
        <v>42562.30903</v>
      </c>
      <c r="J11" s="19" t="s">
        <v>11</v>
      </c>
      <c r="K11" s="22">
        <f t="shared" si="2"/>
        <v>0</v>
      </c>
    </row>
    <row r="12">
      <c r="A12" s="18">
        <v>1467.0</v>
      </c>
      <c r="B12" s="18" t="s">
        <v>30</v>
      </c>
      <c r="C12" s="18">
        <v>2.0</v>
      </c>
      <c r="D12" s="18" t="s">
        <v>31</v>
      </c>
      <c r="E12" s="26">
        <v>42563.21388888889</v>
      </c>
      <c r="F12" s="19">
        <f>IFERROR(__xludf.DUMMYFUNCTION("IFERROR(TO_DATE(E12), """")"),42563.21388888889)</f>
        <v>42563.21389</v>
      </c>
      <c r="G12" s="20">
        <f t="shared" si="1"/>
        <v>5</v>
      </c>
      <c r="H12" s="26">
        <v>42563.251388888886</v>
      </c>
      <c r="I12" s="19">
        <f>IFERROR(__xludf.DUMMYFUNCTION("IFERROR(TO_DATE(H12), """")"),42563.251388888886)</f>
        <v>42563.25139</v>
      </c>
      <c r="J12" s="19" t="s">
        <v>11</v>
      </c>
      <c r="K12" s="22">
        <f t="shared" si="2"/>
        <v>0</v>
      </c>
    </row>
    <row r="13">
      <c r="A13" s="18">
        <v>1983.0</v>
      </c>
      <c r="B13" s="18" t="s">
        <v>32</v>
      </c>
      <c r="C13" s="18">
        <v>2.0</v>
      </c>
      <c r="D13" s="18" t="s">
        <v>31</v>
      </c>
      <c r="E13" s="26">
        <v>42563.520833333336</v>
      </c>
      <c r="F13" s="19">
        <f>IFERROR(__xludf.DUMMYFUNCTION("IFERROR(TO_DATE(E13), """")"),42563.520833333336)</f>
        <v>42563.52083</v>
      </c>
      <c r="G13" s="20">
        <f t="shared" si="1"/>
        <v>12</v>
      </c>
      <c r="H13" s="26">
        <v>42563.53958333333</v>
      </c>
      <c r="I13" s="19">
        <f>IFERROR(__xludf.DUMMYFUNCTION("IFERROR(TO_DATE(H13), """")"),42563.53958333333)</f>
        <v>42563.53958</v>
      </c>
      <c r="J13" s="19" t="s">
        <v>10</v>
      </c>
      <c r="K13" s="22">
        <f t="shared" si="2"/>
        <v>0</v>
      </c>
    </row>
    <row r="14">
      <c r="A14" s="18">
        <v>2784.0</v>
      </c>
      <c r="B14" s="18" t="s">
        <v>30</v>
      </c>
      <c r="C14" s="18">
        <v>2.0</v>
      </c>
      <c r="D14" s="18" t="s">
        <v>31</v>
      </c>
      <c r="E14" s="27">
        <v>42564.20092592593</v>
      </c>
      <c r="F14" s="19">
        <f>IFERROR(__xludf.DUMMYFUNCTION("IFERROR(TO_DATE(E14), """")"),42564.20092592593)</f>
        <v>42564.20093</v>
      </c>
      <c r="G14" s="20">
        <f t="shared" si="1"/>
        <v>4</v>
      </c>
      <c r="H14" s="27">
        <v>42564.224340277775</v>
      </c>
      <c r="I14" s="19">
        <f>IFERROR(__xludf.DUMMYFUNCTION("IFERROR(TO_DATE(H14), """")"),42564.224340277775)</f>
        <v>42564.22434</v>
      </c>
      <c r="J14" s="19" t="s">
        <v>11</v>
      </c>
      <c r="K14" s="22">
        <f t="shared" si="2"/>
        <v>0</v>
      </c>
    </row>
    <row r="15">
      <c r="A15" s="18">
        <v>3075.0</v>
      </c>
      <c r="B15" s="18" t="s">
        <v>32</v>
      </c>
      <c r="C15" s="18">
        <v>2.0</v>
      </c>
      <c r="D15" s="18" t="s">
        <v>31</v>
      </c>
      <c r="E15" s="27">
        <v>42564.335335648146</v>
      </c>
      <c r="F15" s="19">
        <f>IFERROR(__xludf.DUMMYFUNCTION("IFERROR(TO_DATE(E15), """")"),42564.335335648146)</f>
        <v>42564.33534</v>
      </c>
      <c r="G15" s="20">
        <f t="shared" si="1"/>
        <v>8</v>
      </c>
      <c r="H15" s="27">
        <v>42564.38633101852</v>
      </c>
      <c r="I15" s="19">
        <f>IFERROR(__xludf.DUMMYFUNCTION("IFERROR(TO_DATE(H15), """")"),42564.38633101852)</f>
        <v>42564.38633</v>
      </c>
      <c r="J15" s="19" t="s">
        <v>14</v>
      </c>
      <c r="K15" s="22">
        <f t="shared" si="2"/>
        <v>0</v>
      </c>
    </row>
    <row r="16">
      <c r="A16" s="18">
        <v>3379.0</v>
      </c>
      <c r="B16" s="18" t="s">
        <v>32</v>
      </c>
      <c r="C16" s="18">
        <v>2.0</v>
      </c>
      <c r="D16" s="18" t="s">
        <v>31</v>
      </c>
      <c r="E16" s="27">
        <v>42564.599328703705</v>
      </c>
      <c r="F16" s="19">
        <f>IFERROR(__xludf.DUMMYFUNCTION("IFERROR(TO_DATE(E16), """")"),42564.599328703705)</f>
        <v>42564.59933</v>
      </c>
      <c r="G16" s="20">
        <f t="shared" si="1"/>
        <v>14</v>
      </c>
      <c r="H16" s="27">
        <v>42564.649513888886</v>
      </c>
      <c r="I16" s="19">
        <f>IFERROR(__xludf.DUMMYFUNCTION("IFERROR(TO_DATE(H16), """")"),42564.649513888886)</f>
        <v>42564.64951</v>
      </c>
      <c r="J16" s="19" t="s">
        <v>10</v>
      </c>
      <c r="K16" s="22">
        <f t="shared" si="2"/>
        <v>0</v>
      </c>
    </row>
    <row r="17">
      <c r="A17" s="18">
        <v>3482.0</v>
      </c>
      <c r="B17" s="18" t="s">
        <v>30</v>
      </c>
      <c r="C17" s="18">
        <v>2.0</v>
      </c>
      <c r="D17" s="18" t="s">
        <v>31</v>
      </c>
      <c r="E17" s="27">
        <v>42564.72451388889</v>
      </c>
      <c r="F17" s="19">
        <f>IFERROR(__xludf.DUMMYFUNCTION("IFERROR(TO_DATE(E17), """")"),42564.72451388889)</f>
        <v>42564.72451</v>
      </c>
      <c r="G17" s="20">
        <f t="shared" si="1"/>
        <v>17</v>
      </c>
      <c r="H17" s="27">
        <v>42564.76447916667</v>
      </c>
      <c r="I17" s="19">
        <f>IFERROR(__xludf.DUMMYFUNCTION("IFERROR(TO_DATE(H17), """")"),42564.76447916667)</f>
        <v>42564.76448</v>
      </c>
      <c r="J17" s="19" t="s">
        <v>12</v>
      </c>
      <c r="K17" s="22">
        <f t="shared" si="2"/>
        <v>0</v>
      </c>
    </row>
    <row r="18">
      <c r="A18" s="18">
        <v>4652.0</v>
      </c>
      <c r="B18" s="18" t="s">
        <v>32</v>
      </c>
      <c r="C18" s="18">
        <v>2.0</v>
      </c>
      <c r="D18" s="18" t="s">
        <v>31</v>
      </c>
      <c r="E18" s="27">
        <v>42565.50071759259</v>
      </c>
      <c r="F18" s="19">
        <f>IFERROR(__xludf.DUMMYFUNCTION("IFERROR(TO_DATE(E18), """")"),42565.50071759259)</f>
        <v>42565.50072</v>
      </c>
      <c r="G18" s="20">
        <f t="shared" si="1"/>
        <v>12</v>
      </c>
      <c r="H18" s="27">
        <v>42565.52553240741</v>
      </c>
      <c r="I18" s="19">
        <f>IFERROR(__xludf.DUMMYFUNCTION("IFERROR(TO_DATE(H18), """")"),42565.52553240741)</f>
        <v>42565.52553</v>
      </c>
      <c r="J18" s="19" t="s">
        <v>10</v>
      </c>
      <c r="K18" s="22">
        <f t="shared" si="2"/>
        <v>0</v>
      </c>
    </row>
    <row r="19">
      <c r="A19" s="18">
        <v>5335.0</v>
      </c>
      <c r="B19" s="18" t="s">
        <v>30</v>
      </c>
      <c r="C19" s="18">
        <v>2.0</v>
      </c>
      <c r="D19" s="18" t="s">
        <v>31</v>
      </c>
      <c r="E19" s="27">
        <v>42565.933483796296</v>
      </c>
      <c r="F19" s="19">
        <f>IFERROR(__xludf.DUMMYFUNCTION("IFERROR(TO_DATE(E19), """")"),42565.933483796296)</f>
        <v>42565.93348</v>
      </c>
      <c r="G19" s="20">
        <f t="shared" si="1"/>
        <v>22</v>
      </c>
      <c r="H19" s="27">
        <v>42565.97143518519</v>
      </c>
      <c r="I19" s="19">
        <f>IFERROR(__xludf.DUMMYFUNCTION("IFERROR(TO_DATE(H19), """")"),42565.97143518519)</f>
        <v>42565.97144</v>
      </c>
      <c r="J19" s="19" t="s">
        <v>13</v>
      </c>
      <c r="K19" s="22">
        <f t="shared" si="2"/>
        <v>0</v>
      </c>
    </row>
    <row r="20">
      <c r="A20" s="18">
        <v>535.0</v>
      </c>
      <c r="B20" s="18" t="s">
        <v>30</v>
      </c>
      <c r="C20" s="18">
        <v>3.0</v>
      </c>
      <c r="D20" s="18" t="s">
        <v>31</v>
      </c>
      <c r="E20" s="26">
        <v>42562.416666666664</v>
      </c>
      <c r="F20" s="19">
        <f>IFERROR(__xludf.DUMMYFUNCTION("IFERROR(TO_DATE(E20), """")"),42562.416666666664)</f>
        <v>42562.41667</v>
      </c>
      <c r="G20" s="20">
        <f t="shared" si="1"/>
        <v>10</v>
      </c>
      <c r="H20" s="26">
        <v>42562.43819444445</v>
      </c>
      <c r="I20" s="19">
        <f>IFERROR(__xludf.DUMMYFUNCTION("IFERROR(TO_DATE(H20), """")"),42562.43819444445)</f>
        <v>42562.43819</v>
      </c>
      <c r="J20" s="19" t="s">
        <v>14</v>
      </c>
      <c r="K20" s="22">
        <f t="shared" si="2"/>
        <v>0</v>
      </c>
    </row>
    <row r="21">
      <c r="A21" s="18">
        <v>960.0</v>
      </c>
      <c r="B21" s="18" t="s">
        <v>30</v>
      </c>
      <c r="C21" s="18">
        <v>3.0</v>
      </c>
      <c r="D21" s="18" t="s">
        <v>31</v>
      </c>
      <c r="E21" s="26">
        <v>42562.78125</v>
      </c>
      <c r="F21" s="19">
        <f>IFERROR(__xludf.DUMMYFUNCTION("IFERROR(TO_DATE(E21), """")"),42562.78125)</f>
        <v>42562.78125</v>
      </c>
      <c r="G21" s="20">
        <f t="shared" si="1"/>
        <v>18</v>
      </c>
      <c r="H21" s="26">
        <v>42562.80763888889</v>
      </c>
      <c r="I21" s="19">
        <f>IFERROR(__xludf.DUMMYFUNCTION("IFERROR(TO_DATE(H21), """")"),42562.80763888889)</f>
        <v>42562.80764</v>
      </c>
      <c r="J21" s="19" t="s">
        <v>12</v>
      </c>
      <c r="K21" s="22">
        <f t="shared" si="2"/>
        <v>0</v>
      </c>
    </row>
    <row r="22">
      <c r="A22" s="18">
        <v>1934.0</v>
      </c>
      <c r="B22" s="18" t="s">
        <v>30</v>
      </c>
      <c r="C22" s="18">
        <v>3.0</v>
      </c>
      <c r="D22" s="18" t="s">
        <v>31</v>
      </c>
      <c r="E22" s="26">
        <v>42563.470138888886</v>
      </c>
      <c r="F22" s="19">
        <f>IFERROR(__xludf.DUMMYFUNCTION("IFERROR(TO_DATE(E22), """")"),42563.470138888886)</f>
        <v>42563.47014</v>
      </c>
      <c r="G22" s="20">
        <f t="shared" si="1"/>
        <v>11</v>
      </c>
      <c r="H22" s="26">
        <v>42563.51597222222</v>
      </c>
      <c r="I22" s="19">
        <f>IFERROR(__xludf.DUMMYFUNCTION("IFERROR(TO_DATE(H22), """")"),42563.51597222222)</f>
        <v>42563.51597</v>
      </c>
      <c r="J22" s="19" t="s">
        <v>14</v>
      </c>
      <c r="K22" s="22">
        <f t="shared" si="2"/>
        <v>0</v>
      </c>
    </row>
    <row r="23">
      <c r="A23" s="18">
        <v>2083.0</v>
      </c>
      <c r="B23" s="18" t="s">
        <v>30</v>
      </c>
      <c r="C23" s="18">
        <v>3.0</v>
      </c>
      <c r="D23" s="18" t="s">
        <v>31</v>
      </c>
      <c r="E23" s="26">
        <v>42563.65694444445</v>
      </c>
      <c r="F23" s="19">
        <f>IFERROR(__xludf.DUMMYFUNCTION("IFERROR(TO_DATE(E23), """")"),42563.65694444445)</f>
        <v>42563.65694</v>
      </c>
      <c r="G23" s="20">
        <f t="shared" si="1"/>
        <v>15</v>
      </c>
      <c r="H23" s="26">
        <v>42563.694444444445</v>
      </c>
      <c r="I23" s="19">
        <f>IFERROR(__xludf.DUMMYFUNCTION("IFERROR(TO_DATE(H23), """")"),42563.694444444445)</f>
        <v>42563.69444</v>
      </c>
      <c r="J23" s="19" t="s">
        <v>10</v>
      </c>
      <c r="K23" s="22">
        <f t="shared" si="2"/>
        <v>0</v>
      </c>
    </row>
    <row r="24">
      <c r="A24" s="18">
        <v>2211.0</v>
      </c>
      <c r="B24" s="18" t="s">
        <v>30</v>
      </c>
      <c r="C24" s="18">
        <v>3.0</v>
      </c>
      <c r="D24" s="18" t="s">
        <v>31</v>
      </c>
      <c r="E24" s="26">
        <v>42563.75</v>
      </c>
      <c r="F24" s="19">
        <f>IFERROR(__xludf.DUMMYFUNCTION("IFERROR(TO_DATE(E24), """")"),42563.75)</f>
        <v>42563.75</v>
      </c>
      <c r="G24" s="20">
        <f t="shared" si="1"/>
        <v>18</v>
      </c>
      <c r="H24" s="26">
        <v>42563.76944444444</v>
      </c>
      <c r="I24" s="19">
        <f>IFERROR(__xludf.DUMMYFUNCTION("IFERROR(TO_DATE(H24), """")"),42563.76944444444)</f>
        <v>42563.76944</v>
      </c>
      <c r="J24" s="19" t="s">
        <v>12</v>
      </c>
      <c r="K24" s="22">
        <f t="shared" si="2"/>
        <v>0</v>
      </c>
    </row>
    <row r="25">
      <c r="A25" s="18">
        <v>3096.0</v>
      </c>
      <c r="B25" s="18" t="s">
        <v>30</v>
      </c>
      <c r="C25" s="18">
        <v>3.0</v>
      </c>
      <c r="D25" s="18" t="s">
        <v>31</v>
      </c>
      <c r="E25" s="27">
        <v>42564.34547453704</v>
      </c>
      <c r="F25" s="19">
        <f>IFERROR(__xludf.DUMMYFUNCTION("IFERROR(TO_DATE(E25), """")"),42564.34547453704)</f>
        <v>42564.34547</v>
      </c>
      <c r="G25" s="20">
        <f t="shared" si="1"/>
        <v>8</v>
      </c>
      <c r="H25" s="27">
        <v>42564.390706018516</v>
      </c>
      <c r="I25" s="19">
        <f>IFERROR(__xludf.DUMMYFUNCTION("IFERROR(TO_DATE(H25), """")"),42564.390706018516)</f>
        <v>42564.39071</v>
      </c>
      <c r="J25" s="19" t="s">
        <v>14</v>
      </c>
      <c r="K25" s="22">
        <f t="shared" si="2"/>
        <v>0</v>
      </c>
    </row>
    <row r="26">
      <c r="A26" s="18">
        <v>3881.0</v>
      </c>
      <c r="B26" s="18" t="s">
        <v>30</v>
      </c>
      <c r="C26" s="18">
        <v>3.0</v>
      </c>
      <c r="D26" s="18" t="s">
        <v>31</v>
      </c>
      <c r="E26" s="27">
        <v>42564.91270833334</v>
      </c>
      <c r="F26" s="19">
        <f>IFERROR(__xludf.DUMMYFUNCTION("IFERROR(TO_DATE(E26), """")"),42564.91270833334)</f>
        <v>42564.91271</v>
      </c>
      <c r="G26" s="20">
        <f t="shared" si="1"/>
        <v>21</v>
      </c>
      <c r="H26" s="27">
        <v>42564.95234953704</v>
      </c>
      <c r="I26" s="19">
        <f>IFERROR(__xludf.DUMMYFUNCTION("IFERROR(TO_DATE(H26), """")"),42564.95234953704)</f>
        <v>42564.95235</v>
      </c>
      <c r="J26" s="19" t="s">
        <v>13</v>
      </c>
      <c r="K26" s="22">
        <f t="shared" si="2"/>
        <v>0</v>
      </c>
    </row>
    <row r="27">
      <c r="A27" s="18">
        <v>5254.0</v>
      </c>
      <c r="B27" s="18" t="s">
        <v>32</v>
      </c>
      <c r="C27" s="18">
        <v>3.0</v>
      </c>
      <c r="D27" s="18" t="s">
        <v>31</v>
      </c>
      <c r="E27" s="27">
        <v>42565.89100694445</v>
      </c>
      <c r="F27" s="19">
        <f>IFERROR(__xludf.DUMMYFUNCTION("IFERROR(TO_DATE(E27), """")"),42565.89100694445)</f>
        <v>42565.89101</v>
      </c>
      <c r="G27" s="20">
        <f t="shared" si="1"/>
        <v>21</v>
      </c>
      <c r="H27" s="27">
        <v>42565.93424768518</v>
      </c>
      <c r="I27" s="19">
        <f>IFERROR(__xludf.DUMMYFUNCTION("IFERROR(TO_DATE(H27), """")"),42565.93424768518)</f>
        <v>42565.93425</v>
      </c>
      <c r="J27" s="19" t="s">
        <v>13</v>
      </c>
      <c r="K27" s="22">
        <f t="shared" si="2"/>
        <v>0</v>
      </c>
    </row>
    <row r="28">
      <c r="A28" s="18">
        <v>5434.0</v>
      </c>
      <c r="B28" s="18" t="s">
        <v>32</v>
      </c>
      <c r="C28" s="18">
        <v>3.0</v>
      </c>
      <c r="D28" s="18" t="s">
        <v>31</v>
      </c>
      <c r="E28" s="27">
        <v>42566.11224537037</v>
      </c>
      <c r="F28" s="19">
        <f>IFERROR(__xludf.DUMMYFUNCTION("IFERROR(TO_DATE(E28), """")"),42566.11224537037)</f>
        <v>42566.11225</v>
      </c>
      <c r="G28" s="20">
        <f t="shared" si="1"/>
        <v>2</v>
      </c>
      <c r="H28" s="27">
        <v>42566.142164351855</v>
      </c>
      <c r="I28" s="19">
        <f>IFERROR(__xludf.DUMMYFUNCTION("IFERROR(TO_DATE(H28), """")"),42566.142164351855)</f>
        <v>42566.14216</v>
      </c>
      <c r="J28" s="19" t="s">
        <v>15</v>
      </c>
      <c r="K28" s="22">
        <f t="shared" si="2"/>
        <v>0</v>
      </c>
    </row>
    <row r="29">
      <c r="A29" s="18">
        <v>5916.0</v>
      </c>
      <c r="B29" s="18" t="s">
        <v>32</v>
      </c>
      <c r="C29" s="18">
        <v>3.0</v>
      </c>
      <c r="D29" s="18" t="s">
        <v>31</v>
      </c>
      <c r="E29" s="27">
        <v>42566.41716435185</v>
      </c>
      <c r="F29" s="19">
        <f>IFERROR(__xludf.DUMMYFUNCTION("IFERROR(TO_DATE(E29), """")"),42566.41716435185)</f>
        <v>42566.41716</v>
      </c>
      <c r="G29" s="20">
        <f t="shared" si="1"/>
        <v>10</v>
      </c>
      <c r="H29" s="27">
        <v>42566.45354166667</v>
      </c>
      <c r="I29" s="19">
        <f>IFERROR(__xludf.DUMMYFUNCTION("IFERROR(TO_DATE(H29), """")"),42566.45354166667)</f>
        <v>42566.45354</v>
      </c>
      <c r="J29" s="19" t="s">
        <v>14</v>
      </c>
      <c r="K29" s="22">
        <f t="shared" si="2"/>
        <v>0</v>
      </c>
    </row>
    <row r="30">
      <c r="A30" s="18">
        <v>669.0</v>
      </c>
      <c r="B30" s="18" t="s">
        <v>32</v>
      </c>
      <c r="C30" s="18">
        <v>4.0</v>
      </c>
      <c r="D30" s="18" t="s">
        <v>31</v>
      </c>
      <c r="E30" s="26">
        <v>42562.54722222222</v>
      </c>
      <c r="F30" s="19">
        <f>IFERROR(__xludf.DUMMYFUNCTION("IFERROR(TO_DATE(E30), """")"),42562.54722222222)</f>
        <v>42562.54722</v>
      </c>
      <c r="G30" s="20">
        <f t="shared" si="1"/>
        <v>13</v>
      </c>
      <c r="H30" s="26">
        <v>42562.575694444444</v>
      </c>
      <c r="I30" s="19">
        <f>IFERROR(__xludf.DUMMYFUNCTION("IFERROR(TO_DATE(H30), """")"),42562.575694444444)</f>
        <v>42562.57569</v>
      </c>
      <c r="J30" s="19" t="s">
        <v>10</v>
      </c>
      <c r="K30" s="22">
        <f t="shared" si="2"/>
        <v>0</v>
      </c>
    </row>
    <row r="31">
      <c r="A31" s="18">
        <v>1567.0</v>
      </c>
      <c r="B31" s="18" t="s">
        <v>30</v>
      </c>
      <c r="C31" s="18">
        <v>4.0</v>
      </c>
      <c r="D31" s="18" t="s">
        <v>31</v>
      </c>
      <c r="E31" s="26">
        <v>42563.26458333333</v>
      </c>
      <c r="F31" s="19">
        <f>IFERROR(__xludf.DUMMYFUNCTION("IFERROR(TO_DATE(E31), """")"),42563.26458333333)</f>
        <v>42563.26458</v>
      </c>
      <c r="G31" s="20">
        <f t="shared" si="1"/>
        <v>6</v>
      </c>
      <c r="H31" s="26">
        <v>42563.29861111111</v>
      </c>
      <c r="I31" s="19">
        <f>IFERROR(__xludf.DUMMYFUNCTION("IFERROR(TO_DATE(H31), """")"),42563.29861111111)</f>
        <v>42563.29861</v>
      </c>
      <c r="J31" s="19" t="s">
        <v>11</v>
      </c>
      <c r="K31" s="22">
        <f t="shared" si="2"/>
        <v>0</v>
      </c>
    </row>
    <row r="32">
      <c r="A32" s="18">
        <v>1826.0</v>
      </c>
      <c r="B32" s="18" t="s">
        <v>32</v>
      </c>
      <c r="C32" s="18">
        <v>4.0</v>
      </c>
      <c r="D32" s="18" t="s">
        <v>31</v>
      </c>
      <c r="E32" s="26">
        <v>42563.39375</v>
      </c>
      <c r="F32" s="19">
        <f>IFERROR(__xludf.DUMMYFUNCTION("IFERROR(TO_DATE(E32), """")"),42563.39375)</f>
        <v>42563.39375</v>
      </c>
      <c r="G32" s="20">
        <f t="shared" si="1"/>
        <v>9</v>
      </c>
      <c r="H32" s="26">
        <v>42563.43541666667</v>
      </c>
      <c r="I32" s="19">
        <f>IFERROR(__xludf.DUMMYFUNCTION("IFERROR(TO_DATE(H32), """")"),42563.43541666667)</f>
        <v>42563.43542</v>
      </c>
      <c r="J32" s="19" t="s">
        <v>14</v>
      </c>
      <c r="K32" s="22">
        <f t="shared" si="2"/>
        <v>0</v>
      </c>
    </row>
    <row r="33">
      <c r="A33" s="18">
        <v>2102.0</v>
      </c>
      <c r="B33" s="18" t="s">
        <v>32</v>
      </c>
      <c r="C33" s="18">
        <v>4.0</v>
      </c>
      <c r="D33" s="18" t="s">
        <v>31</v>
      </c>
      <c r="E33" s="26">
        <v>42563.67291666667</v>
      </c>
      <c r="F33" s="19">
        <f>IFERROR(__xludf.DUMMYFUNCTION("IFERROR(TO_DATE(E33), """")"),42563.67291666667)</f>
        <v>42563.67292</v>
      </c>
      <c r="G33" s="20">
        <f t="shared" si="1"/>
        <v>16</v>
      </c>
      <c r="H33" s="26">
        <v>42563.709027777775</v>
      </c>
      <c r="I33" s="19">
        <f>IFERROR(__xludf.DUMMYFUNCTION("IFERROR(TO_DATE(H33), """")"),42563.709027777775)</f>
        <v>42563.70903</v>
      </c>
      <c r="J33" s="19" t="s">
        <v>12</v>
      </c>
      <c r="K33" s="22">
        <f t="shared" si="2"/>
        <v>0</v>
      </c>
    </row>
    <row r="34">
      <c r="A34" s="18">
        <v>2847.0</v>
      </c>
      <c r="B34" s="18" t="s">
        <v>30</v>
      </c>
      <c r="C34" s="18">
        <v>4.0</v>
      </c>
      <c r="D34" s="18" t="s">
        <v>31</v>
      </c>
      <c r="E34" s="27">
        <v>42564.23217592593</v>
      </c>
      <c r="F34" s="19">
        <f>IFERROR(__xludf.DUMMYFUNCTION("IFERROR(TO_DATE(E34), """")"),42564.23217592593)</f>
        <v>42564.23218</v>
      </c>
      <c r="G34" s="20">
        <f t="shared" si="1"/>
        <v>5</v>
      </c>
      <c r="H34" s="27">
        <v>42564.25693287037</v>
      </c>
      <c r="I34" s="19">
        <f>IFERROR(__xludf.DUMMYFUNCTION("IFERROR(TO_DATE(H34), """")"),42564.25693287037)</f>
        <v>42564.25693</v>
      </c>
      <c r="J34" s="19" t="s">
        <v>11</v>
      </c>
      <c r="K34" s="22">
        <f t="shared" si="2"/>
        <v>0</v>
      </c>
    </row>
    <row r="35">
      <c r="A35" s="18">
        <v>3722.0</v>
      </c>
      <c r="B35" s="18" t="s">
        <v>30</v>
      </c>
      <c r="C35" s="18">
        <v>4.0</v>
      </c>
      <c r="D35" s="18" t="s">
        <v>31</v>
      </c>
      <c r="E35" s="27">
        <v>42564.83193287037</v>
      </c>
      <c r="F35" s="19">
        <f>IFERROR(__xludf.DUMMYFUNCTION("IFERROR(TO_DATE(E35), """")"),42564.83193287037)</f>
        <v>42564.83193</v>
      </c>
      <c r="G35" s="20">
        <f t="shared" si="1"/>
        <v>19</v>
      </c>
      <c r="H35" s="27">
        <v>42564.85560185185</v>
      </c>
      <c r="I35" s="19">
        <f>IFERROR(__xludf.DUMMYFUNCTION("IFERROR(TO_DATE(H35), """")"),42564.85560185185)</f>
        <v>42564.8556</v>
      </c>
      <c r="J35" s="19" t="s">
        <v>12</v>
      </c>
      <c r="K35" s="22">
        <f t="shared" si="2"/>
        <v>0</v>
      </c>
    </row>
    <row r="36">
      <c r="A36" s="18">
        <v>4075.0</v>
      </c>
      <c r="B36" s="18" t="s">
        <v>32</v>
      </c>
      <c r="C36" s="18">
        <v>4.0</v>
      </c>
      <c r="D36" s="18" t="s">
        <v>31</v>
      </c>
      <c r="E36" s="27">
        <v>42565.09554398148</v>
      </c>
      <c r="F36" s="19">
        <f>IFERROR(__xludf.DUMMYFUNCTION("IFERROR(TO_DATE(E36), """")"),42565.09554398148)</f>
        <v>42565.09554</v>
      </c>
      <c r="G36" s="20">
        <f t="shared" si="1"/>
        <v>2</v>
      </c>
      <c r="H36" s="27">
        <v>42565.140023148146</v>
      </c>
      <c r="I36" s="19">
        <f>IFERROR(__xludf.DUMMYFUNCTION("IFERROR(TO_DATE(H36), """")"),42565.140023148146)</f>
        <v>42565.14002</v>
      </c>
      <c r="J36" s="19" t="s">
        <v>15</v>
      </c>
      <c r="K36" s="22">
        <f t="shared" si="2"/>
        <v>0</v>
      </c>
    </row>
    <row r="37">
      <c r="A37" s="18">
        <v>4686.0</v>
      </c>
      <c r="B37" s="18" t="s">
        <v>32</v>
      </c>
      <c r="C37" s="18">
        <v>4.0</v>
      </c>
      <c r="D37" s="18" t="s">
        <v>31</v>
      </c>
      <c r="E37" s="27">
        <v>42565.54247685185</v>
      </c>
      <c r="F37" s="19">
        <f>IFERROR(__xludf.DUMMYFUNCTION("IFERROR(TO_DATE(E37), """")"),42565.54247685185)</f>
        <v>42565.54248</v>
      </c>
      <c r="G37" s="20">
        <f t="shared" si="1"/>
        <v>13</v>
      </c>
      <c r="H37" s="27">
        <v>42565.57324074074</v>
      </c>
      <c r="I37" s="19">
        <f>IFERROR(__xludf.DUMMYFUNCTION("IFERROR(TO_DATE(H37), """")"),42565.57324074074)</f>
        <v>42565.57324</v>
      </c>
      <c r="J37" s="19" t="s">
        <v>10</v>
      </c>
      <c r="K37" s="22">
        <f t="shared" si="2"/>
        <v>0</v>
      </c>
    </row>
    <row r="38">
      <c r="A38" s="18">
        <v>5771.0</v>
      </c>
      <c r="B38" s="18" t="s">
        <v>30</v>
      </c>
      <c r="C38" s="18">
        <v>4.0</v>
      </c>
      <c r="D38" s="18" t="s">
        <v>31</v>
      </c>
      <c r="E38" s="27">
        <v>42566.35423611111</v>
      </c>
      <c r="F38" s="19">
        <f>IFERROR(__xludf.DUMMYFUNCTION("IFERROR(TO_DATE(E38), """")"),42566.35423611111)</f>
        <v>42566.35424</v>
      </c>
      <c r="G38" s="20">
        <f t="shared" si="1"/>
        <v>8</v>
      </c>
      <c r="H38" s="27">
        <v>42566.400925925926</v>
      </c>
      <c r="I38" s="19">
        <f>IFERROR(__xludf.DUMMYFUNCTION("IFERROR(TO_DATE(H38), """")"),42566.400925925926)</f>
        <v>42566.40093</v>
      </c>
      <c r="J38" s="19" t="s">
        <v>14</v>
      </c>
      <c r="K38" s="22">
        <f t="shared" si="2"/>
        <v>0</v>
      </c>
    </row>
    <row r="39">
      <c r="A39" s="18">
        <v>6106.0</v>
      </c>
      <c r="B39" s="18" t="s">
        <v>30</v>
      </c>
      <c r="C39" s="18">
        <v>4.0</v>
      </c>
      <c r="D39" s="18" t="s">
        <v>31</v>
      </c>
      <c r="E39" s="27">
        <v>42566.625925925924</v>
      </c>
      <c r="F39" s="19">
        <f>IFERROR(__xludf.DUMMYFUNCTION("IFERROR(TO_DATE(E39), """")"),42566.625925925924)</f>
        <v>42566.62593</v>
      </c>
      <c r="G39" s="20">
        <f t="shared" si="1"/>
        <v>15</v>
      </c>
      <c r="H39" s="27">
        <v>42566.657997685186</v>
      </c>
      <c r="I39" s="19">
        <f>IFERROR(__xludf.DUMMYFUNCTION("IFERROR(TO_DATE(H39), """")"),42566.657997685186)</f>
        <v>42566.658</v>
      </c>
      <c r="J39" s="19" t="s">
        <v>10</v>
      </c>
      <c r="K39" s="22">
        <f t="shared" si="2"/>
        <v>0</v>
      </c>
    </row>
    <row r="40">
      <c r="A40" s="18">
        <v>312.0</v>
      </c>
      <c r="B40" s="18" t="s">
        <v>32</v>
      </c>
      <c r="C40" s="18">
        <v>5.0</v>
      </c>
      <c r="D40" s="18" t="s">
        <v>31</v>
      </c>
      <c r="E40" s="26">
        <v>42562.31041666667</v>
      </c>
      <c r="F40" s="19">
        <f>IFERROR(__xludf.DUMMYFUNCTION("IFERROR(TO_DATE(E40), """")"),42562.31041666667)</f>
        <v>42562.31042</v>
      </c>
      <c r="G40" s="20">
        <f t="shared" si="1"/>
        <v>7</v>
      </c>
      <c r="H40" s="26">
        <v>42562.35486111111</v>
      </c>
      <c r="I40" s="19">
        <f>IFERROR(__xludf.DUMMYFUNCTION("IFERROR(TO_DATE(H40), """")"),42562.35486111111)</f>
        <v>42562.35486</v>
      </c>
      <c r="J40" s="19" t="s">
        <v>11</v>
      </c>
      <c r="K40" s="22">
        <f t="shared" si="2"/>
        <v>0</v>
      </c>
    </row>
    <row r="41">
      <c r="A41" s="18">
        <v>577.0</v>
      </c>
      <c r="B41" s="18" t="s">
        <v>30</v>
      </c>
      <c r="C41" s="18">
        <v>5.0</v>
      </c>
      <c r="D41" s="18" t="s">
        <v>31</v>
      </c>
      <c r="E41" s="26">
        <v>42562.46041666667</v>
      </c>
      <c r="F41" s="19">
        <f>IFERROR(__xludf.DUMMYFUNCTION("IFERROR(TO_DATE(E41), """")"),42562.46041666667)</f>
        <v>42562.46042</v>
      </c>
      <c r="G41" s="20">
        <f t="shared" si="1"/>
        <v>11</v>
      </c>
      <c r="H41" s="26">
        <v>42562.50069444445</v>
      </c>
      <c r="I41" s="19">
        <f>IFERROR(__xludf.DUMMYFUNCTION("IFERROR(TO_DATE(H41), """")"),42562.50069444445)</f>
        <v>42562.50069</v>
      </c>
      <c r="J41" s="19" t="s">
        <v>14</v>
      </c>
      <c r="K41" s="22">
        <f t="shared" si="2"/>
        <v>0</v>
      </c>
    </row>
    <row r="42">
      <c r="A42" s="18">
        <v>1179.0</v>
      </c>
      <c r="B42" s="18" t="s">
        <v>32</v>
      </c>
      <c r="C42" s="18">
        <v>5.0</v>
      </c>
      <c r="D42" s="18" t="s">
        <v>31</v>
      </c>
      <c r="E42" s="26">
        <v>42562.873611111114</v>
      </c>
      <c r="F42" s="19">
        <f>IFERROR(__xludf.DUMMYFUNCTION("IFERROR(TO_DATE(E42), """")"),42562.873611111114)</f>
        <v>42562.87361</v>
      </c>
      <c r="G42" s="20">
        <f t="shared" si="1"/>
        <v>20</v>
      </c>
      <c r="H42" s="26">
        <v>42562.90625</v>
      </c>
      <c r="I42" s="19">
        <f>IFERROR(__xludf.DUMMYFUNCTION("IFERROR(TO_DATE(H42), """")"),42562.90625)</f>
        <v>42562.90625</v>
      </c>
      <c r="J42" s="19" t="s">
        <v>13</v>
      </c>
      <c r="K42" s="22">
        <f t="shared" si="2"/>
        <v>0</v>
      </c>
    </row>
    <row r="43">
      <c r="A43" s="18">
        <v>1756.0</v>
      </c>
      <c r="B43" s="18" t="s">
        <v>30</v>
      </c>
      <c r="C43" s="18">
        <v>5.0</v>
      </c>
      <c r="D43" s="18" t="s">
        <v>31</v>
      </c>
      <c r="E43" s="26">
        <v>42563.36111111111</v>
      </c>
      <c r="F43" s="19">
        <f>IFERROR(__xludf.DUMMYFUNCTION("IFERROR(TO_DATE(E43), """")"),42563.36111111111)</f>
        <v>42563.36111</v>
      </c>
      <c r="G43" s="20">
        <f t="shared" si="1"/>
        <v>8</v>
      </c>
      <c r="H43" s="26">
        <v>42563.39097222222</v>
      </c>
      <c r="I43" s="19">
        <f>IFERROR(__xludf.DUMMYFUNCTION("IFERROR(TO_DATE(H43), """")"),42563.39097222222)</f>
        <v>42563.39097</v>
      </c>
      <c r="J43" s="19" t="s">
        <v>14</v>
      </c>
      <c r="K43" s="22">
        <f t="shared" si="2"/>
        <v>0</v>
      </c>
    </row>
    <row r="44">
      <c r="A44" s="18">
        <v>2052.0</v>
      </c>
      <c r="B44" s="18" t="s">
        <v>32</v>
      </c>
      <c r="C44" s="18">
        <v>5.0</v>
      </c>
      <c r="D44" s="18" t="s">
        <v>31</v>
      </c>
      <c r="E44" s="26">
        <v>42563.61666666667</v>
      </c>
      <c r="F44" s="19">
        <f>IFERROR(__xludf.DUMMYFUNCTION("IFERROR(TO_DATE(E44), """")"),42563.61666666667)</f>
        <v>42563.61667</v>
      </c>
      <c r="G44" s="20">
        <f t="shared" si="1"/>
        <v>14</v>
      </c>
      <c r="H44" s="26">
        <v>42563.65972222222</v>
      </c>
      <c r="I44" s="19">
        <f>IFERROR(__xludf.DUMMYFUNCTION("IFERROR(TO_DATE(H44), """")"),42563.65972222222)</f>
        <v>42563.65972</v>
      </c>
      <c r="J44" s="19" t="s">
        <v>10</v>
      </c>
      <c r="K44" s="22">
        <f t="shared" si="2"/>
        <v>0</v>
      </c>
    </row>
    <row r="45">
      <c r="A45" s="18">
        <v>2559.0</v>
      </c>
      <c r="B45" s="18" t="s">
        <v>32</v>
      </c>
      <c r="C45" s="18">
        <v>5.0</v>
      </c>
      <c r="D45" s="18" t="s">
        <v>31</v>
      </c>
      <c r="E45" s="26">
        <v>42563.89722222222</v>
      </c>
      <c r="F45" s="19">
        <f>IFERROR(__xludf.DUMMYFUNCTION("IFERROR(TO_DATE(E45), """")"),42563.89722222222)</f>
        <v>42563.89722</v>
      </c>
      <c r="G45" s="20">
        <f t="shared" si="1"/>
        <v>21</v>
      </c>
      <c r="H45" s="26">
        <v>42563.93680555555</v>
      </c>
      <c r="I45" s="19">
        <f>IFERROR(__xludf.DUMMYFUNCTION("IFERROR(TO_DATE(H45), """")"),42563.93680555555)</f>
        <v>42563.93681</v>
      </c>
      <c r="J45" s="19" t="s">
        <v>13</v>
      </c>
      <c r="K45" s="22">
        <f t="shared" si="2"/>
        <v>0</v>
      </c>
    </row>
    <row r="46">
      <c r="A46" s="18">
        <v>3014.0</v>
      </c>
      <c r="B46" s="18" t="s">
        <v>32</v>
      </c>
      <c r="C46" s="18">
        <v>5.0</v>
      </c>
      <c r="D46" s="18" t="s">
        <v>31</v>
      </c>
      <c r="E46" s="27">
        <v>42564.311273148145</v>
      </c>
      <c r="F46" s="19">
        <f>IFERROR(__xludf.DUMMYFUNCTION("IFERROR(TO_DATE(E46), """")"),42564.311273148145)</f>
        <v>42564.31127</v>
      </c>
      <c r="G46" s="20">
        <f t="shared" si="1"/>
        <v>7</v>
      </c>
      <c r="H46" s="27">
        <v>42564.3540162037</v>
      </c>
      <c r="I46" s="19">
        <f>IFERROR(__xludf.DUMMYFUNCTION("IFERROR(TO_DATE(H46), """")"),42564.3540162037)</f>
        <v>42564.35402</v>
      </c>
      <c r="J46" s="19" t="s">
        <v>11</v>
      </c>
      <c r="K46" s="22">
        <f t="shared" si="2"/>
        <v>0</v>
      </c>
    </row>
    <row r="47">
      <c r="A47" s="18">
        <v>3317.0</v>
      </c>
      <c r="B47" s="18" t="s">
        <v>32</v>
      </c>
      <c r="C47" s="18">
        <v>5.0</v>
      </c>
      <c r="D47" s="18" t="s">
        <v>31</v>
      </c>
      <c r="E47" s="27">
        <v>42564.510034722225</v>
      </c>
      <c r="F47" s="19">
        <f>IFERROR(__xludf.DUMMYFUNCTION("IFERROR(TO_DATE(E47), """")"),42564.510034722225)</f>
        <v>42564.51003</v>
      </c>
      <c r="G47" s="20">
        <f t="shared" si="1"/>
        <v>12</v>
      </c>
      <c r="H47" s="27">
        <v>42564.53238425926</v>
      </c>
      <c r="I47" s="19">
        <f>IFERROR(__xludf.DUMMYFUNCTION("IFERROR(TO_DATE(H47), """")"),42564.53238425926)</f>
        <v>42564.53238</v>
      </c>
      <c r="J47" s="19" t="s">
        <v>10</v>
      </c>
      <c r="K47" s="22">
        <f t="shared" si="2"/>
        <v>0</v>
      </c>
    </row>
    <row r="48">
      <c r="A48" s="18">
        <v>4297.0</v>
      </c>
      <c r="B48" s="18" t="s">
        <v>32</v>
      </c>
      <c r="C48" s="18">
        <v>5.0</v>
      </c>
      <c r="D48" s="18" t="s">
        <v>31</v>
      </c>
      <c r="E48" s="27">
        <v>42565.27987268518</v>
      </c>
      <c r="F48" s="19">
        <f>IFERROR(__xludf.DUMMYFUNCTION("IFERROR(TO_DATE(E48), """")"),42565.27987268518)</f>
        <v>42565.27987</v>
      </c>
      <c r="G48" s="20">
        <f t="shared" si="1"/>
        <v>6</v>
      </c>
      <c r="H48" s="27">
        <v>42565.32613425926</v>
      </c>
      <c r="I48" s="19">
        <f>IFERROR(__xludf.DUMMYFUNCTION("IFERROR(TO_DATE(H48), """")"),42565.32613425926)</f>
        <v>42565.32613</v>
      </c>
      <c r="J48" s="19" t="s">
        <v>11</v>
      </c>
      <c r="K48" s="22">
        <f t="shared" si="2"/>
        <v>0</v>
      </c>
    </row>
    <row r="49">
      <c r="A49" s="18">
        <v>5857.0</v>
      </c>
      <c r="B49" s="18" t="s">
        <v>30</v>
      </c>
      <c r="C49" s="18">
        <v>5.0</v>
      </c>
      <c r="D49" s="18" t="s">
        <v>31</v>
      </c>
      <c r="E49" s="27">
        <v>42566.38113425926</v>
      </c>
      <c r="F49" s="19">
        <f>IFERROR(__xludf.DUMMYFUNCTION("IFERROR(TO_DATE(E49), """")"),42566.38113425926)</f>
        <v>42566.38113</v>
      </c>
      <c r="G49" s="20">
        <f t="shared" si="1"/>
        <v>9</v>
      </c>
      <c r="H49" s="27">
        <v>42566.4216087963</v>
      </c>
      <c r="I49" s="19">
        <f>IFERROR(__xludf.DUMMYFUNCTION("IFERROR(TO_DATE(H49), """")"),42566.4216087963)</f>
        <v>42566.42161</v>
      </c>
      <c r="J49" s="19" t="s">
        <v>14</v>
      </c>
      <c r="K49" s="22">
        <f t="shared" si="2"/>
        <v>0</v>
      </c>
    </row>
    <row r="50">
      <c r="A50" s="18">
        <v>6690.0</v>
      </c>
      <c r="B50" s="18" t="s">
        <v>30</v>
      </c>
      <c r="C50" s="18">
        <v>5.0</v>
      </c>
      <c r="D50" s="18" t="s">
        <v>31</v>
      </c>
      <c r="E50" s="27">
        <v>42566.94561342592</v>
      </c>
      <c r="F50" s="19">
        <f>IFERROR(__xludf.DUMMYFUNCTION("IFERROR(TO_DATE(E50), """")"),42566.94561342592)</f>
        <v>42566.94561</v>
      </c>
      <c r="G50" s="20">
        <f t="shared" si="1"/>
        <v>22</v>
      </c>
      <c r="H50" s="27">
        <v>42566.99375</v>
      </c>
      <c r="I50" s="19">
        <f>IFERROR(__xludf.DUMMYFUNCTION("IFERROR(TO_DATE(H50), """")"),42566.99375)</f>
        <v>42566.99375</v>
      </c>
      <c r="J50" s="19" t="s">
        <v>13</v>
      </c>
      <c r="K50" s="22">
        <f t="shared" si="2"/>
        <v>0</v>
      </c>
    </row>
    <row r="51">
      <c r="A51" s="18">
        <v>1517.0</v>
      </c>
      <c r="B51" s="18" t="s">
        <v>30</v>
      </c>
      <c r="C51" s="18">
        <v>6.0</v>
      </c>
      <c r="D51" s="18" t="s">
        <v>31</v>
      </c>
      <c r="E51" s="26">
        <v>42563.239583333336</v>
      </c>
      <c r="F51" s="19">
        <f>IFERROR(__xludf.DUMMYFUNCTION("IFERROR(TO_DATE(E51), """")"),42563.239583333336)</f>
        <v>42563.23958</v>
      </c>
      <c r="G51" s="20">
        <f t="shared" si="1"/>
        <v>5</v>
      </c>
      <c r="H51" s="26">
        <v>42563.26944444444</v>
      </c>
      <c r="I51" s="19">
        <f>IFERROR(__xludf.DUMMYFUNCTION("IFERROR(TO_DATE(H51), """")"),42563.26944444444)</f>
        <v>42563.26944</v>
      </c>
      <c r="J51" s="19" t="s">
        <v>11</v>
      </c>
      <c r="K51" s="22">
        <f t="shared" si="2"/>
        <v>0</v>
      </c>
    </row>
    <row r="52">
      <c r="A52" s="18">
        <v>1999.0</v>
      </c>
      <c r="B52" s="18" t="s">
        <v>30</v>
      </c>
      <c r="C52" s="18">
        <v>6.0</v>
      </c>
      <c r="D52" s="18" t="s">
        <v>31</v>
      </c>
      <c r="E52" s="26">
        <v>42563.54305555556</v>
      </c>
      <c r="F52" s="19">
        <f>IFERROR(__xludf.DUMMYFUNCTION("IFERROR(TO_DATE(E52), """")"),42563.54305555556)</f>
        <v>42563.54306</v>
      </c>
      <c r="G52" s="20">
        <f t="shared" si="1"/>
        <v>13</v>
      </c>
      <c r="H52" s="26">
        <v>42563.57708333333</v>
      </c>
      <c r="I52" s="19">
        <f>IFERROR(__xludf.DUMMYFUNCTION("IFERROR(TO_DATE(H52), """")"),42563.57708333333)</f>
        <v>42563.57708</v>
      </c>
      <c r="J52" s="19" t="s">
        <v>10</v>
      </c>
      <c r="K52" s="22">
        <f t="shared" si="2"/>
        <v>0</v>
      </c>
    </row>
    <row r="53">
      <c r="A53" s="18">
        <v>2960.0</v>
      </c>
      <c r="B53" s="18" t="s">
        <v>30</v>
      </c>
      <c r="C53" s="18">
        <v>6.0</v>
      </c>
      <c r="D53" s="18" t="s">
        <v>31</v>
      </c>
      <c r="E53" s="27">
        <v>42564.285104166665</v>
      </c>
      <c r="F53" s="19">
        <f>IFERROR(__xludf.DUMMYFUNCTION("IFERROR(TO_DATE(E53), """")"),42564.285104166665)</f>
        <v>42564.2851</v>
      </c>
      <c r="G53" s="20">
        <f t="shared" si="1"/>
        <v>6</v>
      </c>
      <c r="H53" s="27">
        <v>42564.31984953704</v>
      </c>
      <c r="I53" s="19">
        <f>IFERROR(__xludf.DUMMYFUNCTION("IFERROR(TO_DATE(H53), """")"),42564.31984953704)</f>
        <v>42564.31985</v>
      </c>
      <c r="J53" s="19" t="s">
        <v>11</v>
      </c>
      <c r="K53" s="22">
        <f t="shared" si="2"/>
        <v>0</v>
      </c>
    </row>
    <row r="54">
      <c r="A54" s="18">
        <v>3882.0</v>
      </c>
      <c r="B54" s="18" t="s">
        <v>32</v>
      </c>
      <c r="C54" s="18">
        <v>6.0</v>
      </c>
      <c r="D54" s="18" t="s">
        <v>31</v>
      </c>
      <c r="E54" s="27">
        <v>42564.911840277775</v>
      </c>
      <c r="F54" s="19">
        <f>IFERROR(__xludf.DUMMYFUNCTION("IFERROR(TO_DATE(E54), """")"),42564.911840277775)</f>
        <v>42564.91184</v>
      </c>
      <c r="G54" s="20">
        <f t="shared" si="1"/>
        <v>21</v>
      </c>
      <c r="H54" s="27">
        <v>42564.94819444444</v>
      </c>
      <c r="I54" s="19">
        <f>IFERROR(__xludf.DUMMYFUNCTION("IFERROR(TO_DATE(H54), """")"),42564.94819444444)</f>
        <v>42564.94819</v>
      </c>
      <c r="J54" s="19" t="s">
        <v>13</v>
      </c>
      <c r="K54" s="22">
        <f t="shared" si="2"/>
        <v>0</v>
      </c>
    </row>
    <row r="55">
      <c r="A55" s="18">
        <v>4081.0</v>
      </c>
      <c r="B55" s="18" t="s">
        <v>30</v>
      </c>
      <c r="C55" s="18">
        <v>6.0</v>
      </c>
      <c r="D55" s="18" t="s">
        <v>31</v>
      </c>
      <c r="E55" s="27">
        <v>42565.109189814815</v>
      </c>
      <c r="F55" s="19">
        <f>IFERROR(__xludf.DUMMYFUNCTION("IFERROR(TO_DATE(E55), """")"),42565.109189814815)</f>
        <v>42565.10919</v>
      </c>
      <c r="G55" s="20">
        <f t="shared" si="1"/>
        <v>2</v>
      </c>
      <c r="H55" s="27">
        <v>42565.146145833336</v>
      </c>
      <c r="I55" s="19">
        <f>IFERROR(__xludf.DUMMYFUNCTION("IFERROR(TO_DATE(H55), """")"),42565.146145833336)</f>
        <v>42565.14615</v>
      </c>
      <c r="J55" s="19" t="s">
        <v>15</v>
      </c>
      <c r="K55" s="22">
        <f t="shared" si="2"/>
        <v>0</v>
      </c>
    </row>
    <row r="56">
      <c r="A56" s="18">
        <v>4740.0</v>
      </c>
      <c r="B56" s="18" t="s">
        <v>32</v>
      </c>
      <c r="C56" s="18">
        <v>6.0</v>
      </c>
      <c r="D56" s="18" t="s">
        <v>31</v>
      </c>
      <c r="E56" s="27">
        <v>42565.61813657408</v>
      </c>
      <c r="F56" s="19">
        <f>IFERROR(__xludf.DUMMYFUNCTION("IFERROR(TO_DATE(E56), """")"),42565.61813657408)</f>
        <v>42565.61814</v>
      </c>
      <c r="G56" s="20">
        <f t="shared" si="1"/>
        <v>14</v>
      </c>
      <c r="H56" s="27">
        <v>42565.651550925926</v>
      </c>
      <c r="I56" s="19">
        <f>IFERROR(__xludf.DUMMYFUNCTION("IFERROR(TO_DATE(H56), """")"),42565.651550925926)</f>
        <v>42565.65155</v>
      </c>
      <c r="J56" s="19" t="s">
        <v>10</v>
      </c>
      <c r="K56" s="22">
        <f t="shared" si="2"/>
        <v>0</v>
      </c>
    </row>
    <row r="57">
      <c r="A57" s="18">
        <v>5270.0</v>
      </c>
      <c r="B57" s="18" t="s">
        <v>32</v>
      </c>
      <c r="C57" s="18">
        <v>6.0</v>
      </c>
      <c r="D57" s="18" t="s">
        <v>31</v>
      </c>
      <c r="E57" s="27">
        <v>42565.89855324074</v>
      </c>
      <c r="F57" s="19">
        <f>IFERROR(__xludf.DUMMYFUNCTION("IFERROR(TO_DATE(E57), """")"),42565.89855324074)</f>
        <v>42565.89855</v>
      </c>
      <c r="G57" s="20">
        <f t="shared" si="1"/>
        <v>21</v>
      </c>
      <c r="H57" s="27">
        <v>42565.934525462966</v>
      </c>
      <c r="I57" s="19">
        <f>IFERROR(__xludf.DUMMYFUNCTION("IFERROR(TO_DATE(H57), """")"),42565.934525462966)</f>
        <v>42565.93453</v>
      </c>
      <c r="J57" s="19" t="s">
        <v>13</v>
      </c>
      <c r="K57" s="22">
        <f t="shared" si="2"/>
        <v>0</v>
      </c>
    </row>
    <row r="58">
      <c r="A58" s="18">
        <v>6758.0</v>
      </c>
      <c r="B58" s="18" t="s">
        <v>30</v>
      </c>
      <c r="C58" s="18">
        <v>6.0</v>
      </c>
      <c r="D58" s="18" t="s">
        <v>31</v>
      </c>
      <c r="E58" s="27">
        <v>42566.002534722225</v>
      </c>
      <c r="F58" s="19">
        <f>IFERROR(__xludf.DUMMYFUNCTION("IFERROR(TO_DATE(E58), """")"),42566.002534722225)</f>
        <v>42566.00253</v>
      </c>
      <c r="G58" s="20">
        <f t="shared" si="1"/>
        <v>0</v>
      </c>
      <c r="H58" s="27">
        <v>42566.04697916667</v>
      </c>
      <c r="I58" s="19">
        <f>IFERROR(__xludf.DUMMYFUNCTION("IFERROR(TO_DATE(H58), """")"),42566.04697916667)</f>
        <v>42566.04698</v>
      </c>
      <c r="J58" s="19" t="s">
        <v>15</v>
      </c>
      <c r="K58" s="22">
        <f t="shared" si="2"/>
        <v>0</v>
      </c>
    </row>
    <row r="59">
      <c r="A59" s="18">
        <v>5741.0</v>
      </c>
      <c r="B59" s="18" t="s">
        <v>32</v>
      </c>
      <c r="C59" s="18">
        <v>6.0</v>
      </c>
      <c r="D59" s="18" t="s">
        <v>31</v>
      </c>
      <c r="E59" s="27">
        <v>42566.328368055554</v>
      </c>
      <c r="F59" s="19">
        <f>IFERROR(__xludf.DUMMYFUNCTION("IFERROR(TO_DATE(E59), """")"),42566.328368055554)</f>
        <v>42566.32837</v>
      </c>
      <c r="G59" s="20">
        <f t="shared" si="1"/>
        <v>7</v>
      </c>
      <c r="H59" s="27">
        <v>42566.36035879629</v>
      </c>
      <c r="I59" s="19">
        <f>IFERROR(__xludf.DUMMYFUNCTION("IFERROR(TO_DATE(H59), """")"),42566.36035879629)</f>
        <v>42566.36036</v>
      </c>
      <c r="J59" s="19" t="s">
        <v>11</v>
      </c>
      <c r="K59" s="22">
        <f t="shared" si="2"/>
        <v>0</v>
      </c>
    </row>
    <row r="60">
      <c r="A60" s="18">
        <v>6087.0</v>
      </c>
      <c r="B60" s="18" t="s">
        <v>30</v>
      </c>
      <c r="C60" s="18">
        <v>6.0</v>
      </c>
      <c r="D60" s="18" t="s">
        <v>31</v>
      </c>
      <c r="E60" s="27">
        <v>42566.60335648148</v>
      </c>
      <c r="F60" s="19">
        <f>IFERROR(__xludf.DUMMYFUNCTION("IFERROR(TO_DATE(E60), """")"),42566.60335648148)</f>
        <v>42566.60336</v>
      </c>
      <c r="G60" s="20">
        <f t="shared" si="1"/>
        <v>14</v>
      </c>
      <c r="H60" s="27">
        <v>42566.64853009259</v>
      </c>
      <c r="I60" s="19">
        <f>IFERROR(__xludf.DUMMYFUNCTION("IFERROR(TO_DATE(H60), """")"),42566.64853009259)</f>
        <v>42566.64853</v>
      </c>
      <c r="J60" s="19" t="s">
        <v>10</v>
      </c>
      <c r="K60" s="22">
        <f t="shared" si="2"/>
        <v>0</v>
      </c>
    </row>
    <row r="61">
      <c r="A61" s="18">
        <v>1039.0</v>
      </c>
      <c r="B61" s="18" t="s">
        <v>32</v>
      </c>
      <c r="C61" s="18">
        <v>7.0</v>
      </c>
      <c r="D61" s="18" t="s">
        <v>31</v>
      </c>
      <c r="E61" s="26">
        <v>42562.81319444445</v>
      </c>
      <c r="F61" s="19">
        <f>IFERROR(__xludf.DUMMYFUNCTION("IFERROR(TO_DATE(E61), """")"),42562.81319444445)</f>
        <v>42562.81319</v>
      </c>
      <c r="G61" s="20">
        <f t="shared" si="1"/>
        <v>19</v>
      </c>
      <c r="H61" s="26">
        <v>42562.861805555556</v>
      </c>
      <c r="I61" s="19">
        <f>IFERROR(__xludf.DUMMYFUNCTION("IFERROR(TO_DATE(H61), """")"),42562.861805555556)</f>
        <v>42562.86181</v>
      </c>
      <c r="J61" s="19" t="s">
        <v>12</v>
      </c>
      <c r="K61" s="22">
        <f t="shared" si="2"/>
        <v>0</v>
      </c>
    </row>
    <row r="62">
      <c r="A62" s="18">
        <v>1273.0</v>
      </c>
      <c r="B62" s="18" t="s">
        <v>30</v>
      </c>
      <c r="C62" s="18">
        <v>7.0</v>
      </c>
      <c r="D62" s="18" t="s">
        <v>31</v>
      </c>
      <c r="E62" s="26">
        <v>42562.92152777778</v>
      </c>
      <c r="F62" s="19">
        <f>IFERROR(__xludf.DUMMYFUNCTION("IFERROR(TO_DATE(E62), """")"),42562.92152777778)</f>
        <v>42562.92153</v>
      </c>
      <c r="G62" s="20">
        <f t="shared" si="1"/>
        <v>22</v>
      </c>
      <c r="H62" s="26">
        <v>42562.96666666667</v>
      </c>
      <c r="I62" s="19">
        <f>IFERROR(__xludf.DUMMYFUNCTION("IFERROR(TO_DATE(H62), """")"),42562.96666666667)</f>
        <v>42562.96667</v>
      </c>
      <c r="J62" s="19" t="s">
        <v>13</v>
      </c>
      <c r="K62" s="22">
        <f t="shared" si="2"/>
        <v>0</v>
      </c>
    </row>
    <row r="63">
      <c r="A63" s="18">
        <v>2480.0</v>
      </c>
      <c r="B63" s="18" t="s">
        <v>32</v>
      </c>
      <c r="C63" s="18">
        <v>7.0</v>
      </c>
      <c r="D63" s="18" t="s">
        <v>31</v>
      </c>
      <c r="E63" s="26">
        <v>42563.86041666667</v>
      </c>
      <c r="F63" s="19">
        <f>IFERROR(__xludf.DUMMYFUNCTION("IFERROR(TO_DATE(E63), """")"),42563.86041666667)</f>
        <v>42563.86042</v>
      </c>
      <c r="G63" s="20">
        <f t="shared" si="1"/>
        <v>20</v>
      </c>
      <c r="H63" s="26">
        <v>42563.89444444444</v>
      </c>
      <c r="I63" s="19">
        <f>IFERROR(__xludf.DUMMYFUNCTION("IFERROR(TO_DATE(H63), """")"),42563.89444444444)</f>
        <v>42563.89444</v>
      </c>
      <c r="J63" s="19" t="s">
        <v>13</v>
      </c>
      <c r="K63" s="22">
        <f t="shared" si="2"/>
        <v>0</v>
      </c>
    </row>
    <row r="64">
      <c r="A64" s="18">
        <v>4105.0</v>
      </c>
      <c r="B64" s="18" t="s">
        <v>32</v>
      </c>
      <c r="C64" s="18">
        <v>7.0</v>
      </c>
      <c r="D64" s="18" t="s">
        <v>31</v>
      </c>
      <c r="E64" s="27">
        <v>42565.15252314815</v>
      </c>
      <c r="F64" s="19">
        <f>IFERROR(__xludf.DUMMYFUNCTION("IFERROR(TO_DATE(E64), """")"),42565.15252314815)</f>
        <v>42565.15252</v>
      </c>
      <c r="G64" s="20">
        <f t="shared" si="1"/>
        <v>3</v>
      </c>
      <c r="H64" s="27">
        <v>42565.1937962963</v>
      </c>
      <c r="I64" s="19">
        <f>IFERROR(__xludf.DUMMYFUNCTION("IFERROR(TO_DATE(H64), """")"),42565.1937962963)</f>
        <v>42565.1938</v>
      </c>
      <c r="J64" s="19" t="s">
        <v>15</v>
      </c>
      <c r="K64" s="22">
        <f t="shared" si="2"/>
        <v>0</v>
      </c>
    </row>
    <row r="65">
      <c r="A65" s="18">
        <v>4509.0</v>
      </c>
      <c r="B65" s="18" t="s">
        <v>32</v>
      </c>
      <c r="C65" s="18">
        <v>7.0</v>
      </c>
      <c r="D65" s="18" t="s">
        <v>31</v>
      </c>
      <c r="E65" s="27">
        <v>42565.382789351854</v>
      </c>
      <c r="F65" s="19">
        <f>IFERROR(__xludf.DUMMYFUNCTION("IFERROR(TO_DATE(E65), """")"),42565.382789351854)</f>
        <v>42565.38279</v>
      </c>
      <c r="G65" s="20">
        <f t="shared" si="1"/>
        <v>9</v>
      </c>
      <c r="H65" s="27">
        <v>42565.4284837963</v>
      </c>
      <c r="I65" s="19">
        <f>IFERROR(__xludf.DUMMYFUNCTION("IFERROR(TO_DATE(H65), """")"),42565.4284837963)</f>
        <v>42565.42848</v>
      </c>
      <c r="J65" s="19" t="s">
        <v>14</v>
      </c>
      <c r="K65" s="22">
        <f t="shared" si="2"/>
        <v>0</v>
      </c>
    </row>
    <row r="66">
      <c r="A66" s="18">
        <v>4986.0</v>
      </c>
      <c r="B66" s="18" t="s">
        <v>30</v>
      </c>
      <c r="C66" s="18">
        <v>7.0</v>
      </c>
      <c r="D66" s="18" t="s">
        <v>31</v>
      </c>
      <c r="E66" s="27">
        <v>42565.78648148148</v>
      </c>
      <c r="F66" s="19">
        <f>IFERROR(__xludf.DUMMYFUNCTION("IFERROR(TO_DATE(E66), """")"),42565.78648148148)</f>
        <v>42565.78648</v>
      </c>
      <c r="G66" s="20">
        <f t="shared" si="1"/>
        <v>18</v>
      </c>
      <c r="H66" s="27">
        <v>42565.827048611114</v>
      </c>
      <c r="I66" s="19">
        <f>IFERROR(__xludf.DUMMYFUNCTION("IFERROR(TO_DATE(H66), """")"),42565.827048611114)</f>
        <v>42565.82705</v>
      </c>
      <c r="J66" s="19" t="s">
        <v>12</v>
      </c>
      <c r="K66" s="22">
        <f t="shared" si="2"/>
        <v>0</v>
      </c>
    </row>
    <row r="67">
      <c r="A67" s="18">
        <v>5898.0</v>
      </c>
      <c r="B67" s="18" t="s">
        <v>32</v>
      </c>
      <c r="C67" s="18">
        <v>7.0</v>
      </c>
      <c r="D67" s="18" t="s">
        <v>31</v>
      </c>
      <c r="E67" s="27">
        <v>42566.410046296296</v>
      </c>
      <c r="F67" s="19">
        <f>IFERROR(__xludf.DUMMYFUNCTION("IFERROR(TO_DATE(E67), """")"),42566.410046296296)</f>
        <v>42566.41005</v>
      </c>
      <c r="G67" s="20">
        <f t="shared" si="1"/>
        <v>9</v>
      </c>
      <c r="H67" s="27">
        <v>42566.44489583333</v>
      </c>
      <c r="I67" s="19">
        <f>IFERROR(__xludf.DUMMYFUNCTION("IFERROR(TO_DATE(H67), """")"),42566.44489583333)</f>
        <v>42566.4449</v>
      </c>
      <c r="J67" s="19" t="s">
        <v>14</v>
      </c>
      <c r="K67" s="22">
        <f t="shared" si="2"/>
        <v>0</v>
      </c>
    </row>
    <row r="68">
      <c r="A68" s="18">
        <v>6142.0</v>
      </c>
      <c r="B68" s="18" t="s">
        <v>30</v>
      </c>
      <c r="C68" s="18">
        <v>7.0</v>
      </c>
      <c r="D68" s="18" t="s">
        <v>31</v>
      </c>
      <c r="E68" s="27">
        <v>42566.659895833334</v>
      </c>
      <c r="F68" s="19">
        <f>IFERROR(__xludf.DUMMYFUNCTION("IFERROR(TO_DATE(E68), """")"),42566.659895833334)</f>
        <v>42566.6599</v>
      </c>
      <c r="G68" s="20">
        <f t="shared" si="1"/>
        <v>15</v>
      </c>
      <c r="H68" s="27">
        <v>42566.69231481481</v>
      </c>
      <c r="I68" s="19">
        <f>IFERROR(__xludf.DUMMYFUNCTION("IFERROR(TO_DATE(H68), """")"),42566.69231481481)</f>
        <v>42566.69231</v>
      </c>
      <c r="J68" s="19" t="s">
        <v>10</v>
      </c>
      <c r="K68" s="22">
        <f t="shared" si="2"/>
        <v>0</v>
      </c>
    </row>
    <row r="69">
      <c r="A69" s="18">
        <v>380.0</v>
      </c>
      <c r="B69" s="18" t="s">
        <v>30</v>
      </c>
      <c r="C69" s="18">
        <v>8.0</v>
      </c>
      <c r="D69" s="18" t="s">
        <v>31</v>
      </c>
      <c r="E69" s="26">
        <v>42562.34583333333</v>
      </c>
      <c r="F69" s="19">
        <f>IFERROR(__xludf.DUMMYFUNCTION("IFERROR(TO_DATE(E69), """")"),42562.34583333333)</f>
        <v>42562.34583</v>
      </c>
      <c r="G69" s="20">
        <f t="shared" si="1"/>
        <v>8</v>
      </c>
      <c r="H69" s="26">
        <v>42562.3875</v>
      </c>
      <c r="I69" s="19">
        <f>IFERROR(__xludf.DUMMYFUNCTION("IFERROR(TO_DATE(H69), """")"),42562.3875)</f>
        <v>42562.3875</v>
      </c>
      <c r="J69" s="19" t="s">
        <v>14</v>
      </c>
      <c r="K69" s="22">
        <f t="shared" si="2"/>
        <v>0</v>
      </c>
    </row>
    <row r="70">
      <c r="A70" s="18">
        <v>1050.0</v>
      </c>
      <c r="B70" s="18" t="s">
        <v>30</v>
      </c>
      <c r="C70" s="18">
        <v>8.0</v>
      </c>
      <c r="D70" s="18" t="s">
        <v>31</v>
      </c>
      <c r="E70" s="26">
        <v>42562.81875</v>
      </c>
      <c r="F70" s="19">
        <f>IFERROR(__xludf.DUMMYFUNCTION("IFERROR(TO_DATE(E70), """")"),42562.81875)</f>
        <v>42562.81875</v>
      </c>
      <c r="G70" s="20">
        <f t="shared" si="1"/>
        <v>19</v>
      </c>
      <c r="H70" s="26">
        <v>42562.854166666664</v>
      </c>
      <c r="I70" s="19">
        <f>IFERROR(__xludf.DUMMYFUNCTION("IFERROR(TO_DATE(H70), """")"),42562.854166666664)</f>
        <v>42562.85417</v>
      </c>
      <c r="J70" s="19" t="s">
        <v>12</v>
      </c>
      <c r="K70" s="22">
        <f t="shared" si="2"/>
        <v>0</v>
      </c>
    </row>
    <row r="71">
      <c r="A71" s="18">
        <v>1769.0</v>
      </c>
      <c r="B71" s="18" t="s">
        <v>32</v>
      </c>
      <c r="C71" s="18">
        <v>8.0</v>
      </c>
      <c r="D71" s="18" t="s">
        <v>31</v>
      </c>
      <c r="E71" s="26">
        <v>42563.37291666667</v>
      </c>
      <c r="F71" s="19">
        <f>IFERROR(__xludf.DUMMYFUNCTION("IFERROR(TO_DATE(E71), """")"),42563.37291666667)</f>
        <v>42563.37292</v>
      </c>
      <c r="G71" s="20">
        <f t="shared" si="1"/>
        <v>8</v>
      </c>
      <c r="H71" s="26">
        <v>42563.39166666667</v>
      </c>
      <c r="I71" s="19">
        <f>IFERROR(__xludf.DUMMYFUNCTION("IFERROR(TO_DATE(H71), """")"),42563.39166666667)</f>
        <v>42563.39167</v>
      </c>
      <c r="J71" s="19" t="s">
        <v>14</v>
      </c>
      <c r="K71" s="22">
        <f t="shared" si="2"/>
        <v>0</v>
      </c>
    </row>
    <row r="72">
      <c r="A72" s="18">
        <v>2520.0</v>
      </c>
      <c r="B72" s="18" t="s">
        <v>32</v>
      </c>
      <c r="C72" s="18">
        <v>8.0</v>
      </c>
      <c r="D72" s="18" t="s">
        <v>31</v>
      </c>
      <c r="E72" s="26">
        <v>42563.87847222222</v>
      </c>
      <c r="F72" s="19">
        <f>IFERROR(__xludf.DUMMYFUNCTION("IFERROR(TO_DATE(E72), """")"),42563.87847222222)</f>
        <v>42563.87847</v>
      </c>
      <c r="G72" s="20">
        <f t="shared" si="1"/>
        <v>21</v>
      </c>
      <c r="H72" s="26">
        <v>42563.930555555555</v>
      </c>
      <c r="I72" s="19">
        <f>IFERROR(__xludf.DUMMYFUNCTION("IFERROR(TO_DATE(H72), """")"),42563.930555555555)</f>
        <v>42563.93056</v>
      </c>
      <c r="J72" s="19" t="s">
        <v>13</v>
      </c>
      <c r="K72" s="22">
        <f t="shared" si="2"/>
        <v>0</v>
      </c>
    </row>
    <row r="73">
      <c r="A73" s="18">
        <v>3265.0</v>
      </c>
      <c r="B73" s="18" t="s">
        <v>30</v>
      </c>
      <c r="C73" s="18">
        <v>8.0</v>
      </c>
      <c r="D73" s="18" t="s">
        <v>31</v>
      </c>
      <c r="E73" s="27">
        <v>42564.432025462964</v>
      </c>
      <c r="F73" s="19">
        <f>IFERROR(__xludf.DUMMYFUNCTION("IFERROR(TO_DATE(E73), """")"),42564.432025462964)</f>
        <v>42564.43203</v>
      </c>
      <c r="G73" s="20">
        <f t="shared" si="1"/>
        <v>10</v>
      </c>
      <c r="H73" s="27">
        <v>42564.463217592594</v>
      </c>
      <c r="I73" s="19">
        <f>IFERROR(__xludf.DUMMYFUNCTION("IFERROR(TO_DATE(H73), """")"),42564.463217592594)</f>
        <v>42564.46322</v>
      </c>
      <c r="J73" s="19" t="s">
        <v>14</v>
      </c>
      <c r="K73" s="22">
        <f t="shared" si="2"/>
        <v>0</v>
      </c>
    </row>
    <row r="74">
      <c r="A74" s="18">
        <v>4648.0</v>
      </c>
      <c r="B74" s="18" t="s">
        <v>32</v>
      </c>
      <c r="C74" s="18">
        <v>8.0</v>
      </c>
      <c r="D74" s="18" t="s">
        <v>31</v>
      </c>
      <c r="E74" s="27">
        <v>42565.49664351852</v>
      </c>
      <c r="F74" s="19">
        <f>IFERROR(__xludf.DUMMYFUNCTION("IFERROR(TO_DATE(E74), """")"),42565.49664351852)</f>
        <v>42565.49664</v>
      </c>
      <c r="G74" s="20">
        <f t="shared" si="1"/>
        <v>11</v>
      </c>
      <c r="H74" s="27">
        <v>42565.54136574074</v>
      </c>
      <c r="I74" s="19">
        <f>IFERROR(__xludf.DUMMYFUNCTION("IFERROR(TO_DATE(H74), """")"),42565.54136574074)</f>
        <v>42565.54137</v>
      </c>
      <c r="J74" s="19" t="s">
        <v>14</v>
      </c>
      <c r="K74" s="22">
        <f t="shared" si="2"/>
        <v>0</v>
      </c>
    </row>
    <row r="75">
      <c r="A75" s="18">
        <v>449.0</v>
      </c>
      <c r="B75" s="18" t="s">
        <v>30</v>
      </c>
      <c r="C75" s="18">
        <v>9.0</v>
      </c>
      <c r="D75" s="18" t="s">
        <v>31</v>
      </c>
      <c r="E75" s="26">
        <v>42562.38055555556</v>
      </c>
      <c r="F75" s="19">
        <f>IFERROR(__xludf.DUMMYFUNCTION("IFERROR(TO_DATE(E75), """")"),42562.38055555556)</f>
        <v>42562.38056</v>
      </c>
      <c r="G75" s="20">
        <f t="shared" si="1"/>
        <v>9</v>
      </c>
      <c r="H75" s="26">
        <v>42562.41111111111</v>
      </c>
      <c r="I75" s="19">
        <f>IFERROR(__xludf.DUMMYFUNCTION("IFERROR(TO_DATE(H75), """")"),42562.41111111111)</f>
        <v>42562.41111</v>
      </c>
      <c r="J75" s="19" t="s">
        <v>14</v>
      </c>
      <c r="K75" s="22">
        <f t="shared" si="2"/>
        <v>0</v>
      </c>
    </row>
    <row r="76">
      <c r="A76" s="18">
        <v>846.0</v>
      </c>
      <c r="B76" s="18" t="s">
        <v>30</v>
      </c>
      <c r="C76" s="18">
        <v>9.0</v>
      </c>
      <c r="D76" s="18" t="s">
        <v>31</v>
      </c>
      <c r="E76" s="26">
        <v>42562.740277777775</v>
      </c>
      <c r="F76" s="19">
        <f>IFERROR(__xludf.DUMMYFUNCTION("IFERROR(TO_DATE(E76), """")"),42562.740277777775)</f>
        <v>42562.74028</v>
      </c>
      <c r="G76" s="20">
        <f t="shared" si="1"/>
        <v>17</v>
      </c>
      <c r="H76" s="26">
        <v>42562.78611111111</v>
      </c>
      <c r="I76" s="19">
        <f>IFERROR(__xludf.DUMMYFUNCTION("IFERROR(TO_DATE(H76), """")"),42562.78611111111)</f>
        <v>42562.78611</v>
      </c>
      <c r="J76" s="19" t="s">
        <v>12</v>
      </c>
      <c r="K76" s="22">
        <f t="shared" si="2"/>
        <v>0</v>
      </c>
    </row>
    <row r="77">
      <c r="A77" s="18">
        <v>1346.0</v>
      </c>
      <c r="B77" s="18" t="s">
        <v>30</v>
      </c>
      <c r="C77" s="18">
        <v>9.0</v>
      </c>
      <c r="D77" s="18" t="s">
        <v>31</v>
      </c>
      <c r="E77" s="26">
        <v>42562.98541666667</v>
      </c>
      <c r="F77" s="19">
        <f>IFERROR(__xludf.DUMMYFUNCTION("IFERROR(TO_DATE(E77), """")"),42562.98541666667)</f>
        <v>42562.98542</v>
      </c>
      <c r="G77" s="20">
        <f t="shared" si="1"/>
        <v>23</v>
      </c>
      <c r="H77" s="26">
        <v>42563.01597222222</v>
      </c>
      <c r="I77" s="19">
        <f>IFERROR(__xludf.DUMMYFUNCTION("IFERROR(TO_DATE(H77), """")"),42563.01597222222)</f>
        <v>42563.01597</v>
      </c>
      <c r="J77" s="19" t="s">
        <v>13</v>
      </c>
      <c r="K77" s="22">
        <f t="shared" si="2"/>
        <v>0</v>
      </c>
    </row>
    <row r="78">
      <c r="A78" s="18">
        <v>1474.0</v>
      </c>
      <c r="B78" s="18" t="s">
        <v>30</v>
      </c>
      <c r="C78" s="18">
        <v>9.0</v>
      </c>
      <c r="D78" s="18" t="s">
        <v>31</v>
      </c>
      <c r="E78" s="26">
        <v>42563.217361111114</v>
      </c>
      <c r="F78" s="19">
        <f>IFERROR(__xludf.DUMMYFUNCTION("IFERROR(TO_DATE(E78), """")"),42563.217361111114)</f>
        <v>42563.21736</v>
      </c>
      <c r="G78" s="20">
        <f t="shared" si="1"/>
        <v>5</v>
      </c>
      <c r="H78" s="26">
        <v>42563.24722222222</v>
      </c>
      <c r="I78" s="19">
        <f>IFERROR(__xludf.DUMMYFUNCTION("IFERROR(TO_DATE(H78), """")"),42563.24722222222)</f>
        <v>42563.24722</v>
      </c>
      <c r="J78" s="19" t="s">
        <v>11</v>
      </c>
      <c r="K78" s="22">
        <f t="shared" si="2"/>
        <v>0</v>
      </c>
    </row>
    <row r="79">
      <c r="A79" s="18">
        <v>2240.0</v>
      </c>
      <c r="B79" s="18" t="s">
        <v>32</v>
      </c>
      <c r="C79" s="18">
        <v>9.0</v>
      </c>
      <c r="D79" s="18" t="s">
        <v>31</v>
      </c>
      <c r="E79" s="26">
        <v>42563.76388888889</v>
      </c>
      <c r="F79" s="19">
        <f>IFERROR(__xludf.DUMMYFUNCTION("IFERROR(TO_DATE(E79), """")"),42563.76388888889)</f>
        <v>42563.76389</v>
      </c>
      <c r="G79" s="20">
        <f t="shared" si="1"/>
        <v>18</v>
      </c>
      <c r="H79" s="26">
        <v>42563.7875</v>
      </c>
      <c r="I79" s="19">
        <f>IFERROR(__xludf.DUMMYFUNCTION("IFERROR(TO_DATE(H79), """")"),42563.7875)</f>
        <v>42563.7875</v>
      </c>
      <c r="J79" s="19" t="s">
        <v>12</v>
      </c>
      <c r="K79" s="22">
        <f t="shared" si="2"/>
        <v>0</v>
      </c>
    </row>
    <row r="80">
      <c r="A80" s="18">
        <v>3072.0</v>
      </c>
      <c r="B80" s="18" t="s">
        <v>30</v>
      </c>
      <c r="C80" s="18">
        <v>9.0</v>
      </c>
      <c r="D80" s="18" t="s">
        <v>31</v>
      </c>
      <c r="E80" s="27">
        <v>42564.33677083333</v>
      </c>
      <c r="F80" s="19">
        <f>IFERROR(__xludf.DUMMYFUNCTION("IFERROR(TO_DATE(E80), """")"),42564.33677083333)</f>
        <v>42564.33677</v>
      </c>
      <c r="G80" s="20">
        <f t="shared" si="1"/>
        <v>8</v>
      </c>
      <c r="H80" s="27">
        <v>42564.358761574076</v>
      </c>
      <c r="I80" s="19">
        <f>IFERROR(__xludf.DUMMYFUNCTION("IFERROR(TO_DATE(H80), """")"),42564.358761574076)</f>
        <v>42564.35876</v>
      </c>
      <c r="J80" s="19" t="s">
        <v>14</v>
      </c>
      <c r="K80" s="22">
        <f t="shared" si="2"/>
        <v>0</v>
      </c>
    </row>
    <row r="81">
      <c r="A81" s="18">
        <v>3459.0</v>
      </c>
      <c r="B81" s="18" t="s">
        <v>30</v>
      </c>
      <c r="C81" s="18">
        <v>9.0</v>
      </c>
      <c r="D81" s="18" t="s">
        <v>31</v>
      </c>
      <c r="E81" s="27">
        <v>42564.71076388889</v>
      </c>
      <c r="F81" s="19">
        <f>IFERROR(__xludf.DUMMYFUNCTION("IFERROR(TO_DATE(E81), """")"),42564.71076388889)</f>
        <v>42564.71076</v>
      </c>
      <c r="G81" s="20">
        <f t="shared" si="1"/>
        <v>17</v>
      </c>
      <c r="H81" s="27">
        <v>42564.73042824074</v>
      </c>
      <c r="I81" s="19">
        <f>IFERROR(__xludf.DUMMYFUNCTION("IFERROR(TO_DATE(H81), """")"),42564.73042824074)</f>
        <v>42564.73043</v>
      </c>
      <c r="J81" s="19" t="s">
        <v>12</v>
      </c>
      <c r="K81" s="22">
        <f t="shared" si="2"/>
        <v>0</v>
      </c>
    </row>
    <row r="82">
      <c r="A82" s="18">
        <v>3774.0</v>
      </c>
      <c r="B82" s="18" t="s">
        <v>30</v>
      </c>
      <c r="C82" s="18">
        <v>9.0</v>
      </c>
      <c r="D82" s="18" t="s">
        <v>31</v>
      </c>
      <c r="E82" s="27">
        <v>42564.86208333333</v>
      </c>
      <c r="F82" s="19">
        <f>IFERROR(__xludf.DUMMYFUNCTION("IFERROR(TO_DATE(E82), """")"),42564.86208333333)</f>
        <v>42564.86208</v>
      </c>
      <c r="G82" s="20">
        <f t="shared" si="1"/>
        <v>20</v>
      </c>
      <c r="H82" s="27">
        <v>42564.89408564815</v>
      </c>
      <c r="I82" s="19">
        <f>IFERROR(__xludf.DUMMYFUNCTION("IFERROR(TO_DATE(H82), """")"),42564.89408564815)</f>
        <v>42564.89409</v>
      </c>
      <c r="J82" s="19" t="s">
        <v>13</v>
      </c>
      <c r="K82" s="22">
        <f t="shared" si="2"/>
        <v>0</v>
      </c>
    </row>
    <row r="83">
      <c r="A83" s="18">
        <v>4023.0</v>
      </c>
      <c r="B83" s="18" t="s">
        <v>32</v>
      </c>
      <c r="C83" s="18">
        <v>9.0</v>
      </c>
      <c r="D83" s="18" t="s">
        <v>31</v>
      </c>
      <c r="E83" s="27">
        <v>42564.999085648145</v>
      </c>
      <c r="F83" s="19">
        <f>IFERROR(__xludf.DUMMYFUNCTION("IFERROR(TO_DATE(E83), """")"),42564.999085648145)</f>
        <v>42564.99909</v>
      </c>
      <c r="G83" s="20">
        <f t="shared" si="1"/>
        <v>23</v>
      </c>
      <c r="H83" s="27">
        <v>42565.04072916666</v>
      </c>
      <c r="I83" s="19">
        <f>IFERROR(__xludf.DUMMYFUNCTION("IFERROR(TO_DATE(H83), """")"),42565.04072916666)</f>
        <v>42565.04073</v>
      </c>
      <c r="J83" s="19" t="s">
        <v>13</v>
      </c>
      <c r="K83" s="22">
        <f t="shared" si="2"/>
        <v>0</v>
      </c>
    </row>
    <row r="84">
      <c r="A84" s="18">
        <v>4117.0</v>
      </c>
      <c r="B84" s="18" t="s">
        <v>32</v>
      </c>
      <c r="C84" s="18">
        <v>9.0</v>
      </c>
      <c r="D84" s="18" t="s">
        <v>31</v>
      </c>
      <c r="E84" s="27">
        <v>42565.18173611111</v>
      </c>
      <c r="F84" s="19">
        <f>IFERROR(__xludf.DUMMYFUNCTION("IFERROR(TO_DATE(E84), """")"),42565.18173611111)</f>
        <v>42565.18174</v>
      </c>
      <c r="G84" s="20">
        <f t="shared" si="1"/>
        <v>4</v>
      </c>
      <c r="H84" s="27">
        <v>42565.213275462964</v>
      </c>
      <c r="I84" s="19">
        <f>IFERROR(__xludf.DUMMYFUNCTION("IFERROR(TO_DATE(H84), """")"),42565.213275462964)</f>
        <v>42565.21328</v>
      </c>
      <c r="J84" s="19" t="s">
        <v>11</v>
      </c>
      <c r="K84" s="22">
        <f t="shared" si="2"/>
        <v>0</v>
      </c>
    </row>
    <row r="85">
      <c r="A85" s="18">
        <v>4880.0</v>
      </c>
      <c r="B85" s="18" t="s">
        <v>30</v>
      </c>
      <c r="C85" s="18">
        <v>9.0</v>
      </c>
      <c r="D85" s="18" t="s">
        <v>31</v>
      </c>
      <c r="E85" s="27">
        <v>42565.74914351852</v>
      </c>
      <c r="F85" s="19">
        <f>IFERROR(__xludf.DUMMYFUNCTION("IFERROR(TO_DATE(E85), """")"),42565.74914351852)</f>
        <v>42565.74914</v>
      </c>
      <c r="G85" s="20">
        <f t="shared" si="1"/>
        <v>17</v>
      </c>
      <c r="H85" s="27">
        <v>42565.793541666666</v>
      </c>
      <c r="I85" s="19">
        <f>IFERROR(__xludf.DUMMYFUNCTION("IFERROR(TO_DATE(H85), """")"),42565.793541666666)</f>
        <v>42565.79354</v>
      </c>
      <c r="J85" s="19" t="s">
        <v>12</v>
      </c>
      <c r="K85" s="22">
        <f t="shared" si="2"/>
        <v>0</v>
      </c>
    </row>
    <row r="86">
      <c r="A86" s="18">
        <v>5568.0</v>
      </c>
      <c r="B86" s="18" t="s">
        <v>30</v>
      </c>
      <c r="C86" s="18">
        <v>9.0</v>
      </c>
      <c r="D86" s="18" t="s">
        <v>31</v>
      </c>
      <c r="E86" s="27">
        <v>42566.24153935185</v>
      </c>
      <c r="F86" s="19">
        <f>IFERROR(__xludf.DUMMYFUNCTION("IFERROR(TO_DATE(E86), """")"),42566.24153935185)</f>
        <v>42566.24154</v>
      </c>
      <c r="G86" s="20">
        <f t="shared" si="1"/>
        <v>5</v>
      </c>
      <c r="H86" s="27">
        <v>42566.26792824074</v>
      </c>
      <c r="I86" s="19">
        <f>IFERROR(__xludf.DUMMYFUNCTION("IFERROR(TO_DATE(H86), """")"),42566.26792824074)</f>
        <v>42566.26793</v>
      </c>
      <c r="J86" s="19" t="s">
        <v>11</v>
      </c>
      <c r="K86" s="22">
        <f t="shared" si="2"/>
        <v>0</v>
      </c>
    </row>
    <row r="87">
      <c r="A87" s="18">
        <v>5994.0</v>
      </c>
      <c r="B87" s="18" t="s">
        <v>30</v>
      </c>
      <c r="C87" s="18">
        <v>9.0</v>
      </c>
      <c r="D87" s="18" t="s">
        <v>31</v>
      </c>
      <c r="E87" s="27">
        <v>42566.493935185186</v>
      </c>
      <c r="F87" s="19">
        <f>IFERROR(__xludf.DUMMYFUNCTION("IFERROR(TO_DATE(E87), """")"),42566.493935185186)</f>
        <v>42566.49394</v>
      </c>
      <c r="G87" s="20">
        <f t="shared" si="1"/>
        <v>11</v>
      </c>
      <c r="H87" s="27">
        <v>42566.522361111114</v>
      </c>
      <c r="I87" s="19">
        <f>IFERROR(__xludf.DUMMYFUNCTION("IFERROR(TO_DATE(H87), """")"),42566.522361111114)</f>
        <v>42566.52236</v>
      </c>
      <c r="J87" s="19" t="s">
        <v>14</v>
      </c>
      <c r="K87" s="22">
        <f t="shared" si="2"/>
        <v>0</v>
      </c>
    </row>
    <row r="88">
      <c r="A88" s="18">
        <v>1809.0</v>
      </c>
      <c r="B88" s="18" t="s">
        <v>30</v>
      </c>
      <c r="C88" s="18">
        <v>10.0</v>
      </c>
      <c r="D88" s="18" t="s">
        <v>31</v>
      </c>
      <c r="E88" s="26">
        <v>42563.38402777778</v>
      </c>
      <c r="F88" s="19">
        <f>IFERROR(__xludf.DUMMYFUNCTION("IFERROR(TO_DATE(E88), """")"),42563.38402777778)</f>
        <v>42563.38403</v>
      </c>
      <c r="G88" s="20">
        <f t="shared" si="1"/>
        <v>9</v>
      </c>
      <c r="H88" s="26">
        <v>42563.41736111111</v>
      </c>
      <c r="I88" s="19">
        <f>IFERROR(__xludf.DUMMYFUNCTION("IFERROR(TO_DATE(H88), """")"),42563.41736111111)</f>
        <v>42563.41736</v>
      </c>
      <c r="J88" s="19" t="s">
        <v>14</v>
      </c>
      <c r="K88" s="22">
        <f t="shared" si="2"/>
        <v>0</v>
      </c>
    </row>
    <row r="89">
      <c r="A89" s="18">
        <v>2064.0</v>
      </c>
      <c r="B89" s="18" t="s">
        <v>30</v>
      </c>
      <c r="C89" s="18">
        <v>10.0</v>
      </c>
      <c r="D89" s="18" t="s">
        <v>31</v>
      </c>
      <c r="E89" s="26">
        <v>42563.63055555556</v>
      </c>
      <c r="F89" s="19">
        <f>IFERROR(__xludf.DUMMYFUNCTION("IFERROR(TO_DATE(E89), """")"),42563.63055555556)</f>
        <v>42563.63056</v>
      </c>
      <c r="G89" s="20">
        <f t="shared" si="1"/>
        <v>15</v>
      </c>
      <c r="H89" s="26">
        <v>42563.67638888889</v>
      </c>
      <c r="I89" s="19">
        <f>IFERROR(__xludf.DUMMYFUNCTION("IFERROR(TO_DATE(H89), """")"),42563.67638888889)</f>
        <v>42563.67639</v>
      </c>
      <c r="J89" s="19" t="s">
        <v>10</v>
      </c>
      <c r="K89" s="22">
        <f t="shared" si="2"/>
        <v>0</v>
      </c>
    </row>
    <row r="90">
      <c r="A90" s="18">
        <v>3210.0</v>
      </c>
      <c r="B90" s="18" t="s">
        <v>32</v>
      </c>
      <c r="C90" s="18">
        <v>10.0</v>
      </c>
      <c r="D90" s="18" t="s">
        <v>31</v>
      </c>
      <c r="E90" s="27">
        <v>42564.40770833333</v>
      </c>
      <c r="F90" s="19">
        <f>IFERROR(__xludf.DUMMYFUNCTION("IFERROR(TO_DATE(E90), """")"),42564.40770833333)</f>
        <v>42564.40771</v>
      </c>
      <c r="G90" s="20">
        <f t="shared" si="1"/>
        <v>9</v>
      </c>
      <c r="H90" s="27">
        <v>42564.453206018516</v>
      </c>
      <c r="I90" s="19">
        <f>IFERROR(__xludf.DUMMYFUNCTION("IFERROR(TO_DATE(H90), """")"),42564.453206018516)</f>
        <v>42564.45321</v>
      </c>
      <c r="J90" s="19" t="s">
        <v>14</v>
      </c>
      <c r="K90" s="22">
        <f t="shared" si="2"/>
        <v>0</v>
      </c>
    </row>
    <row r="91">
      <c r="A91" s="18">
        <v>4350.0</v>
      </c>
      <c r="B91" s="18" t="s">
        <v>32</v>
      </c>
      <c r="C91" s="18">
        <v>10.0</v>
      </c>
      <c r="D91" s="18" t="s">
        <v>31</v>
      </c>
      <c r="E91" s="27">
        <v>42565.30883101852</v>
      </c>
      <c r="F91" s="19">
        <f>IFERROR(__xludf.DUMMYFUNCTION("IFERROR(TO_DATE(E91), """")"),42565.30883101852)</f>
        <v>42565.30883</v>
      </c>
      <c r="G91" s="20">
        <f t="shared" si="1"/>
        <v>7</v>
      </c>
      <c r="H91" s="27">
        <v>42565.348715277774</v>
      </c>
      <c r="I91" s="19">
        <f>IFERROR(__xludf.DUMMYFUNCTION("IFERROR(TO_DATE(H91), """")"),42565.348715277774)</f>
        <v>42565.34872</v>
      </c>
      <c r="J91" s="19" t="s">
        <v>11</v>
      </c>
      <c r="K91" s="22">
        <f t="shared" si="2"/>
        <v>0</v>
      </c>
    </row>
    <row r="92">
      <c r="A92" s="18">
        <v>4713.0</v>
      </c>
      <c r="B92" s="18" t="s">
        <v>32</v>
      </c>
      <c r="C92" s="18">
        <v>10.0</v>
      </c>
      <c r="D92" s="18" t="s">
        <v>31</v>
      </c>
      <c r="E92" s="27">
        <v>42565.563472222224</v>
      </c>
      <c r="F92" s="19">
        <f>IFERROR(__xludf.DUMMYFUNCTION("IFERROR(TO_DATE(E92), """")"),42565.563472222224)</f>
        <v>42565.56347</v>
      </c>
      <c r="G92" s="20">
        <f t="shared" si="1"/>
        <v>13</v>
      </c>
      <c r="H92" s="27">
        <v>42565.59092592593</v>
      </c>
      <c r="I92" s="19">
        <f>IFERROR(__xludf.DUMMYFUNCTION("IFERROR(TO_DATE(H92), """")"),42565.59092592593)</f>
        <v>42565.59093</v>
      </c>
      <c r="J92" s="19" t="s">
        <v>10</v>
      </c>
      <c r="K92" s="22">
        <f t="shared" si="2"/>
        <v>0</v>
      </c>
    </row>
    <row r="93">
      <c r="A93" s="18">
        <v>5629.0</v>
      </c>
      <c r="B93" s="18" t="s">
        <v>30</v>
      </c>
      <c r="C93" s="18">
        <v>10.0</v>
      </c>
      <c r="D93" s="18" t="s">
        <v>31</v>
      </c>
      <c r="E93" s="27">
        <v>42566.27291666667</v>
      </c>
      <c r="F93" s="19">
        <f>IFERROR(__xludf.DUMMYFUNCTION("IFERROR(TO_DATE(E93), """")"),42566.27291666667)</f>
        <v>42566.27292</v>
      </c>
      <c r="G93" s="20">
        <f t="shared" si="1"/>
        <v>6</v>
      </c>
      <c r="H93" s="27">
        <v>42566.30547453704</v>
      </c>
      <c r="I93" s="19">
        <f>IFERROR(__xludf.DUMMYFUNCTION("IFERROR(TO_DATE(H93), """")"),42566.30547453704)</f>
        <v>42566.30547</v>
      </c>
      <c r="J93" s="19" t="s">
        <v>11</v>
      </c>
      <c r="K93" s="22">
        <f t="shared" si="2"/>
        <v>0</v>
      </c>
    </row>
    <row r="94">
      <c r="A94" s="18">
        <v>6157.0</v>
      </c>
      <c r="B94" s="18" t="s">
        <v>30</v>
      </c>
      <c r="C94" s="18">
        <v>10.0</v>
      </c>
      <c r="D94" s="18" t="s">
        <v>31</v>
      </c>
      <c r="E94" s="27">
        <v>42566.689479166664</v>
      </c>
      <c r="F94" s="19">
        <f>IFERROR(__xludf.DUMMYFUNCTION("IFERROR(TO_DATE(E94), """")"),42566.689479166664)</f>
        <v>42566.68948</v>
      </c>
      <c r="G94" s="20">
        <f t="shared" si="1"/>
        <v>16</v>
      </c>
      <c r="H94" s="27">
        <v>42566.73939814815</v>
      </c>
      <c r="I94" s="19">
        <f>IFERROR(__xludf.DUMMYFUNCTION("IFERROR(TO_DATE(H94), """")"),42566.73939814815)</f>
        <v>42566.7394</v>
      </c>
      <c r="J94" s="19" t="s">
        <v>12</v>
      </c>
      <c r="K94" s="22">
        <f t="shared" si="2"/>
        <v>0</v>
      </c>
    </row>
    <row r="95">
      <c r="A95" s="18">
        <v>2030.0</v>
      </c>
      <c r="B95" s="18" t="s">
        <v>32</v>
      </c>
      <c r="C95" s="18">
        <v>11.0</v>
      </c>
      <c r="D95" s="18" t="s">
        <v>31</v>
      </c>
      <c r="E95" s="26">
        <v>42563.59097222222</v>
      </c>
      <c r="F95" s="19">
        <f>IFERROR(__xludf.DUMMYFUNCTION("IFERROR(TO_DATE(E95), """")"),42563.59097222222)</f>
        <v>42563.59097</v>
      </c>
      <c r="G95" s="20">
        <f t="shared" si="1"/>
        <v>14</v>
      </c>
      <c r="H95" s="26">
        <v>42563.626388888886</v>
      </c>
      <c r="I95" s="19">
        <f>IFERROR(__xludf.DUMMYFUNCTION("IFERROR(TO_DATE(H95), """")"),42563.626388888886)</f>
        <v>42563.62639</v>
      </c>
      <c r="J95" s="19" t="s">
        <v>10</v>
      </c>
      <c r="K95" s="22">
        <f t="shared" si="2"/>
        <v>0</v>
      </c>
    </row>
    <row r="96">
      <c r="A96" s="18">
        <v>3226.0</v>
      </c>
      <c r="B96" s="18" t="s">
        <v>32</v>
      </c>
      <c r="C96" s="18">
        <v>11.0</v>
      </c>
      <c r="D96" s="18" t="s">
        <v>31</v>
      </c>
      <c r="E96" s="27">
        <v>42564.416863425926</v>
      </c>
      <c r="F96" s="19">
        <f>IFERROR(__xludf.DUMMYFUNCTION("IFERROR(TO_DATE(E96), """")"),42564.416863425926)</f>
        <v>42564.41686</v>
      </c>
      <c r="G96" s="20">
        <f t="shared" si="1"/>
        <v>10</v>
      </c>
      <c r="H96" s="27">
        <v>42564.460324074076</v>
      </c>
      <c r="I96" s="19">
        <f>IFERROR(__xludf.DUMMYFUNCTION("IFERROR(TO_DATE(H96), """")"),42564.460324074076)</f>
        <v>42564.46032</v>
      </c>
      <c r="J96" s="19" t="s">
        <v>14</v>
      </c>
      <c r="K96" s="22">
        <f t="shared" si="2"/>
        <v>0</v>
      </c>
    </row>
    <row r="97">
      <c r="A97" s="18">
        <v>3353.0</v>
      </c>
      <c r="B97" s="18" t="s">
        <v>32</v>
      </c>
      <c r="C97" s="18">
        <v>11.0</v>
      </c>
      <c r="D97" s="18" t="s">
        <v>31</v>
      </c>
      <c r="E97" s="27">
        <v>42564.562314814815</v>
      </c>
      <c r="F97" s="19">
        <f>IFERROR(__xludf.DUMMYFUNCTION("IFERROR(TO_DATE(E97), """")"),42564.562314814815)</f>
        <v>42564.56231</v>
      </c>
      <c r="G97" s="20">
        <f t="shared" si="1"/>
        <v>13</v>
      </c>
      <c r="H97" s="27">
        <v>42564.589583333334</v>
      </c>
      <c r="I97" s="19">
        <f>IFERROR(__xludf.DUMMYFUNCTION("IFERROR(TO_DATE(H97), """")"),42564.589583333334)</f>
        <v>42564.58958</v>
      </c>
      <c r="J97" s="19" t="s">
        <v>10</v>
      </c>
      <c r="K97" s="22">
        <f t="shared" si="2"/>
        <v>0</v>
      </c>
    </row>
    <row r="98">
      <c r="A98" s="18">
        <v>4293.0</v>
      </c>
      <c r="B98" s="18" t="s">
        <v>32</v>
      </c>
      <c r="C98" s="18">
        <v>11.0</v>
      </c>
      <c r="D98" s="18" t="s">
        <v>31</v>
      </c>
      <c r="E98" s="27">
        <v>42565.27958333334</v>
      </c>
      <c r="F98" s="19">
        <f>IFERROR(__xludf.DUMMYFUNCTION("IFERROR(TO_DATE(E98), """")"),42565.27958333334)</f>
        <v>42565.27958</v>
      </c>
      <c r="G98" s="20">
        <f t="shared" si="1"/>
        <v>6</v>
      </c>
      <c r="H98" s="27">
        <v>42565.300474537034</v>
      </c>
      <c r="I98" s="19">
        <f>IFERROR(__xludf.DUMMYFUNCTION("IFERROR(TO_DATE(H98), """")"),42565.300474537034)</f>
        <v>42565.30047</v>
      </c>
      <c r="J98" s="19" t="s">
        <v>11</v>
      </c>
      <c r="K98" s="22">
        <f t="shared" si="2"/>
        <v>0</v>
      </c>
    </row>
    <row r="99">
      <c r="A99" s="18">
        <v>4936.0</v>
      </c>
      <c r="B99" s="18" t="s">
        <v>32</v>
      </c>
      <c r="C99" s="18">
        <v>11.0</v>
      </c>
      <c r="D99" s="18" t="s">
        <v>31</v>
      </c>
      <c r="E99" s="27">
        <v>42565.76547453704</v>
      </c>
      <c r="F99" s="19">
        <f>IFERROR(__xludf.DUMMYFUNCTION("IFERROR(TO_DATE(E99), """")"),42565.76547453704)</f>
        <v>42565.76547</v>
      </c>
      <c r="G99" s="20">
        <f t="shared" si="1"/>
        <v>18</v>
      </c>
      <c r="H99" s="27">
        <v>42565.80180555556</v>
      </c>
      <c r="I99" s="19">
        <f>IFERROR(__xludf.DUMMYFUNCTION("IFERROR(TO_DATE(H99), """")"),42565.80180555556)</f>
        <v>42565.80181</v>
      </c>
      <c r="J99" s="19" t="s">
        <v>12</v>
      </c>
      <c r="K99" s="22">
        <f t="shared" si="2"/>
        <v>0</v>
      </c>
    </row>
    <row r="100">
      <c r="A100" s="18">
        <v>5661.0</v>
      </c>
      <c r="B100" s="18" t="s">
        <v>30</v>
      </c>
      <c r="C100" s="18">
        <v>11.0</v>
      </c>
      <c r="D100" s="18" t="s">
        <v>31</v>
      </c>
      <c r="E100" s="27">
        <v>42566.297800925924</v>
      </c>
      <c r="F100" s="19">
        <f>IFERROR(__xludf.DUMMYFUNCTION("IFERROR(TO_DATE(E100), """")"),42566.297800925924)</f>
        <v>42566.2978</v>
      </c>
      <c r="G100" s="20">
        <f t="shared" si="1"/>
        <v>7</v>
      </c>
      <c r="H100" s="27">
        <v>42566.33263888889</v>
      </c>
      <c r="I100" s="19">
        <f>IFERROR(__xludf.DUMMYFUNCTION("IFERROR(TO_DATE(H100), """")"),42566.33263888889)</f>
        <v>42566.33264</v>
      </c>
      <c r="J100" s="19" t="s">
        <v>11</v>
      </c>
      <c r="K100" s="22">
        <f t="shared" si="2"/>
        <v>0</v>
      </c>
    </row>
    <row r="101">
      <c r="A101" s="18">
        <v>5778.0</v>
      </c>
      <c r="B101" s="18" t="s">
        <v>32</v>
      </c>
      <c r="C101" s="18">
        <v>11.0</v>
      </c>
      <c r="D101" s="18" t="s">
        <v>31</v>
      </c>
      <c r="E101" s="27">
        <v>42566.348645833335</v>
      </c>
      <c r="F101" s="19">
        <f>IFERROR(__xludf.DUMMYFUNCTION("IFERROR(TO_DATE(E101), """")"),42566.348645833335)</f>
        <v>42566.34865</v>
      </c>
      <c r="G101" s="20">
        <f t="shared" si="1"/>
        <v>8</v>
      </c>
      <c r="H101" s="27">
        <v>42566.38407407407</v>
      </c>
      <c r="I101" s="19">
        <f>IFERROR(__xludf.DUMMYFUNCTION("IFERROR(TO_DATE(H101), """")"),42566.38407407407)</f>
        <v>42566.38407</v>
      </c>
      <c r="J101" s="19" t="s">
        <v>14</v>
      </c>
      <c r="K101" s="22">
        <f t="shared" si="2"/>
        <v>0</v>
      </c>
    </row>
    <row r="102">
      <c r="A102" s="18">
        <v>6425.0</v>
      </c>
      <c r="B102" s="18" t="s">
        <v>30</v>
      </c>
      <c r="C102" s="18">
        <v>11.0</v>
      </c>
      <c r="D102" s="18" t="s">
        <v>31</v>
      </c>
      <c r="E102" s="27">
        <v>42566.82407407407</v>
      </c>
      <c r="F102" s="19">
        <f>IFERROR(__xludf.DUMMYFUNCTION("IFERROR(TO_DATE(E102), """")"),42566.82407407407)</f>
        <v>42566.82407</v>
      </c>
      <c r="G102" s="20">
        <f t="shared" si="1"/>
        <v>19</v>
      </c>
      <c r="H102" s="27">
        <v>42566.85197916667</v>
      </c>
      <c r="I102" s="19">
        <f>IFERROR(__xludf.DUMMYFUNCTION("IFERROR(TO_DATE(H102), """")"),42566.85197916667)</f>
        <v>42566.85198</v>
      </c>
      <c r="J102" s="19" t="s">
        <v>12</v>
      </c>
      <c r="K102" s="22">
        <f t="shared" si="2"/>
        <v>0</v>
      </c>
    </row>
    <row r="103">
      <c r="A103" s="18">
        <v>45.0</v>
      </c>
      <c r="B103" s="18" t="s">
        <v>30</v>
      </c>
      <c r="C103" s="18">
        <v>12.0</v>
      </c>
      <c r="D103" s="18" t="s">
        <v>31</v>
      </c>
      <c r="E103" s="26">
        <v>42562.13680555556</v>
      </c>
      <c r="F103" s="19">
        <f>IFERROR(__xludf.DUMMYFUNCTION("IFERROR(TO_DATE(E103), """")"),42562.13680555556)</f>
        <v>42562.13681</v>
      </c>
      <c r="G103" s="20">
        <f t="shared" si="1"/>
        <v>3</v>
      </c>
      <c r="H103" s="26">
        <v>42562.17291666667</v>
      </c>
      <c r="I103" s="19">
        <f>IFERROR(__xludf.DUMMYFUNCTION("IFERROR(TO_DATE(H103), """")"),42562.17291666667)</f>
        <v>42562.17292</v>
      </c>
      <c r="J103" s="19" t="s">
        <v>15</v>
      </c>
      <c r="K103" s="22">
        <f t="shared" si="2"/>
        <v>0</v>
      </c>
    </row>
    <row r="104">
      <c r="A104" s="18">
        <v>264.0</v>
      </c>
      <c r="B104" s="18" t="s">
        <v>32</v>
      </c>
      <c r="C104" s="18">
        <v>12.0</v>
      </c>
      <c r="D104" s="18" t="s">
        <v>31</v>
      </c>
      <c r="E104" s="26">
        <v>42562.285416666666</v>
      </c>
      <c r="F104" s="19">
        <f>IFERROR(__xludf.DUMMYFUNCTION("IFERROR(TO_DATE(E104), """")"),42562.285416666666)</f>
        <v>42562.28542</v>
      </c>
      <c r="G104" s="20">
        <f t="shared" si="1"/>
        <v>6</v>
      </c>
      <c r="H104" s="26">
        <v>42562.319444444445</v>
      </c>
      <c r="I104" s="19">
        <f>IFERROR(__xludf.DUMMYFUNCTION("IFERROR(TO_DATE(H104), """")"),42562.319444444445)</f>
        <v>42562.31944</v>
      </c>
      <c r="J104" s="19" t="s">
        <v>11</v>
      </c>
      <c r="K104" s="22">
        <f t="shared" si="2"/>
        <v>0</v>
      </c>
    </row>
    <row r="105">
      <c r="A105" s="18">
        <v>1183.0</v>
      </c>
      <c r="B105" s="18" t="s">
        <v>32</v>
      </c>
      <c r="C105" s="18">
        <v>12.0</v>
      </c>
      <c r="D105" s="18" t="s">
        <v>31</v>
      </c>
      <c r="E105" s="26">
        <v>42562.87847222222</v>
      </c>
      <c r="F105" s="19">
        <f>IFERROR(__xludf.DUMMYFUNCTION("IFERROR(TO_DATE(E105), """")"),42562.87847222222)</f>
        <v>42562.87847</v>
      </c>
      <c r="G105" s="20">
        <f t="shared" si="1"/>
        <v>21</v>
      </c>
      <c r="H105" s="26">
        <v>42562.90138888889</v>
      </c>
      <c r="I105" s="19">
        <f>IFERROR(__xludf.DUMMYFUNCTION("IFERROR(TO_DATE(H105), """")"),42562.90138888889)</f>
        <v>42562.90139</v>
      </c>
      <c r="J105" s="19" t="s">
        <v>13</v>
      </c>
      <c r="K105" s="22">
        <f t="shared" si="2"/>
        <v>0</v>
      </c>
    </row>
    <row r="106">
      <c r="A106" s="18">
        <v>1536.0</v>
      </c>
      <c r="B106" s="18" t="s">
        <v>30</v>
      </c>
      <c r="C106" s="18">
        <v>12.0</v>
      </c>
      <c r="D106" s="18" t="s">
        <v>31</v>
      </c>
      <c r="E106" s="26">
        <v>42563.24930555555</v>
      </c>
      <c r="F106" s="19">
        <f>IFERROR(__xludf.DUMMYFUNCTION("IFERROR(TO_DATE(E106), """")"),42563.24930555555)</f>
        <v>42563.24931</v>
      </c>
      <c r="G106" s="20">
        <f t="shared" si="1"/>
        <v>5</v>
      </c>
      <c r="H106" s="26">
        <v>42563.290972222225</v>
      </c>
      <c r="I106" s="19">
        <f>IFERROR(__xludf.DUMMYFUNCTION("IFERROR(TO_DATE(H106), """")"),42563.290972222225)</f>
        <v>42563.29097</v>
      </c>
      <c r="J106" s="19" t="s">
        <v>11</v>
      </c>
      <c r="K106" s="22">
        <f t="shared" si="2"/>
        <v>0</v>
      </c>
    </row>
    <row r="107">
      <c r="A107" s="18">
        <v>2437.0</v>
      </c>
      <c r="B107" s="18" t="s">
        <v>32</v>
      </c>
      <c r="C107" s="18">
        <v>12.0</v>
      </c>
      <c r="D107" s="18" t="s">
        <v>31</v>
      </c>
      <c r="E107" s="26">
        <v>42563.84583333333</v>
      </c>
      <c r="F107" s="19">
        <f>IFERROR(__xludf.DUMMYFUNCTION("IFERROR(TO_DATE(E107), """")"),42563.84583333333)</f>
        <v>42563.84583</v>
      </c>
      <c r="G107" s="20">
        <f t="shared" si="1"/>
        <v>20</v>
      </c>
      <c r="H107" s="26">
        <v>42563.893055555556</v>
      </c>
      <c r="I107" s="19">
        <f>IFERROR(__xludf.DUMMYFUNCTION("IFERROR(TO_DATE(H107), """")"),42563.893055555556)</f>
        <v>42563.89306</v>
      </c>
      <c r="J107" s="19" t="s">
        <v>13</v>
      </c>
      <c r="K107" s="22">
        <f t="shared" si="2"/>
        <v>0</v>
      </c>
    </row>
    <row r="108">
      <c r="A108" s="18">
        <v>2641.0</v>
      </c>
      <c r="B108" s="18" t="s">
        <v>30</v>
      </c>
      <c r="C108" s="18">
        <v>12.0</v>
      </c>
      <c r="D108" s="18" t="s">
        <v>31</v>
      </c>
      <c r="E108" s="26">
        <v>42563.936111111114</v>
      </c>
      <c r="F108" s="19">
        <f>IFERROR(__xludf.DUMMYFUNCTION("IFERROR(TO_DATE(E108), """")"),42563.936111111114)</f>
        <v>42563.93611</v>
      </c>
      <c r="G108" s="20">
        <f t="shared" si="1"/>
        <v>22</v>
      </c>
      <c r="H108" s="26">
        <v>42563.961805555555</v>
      </c>
      <c r="I108" s="19">
        <f>IFERROR(__xludf.DUMMYFUNCTION("IFERROR(TO_DATE(H108), """")"),42563.961805555555)</f>
        <v>42563.96181</v>
      </c>
      <c r="J108" s="19" t="s">
        <v>13</v>
      </c>
      <c r="K108" s="22">
        <f t="shared" si="2"/>
        <v>0</v>
      </c>
    </row>
    <row r="109">
      <c r="A109" s="18">
        <v>4077.0</v>
      </c>
      <c r="B109" s="18" t="s">
        <v>30</v>
      </c>
      <c r="C109" s="18">
        <v>12.0</v>
      </c>
      <c r="D109" s="18" t="s">
        <v>31</v>
      </c>
      <c r="E109" s="27">
        <v>42565.09322916667</v>
      </c>
      <c r="F109" s="19">
        <f>IFERROR(__xludf.DUMMYFUNCTION("IFERROR(TO_DATE(E109), """")"),42565.09322916667)</f>
        <v>42565.09323</v>
      </c>
      <c r="G109" s="20">
        <f t="shared" si="1"/>
        <v>2</v>
      </c>
      <c r="H109" s="27">
        <v>42565.13413194445</v>
      </c>
      <c r="I109" s="19">
        <f>IFERROR(__xludf.DUMMYFUNCTION("IFERROR(TO_DATE(H109), """")"),42565.13413194445)</f>
        <v>42565.13413</v>
      </c>
      <c r="J109" s="19" t="s">
        <v>15</v>
      </c>
      <c r="K109" s="22">
        <f t="shared" si="2"/>
        <v>0</v>
      </c>
    </row>
    <row r="110">
      <c r="A110" s="18">
        <v>4610.0</v>
      </c>
      <c r="B110" s="18" t="s">
        <v>32</v>
      </c>
      <c r="C110" s="18">
        <v>12.0</v>
      </c>
      <c r="D110" s="18" t="s">
        <v>31</v>
      </c>
      <c r="E110" s="27">
        <v>42565.44113425926</v>
      </c>
      <c r="F110" s="19">
        <f>IFERROR(__xludf.DUMMYFUNCTION("IFERROR(TO_DATE(E110), """")"),42565.44113425926)</f>
        <v>42565.44113</v>
      </c>
      <c r="G110" s="20">
        <f t="shared" si="1"/>
        <v>10</v>
      </c>
      <c r="H110" s="27">
        <v>42565.48542824074</v>
      </c>
      <c r="I110" s="19">
        <f>IFERROR(__xludf.DUMMYFUNCTION("IFERROR(TO_DATE(H110), """")"),42565.48542824074)</f>
        <v>42565.48543</v>
      </c>
      <c r="J110" s="19" t="s">
        <v>14</v>
      </c>
      <c r="K110" s="22">
        <f t="shared" si="2"/>
        <v>0</v>
      </c>
    </row>
    <row r="111">
      <c r="A111" s="18">
        <v>5066.0</v>
      </c>
      <c r="B111" s="18" t="s">
        <v>30</v>
      </c>
      <c r="C111" s="18">
        <v>12.0</v>
      </c>
      <c r="D111" s="18" t="s">
        <v>31</v>
      </c>
      <c r="E111" s="27">
        <v>42565.813425925924</v>
      </c>
      <c r="F111" s="19">
        <f>IFERROR(__xludf.DUMMYFUNCTION("IFERROR(TO_DATE(E111), """")"),42565.813425925924)</f>
        <v>42565.81343</v>
      </c>
      <c r="G111" s="20">
        <f t="shared" si="1"/>
        <v>19</v>
      </c>
      <c r="H111" s="27">
        <v>42565.843090277776</v>
      </c>
      <c r="I111" s="19">
        <f>IFERROR(__xludf.DUMMYFUNCTION("IFERROR(TO_DATE(H111), """")"),42565.843090277776)</f>
        <v>42565.84309</v>
      </c>
      <c r="J111" s="19" t="s">
        <v>12</v>
      </c>
      <c r="K111" s="22">
        <f t="shared" si="2"/>
        <v>0</v>
      </c>
    </row>
    <row r="112">
      <c r="A112" s="18">
        <v>5666.0</v>
      </c>
      <c r="B112" s="18" t="s">
        <v>30</v>
      </c>
      <c r="C112" s="18">
        <v>12.0</v>
      </c>
      <c r="D112" s="18" t="s">
        <v>31</v>
      </c>
      <c r="E112" s="27">
        <v>42566.29508101852</v>
      </c>
      <c r="F112" s="19">
        <f>IFERROR(__xludf.DUMMYFUNCTION("IFERROR(TO_DATE(E112), """")"),42566.29508101852)</f>
        <v>42566.29508</v>
      </c>
      <c r="G112" s="20">
        <f t="shared" si="1"/>
        <v>7</v>
      </c>
      <c r="H112" s="27">
        <v>42566.342094907406</v>
      </c>
      <c r="I112" s="19">
        <f>IFERROR(__xludf.DUMMYFUNCTION("IFERROR(TO_DATE(H112), """")"),42566.342094907406)</f>
        <v>42566.34209</v>
      </c>
      <c r="J112" s="19" t="s">
        <v>11</v>
      </c>
      <c r="K112" s="22">
        <f t="shared" si="2"/>
        <v>0</v>
      </c>
    </row>
    <row r="113">
      <c r="A113" s="18">
        <v>5923.0</v>
      </c>
      <c r="B113" s="18" t="s">
        <v>32</v>
      </c>
      <c r="C113" s="18">
        <v>12.0</v>
      </c>
      <c r="D113" s="18" t="s">
        <v>31</v>
      </c>
      <c r="E113" s="27">
        <v>42566.42209490741</v>
      </c>
      <c r="F113" s="19">
        <f>IFERROR(__xludf.DUMMYFUNCTION("IFERROR(TO_DATE(E113), """")"),42566.42209490741)</f>
        <v>42566.42209</v>
      </c>
      <c r="G113" s="20">
        <f t="shared" si="1"/>
        <v>10</v>
      </c>
      <c r="H113" s="27">
        <v>42566.45196759259</v>
      </c>
      <c r="I113" s="19">
        <f>IFERROR(__xludf.DUMMYFUNCTION("IFERROR(TO_DATE(H113), """")"),42566.45196759259)</f>
        <v>42566.45197</v>
      </c>
      <c r="J113" s="19" t="s">
        <v>14</v>
      </c>
      <c r="K113" s="22">
        <f t="shared" si="2"/>
        <v>0</v>
      </c>
    </row>
    <row r="114">
      <c r="A114" s="18">
        <v>6367.0</v>
      </c>
      <c r="B114" s="18" t="s">
        <v>32</v>
      </c>
      <c r="C114" s="18">
        <v>12.0</v>
      </c>
      <c r="D114" s="18" t="s">
        <v>31</v>
      </c>
      <c r="E114" s="27">
        <v>42566.79497685185</v>
      </c>
      <c r="F114" s="19">
        <f>IFERROR(__xludf.DUMMYFUNCTION("IFERROR(TO_DATE(E114), """")"),42566.79497685185)</f>
        <v>42566.79498</v>
      </c>
      <c r="G114" s="20">
        <f t="shared" si="1"/>
        <v>19</v>
      </c>
      <c r="H114" s="27">
        <v>42566.82365740741</v>
      </c>
      <c r="I114" s="19">
        <f>IFERROR(__xludf.DUMMYFUNCTION("IFERROR(TO_DATE(H114), """")"),42566.82365740741)</f>
        <v>42566.82366</v>
      </c>
      <c r="J114" s="19" t="s">
        <v>12</v>
      </c>
      <c r="K114" s="22">
        <f t="shared" si="2"/>
        <v>0</v>
      </c>
    </row>
    <row r="115">
      <c r="A115" s="18">
        <v>155.0</v>
      </c>
      <c r="B115" s="18" t="s">
        <v>32</v>
      </c>
      <c r="C115" s="18">
        <v>13.0</v>
      </c>
      <c r="D115" s="18" t="s">
        <v>31</v>
      </c>
      <c r="E115" s="26">
        <v>42562.23055555556</v>
      </c>
      <c r="F115" s="19">
        <f>IFERROR(__xludf.DUMMYFUNCTION("IFERROR(TO_DATE(E115), """")"),42562.23055555556)</f>
        <v>42562.23056</v>
      </c>
      <c r="G115" s="20">
        <f t="shared" si="1"/>
        <v>5</v>
      </c>
      <c r="H115" s="26">
        <v>42562.26944444444</v>
      </c>
      <c r="I115" s="19">
        <f>IFERROR(__xludf.DUMMYFUNCTION("IFERROR(TO_DATE(H115), """")"),42562.26944444444)</f>
        <v>42562.26944</v>
      </c>
      <c r="J115" s="19" t="s">
        <v>11</v>
      </c>
      <c r="K115" s="22">
        <f t="shared" si="2"/>
        <v>0</v>
      </c>
    </row>
    <row r="116">
      <c r="A116" s="18">
        <v>310.0</v>
      </c>
      <c r="B116" s="18" t="s">
        <v>30</v>
      </c>
      <c r="C116" s="18">
        <v>13.0</v>
      </c>
      <c r="D116" s="18" t="s">
        <v>31</v>
      </c>
      <c r="E116" s="26">
        <v>42562.308333333334</v>
      </c>
      <c r="F116" s="19">
        <f>IFERROR(__xludf.DUMMYFUNCTION("IFERROR(TO_DATE(E116), """")"),42562.308333333334)</f>
        <v>42562.30833</v>
      </c>
      <c r="G116" s="20">
        <f t="shared" si="1"/>
        <v>7</v>
      </c>
      <c r="H116" s="26">
        <v>42562.35277777778</v>
      </c>
      <c r="I116" s="19">
        <f>IFERROR(__xludf.DUMMYFUNCTION("IFERROR(TO_DATE(H116), """")"),42562.35277777778)</f>
        <v>42562.35278</v>
      </c>
      <c r="J116" s="19" t="s">
        <v>11</v>
      </c>
      <c r="K116" s="22">
        <f t="shared" si="2"/>
        <v>0</v>
      </c>
    </row>
    <row r="117">
      <c r="A117" s="18">
        <v>607.0</v>
      </c>
      <c r="B117" s="18" t="s">
        <v>32</v>
      </c>
      <c r="C117" s="18">
        <v>13.0</v>
      </c>
      <c r="D117" s="18" t="s">
        <v>31</v>
      </c>
      <c r="E117" s="26">
        <v>42562.49375</v>
      </c>
      <c r="F117" s="19">
        <f>IFERROR(__xludf.DUMMYFUNCTION("IFERROR(TO_DATE(E117), """")"),42562.49375)</f>
        <v>42562.49375</v>
      </c>
      <c r="G117" s="20">
        <f t="shared" si="1"/>
        <v>11</v>
      </c>
      <c r="H117" s="26">
        <v>42562.52916666667</v>
      </c>
      <c r="I117" s="19">
        <f>IFERROR(__xludf.DUMMYFUNCTION("IFERROR(TO_DATE(H117), """")"),42562.52916666667)</f>
        <v>42562.52917</v>
      </c>
      <c r="J117" s="19" t="s">
        <v>14</v>
      </c>
      <c r="K117" s="22">
        <f t="shared" si="2"/>
        <v>0</v>
      </c>
    </row>
    <row r="118">
      <c r="A118" s="18">
        <v>1012.0</v>
      </c>
      <c r="B118" s="18" t="s">
        <v>32</v>
      </c>
      <c r="C118" s="18">
        <v>13.0</v>
      </c>
      <c r="D118" s="18" t="s">
        <v>31</v>
      </c>
      <c r="E118" s="26">
        <v>42562.802083333336</v>
      </c>
      <c r="F118" s="19">
        <f>IFERROR(__xludf.DUMMYFUNCTION("IFERROR(TO_DATE(E118), """")"),42562.802083333336)</f>
        <v>42562.80208</v>
      </c>
      <c r="G118" s="20">
        <f t="shared" si="1"/>
        <v>19</v>
      </c>
      <c r="H118" s="26">
        <v>42562.83125</v>
      </c>
      <c r="I118" s="19">
        <f>IFERROR(__xludf.DUMMYFUNCTION("IFERROR(TO_DATE(H118), """")"),42562.83125)</f>
        <v>42562.83125</v>
      </c>
      <c r="J118" s="19" t="s">
        <v>12</v>
      </c>
      <c r="K118" s="22">
        <f t="shared" si="2"/>
        <v>0</v>
      </c>
    </row>
    <row r="119">
      <c r="A119" s="18">
        <v>1696.0</v>
      </c>
      <c r="B119" s="18" t="s">
        <v>30</v>
      </c>
      <c r="C119" s="18">
        <v>13.0</v>
      </c>
      <c r="D119" s="18" t="s">
        <v>31</v>
      </c>
      <c r="E119" s="26">
        <v>42563.334027777775</v>
      </c>
      <c r="F119" s="19">
        <f>IFERROR(__xludf.DUMMYFUNCTION("IFERROR(TO_DATE(E119), """")"),42563.334027777775)</f>
        <v>42563.33403</v>
      </c>
      <c r="G119" s="20">
        <f t="shared" si="1"/>
        <v>8</v>
      </c>
      <c r="H119" s="26">
        <v>42563.3625</v>
      </c>
      <c r="I119" s="19">
        <f>IFERROR(__xludf.DUMMYFUNCTION("IFERROR(TO_DATE(H119), """")"),42563.3625)</f>
        <v>42563.3625</v>
      </c>
      <c r="J119" s="19" t="s">
        <v>14</v>
      </c>
      <c r="K119" s="22">
        <f t="shared" si="2"/>
        <v>0</v>
      </c>
    </row>
    <row r="120">
      <c r="A120" s="18">
        <v>3076.0</v>
      </c>
      <c r="B120" s="18" t="s">
        <v>32</v>
      </c>
      <c r="C120" s="18">
        <v>13.0</v>
      </c>
      <c r="D120" s="18" t="s">
        <v>31</v>
      </c>
      <c r="E120" s="27">
        <v>42564.33962962963</v>
      </c>
      <c r="F120" s="19">
        <f>IFERROR(__xludf.DUMMYFUNCTION("IFERROR(TO_DATE(E120), """")"),42564.33962962963)</f>
        <v>42564.33963</v>
      </c>
      <c r="G120" s="20">
        <f t="shared" si="1"/>
        <v>8</v>
      </c>
      <c r="H120" s="27">
        <v>42564.38355324074</v>
      </c>
      <c r="I120" s="19">
        <f>IFERROR(__xludf.DUMMYFUNCTION("IFERROR(TO_DATE(H120), """")"),42564.38355324074)</f>
        <v>42564.38355</v>
      </c>
      <c r="J120" s="19" t="s">
        <v>14</v>
      </c>
      <c r="K120" s="22">
        <f t="shared" si="2"/>
        <v>0</v>
      </c>
    </row>
    <row r="121">
      <c r="A121" s="18">
        <v>4198.0</v>
      </c>
      <c r="B121" s="18" t="s">
        <v>30</v>
      </c>
      <c r="C121" s="18">
        <v>13.0</v>
      </c>
      <c r="D121" s="18" t="s">
        <v>31</v>
      </c>
      <c r="E121" s="27">
        <v>42565.230717592596</v>
      </c>
      <c r="F121" s="19">
        <f>IFERROR(__xludf.DUMMYFUNCTION("IFERROR(TO_DATE(E121), """")"),42565.230717592596)</f>
        <v>42565.23072</v>
      </c>
      <c r="G121" s="20">
        <f t="shared" si="1"/>
        <v>5</v>
      </c>
      <c r="H121" s="27">
        <v>42565.28162037037</v>
      </c>
      <c r="I121" s="19">
        <f>IFERROR(__xludf.DUMMYFUNCTION("IFERROR(TO_DATE(H121), """")"),42565.28162037037)</f>
        <v>42565.28162</v>
      </c>
      <c r="J121" s="19" t="s">
        <v>11</v>
      </c>
      <c r="K121" s="22">
        <f t="shared" si="2"/>
        <v>0</v>
      </c>
    </row>
    <row r="122">
      <c r="A122" s="18">
        <v>4627.0</v>
      </c>
      <c r="B122" s="18" t="s">
        <v>32</v>
      </c>
      <c r="C122" s="18">
        <v>13.0</v>
      </c>
      <c r="D122" s="18" t="s">
        <v>31</v>
      </c>
      <c r="E122" s="27">
        <v>42565.46758101852</v>
      </c>
      <c r="F122" s="19">
        <f>IFERROR(__xludf.DUMMYFUNCTION("IFERROR(TO_DATE(E122), """")"),42565.46758101852)</f>
        <v>42565.46758</v>
      </c>
      <c r="G122" s="20">
        <f t="shared" si="1"/>
        <v>11</v>
      </c>
      <c r="H122" s="27">
        <v>42565.50013888889</v>
      </c>
      <c r="I122" s="19">
        <f>IFERROR(__xludf.DUMMYFUNCTION("IFERROR(TO_DATE(H122), """")"),42565.50013888889)</f>
        <v>42565.50014</v>
      </c>
      <c r="J122" s="19" t="s">
        <v>14</v>
      </c>
      <c r="K122" s="22">
        <f t="shared" si="2"/>
        <v>0</v>
      </c>
    </row>
    <row r="123">
      <c r="A123" s="18">
        <v>5289.0</v>
      </c>
      <c r="B123" s="18" t="s">
        <v>32</v>
      </c>
      <c r="C123" s="18">
        <v>13.0</v>
      </c>
      <c r="D123" s="18" t="s">
        <v>31</v>
      </c>
      <c r="E123" s="27">
        <v>42565.90513888889</v>
      </c>
      <c r="F123" s="19">
        <f>IFERROR(__xludf.DUMMYFUNCTION("IFERROR(TO_DATE(E123), """")"),42565.90513888889)</f>
        <v>42565.90514</v>
      </c>
      <c r="G123" s="20">
        <f t="shared" si="1"/>
        <v>21</v>
      </c>
      <c r="H123" s="27">
        <v>42565.933483796296</v>
      </c>
      <c r="I123" s="19">
        <f>IFERROR(__xludf.DUMMYFUNCTION("IFERROR(TO_DATE(H123), """")"),42565.933483796296)</f>
        <v>42565.93348</v>
      </c>
      <c r="J123" s="19" t="s">
        <v>13</v>
      </c>
      <c r="K123" s="22">
        <f t="shared" si="2"/>
        <v>0</v>
      </c>
    </row>
    <row r="124">
      <c r="A124" s="18">
        <v>5495.0</v>
      </c>
      <c r="B124" s="18" t="s">
        <v>30</v>
      </c>
      <c r="C124" s="18">
        <v>13.0</v>
      </c>
      <c r="D124" s="18" t="s">
        <v>31</v>
      </c>
      <c r="E124" s="27">
        <v>42566.2084837963</v>
      </c>
      <c r="F124" s="19">
        <f>IFERROR(__xludf.DUMMYFUNCTION("IFERROR(TO_DATE(E124), """")"),42566.2084837963)</f>
        <v>42566.20848</v>
      </c>
      <c r="G124" s="20">
        <f t="shared" si="1"/>
        <v>5</v>
      </c>
      <c r="H124" s="27">
        <v>42566.25170138889</v>
      </c>
      <c r="I124" s="19">
        <f>IFERROR(__xludf.DUMMYFUNCTION("IFERROR(TO_DATE(H124), """")"),42566.25170138889)</f>
        <v>42566.2517</v>
      </c>
      <c r="J124" s="19" t="s">
        <v>11</v>
      </c>
      <c r="K124" s="22">
        <f t="shared" si="2"/>
        <v>0</v>
      </c>
    </row>
    <row r="125">
      <c r="A125" s="18">
        <v>6656.0</v>
      </c>
      <c r="B125" s="18" t="s">
        <v>30</v>
      </c>
      <c r="C125" s="18">
        <v>13.0</v>
      </c>
      <c r="D125" s="18" t="s">
        <v>31</v>
      </c>
      <c r="E125" s="27">
        <v>42566.92270833333</v>
      </c>
      <c r="F125" s="19">
        <f>IFERROR(__xludf.DUMMYFUNCTION("IFERROR(TO_DATE(E125), """")"),42566.92270833333)</f>
        <v>42566.92271</v>
      </c>
      <c r="G125" s="20">
        <f t="shared" si="1"/>
        <v>22</v>
      </c>
      <c r="H125" s="27">
        <v>42566.94534722222</v>
      </c>
      <c r="I125" s="19">
        <f>IFERROR(__xludf.DUMMYFUNCTION("IFERROR(TO_DATE(H125), """")"),42566.94534722222)</f>
        <v>42566.94535</v>
      </c>
      <c r="J125" s="19" t="s">
        <v>13</v>
      </c>
      <c r="K125" s="22">
        <f t="shared" si="2"/>
        <v>0</v>
      </c>
    </row>
    <row r="126">
      <c r="A126" s="18">
        <v>139.0</v>
      </c>
      <c r="B126" s="18" t="s">
        <v>30</v>
      </c>
      <c r="C126" s="18">
        <v>14.0</v>
      </c>
      <c r="D126" s="18" t="s">
        <v>31</v>
      </c>
      <c r="E126" s="26">
        <v>42562.222916666666</v>
      </c>
      <c r="F126" s="19">
        <f>IFERROR(__xludf.DUMMYFUNCTION("IFERROR(TO_DATE(E126), """")"),42562.222916666666)</f>
        <v>42562.22292</v>
      </c>
      <c r="G126" s="20">
        <f t="shared" si="1"/>
        <v>5</v>
      </c>
      <c r="H126" s="26">
        <v>42562.25625</v>
      </c>
      <c r="I126" s="19">
        <f>IFERROR(__xludf.DUMMYFUNCTION("IFERROR(TO_DATE(H126), """")"),42562.25625)</f>
        <v>42562.25625</v>
      </c>
      <c r="J126" s="19" t="s">
        <v>11</v>
      </c>
      <c r="K126" s="22">
        <f t="shared" si="2"/>
        <v>0</v>
      </c>
    </row>
    <row r="127">
      <c r="A127" s="18">
        <v>215.0</v>
      </c>
      <c r="B127" s="18" t="s">
        <v>32</v>
      </c>
      <c r="C127" s="18">
        <v>14.0</v>
      </c>
      <c r="D127" s="18" t="s">
        <v>31</v>
      </c>
      <c r="E127" s="26">
        <v>42562.260416666664</v>
      </c>
      <c r="F127" s="19">
        <f>IFERROR(__xludf.DUMMYFUNCTION("IFERROR(TO_DATE(E127), """")"),42562.260416666664)</f>
        <v>42562.26042</v>
      </c>
      <c r="G127" s="20">
        <f t="shared" si="1"/>
        <v>6</v>
      </c>
      <c r="H127" s="26">
        <v>42562.29652777778</v>
      </c>
      <c r="I127" s="19">
        <f>IFERROR(__xludf.DUMMYFUNCTION("IFERROR(TO_DATE(H127), """")"),42562.29652777778)</f>
        <v>42562.29653</v>
      </c>
      <c r="J127" s="19" t="s">
        <v>11</v>
      </c>
      <c r="K127" s="22">
        <f t="shared" si="2"/>
        <v>0</v>
      </c>
    </row>
    <row r="128">
      <c r="A128" s="18">
        <v>1816.0</v>
      </c>
      <c r="B128" s="18" t="s">
        <v>32</v>
      </c>
      <c r="C128" s="18">
        <v>14.0</v>
      </c>
      <c r="D128" s="18" t="s">
        <v>31</v>
      </c>
      <c r="E128" s="26">
        <v>42563.39166666667</v>
      </c>
      <c r="F128" s="19">
        <f>IFERROR(__xludf.DUMMYFUNCTION("IFERROR(TO_DATE(E128), """")"),42563.39166666667)</f>
        <v>42563.39167</v>
      </c>
      <c r="G128" s="20">
        <f t="shared" si="1"/>
        <v>9</v>
      </c>
      <c r="H128" s="26">
        <v>42563.42152777778</v>
      </c>
      <c r="I128" s="19">
        <f>IFERROR(__xludf.DUMMYFUNCTION("IFERROR(TO_DATE(H128), """")"),42563.42152777778)</f>
        <v>42563.42153</v>
      </c>
      <c r="J128" s="19" t="s">
        <v>14</v>
      </c>
      <c r="K128" s="22">
        <f t="shared" si="2"/>
        <v>0</v>
      </c>
    </row>
    <row r="129">
      <c r="A129" s="18">
        <v>2505.0</v>
      </c>
      <c r="B129" s="18" t="s">
        <v>30</v>
      </c>
      <c r="C129" s="18">
        <v>14.0</v>
      </c>
      <c r="D129" s="18" t="s">
        <v>31</v>
      </c>
      <c r="E129" s="26">
        <v>42563.87708333333</v>
      </c>
      <c r="F129" s="19">
        <f>IFERROR(__xludf.DUMMYFUNCTION("IFERROR(TO_DATE(E129), """")"),42563.87708333333)</f>
        <v>42563.87708</v>
      </c>
      <c r="G129" s="20">
        <f t="shared" si="1"/>
        <v>21</v>
      </c>
      <c r="H129" s="26">
        <v>42563.92638888889</v>
      </c>
      <c r="I129" s="19">
        <f>IFERROR(__xludf.DUMMYFUNCTION("IFERROR(TO_DATE(H129), """")"),42563.92638888889)</f>
        <v>42563.92639</v>
      </c>
      <c r="J129" s="19" t="s">
        <v>13</v>
      </c>
      <c r="K129" s="22">
        <f t="shared" si="2"/>
        <v>0</v>
      </c>
    </row>
    <row r="130">
      <c r="A130" s="18">
        <v>3346.0</v>
      </c>
      <c r="B130" s="18" t="s">
        <v>32</v>
      </c>
      <c r="C130" s="18">
        <v>14.0</v>
      </c>
      <c r="D130" s="18" t="s">
        <v>31</v>
      </c>
      <c r="E130" s="27">
        <v>42564.54284722222</v>
      </c>
      <c r="F130" s="19">
        <f>IFERROR(__xludf.DUMMYFUNCTION("IFERROR(TO_DATE(E130), """")"),42564.54284722222)</f>
        <v>42564.54285</v>
      </c>
      <c r="G130" s="20">
        <f t="shared" si="1"/>
        <v>13</v>
      </c>
      <c r="H130" s="27">
        <v>42564.58054398148</v>
      </c>
      <c r="I130" s="19">
        <f>IFERROR(__xludf.DUMMYFUNCTION("IFERROR(TO_DATE(H130), """")"),42564.58054398148)</f>
        <v>42564.58054</v>
      </c>
      <c r="J130" s="19" t="s">
        <v>10</v>
      </c>
      <c r="K130" s="22">
        <f t="shared" si="2"/>
        <v>0</v>
      </c>
    </row>
    <row r="131">
      <c r="A131" s="18">
        <v>5294.0</v>
      </c>
      <c r="B131" s="18" t="s">
        <v>32</v>
      </c>
      <c r="C131" s="18">
        <v>14.0</v>
      </c>
      <c r="D131" s="18" t="s">
        <v>31</v>
      </c>
      <c r="E131" s="27">
        <v>42565.9068287037</v>
      </c>
      <c r="F131" s="19">
        <f>IFERROR(__xludf.DUMMYFUNCTION("IFERROR(TO_DATE(E131), """")"),42565.9068287037)</f>
        <v>42565.90683</v>
      </c>
      <c r="G131" s="20">
        <f t="shared" si="1"/>
        <v>21</v>
      </c>
      <c r="H131" s="27">
        <v>42565.92824074074</v>
      </c>
      <c r="I131" s="19">
        <f>IFERROR(__xludf.DUMMYFUNCTION("IFERROR(TO_DATE(H131), """")"),42565.92824074074)</f>
        <v>42565.92824</v>
      </c>
      <c r="J131" s="19" t="s">
        <v>13</v>
      </c>
      <c r="K131" s="22">
        <f t="shared" si="2"/>
        <v>0</v>
      </c>
    </row>
    <row r="132">
      <c r="A132" s="18">
        <v>6226.0</v>
      </c>
      <c r="B132" s="18" t="s">
        <v>30</v>
      </c>
      <c r="C132" s="18">
        <v>14.0</v>
      </c>
      <c r="D132" s="18" t="s">
        <v>31</v>
      </c>
      <c r="E132" s="27">
        <v>42566.7322337963</v>
      </c>
      <c r="F132" s="19">
        <f>IFERROR(__xludf.DUMMYFUNCTION("IFERROR(TO_DATE(E132), """")"),42566.7322337963)</f>
        <v>42566.73223</v>
      </c>
      <c r="G132" s="20">
        <f t="shared" si="1"/>
        <v>17</v>
      </c>
      <c r="H132" s="27">
        <v>42566.77306712963</v>
      </c>
      <c r="I132" s="19">
        <f>IFERROR(__xludf.DUMMYFUNCTION("IFERROR(TO_DATE(H132), """")"),42566.77306712963)</f>
        <v>42566.77307</v>
      </c>
      <c r="J132" s="19" t="s">
        <v>12</v>
      </c>
      <c r="K132" s="22">
        <f t="shared" si="2"/>
        <v>0</v>
      </c>
    </row>
    <row r="133">
      <c r="A133" s="18">
        <v>6733.0</v>
      </c>
      <c r="B133" s="18" t="s">
        <v>30</v>
      </c>
      <c r="C133" s="18">
        <v>14.0</v>
      </c>
      <c r="D133" s="18" t="s">
        <v>31</v>
      </c>
      <c r="E133" s="27">
        <v>42566.98106481481</v>
      </c>
      <c r="F133" s="19">
        <f>IFERROR(__xludf.DUMMYFUNCTION("IFERROR(TO_DATE(E133), """")"),42566.98106481481)</f>
        <v>42566.98106</v>
      </c>
      <c r="G133" s="20">
        <f t="shared" si="1"/>
        <v>23</v>
      </c>
      <c r="H133" s="27">
        <v>42567.02622685185</v>
      </c>
      <c r="I133" s="19">
        <f>IFERROR(__xludf.DUMMYFUNCTION("IFERROR(TO_DATE(H133), """")"),42567.02622685185)</f>
        <v>42567.02623</v>
      </c>
      <c r="J133" s="19" t="s">
        <v>13</v>
      </c>
      <c r="K133" s="22">
        <f t="shared" si="2"/>
        <v>0</v>
      </c>
    </row>
    <row r="134">
      <c r="A134" s="18">
        <v>1027.0</v>
      </c>
      <c r="B134" s="18" t="s">
        <v>30</v>
      </c>
      <c r="C134" s="18">
        <v>15.0</v>
      </c>
      <c r="D134" s="18" t="s">
        <v>31</v>
      </c>
      <c r="E134" s="26">
        <v>42562.80416666667</v>
      </c>
      <c r="F134" s="19">
        <f>IFERROR(__xludf.DUMMYFUNCTION("IFERROR(TO_DATE(E134), """")"),42562.80416666667)</f>
        <v>42562.80417</v>
      </c>
      <c r="G134" s="20">
        <f t="shared" si="1"/>
        <v>19</v>
      </c>
      <c r="H134" s="26">
        <v>42562.85</v>
      </c>
      <c r="I134" s="19">
        <f>IFERROR(__xludf.DUMMYFUNCTION("IFERROR(TO_DATE(H134), """")"),42562.85)</f>
        <v>42562.85</v>
      </c>
      <c r="J134" s="19" t="s">
        <v>12</v>
      </c>
      <c r="K134" s="22">
        <f t="shared" si="2"/>
        <v>0</v>
      </c>
    </row>
    <row r="135">
      <c r="A135" s="18">
        <v>2675.0</v>
      </c>
      <c r="B135" s="18" t="s">
        <v>30</v>
      </c>
      <c r="C135" s="18">
        <v>15.0</v>
      </c>
      <c r="D135" s="18" t="s">
        <v>31</v>
      </c>
      <c r="E135" s="26">
        <v>42563.98819444444</v>
      </c>
      <c r="F135" s="19">
        <f>IFERROR(__xludf.DUMMYFUNCTION("IFERROR(TO_DATE(E135), """")"),42563.98819444444)</f>
        <v>42563.98819</v>
      </c>
      <c r="G135" s="20">
        <f t="shared" si="1"/>
        <v>23</v>
      </c>
      <c r="H135" s="27">
        <v>42564.02444444445</v>
      </c>
      <c r="I135" s="19">
        <f>IFERROR(__xludf.DUMMYFUNCTION("IFERROR(TO_DATE(H135), """")"),42564.02444444445)</f>
        <v>42564.02444</v>
      </c>
      <c r="J135" s="19" t="s">
        <v>13</v>
      </c>
      <c r="K135" s="22">
        <f t="shared" si="2"/>
        <v>0</v>
      </c>
    </row>
    <row r="136">
      <c r="A136" s="18">
        <v>3200.0</v>
      </c>
      <c r="B136" s="18" t="s">
        <v>32</v>
      </c>
      <c r="C136" s="18">
        <v>15.0</v>
      </c>
      <c r="D136" s="18" t="s">
        <v>31</v>
      </c>
      <c r="E136" s="27">
        <v>42564.402592592596</v>
      </c>
      <c r="F136" s="19">
        <f>IFERROR(__xludf.DUMMYFUNCTION("IFERROR(TO_DATE(E136), """")"),42564.402592592596)</f>
        <v>42564.40259</v>
      </c>
      <c r="G136" s="20">
        <f t="shared" si="1"/>
        <v>9</v>
      </c>
      <c r="H136" s="27">
        <v>42564.43817129629</v>
      </c>
      <c r="I136" s="19">
        <f>IFERROR(__xludf.DUMMYFUNCTION("IFERROR(TO_DATE(H136), """")"),42564.43817129629)</f>
        <v>42564.43817</v>
      </c>
      <c r="J136" s="19" t="s">
        <v>14</v>
      </c>
      <c r="K136" s="22">
        <f t="shared" si="2"/>
        <v>0</v>
      </c>
    </row>
    <row r="137">
      <c r="A137" s="18">
        <v>3865.0</v>
      </c>
      <c r="B137" s="18" t="s">
        <v>32</v>
      </c>
      <c r="C137" s="18">
        <v>15.0</v>
      </c>
      <c r="D137" s="18" t="s">
        <v>31</v>
      </c>
      <c r="E137" s="27">
        <v>42564.91116898148</v>
      </c>
      <c r="F137" s="19">
        <f>IFERROR(__xludf.DUMMYFUNCTION("IFERROR(TO_DATE(E137), """")"),42564.91116898148)</f>
        <v>42564.91117</v>
      </c>
      <c r="G137" s="20">
        <f t="shared" si="1"/>
        <v>21</v>
      </c>
      <c r="H137" s="27">
        <v>42564.93142361111</v>
      </c>
      <c r="I137" s="19">
        <f>IFERROR(__xludf.DUMMYFUNCTION("IFERROR(TO_DATE(H137), """")"),42564.93142361111)</f>
        <v>42564.93142</v>
      </c>
      <c r="J137" s="19" t="s">
        <v>13</v>
      </c>
      <c r="K137" s="22">
        <f t="shared" si="2"/>
        <v>0</v>
      </c>
    </row>
    <row r="138">
      <c r="A138" s="18">
        <v>4468.0</v>
      </c>
      <c r="B138" s="18" t="s">
        <v>32</v>
      </c>
      <c r="C138" s="18">
        <v>15.0</v>
      </c>
      <c r="D138" s="18" t="s">
        <v>31</v>
      </c>
      <c r="E138" s="27">
        <v>42565.363032407404</v>
      </c>
      <c r="F138" s="19">
        <f>IFERROR(__xludf.DUMMYFUNCTION("IFERROR(TO_DATE(E138), """")"),42565.363032407404)</f>
        <v>42565.36303</v>
      </c>
      <c r="G138" s="20">
        <f t="shared" si="1"/>
        <v>8</v>
      </c>
      <c r="H138" s="27">
        <v>42565.39028935185</v>
      </c>
      <c r="I138" s="19">
        <f>IFERROR(__xludf.DUMMYFUNCTION("IFERROR(TO_DATE(H138), """")"),42565.39028935185)</f>
        <v>42565.39029</v>
      </c>
      <c r="J138" s="19" t="s">
        <v>14</v>
      </c>
      <c r="K138" s="22">
        <f t="shared" si="2"/>
        <v>0</v>
      </c>
    </row>
    <row r="139">
      <c r="A139" s="18">
        <v>5163.0</v>
      </c>
      <c r="B139" s="18" t="s">
        <v>30</v>
      </c>
      <c r="C139" s="18">
        <v>15.0</v>
      </c>
      <c r="D139" s="18" t="s">
        <v>31</v>
      </c>
      <c r="E139" s="27">
        <v>42565.85729166667</v>
      </c>
      <c r="F139" s="19">
        <f>IFERROR(__xludf.DUMMYFUNCTION("IFERROR(TO_DATE(E139), """")"),42565.85729166667)</f>
        <v>42565.85729</v>
      </c>
      <c r="G139" s="20">
        <f t="shared" si="1"/>
        <v>20</v>
      </c>
      <c r="H139" s="27">
        <v>42565.87868055556</v>
      </c>
      <c r="I139" s="19">
        <f>IFERROR(__xludf.DUMMYFUNCTION("IFERROR(TO_DATE(H139), """")"),42565.87868055556)</f>
        <v>42565.87868</v>
      </c>
      <c r="J139" s="19" t="s">
        <v>13</v>
      </c>
      <c r="K139" s="22">
        <f t="shared" si="2"/>
        <v>0</v>
      </c>
    </row>
    <row r="140">
      <c r="A140" s="18">
        <v>6009.0</v>
      </c>
      <c r="B140" s="18" t="s">
        <v>32</v>
      </c>
      <c r="C140" s="18">
        <v>15.0</v>
      </c>
      <c r="D140" s="18" t="s">
        <v>31</v>
      </c>
      <c r="E140" s="27">
        <v>42566.51568287037</v>
      </c>
      <c r="F140" s="19">
        <f>IFERROR(__xludf.DUMMYFUNCTION("IFERROR(TO_DATE(E140), """")"),42566.51568287037)</f>
        <v>42566.51568</v>
      </c>
      <c r="G140" s="20">
        <f t="shared" si="1"/>
        <v>12</v>
      </c>
      <c r="H140" s="27">
        <v>42566.55934027778</v>
      </c>
      <c r="I140" s="19">
        <f>IFERROR(__xludf.DUMMYFUNCTION("IFERROR(TO_DATE(H140), """")"),42566.55934027778)</f>
        <v>42566.55934</v>
      </c>
      <c r="J140" s="19" t="s">
        <v>10</v>
      </c>
      <c r="K140" s="22">
        <f t="shared" si="2"/>
        <v>0</v>
      </c>
    </row>
    <row r="141">
      <c r="A141" s="18">
        <v>6448.0</v>
      </c>
      <c r="B141" s="18" t="s">
        <v>30</v>
      </c>
      <c r="C141" s="18">
        <v>15.0</v>
      </c>
      <c r="D141" s="18" t="s">
        <v>31</v>
      </c>
      <c r="E141" s="27">
        <v>42566.83534722222</v>
      </c>
      <c r="F141" s="19">
        <f>IFERROR(__xludf.DUMMYFUNCTION("IFERROR(TO_DATE(E141), """")"),42566.83534722222)</f>
        <v>42566.83535</v>
      </c>
      <c r="G141" s="20">
        <f t="shared" si="1"/>
        <v>20</v>
      </c>
      <c r="H141" s="27">
        <v>42566.86163194444</v>
      </c>
      <c r="I141" s="19">
        <f>IFERROR(__xludf.DUMMYFUNCTION("IFERROR(TO_DATE(H141), """")"),42566.86163194444)</f>
        <v>42566.86163</v>
      </c>
      <c r="J141" s="19" t="s">
        <v>13</v>
      </c>
      <c r="K141" s="22">
        <f t="shared" si="2"/>
        <v>0</v>
      </c>
    </row>
    <row r="142">
      <c r="A142" s="18">
        <v>591.0</v>
      </c>
      <c r="B142" s="18" t="s">
        <v>32</v>
      </c>
      <c r="C142" s="18">
        <v>16.0</v>
      </c>
      <c r="D142" s="18" t="s">
        <v>31</v>
      </c>
      <c r="E142" s="26">
        <v>42562.475694444445</v>
      </c>
      <c r="F142" s="19">
        <f>IFERROR(__xludf.DUMMYFUNCTION("IFERROR(TO_DATE(E142), """")"),42562.475694444445)</f>
        <v>42562.47569</v>
      </c>
      <c r="G142" s="20">
        <f t="shared" si="1"/>
        <v>11</v>
      </c>
      <c r="H142" s="26">
        <v>42562.521527777775</v>
      </c>
      <c r="I142" s="19">
        <f>IFERROR(__xludf.DUMMYFUNCTION("IFERROR(TO_DATE(H142), """")"),42562.521527777775)</f>
        <v>42562.52153</v>
      </c>
      <c r="J142" s="19" t="s">
        <v>14</v>
      </c>
      <c r="K142" s="22">
        <f t="shared" si="2"/>
        <v>0</v>
      </c>
    </row>
    <row r="143">
      <c r="A143" s="18">
        <v>709.0</v>
      </c>
      <c r="B143" s="18" t="s">
        <v>32</v>
      </c>
      <c r="C143" s="18">
        <v>16.0</v>
      </c>
      <c r="D143" s="18" t="s">
        <v>31</v>
      </c>
      <c r="E143" s="26">
        <v>42562.59444444445</v>
      </c>
      <c r="F143" s="19">
        <f>IFERROR(__xludf.DUMMYFUNCTION("IFERROR(TO_DATE(E143), """")"),42562.59444444445)</f>
        <v>42562.59444</v>
      </c>
      <c r="G143" s="20">
        <f t="shared" si="1"/>
        <v>14</v>
      </c>
      <c r="H143" s="26">
        <v>42562.62708333333</v>
      </c>
      <c r="I143" s="19">
        <f>IFERROR(__xludf.DUMMYFUNCTION("IFERROR(TO_DATE(H143), """")"),42562.62708333333)</f>
        <v>42562.62708</v>
      </c>
      <c r="J143" s="19" t="s">
        <v>10</v>
      </c>
      <c r="K143" s="22">
        <f t="shared" si="2"/>
        <v>0</v>
      </c>
    </row>
    <row r="144">
      <c r="A144" s="18">
        <v>1167.0</v>
      </c>
      <c r="B144" s="18" t="s">
        <v>30</v>
      </c>
      <c r="C144" s="18">
        <v>16.0</v>
      </c>
      <c r="D144" s="18" t="s">
        <v>31</v>
      </c>
      <c r="E144" s="26">
        <v>42562.868055555555</v>
      </c>
      <c r="F144" s="19">
        <f>IFERROR(__xludf.DUMMYFUNCTION("IFERROR(TO_DATE(E144), """")"),42562.868055555555)</f>
        <v>42562.86806</v>
      </c>
      <c r="G144" s="20">
        <f t="shared" si="1"/>
        <v>20</v>
      </c>
      <c r="H144" s="26">
        <v>42562.91111111111</v>
      </c>
      <c r="I144" s="19">
        <f>IFERROR(__xludf.DUMMYFUNCTION("IFERROR(TO_DATE(H144), """")"),42562.91111111111)</f>
        <v>42562.91111</v>
      </c>
      <c r="J144" s="19" t="s">
        <v>13</v>
      </c>
      <c r="K144" s="22">
        <f t="shared" si="2"/>
        <v>0</v>
      </c>
    </row>
    <row r="145">
      <c r="A145" s="18">
        <v>2661.0</v>
      </c>
      <c r="B145" s="18" t="s">
        <v>30</v>
      </c>
      <c r="C145" s="18">
        <v>16.0</v>
      </c>
      <c r="D145" s="18" t="s">
        <v>31</v>
      </c>
      <c r="E145" s="26">
        <v>42563.97430555556</v>
      </c>
      <c r="F145" s="19">
        <f>IFERROR(__xludf.DUMMYFUNCTION("IFERROR(TO_DATE(E145), """")"),42563.97430555556)</f>
        <v>42563.97431</v>
      </c>
      <c r="G145" s="20">
        <f t="shared" si="1"/>
        <v>23</v>
      </c>
      <c r="H145" s="27">
        <v>42564.01899305556</v>
      </c>
      <c r="I145" s="19">
        <f>IFERROR(__xludf.DUMMYFUNCTION("IFERROR(TO_DATE(H145), """")"),42564.01899305556)</f>
        <v>42564.01899</v>
      </c>
      <c r="J145" s="19" t="s">
        <v>13</v>
      </c>
      <c r="K145" s="22">
        <f t="shared" si="2"/>
        <v>0</v>
      </c>
    </row>
    <row r="146">
      <c r="A146" s="18">
        <v>2808.0</v>
      </c>
      <c r="B146" s="18" t="s">
        <v>32</v>
      </c>
      <c r="C146" s="18">
        <v>16.0</v>
      </c>
      <c r="D146" s="18" t="s">
        <v>31</v>
      </c>
      <c r="E146" s="27">
        <v>42564.21199074074</v>
      </c>
      <c r="F146" s="19">
        <f>IFERROR(__xludf.DUMMYFUNCTION("IFERROR(TO_DATE(E146), """")"),42564.21199074074)</f>
        <v>42564.21199</v>
      </c>
      <c r="G146" s="20">
        <f t="shared" si="1"/>
        <v>5</v>
      </c>
      <c r="H146" s="27">
        <v>42564.247349537036</v>
      </c>
      <c r="I146" s="19">
        <f>IFERROR(__xludf.DUMMYFUNCTION("IFERROR(TO_DATE(H146), """")"),42564.247349537036)</f>
        <v>42564.24735</v>
      </c>
      <c r="J146" s="19" t="s">
        <v>11</v>
      </c>
      <c r="K146" s="22">
        <f t="shared" si="2"/>
        <v>0</v>
      </c>
    </row>
    <row r="147">
      <c r="A147" s="18">
        <v>3258.0</v>
      </c>
      <c r="B147" s="18" t="s">
        <v>30</v>
      </c>
      <c r="C147" s="18">
        <v>16.0</v>
      </c>
      <c r="D147" s="18" t="s">
        <v>31</v>
      </c>
      <c r="E147" s="27">
        <v>42564.42559027778</v>
      </c>
      <c r="F147" s="19">
        <f>IFERROR(__xludf.DUMMYFUNCTION("IFERROR(TO_DATE(E147), """")"),42564.42559027778)</f>
        <v>42564.42559</v>
      </c>
      <c r="G147" s="20">
        <f t="shared" si="1"/>
        <v>10</v>
      </c>
      <c r="H147" s="27">
        <v>42564.44824074074</v>
      </c>
      <c r="I147" s="19">
        <f>IFERROR(__xludf.DUMMYFUNCTION("IFERROR(TO_DATE(H147), """")"),42564.44824074074)</f>
        <v>42564.44824</v>
      </c>
      <c r="J147" s="19" t="s">
        <v>14</v>
      </c>
      <c r="K147" s="22">
        <f t="shared" si="2"/>
        <v>0</v>
      </c>
    </row>
    <row r="148">
      <c r="A148" s="18">
        <v>3413.0</v>
      </c>
      <c r="B148" s="18" t="s">
        <v>30</v>
      </c>
      <c r="C148" s="18">
        <v>16.0</v>
      </c>
      <c r="D148" s="18" t="s">
        <v>31</v>
      </c>
      <c r="E148" s="27">
        <v>42564.6472337963</v>
      </c>
      <c r="F148" s="19">
        <f>IFERROR(__xludf.DUMMYFUNCTION("IFERROR(TO_DATE(E148), """")"),42564.6472337963)</f>
        <v>42564.64723</v>
      </c>
      <c r="G148" s="20">
        <f t="shared" si="1"/>
        <v>15</v>
      </c>
      <c r="H148" s="27">
        <v>42564.698425925926</v>
      </c>
      <c r="I148" s="19">
        <f>IFERROR(__xludf.DUMMYFUNCTION("IFERROR(TO_DATE(H148), """")"),42564.698425925926)</f>
        <v>42564.69843</v>
      </c>
      <c r="J148" s="19" t="s">
        <v>10</v>
      </c>
      <c r="K148" s="22">
        <f t="shared" si="2"/>
        <v>0</v>
      </c>
    </row>
    <row r="149">
      <c r="A149" s="18">
        <v>3939.0</v>
      </c>
      <c r="B149" s="18" t="s">
        <v>30</v>
      </c>
      <c r="C149" s="18">
        <v>16.0</v>
      </c>
      <c r="D149" s="18" t="s">
        <v>31</v>
      </c>
      <c r="E149" s="27">
        <v>42564.93502314815</v>
      </c>
      <c r="F149" s="19">
        <f>IFERROR(__xludf.DUMMYFUNCTION("IFERROR(TO_DATE(E149), """")"),42564.93502314815)</f>
        <v>42564.93502</v>
      </c>
      <c r="G149" s="20">
        <f t="shared" si="1"/>
        <v>22</v>
      </c>
      <c r="H149" s="27">
        <v>42564.95548611111</v>
      </c>
      <c r="I149" s="19">
        <f>IFERROR(__xludf.DUMMYFUNCTION("IFERROR(TO_DATE(H149), """")"),42564.95548611111)</f>
        <v>42564.95549</v>
      </c>
      <c r="J149" s="19" t="s">
        <v>13</v>
      </c>
      <c r="K149" s="22">
        <f t="shared" si="2"/>
        <v>0</v>
      </c>
    </row>
    <row r="150">
      <c r="A150" s="18">
        <v>4125.0</v>
      </c>
      <c r="B150" s="18" t="s">
        <v>32</v>
      </c>
      <c r="C150" s="18">
        <v>16.0</v>
      </c>
      <c r="D150" s="18" t="s">
        <v>31</v>
      </c>
      <c r="E150" s="27">
        <v>42565.19248842593</v>
      </c>
      <c r="F150" s="19">
        <f>IFERROR(__xludf.DUMMYFUNCTION("IFERROR(TO_DATE(E150), """")"),42565.19248842593)</f>
        <v>42565.19249</v>
      </c>
      <c r="G150" s="20">
        <f t="shared" si="1"/>
        <v>4</v>
      </c>
      <c r="H150" s="27">
        <v>42565.24061342593</v>
      </c>
      <c r="I150" s="19">
        <f>IFERROR(__xludf.DUMMYFUNCTION("IFERROR(TO_DATE(H150), """")"),42565.24061342593)</f>
        <v>42565.24061</v>
      </c>
      <c r="J150" s="19" t="s">
        <v>11</v>
      </c>
      <c r="K150" s="22">
        <f t="shared" si="2"/>
        <v>0</v>
      </c>
    </row>
    <row r="151">
      <c r="A151" s="18">
        <v>4457.0</v>
      </c>
      <c r="B151" s="18" t="s">
        <v>32</v>
      </c>
      <c r="C151" s="18">
        <v>16.0</v>
      </c>
      <c r="D151" s="18" t="s">
        <v>31</v>
      </c>
      <c r="E151" s="27">
        <v>42565.358611111114</v>
      </c>
      <c r="F151" s="19">
        <f>IFERROR(__xludf.DUMMYFUNCTION("IFERROR(TO_DATE(E151), """")"),42565.358611111114)</f>
        <v>42565.35861</v>
      </c>
      <c r="G151" s="20">
        <f t="shared" si="1"/>
        <v>8</v>
      </c>
      <c r="H151" s="27">
        <v>42565.38842592593</v>
      </c>
      <c r="I151" s="19">
        <f>IFERROR(__xludf.DUMMYFUNCTION("IFERROR(TO_DATE(H151), """")"),42565.38842592593)</f>
        <v>42565.38843</v>
      </c>
      <c r="J151" s="19" t="s">
        <v>14</v>
      </c>
      <c r="K151" s="22">
        <f t="shared" si="2"/>
        <v>0</v>
      </c>
    </row>
    <row r="152">
      <c r="A152" s="18">
        <v>4728.0</v>
      </c>
      <c r="B152" s="18" t="s">
        <v>32</v>
      </c>
      <c r="C152" s="18">
        <v>16.0</v>
      </c>
      <c r="D152" s="18" t="s">
        <v>31</v>
      </c>
      <c r="E152" s="27">
        <v>42565.58626157408</v>
      </c>
      <c r="F152" s="19">
        <f>IFERROR(__xludf.DUMMYFUNCTION("IFERROR(TO_DATE(E152), """")"),42565.58626157408)</f>
        <v>42565.58626</v>
      </c>
      <c r="G152" s="20">
        <f t="shared" si="1"/>
        <v>14</v>
      </c>
      <c r="H152" s="27">
        <v>42565.62962962963</v>
      </c>
      <c r="I152" s="19">
        <f>IFERROR(__xludf.DUMMYFUNCTION("IFERROR(TO_DATE(H152), """")"),42565.62962962963)</f>
        <v>42565.62963</v>
      </c>
      <c r="J152" s="19" t="s">
        <v>10</v>
      </c>
      <c r="K152" s="22">
        <f t="shared" si="2"/>
        <v>0</v>
      </c>
    </row>
    <row r="153">
      <c r="A153" s="18">
        <v>5347.0</v>
      </c>
      <c r="B153" s="18" t="s">
        <v>30</v>
      </c>
      <c r="C153" s="18">
        <v>16.0</v>
      </c>
      <c r="D153" s="18" t="s">
        <v>31</v>
      </c>
      <c r="E153" s="27">
        <v>42565.952627314815</v>
      </c>
      <c r="F153" s="19">
        <f>IFERROR(__xludf.DUMMYFUNCTION("IFERROR(TO_DATE(E153), """")"),42565.952627314815)</f>
        <v>42565.95263</v>
      </c>
      <c r="G153" s="20">
        <f t="shared" si="1"/>
        <v>22</v>
      </c>
      <c r="H153" s="27">
        <v>42565.995625</v>
      </c>
      <c r="I153" s="19">
        <f>IFERROR(__xludf.DUMMYFUNCTION("IFERROR(TO_DATE(H153), """")"),42565.995625)</f>
        <v>42565.99563</v>
      </c>
      <c r="J153" s="19" t="s">
        <v>13</v>
      </c>
      <c r="K153" s="22">
        <f t="shared" si="2"/>
        <v>0</v>
      </c>
    </row>
    <row r="154">
      <c r="A154" s="18">
        <v>6147.0</v>
      </c>
      <c r="B154" s="18" t="s">
        <v>32</v>
      </c>
      <c r="C154" s="18">
        <v>16.0</v>
      </c>
      <c r="D154" s="18" t="s">
        <v>31</v>
      </c>
      <c r="E154" s="27">
        <v>42566.6743287037</v>
      </c>
      <c r="F154" s="19">
        <f>IFERROR(__xludf.DUMMYFUNCTION("IFERROR(TO_DATE(E154), """")"),42566.6743287037)</f>
        <v>42566.67433</v>
      </c>
      <c r="G154" s="20">
        <f t="shared" si="1"/>
        <v>16</v>
      </c>
      <c r="H154" s="27">
        <v>42566.72925925926</v>
      </c>
      <c r="I154" s="19">
        <f>IFERROR(__xludf.DUMMYFUNCTION("IFERROR(TO_DATE(H154), """")"),42566.72925925926)</f>
        <v>42566.72926</v>
      </c>
      <c r="J154" s="19" t="s">
        <v>12</v>
      </c>
      <c r="K154" s="22">
        <f t="shared" si="2"/>
        <v>0</v>
      </c>
    </row>
    <row r="155">
      <c r="A155" s="18">
        <v>6496.0</v>
      </c>
      <c r="B155" s="18" t="s">
        <v>30</v>
      </c>
      <c r="C155" s="18">
        <v>16.0</v>
      </c>
      <c r="D155" s="18" t="s">
        <v>31</v>
      </c>
      <c r="E155" s="27">
        <v>42566.85625</v>
      </c>
      <c r="F155" s="19">
        <f>IFERROR(__xludf.DUMMYFUNCTION("IFERROR(TO_DATE(E155), """")"),42566.85625)</f>
        <v>42566.85625</v>
      </c>
      <c r="G155" s="20">
        <f t="shared" si="1"/>
        <v>20</v>
      </c>
      <c r="H155" s="27">
        <v>42566.89778935185</v>
      </c>
      <c r="I155" s="19">
        <f>IFERROR(__xludf.DUMMYFUNCTION("IFERROR(TO_DATE(H155), """")"),42566.89778935185)</f>
        <v>42566.89779</v>
      </c>
      <c r="J155" s="19" t="s">
        <v>13</v>
      </c>
      <c r="K155" s="22">
        <f t="shared" si="2"/>
        <v>0</v>
      </c>
    </row>
    <row r="156">
      <c r="A156" s="18">
        <v>634.0</v>
      </c>
      <c r="B156" s="18" t="s">
        <v>32</v>
      </c>
      <c r="C156" s="18">
        <v>17.0</v>
      </c>
      <c r="D156" s="18" t="s">
        <v>31</v>
      </c>
      <c r="E156" s="26">
        <v>42562.51736111111</v>
      </c>
      <c r="F156" s="19">
        <f>IFERROR(__xludf.DUMMYFUNCTION("IFERROR(TO_DATE(E156), """")"),42562.51736111111)</f>
        <v>42562.51736</v>
      </c>
      <c r="G156" s="20">
        <f t="shared" si="1"/>
        <v>12</v>
      </c>
      <c r="H156" s="26">
        <v>42562.54583333333</v>
      </c>
      <c r="I156" s="19">
        <f>IFERROR(__xludf.DUMMYFUNCTION("IFERROR(TO_DATE(H156), """")"),42562.54583333333)</f>
        <v>42562.54583</v>
      </c>
      <c r="J156" s="19" t="s">
        <v>10</v>
      </c>
      <c r="K156" s="22">
        <f t="shared" si="2"/>
        <v>0</v>
      </c>
    </row>
    <row r="157">
      <c r="A157" s="18">
        <v>939.0</v>
      </c>
      <c r="B157" s="18" t="s">
        <v>30</v>
      </c>
      <c r="C157" s="18">
        <v>17.0</v>
      </c>
      <c r="D157" s="18" t="s">
        <v>31</v>
      </c>
      <c r="E157" s="26">
        <v>42562.76736111111</v>
      </c>
      <c r="F157" s="19">
        <f>IFERROR(__xludf.DUMMYFUNCTION("IFERROR(TO_DATE(E157), """")"),42562.76736111111)</f>
        <v>42562.76736</v>
      </c>
      <c r="G157" s="20">
        <f t="shared" si="1"/>
        <v>18</v>
      </c>
      <c r="H157" s="26">
        <v>42562.80972222222</v>
      </c>
      <c r="I157" s="19">
        <f>IFERROR(__xludf.DUMMYFUNCTION("IFERROR(TO_DATE(H157), """")"),42562.80972222222)</f>
        <v>42562.80972</v>
      </c>
      <c r="J157" s="19" t="s">
        <v>12</v>
      </c>
      <c r="K157" s="22">
        <f t="shared" si="2"/>
        <v>0</v>
      </c>
    </row>
    <row r="158">
      <c r="A158" s="18">
        <v>2628.0</v>
      </c>
      <c r="B158" s="18" t="s">
        <v>30</v>
      </c>
      <c r="C158" s="18">
        <v>17.0</v>
      </c>
      <c r="D158" s="18" t="s">
        <v>31</v>
      </c>
      <c r="E158" s="26">
        <v>42563.92361111111</v>
      </c>
      <c r="F158" s="19">
        <f>IFERROR(__xludf.DUMMYFUNCTION("IFERROR(TO_DATE(E158), """")"),42563.92361111111)</f>
        <v>42563.92361</v>
      </c>
      <c r="G158" s="20">
        <f t="shared" si="1"/>
        <v>22</v>
      </c>
      <c r="H158" s="26">
        <v>42563.975694444445</v>
      </c>
      <c r="I158" s="19">
        <f>IFERROR(__xludf.DUMMYFUNCTION("IFERROR(TO_DATE(H158), """")"),42563.975694444445)</f>
        <v>42563.97569</v>
      </c>
      <c r="J158" s="19" t="s">
        <v>13</v>
      </c>
      <c r="K158" s="22">
        <f t="shared" si="2"/>
        <v>0</v>
      </c>
    </row>
    <row r="159">
      <c r="A159" s="18">
        <v>3021.0</v>
      </c>
      <c r="B159" s="18" t="s">
        <v>32</v>
      </c>
      <c r="C159" s="18">
        <v>17.0</v>
      </c>
      <c r="D159" s="18" t="s">
        <v>31</v>
      </c>
      <c r="E159" s="27">
        <v>42564.31481481482</v>
      </c>
      <c r="F159" s="19">
        <f>IFERROR(__xludf.DUMMYFUNCTION("IFERROR(TO_DATE(E159), """")"),42564.31481481482)</f>
        <v>42564.31481</v>
      </c>
      <c r="G159" s="20">
        <f t="shared" si="1"/>
        <v>7</v>
      </c>
      <c r="H159" s="27">
        <v>42564.35146990741</v>
      </c>
      <c r="I159" s="19">
        <f>IFERROR(__xludf.DUMMYFUNCTION("IFERROR(TO_DATE(H159), """")"),42564.35146990741)</f>
        <v>42564.35147</v>
      </c>
      <c r="J159" s="19" t="s">
        <v>11</v>
      </c>
      <c r="K159" s="22">
        <f t="shared" si="2"/>
        <v>0</v>
      </c>
    </row>
    <row r="160">
      <c r="A160" s="18">
        <v>4743.0</v>
      </c>
      <c r="B160" s="18" t="s">
        <v>32</v>
      </c>
      <c r="C160" s="18">
        <v>17.0</v>
      </c>
      <c r="D160" s="18" t="s">
        <v>31</v>
      </c>
      <c r="E160" s="27">
        <v>42565.62101851852</v>
      </c>
      <c r="F160" s="19">
        <f>IFERROR(__xludf.DUMMYFUNCTION("IFERROR(TO_DATE(E160), """")"),42565.62101851852)</f>
        <v>42565.62102</v>
      </c>
      <c r="G160" s="20">
        <f t="shared" si="1"/>
        <v>14</v>
      </c>
      <c r="H160" s="27">
        <v>42565.65211805556</v>
      </c>
      <c r="I160" s="19">
        <f>IFERROR(__xludf.DUMMYFUNCTION("IFERROR(TO_DATE(H160), """")"),42565.65211805556)</f>
        <v>42565.65212</v>
      </c>
      <c r="J160" s="19" t="s">
        <v>10</v>
      </c>
      <c r="K160" s="22">
        <f t="shared" si="2"/>
        <v>0</v>
      </c>
    </row>
    <row r="161">
      <c r="A161" s="18">
        <v>4981.0</v>
      </c>
      <c r="B161" s="18" t="s">
        <v>32</v>
      </c>
      <c r="C161" s="18">
        <v>17.0</v>
      </c>
      <c r="D161" s="18" t="s">
        <v>31</v>
      </c>
      <c r="E161" s="27">
        <v>42565.783125</v>
      </c>
      <c r="F161" s="19">
        <f>IFERROR(__xludf.DUMMYFUNCTION("IFERROR(TO_DATE(E161), """")"),42565.783125)</f>
        <v>42565.78313</v>
      </c>
      <c r="G161" s="20">
        <f t="shared" si="1"/>
        <v>18</v>
      </c>
      <c r="H161" s="27">
        <v>42565.82203703704</v>
      </c>
      <c r="I161" s="19">
        <f>IFERROR(__xludf.DUMMYFUNCTION("IFERROR(TO_DATE(H161), """")"),42565.82203703704)</f>
        <v>42565.82204</v>
      </c>
      <c r="J161" s="19" t="s">
        <v>12</v>
      </c>
      <c r="K161" s="22">
        <f t="shared" si="2"/>
        <v>0</v>
      </c>
    </row>
    <row r="162">
      <c r="A162" s="18">
        <v>5367.0</v>
      </c>
      <c r="B162" s="18" t="s">
        <v>30</v>
      </c>
      <c r="C162" s="18">
        <v>17.0</v>
      </c>
      <c r="D162" s="18" t="s">
        <v>31</v>
      </c>
      <c r="E162" s="27">
        <v>42565.98303240741</v>
      </c>
      <c r="F162" s="19">
        <f>IFERROR(__xludf.DUMMYFUNCTION("IFERROR(TO_DATE(E162), """")"),42565.98303240741)</f>
        <v>42565.98303</v>
      </c>
      <c r="G162" s="20">
        <f t="shared" si="1"/>
        <v>23</v>
      </c>
      <c r="H162" s="27">
        <v>42566.01766203704</v>
      </c>
      <c r="I162" s="19">
        <f>IFERROR(__xludf.DUMMYFUNCTION("IFERROR(TO_DATE(H162), """")"),42566.01766203704)</f>
        <v>42566.01766</v>
      </c>
      <c r="J162" s="19" t="s">
        <v>13</v>
      </c>
      <c r="K162" s="22">
        <f t="shared" si="2"/>
        <v>0</v>
      </c>
    </row>
    <row r="163">
      <c r="A163" s="18">
        <v>5471.0</v>
      </c>
      <c r="B163" s="18" t="s">
        <v>30</v>
      </c>
      <c r="C163" s="18">
        <v>17.0</v>
      </c>
      <c r="D163" s="18" t="s">
        <v>31</v>
      </c>
      <c r="E163" s="27">
        <v>42566.20065972222</v>
      </c>
      <c r="F163" s="19">
        <f>IFERROR(__xludf.DUMMYFUNCTION("IFERROR(TO_DATE(E163), """")"),42566.20065972222)</f>
        <v>42566.20066</v>
      </c>
      <c r="G163" s="20">
        <f t="shared" si="1"/>
        <v>4</v>
      </c>
      <c r="H163" s="27">
        <v>42566.241122685184</v>
      </c>
      <c r="I163" s="19">
        <f>IFERROR(__xludf.DUMMYFUNCTION("IFERROR(TO_DATE(H163), """")"),42566.241122685184)</f>
        <v>42566.24112</v>
      </c>
      <c r="J163" s="19" t="s">
        <v>11</v>
      </c>
      <c r="K163" s="22">
        <f t="shared" si="2"/>
        <v>0</v>
      </c>
    </row>
    <row r="164">
      <c r="A164" s="18">
        <v>5988.0</v>
      </c>
      <c r="B164" s="18" t="s">
        <v>30</v>
      </c>
      <c r="C164" s="18">
        <v>17.0</v>
      </c>
      <c r="D164" s="18" t="s">
        <v>31</v>
      </c>
      <c r="E164" s="27">
        <v>42566.49203703704</v>
      </c>
      <c r="F164" s="19">
        <f>IFERROR(__xludf.DUMMYFUNCTION("IFERROR(TO_DATE(E164), """")"),42566.49203703704)</f>
        <v>42566.49204</v>
      </c>
      <c r="G164" s="20">
        <f t="shared" si="1"/>
        <v>11</v>
      </c>
      <c r="H164" s="27">
        <v>42566.53821759259</v>
      </c>
      <c r="I164" s="19">
        <f>IFERROR(__xludf.DUMMYFUNCTION("IFERROR(TO_DATE(H164), """")"),42566.53821759259)</f>
        <v>42566.53822</v>
      </c>
      <c r="J164" s="19" t="s">
        <v>14</v>
      </c>
      <c r="K164" s="22">
        <f t="shared" si="2"/>
        <v>0</v>
      </c>
    </row>
    <row r="165">
      <c r="A165" s="18">
        <v>6477.0</v>
      </c>
      <c r="B165" s="18" t="s">
        <v>30</v>
      </c>
      <c r="C165" s="18">
        <v>17.0</v>
      </c>
      <c r="D165" s="18" t="s">
        <v>31</v>
      </c>
      <c r="E165" s="27">
        <v>42566.84821759259</v>
      </c>
      <c r="F165" s="19">
        <f>IFERROR(__xludf.DUMMYFUNCTION("IFERROR(TO_DATE(E165), """")"),42566.84821759259)</f>
        <v>42566.84822</v>
      </c>
      <c r="G165" s="20">
        <f t="shared" si="1"/>
        <v>20</v>
      </c>
      <c r="H165" s="27">
        <v>42566.87535879629</v>
      </c>
      <c r="I165" s="19">
        <f>IFERROR(__xludf.DUMMYFUNCTION("IFERROR(TO_DATE(H165), """")"),42566.87535879629)</f>
        <v>42566.87536</v>
      </c>
      <c r="J165" s="19" t="s">
        <v>13</v>
      </c>
      <c r="K165" s="22">
        <f t="shared" si="2"/>
        <v>0</v>
      </c>
    </row>
    <row r="166">
      <c r="A166" s="18">
        <v>499.0</v>
      </c>
      <c r="B166" s="18" t="s">
        <v>32</v>
      </c>
      <c r="C166" s="18">
        <v>18.0</v>
      </c>
      <c r="D166" s="18" t="s">
        <v>31</v>
      </c>
      <c r="E166" s="26">
        <v>42562.402083333334</v>
      </c>
      <c r="F166" s="19">
        <f>IFERROR(__xludf.DUMMYFUNCTION("IFERROR(TO_DATE(E166), """")"),42562.402083333334)</f>
        <v>42562.40208</v>
      </c>
      <c r="G166" s="20">
        <f t="shared" si="1"/>
        <v>9</v>
      </c>
      <c r="H166" s="26">
        <v>42562.427777777775</v>
      </c>
      <c r="I166" s="19">
        <f>IFERROR(__xludf.DUMMYFUNCTION("IFERROR(TO_DATE(H166), """")"),42562.427777777775)</f>
        <v>42562.42778</v>
      </c>
      <c r="J166" s="19" t="s">
        <v>14</v>
      </c>
      <c r="K166" s="22">
        <f t="shared" si="2"/>
        <v>0</v>
      </c>
    </row>
    <row r="167">
      <c r="A167" s="18">
        <v>1147.0</v>
      </c>
      <c r="B167" s="18" t="s">
        <v>30</v>
      </c>
      <c r="C167" s="18">
        <v>18.0</v>
      </c>
      <c r="D167" s="18" t="s">
        <v>31</v>
      </c>
      <c r="E167" s="26">
        <v>42562.8625</v>
      </c>
      <c r="F167" s="19">
        <f>IFERROR(__xludf.DUMMYFUNCTION("IFERROR(TO_DATE(E167), """")"),42562.8625)</f>
        <v>42562.8625</v>
      </c>
      <c r="G167" s="20">
        <f t="shared" si="1"/>
        <v>20</v>
      </c>
      <c r="H167" s="26">
        <v>42562.8875</v>
      </c>
      <c r="I167" s="19">
        <f>IFERROR(__xludf.DUMMYFUNCTION("IFERROR(TO_DATE(H167), """")"),42562.8875)</f>
        <v>42562.8875</v>
      </c>
      <c r="J167" s="19" t="s">
        <v>13</v>
      </c>
      <c r="K167" s="22">
        <f t="shared" si="2"/>
        <v>0</v>
      </c>
    </row>
    <row r="168">
      <c r="A168" s="18">
        <v>1410.0</v>
      </c>
      <c r="B168" s="18" t="s">
        <v>30</v>
      </c>
      <c r="C168" s="18">
        <v>18.0</v>
      </c>
      <c r="D168" s="18" t="s">
        <v>31</v>
      </c>
      <c r="E168" s="26">
        <v>42563.134722222225</v>
      </c>
      <c r="F168" s="19">
        <f>IFERROR(__xludf.DUMMYFUNCTION("IFERROR(TO_DATE(E168), """")"),42563.134722222225)</f>
        <v>42563.13472</v>
      </c>
      <c r="G168" s="20">
        <f t="shared" si="1"/>
        <v>3</v>
      </c>
      <c r="H168" s="26">
        <v>42563.18541666667</v>
      </c>
      <c r="I168" s="19">
        <f>IFERROR(__xludf.DUMMYFUNCTION("IFERROR(TO_DATE(H168), """")"),42563.18541666667)</f>
        <v>42563.18542</v>
      </c>
      <c r="J168" s="19" t="s">
        <v>15</v>
      </c>
      <c r="K168" s="22">
        <f t="shared" si="2"/>
        <v>0</v>
      </c>
    </row>
    <row r="169">
      <c r="A169" s="18">
        <v>1804.0</v>
      </c>
      <c r="B169" s="18" t="s">
        <v>30</v>
      </c>
      <c r="C169" s="18">
        <v>18.0</v>
      </c>
      <c r="D169" s="18" t="s">
        <v>31</v>
      </c>
      <c r="E169" s="26">
        <v>42563.38333333333</v>
      </c>
      <c r="F169" s="19">
        <f>IFERROR(__xludf.DUMMYFUNCTION("IFERROR(TO_DATE(E169), """")"),42563.38333333333)</f>
        <v>42563.38333</v>
      </c>
      <c r="G169" s="20">
        <f t="shared" si="1"/>
        <v>9</v>
      </c>
      <c r="H169" s="26">
        <v>42563.41458333333</v>
      </c>
      <c r="I169" s="19">
        <f>IFERROR(__xludf.DUMMYFUNCTION("IFERROR(TO_DATE(H169), """")"),42563.41458333333)</f>
        <v>42563.41458</v>
      </c>
      <c r="J169" s="19" t="s">
        <v>14</v>
      </c>
      <c r="K169" s="22">
        <f t="shared" si="2"/>
        <v>0</v>
      </c>
    </row>
    <row r="170">
      <c r="A170" s="18">
        <v>1949.0</v>
      </c>
      <c r="B170" s="18" t="s">
        <v>30</v>
      </c>
      <c r="C170" s="18">
        <v>18.0</v>
      </c>
      <c r="D170" s="18" t="s">
        <v>31</v>
      </c>
      <c r="E170" s="26">
        <v>42563.48055555556</v>
      </c>
      <c r="F170" s="19">
        <f>IFERROR(__xludf.DUMMYFUNCTION("IFERROR(TO_DATE(E170), """")"),42563.48055555556)</f>
        <v>42563.48056</v>
      </c>
      <c r="G170" s="20">
        <f t="shared" si="1"/>
        <v>11</v>
      </c>
      <c r="H170" s="26">
        <v>42563.50902777778</v>
      </c>
      <c r="I170" s="19">
        <f>IFERROR(__xludf.DUMMYFUNCTION("IFERROR(TO_DATE(H170), """")"),42563.50902777778)</f>
        <v>42563.50903</v>
      </c>
      <c r="J170" s="19" t="s">
        <v>14</v>
      </c>
      <c r="K170" s="22">
        <f t="shared" si="2"/>
        <v>0</v>
      </c>
    </row>
    <row r="171">
      <c r="A171" s="18">
        <v>2713.0</v>
      </c>
      <c r="B171" s="18" t="s">
        <v>32</v>
      </c>
      <c r="C171" s="18">
        <v>18.0</v>
      </c>
      <c r="D171" s="18" t="s">
        <v>31</v>
      </c>
      <c r="E171" s="27">
        <v>42564.07409722222</v>
      </c>
      <c r="F171" s="19">
        <f>IFERROR(__xludf.DUMMYFUNCTION("IFERROR(TO_DATE(E171), """")"),42564.07409722222)</f>
        <v>42564.0741</v>
      </c>
      <c r="G171" s="20">
        <f t="shared" si="1"/>
        <v>1</v>
      </c>
      <c r="H171" s="27">
        <v>42564.10912037037</v>
      </c>
      <c r="I171" s="19">
        <f>IFERROR(__xludf.DUMMYFUNCTION("IFERROR(TO_DATE(H171), """")"),42564.10912037037)</f>
        <v>42564.10912</v>
      </c>
      <c r="J171" s="19" t="s">
        <v>15</v>
      </c>
      <c r="K171" s="22">
        <f t="shared" si="2"/>
        <v>0</v>
      </c>
    </row>
    <row r="172">
      <c r="A172" s="18">
        <v>2845.0</v>
      </c>
      <c r="B172" s="18" t="s">
        <v>32</v>
      </c>
      <c r="C172" s="18">
        <v>18.0</v>
      </c>
      <c r="D172" s="18" t="s">
        <v>31</v>
      </c>
      <c r="E172" s="27">
        <v>42564.228113425925</v>
      </c>
      <c r="F172" s="19">
        <f>IFERROR(__xludf.DUMMYFUNCTION("IFERROR(TO_DATE(E172), """")"),42564.228113425925)</f>
        <v>42564.22811</v>
      </c>
      <c r="G172" s="20">
        <f t="shared" si="1"/>
        <v>5</v>
      </c>
      <c r="H172" s="27">
        <v>42564.25740740741</v>
      </c>
      <c r="I172" s="19">
        <f>IFERROR(__xludf.DUMMYFUNCTION("IFERROR(TO_DATE(H172), """")"),42564.25740740741)</f>
        <v>42564.25741</v>
      </c>
      <c r="J172" s="19" t="s">
        <v>11</v>
      </c>
      <c r="K172" s="22">
        <f t="shared" si="2"/>
        <v>0</v>
      </c>
    </row>
    <row r="173">
      <c r="A173" s="18">
        <v>3943.0</v>
      </c>
      <c r="B173" s="18" t="s">
        <v>30</v>
      </c>
      <c r="C173" s="18">
        <v>18.0</v>
      </c>
      <c r="D173" s="18" t="s">
        <v>31</v>
      </c>
      <c r="E173" s="27">
        <v>42564.941412037035</v>
      </c>
      <c r="F173" s="19">
        <f>IFERROR(__xludf.DUMMYFUNCTION("IFERROR(TO_DATE(E173), """")"),42564.941412037035)</f>
        <v>42564.94141</v>
      </c>
      <c r="G173" s="20">
        <f t="shared" si="1"/>
        <v>22</v>
      </c>
      <c r="H173" s="27">
        <v>42564.98148148148</v>
      </c>
      <c r="I173" s="19">
        <f>IFERROR(__xludf.DUMMYFUNCTION("IFERROR(TO_DATE(H173), """")"),42564.98148148148)</f>
        <v>42564.98148</v>
      </c>
      <c r="J173" s="19" t="s">
        <v>13</v>
      </c>
      <c r="K173" s="22">
        <f t="shared" si="2"/>
        <v>0</v>
      </c>
    </row>
    <row r="174">
      <c r="A174" s="18">
        <v>4792.0</v>
      </c>
      <c r="B174" s="18" t="s">
        <v>32</v>
      </c>
      <c r="C174" s="18">
        <v>18.0</v>
      </c>
      <c r="D174" s="18" t="s">
        <v>31</v>
      </c>
      <c r="E174" s="27">
        <v>42565.699479166666</v>
      </c>
      <c r="F174" s="19">
        <f>IFERROR(__xludf.DUMMYFUNCTION("IFERROR(TO_DATE(E174), """")"),42565.699479166666)</f>
        <v>42565.69948</v>
      </c>
      <c r="G174" s="20">
        <f t="shared" si="1"/>
        <v>16</v>
      </c>
      <c r="H174" s="27">
        <v>42565.732395833336</v>
      </c>
      <c r="I174" s="19">
        <f>IFERROR(__xludf.DUMMYFUNCTION("IFERROR(TO_DATE(H174), """")"),42565.732395833336)</f>
        <v>42565.7324</v>
      </c>
      <c r="J174" s="19" t="s">
        <v>12</v>
      </c>
      <c r="K174" s="22">
        <f t="shared" si="2"/>
        <v>0</v>
      </c>
    </row>
    <row r="175">
      <c r="A175" s="18">
        <v>5207.0</v>
      </c>
      <c r="B175" s="18" t="s">
        <v>30</v>
      </c>
      <c r="C175" s="18">
        <v>18.0</v>
      </c>
      <c r="D175" s="18" t="s">
        <v>31</v>
      </c>
      <c r="E175" s="27">
        <v>42565.873391203706</v>
      </c>
      <c r="F175" s="19">
        <f>IFERROR(__xludf.DUMMYFUNCTION("IFERROR(TO_DATE(E175), """")"),42565.873391203706)</f>
        <v>42565.87339</v>
      </c>
      <c r="G175" s="20">
        <f t="shared" si="1"/>
        <v>20</v>
      </c>
      <c r="H175" s="27">
        <v>42565.914131944446</v>
      </c>
      <c r="I175" s="19">
        <f>IFERROR(__xludf.DUMMYFUNCTION("IFERROR(TO_DATE(H175), """")"),42565.914131944446)</f>
        <v>42565.91413</v>
      </c>
      <c r="J175" s="19" t="s">
        <v>13</v>
      </c>
      <c r="K175" s="22">
        <f t="shared" si="2"/>
        <v>0</v>
      </c>
    </row>
    <row r="176">
      <c r="A176" s="18">
        <v>5890.0</v>
      </c>
      <c r="B176" s="18" t="s">
        <v>32</v>
      </c>
      <c r="C176" s="18">
        <v>18.0</v>
      </c>
      <c r="D176" s="18" t="s">
        <v>31</v>
      </c>
      <c r="E176" s="27">
        <v>42566.40552083333</v>
      </c>
      <c r="F176" s="19">
        <f>IFERROR(__xludf.DUMMYFUNCTION("IFERROR(TO_DATE(E176), """")"),42566.40552083333)</f>
        <v>42566.40552</v>
      </c>
      <c r="G176" s="20">
        <f t="shared" si="1"/>
        <v>9</v>
      </c>
      <c r="H176" s="27">
        <v>42566.45511574074</v>
      </c>
      <c r="I176" s="19">
        <f>IFERROR(__xludf.DUMMYFUNCTION("IFERROR(TO_DATE(H176), """")"),42566.45511574074)</f>
        <v>42566.45512</v>
      </c>
      <c r="J176" s="19" t="s">
        <v>14</v>
      </c>
      <c r="K176" s="22">
        <f t="shared" si="2"/>
        <v>0</v>
      </c>
    </row>
    <row r="177">
      <c r="A177" s="18">
        <v>494.0</v>
      </c>
      <c r="B177" s="18" t="s">
        <v>32</v>
      </c>
      <c r="C177" s="18">
        <v>19.0</v>
      </c>
      <c r="D177" s="18" t="s">
        <v>31</v>
      </c>
      <c r="E177" s="26">
        <v>42562.4</v>
      </c>
      <c r="F177" s="19">
        <f>IFERROR(__xludf.DUMMYFUNCTION("IFERROR(TO_DATE(E177), """")"),42562.4)</f>
        <v>42562.4</v>
      </c>
      <c r="G177" s="20">
        <f t="shared" si="1"/>
        <v>9</v>
      </c>
      <c r="H177" s="26">
        <v>42562.41805555556</v>
      </c>
      <c r="I177" s="19">
        <f>IFERROR(__xludf.DUMMYFUNCTION("IFERROR(TO_DATE(H177), """")"),42562.41805555556)</f>
        <v>42562.41806</v>
      </c>
      <c r="J177" s="19" t="s">
        <v>14</v>
      </c>
      <c r="K177" s="22">
        <f t="shared" si="2"/>
        <v>0</v>
      </c>
    </row>
    <row r="178">
      <c r="A178" s="18">
        <v>1485.0</v>
      </c>
      <c r="B178" s="18" t="s">
        <v>32</v>
      </c>
      <c r="C178" s="18">
        <v>19.0</v>
      </c>
      <c r="D178" s="18" t="s">
        <v>31</v>
      </c>
      <c r="E178" s="26">
        <v>42563.222916666666</v>
      </c>
      <c r="F178" s="19">
        <f>IFERROR(__xludf.DUMMYFUNCTION("IFERROR(TO_DATE(E178), """")"),42563.222916666666)</f>
        <v>42563.22292</v>
      </c>
      <c r="G178" s="20">
        <f t="shared" si="1"/>
        <v>5</v>
      </c>
      <c r="H178" s="26">
        <v>42563.274305555555</v>
      </c>
      <c r="I178" s="19">
        <f>IFERROR(__xludf.DUMMYFUNCTION("IFERROR(TO_DATE(H178), """")"),42563.274305555555)</f>
        <v>42563.27431</v>
      </c>
      <c r="J178" s="19" t="s">
        <v>11</v>
      </c>
      <c r="K178" s="22">
        <f t="shared" si="2"/>
        <v>0</v>
      </c>
    </row>
    <row r="179">
      <c r="A179" s="18">
        <v>2042.0</v>
      </c>
      <c r="B179" s="18" t="s">
        <v>32</v>
      </c>
      <c r="C179" s="18">
        <v>19.0</v>
      </c>
      <c r="D179" s="18" t="s">
        <v>31</v>
      </c>
      <c r="E179" s="26">
        <v>42563.604166666664</v>
      </c>
      <c r="F179" s="19">
        <f>IFERROR(__xludf.DUMMYFUNCTION("IFERROR(TO_DATE(E179), """")"),42563.604166666664)</f>
        <v>42563.60417</v>
      </c>
      <c r="G179" s="20">
        <f t="shared" si="1"/>
        <v>14</v>
      </c>
      <c r="H179" s="26">
        <v>42563.63125</v>
      </c>
      <c r="I179" s="19">
        <f>IFERROR(__xludf.DUMMYFUNCTION("IFERROR(TO_DATE(H179), """")"),42563.63125)</f>
        <v>42563.63125</v>
      </c>
      <c r="J179" s="19" t="s">
        <v>10</v>
      </c>
      <c r="K179" s="22">
        <f t="shared" si="2"/>
        <v>0</v>
      </c>
    </row>
    <row r="180">
      <c r="A180" s="18">
        <v>2561.0</v>
      </c>
      <c r="B180" s="18" t="s">
        <v>30</v>
      </c>
      <c r="C180" s="18">
        <v>19.0</v>
      </c>
      <c r="D180" s="18" t="s">
        <v>31</v>
      </c>
      <c r="E180" s="26">
        <v>42563.89513888889</v>
      </c>
      <c r="F180" s="19">
        <f>IFERROR(__xludf.DUMMYFUNCTION("IFERROR(TO_DATE(E180), """")"),42563.89513888889)</f>
        <v>42563.89514</v>
      </c>
      <c r="G180" s="20">
        <f t="shared" si="1"/>
        <v>21</v>
      </c>
      <c r="H180" s="26">
        <v>42563.947222222225</v>
      </c>
      <c r="I180" s="19">
        <f>IFERROR(__xludf.DUMMYFUNCTION("IFERROR(TO_DATE(H180), """")"),42563.947222222225)</f>
        <v>42563.94722</v>
      </c>
      <c r="J180" s="19" t="s">
        <v>13</v>
      </c>
      <c r="K180" s="22">
        <f t="shared" si="2"/>
        <v>0</v>
      </c>
    </row>
    <row r="181">
      <c r="A181" s="18">
        <v>3813.0</v>
      </c>
      <c r="B181" s="18" t="s">
        <v>30</v>
      </c>
      <c r="C181" s="18">
        <v>19.0</v>
      </c>
      <c r="D181" s="18" t="s">
        <v>31</v>
      </c>
      <c r="E181" s="27">
        <v>42564.87982638889</v>
      </c>
      <c r="F181" s="19">
        <f>IFERROR(__xludf.DUMMYFUNCTION("IFERROR(TO_DATE(E181), """")"),42564.87982638889)</f>
        <v>42564.87983</v>
      </c>
      <c r="G181" s="20">
        <f t="shared" si="1"/>
        <v>21</v>
      </c>
      <c r="H181" s="27">
        <v>42564.907222222224</v>
      </c>
      <c r="I181" s="19">
        <f>IFERROR(__xludf.DUMMYFUNCTION("IFERROR(TO_DATE(H181), """")"),42564.907222222224)</f>
        <v>42564.90722</v>
      </c>
      <c r="J181" s="19" t="s">
        <v>13</v>
      </c>
      <c r="K181" s="22">
        <f t="shared" si="2"/>
        <v>0</v>
      </c>
    </row>
    <row r="182">
      <c r="A182" s="18">
        <v>4260.0</v>
      </c>
      <c r="B182" s="18" t="s">
        <v>30</v>
      </c>
      <c r="C182" s="18">
        <v>19.0</v>
      </c>
      <c r="D182" s="18" t="s">
        <v>31</v>
      </c>
      <c r="E182" s="27">
        <v>42565.25822916667</v>
      </c>
      <c r="F182" s="19">
        <f>IFERROR(__xludf.DUMMYFUNCTION("IFERROR(TO_DATE(E182), """")"),42565.25822916667)</f>
        <v>42565.25823</v>
      </c>
      <c r="G182" s="20">
        <f t="shared" si="1"/>
        <v>6</v>
      </c>
      <c r="H182" s="27">
        <v>42565.29150462963</v>
      </c>
      <c r="I182" s="19">
        <f>IFERROR(__xludf.DUMMYFUNCTION("IFERROR(TO_DATE(H182), """")"),42565.29150462963)</f>
        <v>42565.2915</v>
      </c>
      <c r="J182" s="19" t="s">
        <v>11</v>
      </c>
      <c r="K182" s="22">
        <f t="shared" si="2"/>
        <v>0</v>
      </c>
    </row>
    <row r="183">
      <c r="A183" s="18">
        <v>4395.0</v>
      </c>
      <c r="B183" s="18" t="s">
        <v>32</v>
      </c>
      <c r="C183" s="18">
        <v>19.0</v>
      </c>
      <c r="D183" s="18" t="s">
        <v>31</v>
      </c>
      <c r="E183" s="27">
        <v>42565.333506944444</v>
      </c>
      <c r="F183" s="19">
        <f>IFERROR(__xludf.DUMMYFUNCTION("IFERROR(TO_DATE(E183), """")"),42565.333506944444)</f>
        <v>42565.33351</v>
      </c>
      <c r="G183" s="20">
        <f t="shared" si="1"/>
        <v>8</v>
      </c>
      <c r="H183" s="27">
        <v>42565.37128472222</v>
      </c>
      <c r="I183" s="19">
        <f>IFERROR(__xludf.DUMMYFUNCTION("IFERROR(TO_DATE(H183), """")"),42565.37128472222)</f>
        <v>42565.37128</v>
      </c>
      <c r="J183" s="19" t="s">
        <v>14</v>
      </c>
      <c r="K183" s="22">
        <f t="shared" si="2"/>
        <v>0</v>
      </c>
    </row>
    <row r="184">
      <c r="A184" s="18">
        <v>5919.0</v>
      </c>
      <c r="B184" s="18" t="s">
        <v>32</v>
      </c>
      <c r="C184" s="18">
        <v>19.0</v>
      </c>
      <c r="D184" s="18" t="s">
        <v>31</v>
      </c>
      <c r="E184" s="27">
        <v>42566.41923611111</v>
      </c>
      <c r="F184" s="19">
        <f>IFERROR(__xludf.DUMMYFUNCTION("IFERROR(TO_DATE(E184), """")"),42566.41923611111)</f>
        <v>42566.41924</v>
      </c>
      <c r="G184" s="20">
        <f t="shared" si="1"/>
        <v>10</v>
      </c>
      <c r="H184" s="27">
        <v>42566.45795138889</v>
      </c>
      <c r="I184" s="19">
        <f>IFERROR(__xludf.DUMMYFUNCTION("IFERROR(TO_DATE(H184), """")"),42566.45795138889)</f>
        <v>42566.45795</v>
      </c>
      <c r="J184" s="19" t="s">
        <v>14</v>
      </c>
      <c r="K184" s="22">
        <f t="shared" si="2"/>
        <v>0</v>
      </c>
    </row>
    <row r="185">
      <c r="A185" s="18">
        <v>6002.0</v>
      </c>
      <c r="B185" s="18" t="s">
        <v>30</v>
      </c>
      <c r="C185" s="18">
        <v>19.0</v>
      </c>
      <c r="D185" s="18" t="s">
        <v>31</v>
      </c>
      <c r="E185" s="27">
        <v>42566.50295138889</v>
      </c>
      <c r="F185" s="19">
        <f>IFERROR(__xludf.DUMMYFUNCTION("IFERROR(TO_DATE(E185), """")"),42566.50295138889)</f>
        <v>42566.50295</v>
      </c>
      <c r="G185" s="20">
        <f t="shared" si="1"/>
        <v>12</v>
      </c>
      <c r="H185" s="27">
        <v>42566.53722222222</v>
      </c>
      <c r="I185" s="19">
        <f>IFERROR(__xludf.DUMMYFUNCTION("IFERROR(TO_DATE(H185), """")"),42566.53722222222)</f>
        <v>42566.53722</v>
      </c>
      <c r="J185" s="19" t="s">
        <v>10</v>
      </c>
      <c r="K185" s="22">
        <f t="shared" si="2"/>
        <v>0</v>
      </c>
    </row>
    <row r="186">
      <c r="A186" s="18">
        <v>468.0</v>
      </c>
      <c r="B186" s="18" t="s">
        <v>32</v>
      </c>
      <c r="C186" s="18">
        <v>20.0</v>
      </c>
      <c r="D186" s="18" t="s">
        <v>31</v>
      </c>
      <c r="E186" s="26">
        <v>42562.38888888889</v>
      </c>
      <c r="F186" s="19">
        <f>IFERROR(__xludf.DUMMYFUNCTION("IFERROR(TO_DATE(E186), """")"),42562.38888888889)</f>
        <v>42562.38889</v>
      </c>
      <c r="G186" s="20">
        <f t="shared" si="1"/>
        <v>9</v>
      </c>
      <c r="H186" s="26">
        <v>42562.42013888889</v>
      </c>
      <c r="I186" s="19">
        <f>IFERROR(__xludf.DUMMYFUNCTION("IFERROR(TO_DATE(H186), """")"),42562.42013888889)</f>
        <v>42562.42014</v>
      </c>
      <c r="J186" s="19" t="s">
        <v>14</v>
      </c>
      <c r="K186" s="22">
        <f t="shared" si="2"/>
        <v>0</v>
      </c>
    </row>
    <row r="187">
      <c r="A187" s="18">
        <v>693.0</v>
      </c>
      <c r="B187" s="18" t="s">
        <v>30</v>
      </c>
      <c r="C187" s="18">
        <v>20.0</v>
      </c>
      <c r="D187" s="18" t="s">
        <v>31</v>
      </c>
      <c r="E187" s="26">
        <v>42562.57708333333</v>
      </c>
      <c r="F187" s="19">
        <f>IFERROR(__xludf.DUMMYFUNCTION("IFERROR(TO_DATE(E187), """")"),42562.57708333333)</f>
        <v>42562.57708</v>
      </c>
      <c r="G187" s="20">
        <f t="shared" si="1"/>
        <v>13</v>
      </c>
      <c r="H187" s="26">
        <v>42562.62569444445</v>
      </c>
      <c r="I187" s="19">
        <f>IFERROR(__xludf.DUMMYFUNCTION("IFERROR(TO_DATE(H187), """")"),42562.62569444445)</f>
        <v>42562.62569</v>
      </c>
      <c r="J187" s="19" t="s">
        <v>10</v>
      </c>
      <c r="K187" s="22">
        <f t="shared" si="2"/>
        <v>0</v>
      </c>
    </row>
    <row r="188">
      <c r="A188" s="18">
        <v>1178.0</v>
      </c>
      <c r="B188" s="18" t="s">
        <v>32</v>
      </c>
      <c r="C188" s="18">
        <v>20.0</v>
      </c>
      <c r="D188" s="18" t="s">
        <v>31</v>
      </c>
      <c r="E188" s="26">
        <v>42562.87847222222</v>
      </c>
      <c r="F188" s="19">
        <f>IFERROR(__xludf.DUMMYFUNCTION("IFERROR(TO_DATE(E188), """")"),42562.87847222222)</f>
        <v>42562.87847</v>
      </c>
      <c r="G188" s="20">
        <f t="shared" si="1"/>
        <v>21</v>
      </c>
      <c r="H188" s="26">
        <v>42562.92083333333</v>
      </c>
      <c r="I188" s="19">
        <f>IFERROR(__xludf.DUMMYFUNCTION("IFERROR(TO_DATE(H188), """")"),42562.92083333333)</f>
        <v>42562.92083</v>
      </c>
      <c r="J188" s="19" t="s">
        <v>13</v>
      </c>
      <c r="K188" s="22">
        <f t="shared" si="2"/>
        <v>0</v>
      </c>
    </row>
    <row r="189">
      <c r="A189" s="18">
        <v>2103.0</v>
      </c>
      <c r="B189" s="18" t="s">
        <v>32</v>
      </c>
      <c r="C189" s="18">
        <v>20.0</v>
      </c>
      <c r="D189" s="18" t="s">
        <v>31</v>
      </c>
      <c r="E189" s="26">
        <v>42563.67222222222</v>
      </c>
      <c r="F189" s="19">
        <f>IFERROR(__xludf.DUMMYFUNCTION("IFERROR(TO_DATE(E189), """")"),42563.67222222222)</f>
        <v>42563.67222</v>
      </c>
      <c r="G189" s="20">
        <f t="shared" si="1"/>
        <v>16</v>
      </c>
      <c r="H189" s="26">
        <v>42563.72083333333</v>
      </c>
      <c r="I189" s="19">
        <f>IFERROR(__xludf.DUMMYFUNCTION("IFERROR(TO_DATE(H189), """")"),42563.72083333333)</f>
        <v>42563.72083</v>
      </c>
      <c r="J189" s="19" t="s">
        <v>12</v>
      </c>
      <c r="K189" s="22">
        <f t="shared" si="2"/>
        <v>0</v>
      </c>
    </row>
    <row r="190">
      <c r="A190" s="18">
        <v>2292.0</v>
      </c>
      <c r="B190" s="18" t="s">
        <v>30</v>
      </c>
      <c r="C190" s="18">
        <v>20.0</v>
      </c>
      <c r="D190" s="18" t="s">
        <v>31</v>
      </c>
      <c r="E190" s="26">
        <v>42563.78194444445</v>
      </c>
      <c r="F190" s="19">
        <f>IFERROR(__xludf.DUMMYFUNCTION("IFERROR(TO_DATE(E190), """")"),42563.78194444445)</f>
        <v>42563.78194</v>
      </c>
      <c r="G190" s="20">
        <f t="shared" si="1"/>
        <v>18</v>
      </c>
      <c r="H190" s="26">
        <v>42563.80763888889</v>
      </c>
      <c r="I190" s="19">
        <f>IFERROR(__xludf.DUMMYFUNCTION("IFERROR(TO_DATE(H190), """")"),42563.80763888889)</f>
        <v>42563.80764</v>
      </c>
      <c r="J190" s="19" t="s">
        <v>12</v>
      </c>
      <c r="K190" s="22">
        <f t="shared" si="2"/>
        <v>0</v>
      </c>
    </row>
    <row r="191">
      <c r="A191" s="18">
        <v>3339.0</v>
      </c>
      <c r="B191" s="18" t="s">
        <v>32</v>
      </c>
      <c r="C191" s="18">
        <v>20.0</v>
      </c>
      <c r="D191" s="18" t="s">
        <v>31</v>
      </c>
      <c r="E191" s="27">
        <v>42564.528449074074</v>
      </c>
      <c r="F191" s="19">
        <f>IFERROR(__xludf.DUMMYFUNCTION("IFERROR(TO_DATE(E191), """")"),42564.528449074074)</f>
        <v>42564.52845</v>
      </c>
      <c r="G191" s="20">
        <f t="shared" si="1"/>
        <v>12</v>
      </c>
      <c r="H191" s="27">
        <v>42564.56280092592</v>
      </c>
      <c r="I191" s="19">
        <f>IFERROR(__xludf.DUMMYFUNCTION("IFERROR(TO_DATE(H191), """")"),42564.56280092592)</f>
        <v>42564.5628</v>
      </c>
      <c r="J191" s="19" t="s">
        <v>10</v>
      </c>
      <c r="K191" s="22">
        <f t="shared" si="2"/>
        <v>0</v>
      </c>
    </row>
    <row r="192">
      <c r="A192" s="18">
        <v>3694.0</v>
      </c>
      <c r="B192" s="18" t="s">
        <v>32</v>
      </c>
      <c r="C192" s="18">
        <v>20.0</v>
      </c>
      <c r="D192" s="18" t="s">
        <v>31</v>
      </c>
      <c r="E192" s="27">
        <v>42564.81480324074</v>
      </c>
      <c r="F192" s="19">
        <f>IFERROR(__xludf.DUMMYFUNCTION("IFERROR(TO_DATE(E192), """")"),42564.81480324074)</f>
        <v>42564.8148</v>
      </c>
      <c r="G192" s="20">
        <f t="shared" si="1"/>
        <v>19</v>
      </c>
      <c r="H192" s="27">
        <v>42564.85773148148</v>
      </c>
      <c r="I192" s="19">
        <f>IFERROR(__xludf.DUMMYFUNCTION("IFERROR(TO_DATE(H192), """")"),42564.85773148148)</f>
        <v>42564.85773</v>
      </c>
      <c r="J192" s="19" t="s">
        <v>12</v>
      </c>
      <c r="K192" s="22">
        <f t="shared" si="2"/>
        <v>0</v>
      </c>
    </row>
    <row r="193">
      <c r="A193" s="18">
        <v>4469.0</v>
      </c>
      <c r="B193" s="18" t="s">
        <v>32</v>
      </c>
      <c r="C193" s="18">
        <v>20.0</v>
      </c>
      <c r="D193" s="18" t="s">
        <v>31</v>
      </c>
      <c r="E193" s="27">
        <v>42565.3647337963</v>
      </c>
      <c r="F193" s="19">
        <f>IFERROR(__xludf.DUMMYFUNCTION("IFERROR(TO_DATE(E193), """")"),42565.3647337963)</f>
        <v>42565.36473</v>
      </c>
      <c r="G193" s="20">
        <f t="shared" si="1"/>
        <v>8</v>
      </c>
      <c r="H193" s="27">
        <v>42565.408425925925</v>
      </c>
      <c r="I193" s="19">
        <f>IFERROR(__xludf.DUMMYFUNCTION("IFERROR(TO_DATE(H193), """")"),42565.408425925925)</f>
        <v>42565.40843</v>
      </c>
      <c r="J193" s="19" t="s">
        <v>14</v>
      </c>
      <c r="K193" s="22">
        <f t="shared" si="2"/>
        <v>0</v>
      </c>
    </row>
    <row r="194">
      <c r="A194" s="18">
        <v>6432.0</v>
      </c>
      <c r="B194" s="18" t="s">
        <v>32</v>
      </c>
      <c r="C194" s="18">
        <v>20.0</v>
      </c>
      <c r="D194" s="18" t="s">
        <v>31</v>
      </c>
      <c r="E194" s="27">
        <v>42566.827048611114</v>
      </c>
      <c r="F194" s="19">
        <f>IFERROR(__xludf.DUMMYFUNCTION("IFERROR(TO_DATE(E194), """")"),42566.827048611114)</f>
        <v>42566.82705</v>
      </c>
      <c r="G194" s="20">
        <f t="shared" si="1"/>
        <v>19</v>
      </c>
      <c r="H194" s="27">
        <v>42566.85422453703</v>
      </c>
      <c r="I194" s="19">
        <f>IFERROR(__xludf.DUMMYFUNCTION("IFERROR(TO_DATE(H194), """")"),42566.85422453703)</f>
        <v>42566.85422</v>
      </c>
      <c r="J194" s="19" t="s">
        <v>12</v>
      </c>
      <c r="K194" s="22">
        <f t="shared" si="2"/>
        <v>0</v>
      </c>
    </row>
    <row r="195">
      <c r="A195" s="18">
        <v>1895.0</v>
      </c>
      <c r="B195" s="18" t="s">
        <v>32</v>
      </c>
      <c r="C195" s="18">
        <v>21.0</v>
      </c>
      <c r="D195" s="18" t="s">
        <v>31</v>
      </c>
      <c r="E195" s="26">
        <v>42563.430555555555</v>
      </c>
      <c r="F195" s="19">
        <f>IFERROR(__xludf.DUMMYFUNCTION("IFERROR(TO_DATE(E195), """")"),42563.430555555555)</f>
        <v>42563.43056</v>
      </c>
      <c r="G195" s="20">
        <f t="shared" si="1"/>
        <v>10</v>
      </c>
      <c r="H195" s="26">
        <v>42563.45277777778</v>
      </c>
      <c r="I195" s="19">
        <f>IFERROR(__xludf.DUMMYFUNCTION("IFERROR(TO_DATE(H195), """")"),42563.45277777778)</f>
        <v>42563.45278</v>
      </c>
      <c r="J195" s="19" t="s">
        <v>14</v>
      </c>
      <c r="K195" s="22">
        <f t="shared" si="2"/>
        <v>0</v>
      </c>
    </row>
    <row r="196">
      <c r="A196" s="18">
        <v>1981.0</v>
      </c>
      <c r="B196" s="18" t="s">
        <v>30</v>
      </c>
      <c r="C196" s="18">
        <v>21.0</v>
      </c>
      <c r="D196" s="18" t="s">
        <v>31</v>
      </c>
      <c r="E196" s="26">
        <v>42563.51597222222</v>
      </c>
      <c r="F196" s="19">
        <f>IFERROR(__xludf.DUMMYFUNCTION("IFERROR(TO_DATE(E196), """")"),42563.51597222222)</f>
        <v>42563.51597</v>
      </c>
      <c r="G196" s="20">
        <f t="shared" si="1"/>
        <v>12</v>
      </c>
      <c r="H196" s="26">
        <v>42563.53888888889</v>
      </c>
      <c r="I196" s="19">
        <f>IFERROR(__xludf.DUMMYFUNCTION("IFERROR(TO_DATE(H196), """")"),42563.53888888889)</f>
        <v>42563.53889</v>
      </c>
      <c r="J196" s="19" t="s">
        <v>10</v>
      </c>
      <c r="K196" s="22">
        <f t="shared" si="2"/>
        <v>0</v>
      </c>
    </row>
    <row r="197">
      <c r="A197" s="18">
        <v>3744.0</v>
      </c>
      <c r="B197" s="18" t="s">
        <v>30</v>
      </c>
      <c r="C197" s="18">
        <v>21.0</v>
      </c>
      <c r="D197" s="18" t="s">
        <v>31</v>
      </c>
      <c r="E197" s="27">
        <v>42564.85290509259</v>
      </c>
      <c r="F197" s="19">
        <f>IFERROR(__xludf.DUMMYFUNCTION("IFERROR(TO_DATE(E197), """")"),42564.85290509259)</f>
        <v>42564.85291</v>
      </c>
      <c r="G197" s="20">
        <f t="shared" si="1"/>
        <v>20</v>
      </c>
      <c r="H197" s="27">
        <v>42564.89076388889</v>
      </c>
      <c r="I197" s="19">
        <f>IFERROR(__xludf.DUMMYFUNCTION("IFERROR(TO_DATE(H197), """")"),42564.89076388889)</f>
        <v>42564.89076</v>
      </c>
      <c r="J197" s="19" t="s">
        <v>13</v>
      </c>
      <c r="K197" s="22">
        <f t="shared" si="2"/>
        <v>0</v>
      </c>
    </row>
    <row r="198">
      <c r="A198" s="18">
        <v>4433.0</v>
      </c>
      <c r="B198" s="18" t="s">
        <v>30</v>
      </c>
      <c r="C198" s="18">
        <v>21.0</v>
      </c>
      <c r="D198" s="18" t="s">
        <v>31</v>
      </c>
      <c r="E198" s="27">
        <v>42565.35175925926</v>
      </c>
      <c r="F198" s="19">
        <f>IFERROR(__xludf.DUMMYFUNCTION("IFERROR(TO_DATE(E198), """")"),42565.35175925926)</f>
        <v>42565.35176</v>
      </c>
      <c r="G198" s="20">
        <f t="shared" si="1"/>
        <v>8</v>
      </c>
      <c r="H198" s="27">
        <v>42565.383356481485</v>
      </c>
      <c r="I198" s="19">
        <f>IFERROR(__xludf.DUMMYFUNCTION("IFERROR(TO_DATE(H198), """")"),42565.383356481485)</f>
        <v>42565.38336</v>
      </c>
      <c r="J198" s="19" t="s">
        <v>14</v>
      </c>
      <c r="K198" s="22">
        <f t="shared" si="2"/>
        <v>0</v>
      </c>
    </row>
    <row r="199">
      <c r="A199" s="18">
        <v>6039.0</v>
      </c>
      <c r="B199" s="18" t="s">
        <v>30</v>
      </c>
      <c r="C199" s="18">
        <v>21.0</v>
      </c>
      <c r="D199" s="18" t="s">
        <v>31</v>
      </c>
      <c r="E199" s="27">
        <v>42566.54935185185</v>
      </c>
      <c r="F199" s="19">
        <f>IFERROR(__xludf.DUMMYFUNCTION("IFERROR(TO_DATE(E199), """")"),42566.54935185185)</f>
        <v>42566.54935</v>
      </c>
      <c r="G199" s="20">
        <f t="shared" si="1"/>
        <v>13</v>
      </c>
      <c r="H199" s="27">
        <v>42566.56806712963</v>
      </c>
      <c r="I199" s="19">
        <f>IFERROR(__xludf.DUMMYFUNCTION("IFERROR(TO_DATE(H199), """")"),42566.56806712963)</f>
        <v>42566.56807</v>
      </c>
      <c r="J199" s="19" t="s">
        <v>10</v>
      </c>
      <c r="K199" s="22">
        <f t="shared" si="2"/>
        <v>0</v>
      </c>
    </row>
    <row r="200">
      <c r="A200" s="18">
        <v>6543.0</v>
      </c>
      <c r="B200" s="18" t="s">
        <v>32</v>
      </c>
      <c r="C200" s="18">
        <v>21.0</v>
      </c>
      <c r="D200" s="18" t="s">
        <v>31</v>
      </c>
      <c r="E200" s="27">
        <v>42566.87106481481</v>
      </c>
      <c r="F200" s="19">
        <f>IFERROR(__xludf.DUMMYFUNCTION("IFERROR(TO_DATE(E200), """")"),42566.87106481481)</f>
        <v>42566.87106</v>
      </c>
      <c r="G200" s="20">
        <f t="shared" si="1"/>
        <v>20</v>
      </c>
      <c r="H200" s="27">
        <v>42566.925416666665</v>
      </c>
      <c r="I200" s="19">
        <f>IFERROR(__xludf.DUMMYFUNCTION("IFERROR(TO_DATE(H200), """")"),42566.925416666665)</f>
        <v>42566.92542</v>
      </c>
      <c r="J200" s="19" t="s">
        <v>13</v>
      </c>
      <c r="K200" s="22">
        <f t="shared" si="2"/>
        <v>0</v>
      </c>
    </row>
    <row r="201">
      <c r="A201" s="18">
        <v>110.0</v>
      </c>
      <c r="B201" s="18" t="s">
        <v>32</v>
      </c>
      <c r="C201" s="18">
        <v>22.0</v>
      </c>
      <c r="D201" s="18" t="s">
        <v>31</v>
      </c>
      <c r="E201" s="26">
        <v>42562.211805555555</v>
      </c>
      <c r="F201" s="19">
        <f>IFERROR(__xludf.DUMMYFUNCTION("IFERROR(TO_DATE(E201), """")"),42562.211805555555)</f>
        <v>42562.21181</v>
      </c>
      <c r="G201" s="20">
        <f t="shared" si="1"/>
        <v>5</v>
      </c>
      <c r="H201" s="26">
        <v>42562.254166666666</v>
      </c>
      <c r="I201" s="19">
        <f>IFERROR(__xludf.DUMMYFUNCTION("IFERROR(TO_DATE(H201), """")"),42562.254166666666)</f>
        <v>42562.25417</v>
      </c>
      <c r="J201" s="19" t="s">
        <v>11</v>
      </c>
      <c r="K201" s="22">
        <f t="shared" si="2"/>
        <v>0</v>
      </c>
    </row>
    <row r="202">
      <c r="A202" s="18">
        <v>362.0</v>
      </c>
      <c r="B202" s="18" t="s">
        <v>32</v>
      </c>
      <c r="C202" s="18">
        <v>22.0</v>
      </c>
      <c r="D202" s="18" t="s">
        <v>31</v>
      </c>
      <c r="E202" s="26">
        <v>42562.334027777775</v>
      </c>
      <c r="F202" s="19">
        <f>IFERROR(__xludf.DUMMYFUNCTION("IFERROR(TO_DATE(E202), """")"),42562.334027777775)</f>
        <v>42562.33403</v>
      </c>
      <c r="G202" s="20">
        <f t="shared" si="1"/>
        <v>8</v>
      </c>
      <c r="H202" s="26">
        <v>42562.3875</v>
      </c>
      <c r="I202" s="19">
        <f>IFERROR(__xludf.DUMMYFUNCTION("IFERROR(TO_DATE(H202), """")"),42562.3875)</f>
        <v>42562.3875</v>
      </c>
      <c r="J202" s="19" t="s">
        <v>14</v>
      </c>
      <c r="K202" s="22">
        <f t="shared" si="2"/>
        <v>0</v>
      </c>
    </row>
    <row r="203">
      <c r="A203" s="18">
        <v>666.0</v>
      </c>
      <c r="B203" s="18" t="s">
        <v>30</v>
      </c>
      <c r="C203" s="18">
        <v>22.0</v>
      </c>
      <c r="D203" s="18" t="s">
        <v>31</v>
      </c>
      <c r="E203" s="26">
        <v>42562.54305555556</v>
      </c>
      <c r="F203" s="19">
        <f>IFERROR(__xludf.DUMMYFUNCTION("IFERROR(TO_DATE(E203), """")"),42562.54305555556)</f>
        <v>42562.54306</v>
      </c>
      <c r="G203" s="20">
        <f t="shared" si="1"/>
        <v>13</v>
      </c>
      <c r="H203" s="26">
        <v>42562.572916666664</v>
      </c>
      <c r="I203" s="19">
        <f>IFERROR(__xludf.DUMMYFUNCTION("IFERROR(TO_DATE(H203), """")"),42562.572916666664)</f>
        <v>42562.57292</v>
      </c>
      <c r="J203" s="19" t="s">
        <v>10</v>
      </c>
      <c r="K203" s="22">
        <f t="shared" si="2"/>
        <v>0</v>
      </c>
    </row>
    <row r="204">
      <c r="A204" s="18">
        <v>926.0</v>
      </c>
      <c r="B204" s="18" t="s">
        <v>32</v>
      </c>
      <c r="C204" s="18">
        <v>22.0</v>
      </c>
      <c r="D204" s="18" t="s">
        <v>31</v>
      </c>
      <c r="E204" s="26">
        <v>42562.76944444444</v>
      </c>
      <c r="F204" s="19">
        <f>IFERROR(__xludf.DUMMYFUNCTION("IFERROR(TO_DATE(E204), """")"),42562.76944444444)</f>
        <v>42562.76944</v>
      </c>
      <c r="G204" s="20">
        <f t="shared" si="1"/>
        <v>18</v>
      </c>
      <c r="H204" s="26">
        <v>42562.81527777778</v>
      </c>
      <c r="I204" s="19">
        <f>IFERROR(__xludf.DUMMYFUNCTION("IFERROR(TO_DATE(H204), """")"),42562.81527777778)</f>
        <v>42562.81528</v>
      </c>
      <c r="J204" s="19" t="s">
        <v>12</v>
      </c>
      <c r="K204" s="22">
        <f t="shared" si="2"/>
        <v>0</v>
      </c>
    </row>
    <row r="205">
      <c r="A205" s="18">
        <v>1180.0</v>
      </c>
      <c r="B205" s="18" t="s">
        <v>30</v>
      </c>
      <c r="C205" s="18">
        <v>22.0</v>
      </c>
      <c r="D205" s="18" t="s">
        <v>31</v>
      </c>
      <c r="E205" s="26">
        <v>42562.87569444445</v>
      </c>
      <c r="F205" s="19">
        <f>IFERROR(__xludf.DUMMYFUNCTION("IFERROR(TO_DATE(E205), """")"),42562.87569444445)</f>
        <v>42562.87569</v>
      </c>
      <c r="G205" s="20">
        <f t="shared" si="1"/>
        <v>21</v>
      </c>
      <c r="H205" s="26">
        <v>42562.92638888889</v>
      </c>
      <c r="I205" s="19">
        <f>IFERROR(__xludf.DUMMYFUNCTION("IFERROR(TO_DATE(H205), """")"),42562.92638888889)</f>
        <v>42562.92639</v>
      </c>
      <c r="J205" s="19" t="s">
        <v>13</v>
      </c>
      <c r="K205" s="22">
        <f t="shared" si="2"/>
        <v>0</v>
      </c>
    </row>
    <row r="206">
      <c r="A206" s="18">
        <v>1900.0</v>
      </c>
      <c r="B206" s="18" t="s">
        <v>32</v>
      </c>
      <c r="C206" s="18">
        <v>22.0</v>
      </c>
      <c r="D206" s="18" t="s">
        <v>31</v>
      </c>
      <c r="E206" s="26">
        <v>42563.438888888886</v>
      </c>
      <c r="F206" s="19">
        <f>IFERROR(__xludf.DUMMYFUNCTION("IFERROR(TO_DATE(E206), """")"),42563.438888888886)</f>
        <v>42563.43889</v>
      </c>
      <c r="G206" s="20">
        <f t="shared" si="1"/>
        <v>10</v>
      </c>
      <c r="H206" s="26">
        <v>42563.4875</v>
      </c>
      <c r="I206" s="19">
        <f>IFERROR(__xludf.DUMMYFUNCTION("IFERROR(TO_DATE(H206), """")"),42563.4875)</f>
        <v>42563.4875</v>
      </c>
      <c r="J206" s="19" t="s">
        <v>14</v>
      </c>
      <c r="K206" s="22">
        <f t="shared" si="2"/>
        <v>0</v>
      </c>
    </row>
    <row r="207">
      <c r="A207" s="18">
        <v>2506.0</v>
      </c>
      <c r="B207" s="18" t="s">
        <v>32</v>
      </c>
      <c r="C207" s="18">
        <v>22.0</v>
      </c>
      <c r="D207" s="18" t="s">
        <v>31</v>
      </c>
      <c r="E207" s="26">
        <v>42563.87569444445</v>
      </c>
      <c r="F207" s="19">
        <f>IFERROR(__xludf.DUMMYFUNCTION("IFERROR(TO_DATE(E207), """")"),42563.87569444445)</f>
        <v>42563.87569</v>
      </c>
      <c r="G207" s="20">
        <f t="shared" si="1"/>
        <v>21</v>
      </c>
      <c r="H207" s="26">
        <v>42563.90138888889</v>
      </c>
      <c r="I207" s="19">
        <f>IFERROR(__xludf.DUMMYFUNCTION("IFERROR(TO_DATE(H207), """")"),42563.90138888889)</f>
        <v>42563.90139</v>
      </c>
      <c r="J207" s="19" t="s">
        <v>13</v>
      </c>
      <c r="K207" s="22">
        <f t="shared" si="2"/>
        <v>0</v>
      </c>
    </row>
    <row r="208">
      <c r="A208" s="18">
        <v>3064.0</v>
      </c>
      <c r="B208" s="18" t="s">
        <v>32</v>
      </c>
      <c r="C208" s="18">
        <v>22.0</v>
      </c>
      <c r="D208" s="18" t="s">
        <v>31</v>
      </c>
      <c r="E208" s="27">
        <v>42564.334756944445</v>
      </c>
      <c r="F208" s="19">
        <f>IFERROR(__xludf.DUMMYFUNCTION("IFERROR(TO_DATE(E208), """")"),42564.334756944445)</f>
        <v>42564.33476</v>
      </c>
      <c r="G208" s="20">
        <f t="shared" si="1"/>
        <v>8</v>
      </c>
      <c r="H208" s="27">
        <v>42564.37414351852</v>
      </c>
      <c r="I208" s="19">
        <f>IFERROR(__xludf.DUMMYFUNCTION("IFERROR(TO_DATE(H208), """")"),42564.37414351852)</f>
        <v>42564.37414</v>
      </c>
      <c r="J208" s="19" t="s">
        <v>14</v>
      </c>
      <c r="K208" s="22">
        <f t="shared" si="2"/>
        <v>0</v>
      </c>
    </row>
    <row r="209">
      <c r="A209" s="18">
        <v>3327.0</v>
      </c>
      <c r="B209" s="18" t="s">
        <v>30</v>
      </c>
      <c r="C209" s="18">
        <v>22.0</v>
      </c>
      <c r="D209" s="18" t="s">
        <v>31</v>
      </c>
      <c r="E209" s="27">
        <v>42564.5171412037</v>
      </c>
      <c r="F209" s="19">
        <f>IFERROR(__xludf.DUMMYFUNCTION("IFERROR(TO_DATE(E209), """")"),42564.5171412037)</f>
        <v>42564.51714</v>
      </c>
      <c r="G209" s="20">
        <f t="shared" si="1"/>
        <v>12</v>
      </c>
      <c r="H209" s="27">
        <v>42564.55809027778</v>
      </c>
      <c r="I209" s="19">
        <f>IFERROR(__xludf.DUMMYFUNCTION("IFERROR(TO_DATE(H209), """")"),42564.55809027778)</f>
        <v>42564.55809</v>
      </c>
      <c r="J209" s="19" t="s">
        <v>10</v>
      </c>
      <c r="K209" s="22">
        <f t="shared" si="2"/>
        <v>0</v>
      </c>
    </row>
    <row r="210">
      <c r="A210" s="18">
        <v>3601.0</v>
      </c>
      <c r="B210" s="18" t="s">
        <v>32</v>
      </c>
      <c r="C210" s="18">
        <v>22.0</v>
      </c>
      <c r="D210" s="18" t="s">
        <v>31</v>
      </c>
      <c r="E210" s="27">
        <v>42564.777083333334</v>
      </c>
      <c r="F210" s="19">
        <f>IFERROR(__xludf.DUMMYFUNCTION("IFERROR(TO_DATE(E210), """")"),42564.777083333334)</f>
        <v>42564.77708</v>
      </c>
      <c r="G210" s="20">
        <f t="shared" si="1"/>
        <v>18</v>
      </c>
      <c r="H210" s="27">
        <v>42564.811886574076</v>
      </c>
      <c r="I210" s="19">
        <f>IFERROR(__xludf.DUMMYFUNCTION("IFERROR(TO_DATE(H210), """")"),42564.811886574076)</f>
        <v>42564.81189</v>
      </c>
      <c r="J210" s="19" t="s">
        <v>12</v>
      </c>
      <c r="K210" s="22">
        <f t="shared" si="2"/>
        <v>0</v>
      </c>
    </row>
    <row r="211">
      <c r="A211" s="18">
        <v>4768.0</v>
      </c>
      <c r="B211" s="18" t="s">
        <v>30</v>
      </c>
      <c r="C211" s="18">
        <v>22.0</v>
      </c>
      <c r="D211" s="18" t="s">
        <v>31</v>
      </c>
      <c r="E211" s="27">
        <v>42565.65236111111</v>
      </c>
      <c r="F211" s="19">
        <f>IFERROR(__xludf.DUMMYFUNCTION("IFERROR(TO_DATE(E211), """")"),42565.65236111111)</f>
        <v>42565.65236</v>
      </c>
      <c r="G211" s="20">
        <f t="shared" si="1"/>
        <v>15</v>
      </c>
      <c r="H211" s="27">
        <v>42565.70072916667</v>
      </c>
      <c r="I211" s="19">
        <f>IFERROR(__xludf.DUMMYFUNCTION("IFERROR(TO_DATE(H211), """")"),42565.70072916667)</f>
        <v>42565.70073</v>
      </c>
      <c r="J211" s="19" t="s">
        <v>10</v>
      </c>
      <c r="K211" s="22">
        <f t="shared" si="2"/>
        <v>0</v>
      </c>
    </row>
    <row r="212">
      <c r="A212" s="18">
        <v>5142.0</v>
      </c>
      <c r="B212" s="18" t="s">
        <v>32</v>
      </c>
      <c r="C212" s="18">
        <v>22.0</v>
      </c>
      <c r="D212" s="18" t="s">
        <v>31</v>
      </c>
      <c r="E212" s="27">
        <v>42565.845729166664</v>
      </c>
      <c r="F212" s="19">
        <f>IFERROR(__xludf.DUMMYFUNCTION("IFERROR(TO_DATE(E212), """")"),42565.845729166664)</f>
        <v>42565.84573</v>
      </c>
      <c r="G212" s="20">
        <f t="shared" si="1"/>
        <v>20</v>
      </c>
      <c r="H212" s="27">
        <v>42565.86733796296</v>
      </c>
      <c r="I212" s="19">
        <f>IFERROR(__xludf.DUMMYFUNCTION("IFERROR(TO_DATE(H212), """")"),42565.86733796296)</f>
        <v>42565.86734</v>
      </c>
      <c r="J212" s="19" t="s">
        <v>13</v>
      </c>
      <c r="K212" s="22">
        <f t="shared" si="2"/>
        <v>0</v>
      </c>
    </row>
    <row r="213">
      <c r="A213" s="18">
        <v>5366.0</v>
      </c>
      <c r="B213" s="18" t="s">
        <v>30</v>
      </c>
      <c r="C213" s="18">
        <v>22.0</v>
      </c>
      <c r="D213" s="18" t="s">
        <v>31</v>
      </c>
      <c r="E213" s="27">
        <v>42565.97733796296</v>
      </c>
      <c r="F213" s="19">
        <f>IFERROR(__xludf.DUMMYFUNCTION("IFERROR(TO_DATE(E213), """")"),42565.97733796296)</f>
        <v>42565.97734</v>
      </c>
      <c r="G213" s="20">
        <f t="shared" si="1"/>
        <v>23</v>
      </c>
      <c r="H213" s="27">
        <v>42566.013773148145</v>
      </c>
      <c r="I213" s="19">
        <f>IFERROR(__xludf.DUMMYFUNCTION("IFERROR(TO_DATE(H213), """")"),42566.013773148145)</f>
        <v>42566.01377</v>
      </c>
      <c r="J213" s="19" t="s">
        <v>13</v>
      </c>
      <c r="K213" s="22">
        <f t="shared" si="2"/>
        <v>0</v>
      </c>
    </row>
    <row r="214">
      <c r="A214" s="18">
        <v>5575.0</v>
      </c>
      <c r="B214" s="18" t="s">
        <v>32</v>
      </c>
      <c r="C214" s="18">
        <v>22.0</v>
      </c>
      <c r="D214" s="18" t="s">
        <v>31</v>
      </c>
      <c r="E214" s="27">
        <v>42566.245775462965</v>
      </c>
      <c r="F214" s="19">
        <f>IFERROR(__xludf.DUMMYFUNCTION("IFERROR(TO_DATE(E214), """")"),42566.245775462965)</f>
        <v>42566.24578</v>
      </c>
      <c r="G214" s="20">
        <f t="shared" si="1"/>
        <v>5</v>
      </c>
      <c r="H214" s="27">
        <v>42566.28474537037</v>
      </c>
      <c r="I214" s="19">
        <f>IFERROR(__xludf.DUMMYFUNCTION("IFERROR(TO_DATE(H214), """")"),42566.28474537037)</f>
        <v>42566.28475</v>
      </c>
      <c r="J214" s="19" t="s">
        <v>11</v>
      </c>
      <c r="K214" s="22">
        <f t="shared" si="2"/>
        <v>0</v>
      </c>
    </row>
    <row r="215">
      <c r="A215" s="18">
        <v>5902.0</v>
      </c>
      <c r="B215" s="18" t="s">
        <v>32</v>
      </c>
      <c r="C215" s="18">
        <v>22.0</v>
      </c>
      <c r="D215" s="18" t="s">
        <v>31</v>
      </c>
      <c r="E215" s="27">
        <v>42566.411770833336</v>
      </c>
      <c r="F215" s="19">
        <f>IFERROR(__xludf.DUMMYFUNCTION("IFERROR(TO_DATE(E215), """")"),42566.411770833336)</f>
        <v>42566.41177</v>
      </c>
      <c r="G215" s="20">
        <f t="shared" si="1"/>
        <v>9</v>
      </c>
      <c r="H215" s="27">
        <v>42566.44241898148</v>
      </c>
      <c r="I215" s="19">
        <f>IFERROR(__xludf.DUMMYFUNCTION("IFERROR(TO_DATE(H215), """")"),42566.44241898148)</f>
        <v>42566.44242</v>
      </c>
      <c r="J215" s="19" t="s">
        <v>14</v>
      </c>
      <c r="K215" s="22">
        <f t="shared" si="2"/>
        <v>0</v>
      </c>
    </row>
    <row r="216">
      <c r="A216" s="18">
        <v>6694.0</v>
      </c>
      <c r="B216" s="18" t="s">
        <v>30</v>
      </c>
      <c r="C216" s="18">
        <v>22.0</v>
      </c>
      <c r="D216" s="18" t="s">
        <v>31</v>
      </c>
      <c r="E216" s="27">
        <v>42566.948425925926</v>
      </c>
      <c r="F216" s="19">
        <f>IFERROR(__xludf.DUMMYFUNCTION("IFERROR(TO_DATE(E216), """")"),42566.948425925926)</f>
        <v>42566.94843</v>
      </c>
      <c r="G216" s="20">
        <f t="shared" si="1"/>
        <v>22</v>
      </c>
      <c r="H216" s="27">
        <v>42566.97075231482</v>
      </c>
      <c r="I216" s="19">
        <f>IFERROR(__xludf.DUMMYFUNCTION("IFERROR(TO_DATE(H216), """")"),42566.97075231482)</f>
        <v>42566.97075</v>
      </c>
      <c r="J216" s="19" t="s">
        <v>13</v>
      </c>
      <c r="K216" s="22">
        <f t="shared" si="2"/>
        <v>0</v>
      </c>
    </row>
    <row r="217">
      <c r="A217" s="18">
        <v>523.0</v>
      </c>
      <c r="B217" s="18" t="s">
        <v>30</v>
      </c>
      <c r="C217" s="18">
        <v>23.0</v>
      </c>
      <c r="D217" s="18" t="s">
        <v>31</v>
      </c>
      <c r="E217" s="26">
        <v>42562.40833333333</v>
      </c>
      <c r="F217" s="19">
        <f>IFERROR(__xludf.DUMMYFUNCTION("IFERROR(TO_DATE(E217), """")"),42562.40833333333)</f>
        <v>42562.40833</v>
      </c>
      <c r="G217" s="20">
        <f t="shared" si="1"/>
        <v>9</v>
      </c>
      <c r="H217" s="26">
        <v>42562.44236111111</v>
      </c>
      <c r="I217" s="19">
        <f>IFERROR(__xludf.DUMMYFUNCTION("IFERROR(TO_DATE(H217), """")"),42562.44236111111)</f>
        <v>42562.44236</v>
      </c>
      <c r="J217" s="19" t="s">
        <v>14</v>
      </c>
      <c r="K217" s="22">
        <f t="shared" si="2"/>
        <v>0</v>
      </c>
    </row>
    <row r="218">
      <c r="A218" s="18">
        <v>747.0</v>
      </c>
      <c r="B218" s="18" t="s">
        <v>32</v>
      </c>
      <c r="C218" s="18">
        <v>23.0</v>
      </c>
      <c r="D218" s="18" t="s">
        <v>31</v>
      </c>
      <c r="E218" s="26">
        <v>42562.66180555556</v>
      </c>
      <c r="F218" s="19">
        <f>IFERROR(__xludf.DUMMYFUNCTION("IFERROR(TO_DATE(E218), """")"),42562.66180555556)</f>
        <v>42562.66181</v>
      </c>
      <c r="G218" s="20">
        <f t="shared" si="1"/>
        <v>15</v>
      </c>
      <c r="H218" s="26">
        <v>42562.69652777778</v>
      </c>
      <c r="I218" s="19">
        <f>IFERROR(__xludf.DUMMYFUNCTION("IFERROR(TO_DATE(H218), """")"),42562.69652777778)</f>
        <v>42562.69653</v>
      </c>
      <c r="J218" s="19" t="s">
        <v>10</v>
      </c>
      <c r="K218" s="22">
        <f t="shared" si="2"/>
        <v>0</v>
      </c>
    </row>
    <row r="219">
      <c r="A219" s="18">
        <v>1371.0</v>
      </c>
      <c r="B219" s="18" t="s">
        <v>30</v>
      </c>
      <c r="C219" s="18">
        <v>23.0</v>
      </c>
      <c r="D219" s="18" t="s">
        <v>31</v>
      </c>
      <c r="E219" s="26">
        <v>42563.01527777778</v>
      </c>
      <c r="F219" s="19">
        <f>IFERROR(__xludf.DUMMYFUNCTION("IFERROR(TO_DATE(E219), """")"),42563.01527777778)</f>
        <v>42563.01528</v>
      </c>
      <c r="G219" s="20">
        <f t="shared" si="1"/>
        <v>0</v>
      </c>
      <c r="H219" s="26">
        <v>42563.06458333333</v>
      </c>
      <c r="I219" s="19">
        <f>IFERROR(__xludf.DUMMYFUNCTION("IFERROR(TO_DATE(H219), """")"),42563.06458333333)</f>
        <v>42563.06458</v>
      </c>
      <c r="J219" s="19" t="s">
        <v>15</v>
      </c>
      <c r="K219" s="22">
        <f t="shared" si="2"/>
        <v>0</v>
      </c>
    </row>
    <row r="220">
      <c r="A220" s="18">
        <v>1553.0</v>
      </c>
      <c r="B220" s="18" t="s">
        <v>32</v>
      </c>
      <c r="C220" s="18">
        <v>23.0</v>
      </c>
      <c r="D220" s="18" t="s">
        <v>31</v>
      </c>
      <c r="E220" s="26">
        <v>42563.25625</v>
      </c>
      <c r="F220" s="19">
        <f>IFERROR(__xludf.DUMMYFUNCTION("IFERROR(TO_DATE(E220), """")"),42563.25625)</f>
        <v>42563.25625</v>
      </c>
      <c r="G220" s="20">
        <f t="shared" si="1"/>
        <v>6</v>
      </c>
      <c r="H220" s="26">
        <v>42563.29791666667</v>
      </c>
      <c r="I220" s="19">
        <f>IFERROR(__xludf.DUMMYFUNCTION("IFERROR(TO_DATE(H220), """")"),42563.29791666667)</f>
        <v>42563.29792</v>
      </c>
      <c r="J220" s="19" t="s">
        <v>11</v>
      </c>
      <c r="K220" s="22">
        <f t="shared" si="2"/>
        <v>0</v>
      </c>
    </row>
    <row r="221">
      <c r="A221" s="18">
        <v>1692.0</v>
      </c>
      <c r="B221" s="18" t="s">
        <v>30</v>
      </c>
      <c r="C221" s="18">
        <v>23.0</v>
      </c>
      <c r="D221" s="18" t="s">
        <v>31</v>
      </c>
      <c r="E221" s="26">
        <v>42563.32777777778</v>
      </c>
      <c r="F221" s="19">
        <f>IFERROR(__xludf.DUMMYFUNCTION("IFERROR(TO_DATE(E221), """")"),42563.32777777778)</f>
        <v>42563.32778</v>
      </c>
      <c r="G221" s="20">
        <f t="shared" si="1"/>
        <v>7</v>
      </c>
      <c r="H221" s="26">
        <v>42563.37569444445</v>
      </c>
      <c r="I221" s="19">
        <f>IFERROR(__xludf.DUMMYFUNCTION("IFERROR(TO_DATE(H221), """")"),42563.37569444445)</f>
        <v>42563.37569</v>
      </c>
      <c r="J221" s="19" t="s">
        <v>11</v>
      </c>
      <c r="K221" s="22">
        <f t="shared" si="2"/>
        <v>0</v>
      </c>
    </row>
    <row r="222">
      <c r="A222" s="18">
        <v>2114.0</v>
      </c>
      <c r="B222" s="18" t="s">
        <v>32</v>
      </c>
      <c r="C222" s="18">
        <v>23.0</v>
      </c>
      <c r="D222" s="18" t="s">
        <v>31</v>
      </c>
      <c r="E222" s="26">
        <v>42563.691666666666</v>
      </c>
      <c r="F222" s="19">
        <f>IFERROR(__xludf.DUMMYFUNCTION("IFERROR(TO_DATE(E222), """")"),42563.691666666666)</f>
        <v>42563.69167</v>
      </c>
      <c r="G222" s="20">
        <f t="shared" si="1"/>
        <v>16</v>
      </c>
      <c r="H222" s="26">
        <v>42563.722916666666</v>
      </c>
      <c r="I222" s="19">
        <f>IFERROR(__xludf.DUMMYFUNCTION("IFERROR(TO_DATE(H222), """")"),42563.722916666666)</f>
        <v>42563.72292</v>
      </c>
      <c r="J222" s="19" t="s">
        <v>12</v>
      </c>
      <c r="K222" s="22">
        <f t="shared" si="2"/>
        <v>0</v>
      </c>
    </row>
    <row r="223">
      <c r="A223" s="18">
        <v>2742.0</v>
      </c>
      <c r="B223" s="18" t="s">
        <v>32</v>
      </c>
      <c r="C223" s="18">
        <v>23.0</v>
      </c>
      <c r="D223" s="18" t="s">
        <v>31</v>
      </c>
      <c r="E223" s="27">
        <v>42564.13028935185</v>
      </c>
      <c r="F223" s="19">
        <f>IFERROR(__xludf.DUMMYFUNCTION("IFERROR(TO_DATE(E223), """")"),42564.13028935185)</f>
        <v>42564.13029</v>
      </c>
      <c r="G223" s="20">
        <f t="shared" si="1"/>
        <v>3</v>
      </c>
      <c r="H223" s="27">
        <v>42564.16082175926</v>
      </c>
      <c r="I223" s="19">
        <f>IFERROR(__xludf.DUMMYFUNCTION("IFERROR(TO_DATE(H223), """")"),42564.16082175926)</f>
        <v>42564.16082</v>
      </c>
      <c r="J223" s="19" t="s">
        <v>15</v>
      </c>
      <c r="K223" s="22">
        <f t="shared" si="2"/>
        <v>0</v>
      </c>
    </row>
    <row r="224">
      <c r="A224" s="18">
        <v>4273.0</v>
      </c>
      <c r="B224" s="18" t="s">
        <v>32</v>
      </c>
      <c r="C224" s="18">
        <v>23.0</v>
      </c>
      <c r="D224" s="18" t="s">
        <v>31</v>
      </c>
      <c r="E224" s="27">
        <v>42565.26181712963</v>
      </c>
      <c r="F224" s="19">
        <f>IFERROR(__xludf.DUMMYFUNCTION("IFERROR(TO_DATE(E224), """")"),42565.26181712963)</f>
        <v>42565.26182</v>
      </c>
      <c r="G224" s="20">
        <f t="shared" si="1"/>
        <v>6</v>
      </c>
      <c r="H224" s="27">
        <v>42565.29337962963</v>
      </c>
      <c r="I224" s="19">
        <f>IFERROR(__xludf.DUMMYFUNCTION("IFERROR(TO_DATE(H224), """")"),42565.29337962963)</f>
        <v>42565.29338</v>
      </c>
      <c r="J224" s="19" t="s">
        <v>11</v>
      </c>
      <c r="K224" s="22">
        <f t="shared" si="2"/>
        <v>0</v>
      </c>
    </row>
    <row r="225">
      <c r="A225" s="18">
        <v>4668.0</v>
      </c>
      <c r="B225" s="18" t="s">
        <v>32</v>
      </c>
      <c r="C225" s="18">
        <v>23.0</v>
      </c>
      <c r="D225" s="18" t="s">
        <v>31</v>
      </c>
      <c r="E225" s="27">
        <v>42565.517384259256</v>
      </c>
      <c r="F225" s="19">
        <f>IFERROR(__xludf.DUMMYFUNCTION("IFERROR(TO_DATE(E225), """")"),42565.517384259256)</f>
        <v>42565.51738</v>
      </c>
      <c r="G225" s="20">
        <f t="shared" si="1"/>
        <v>12</v>
      </c>
      <c r="H225" s="27">
        <v>42565.56594907407</v>
      </c>
      <c r="I225" s="19">
        <f>IFERROR(__xludf.DUMMYFUNCTION("IFERROR(TO_DATE(H225), """")"),42565.56594907407)</f>
        <v>42565.56595</v>
      </c>
      <c r="J225" s="19" t="s">
        <v>10</v>
      </c>
      <c r="K225" s="22">
        <f t="shared" si="2"/>
        <v>0</v>
      </c>
    </row>
    <row r="226">
      <c r="A226" s="18">
        <v>5425.0</v>
      </c>
      <c r="B226" s="18" t="s">
        <v>32</v>
      </c>
      <c r="C226" s="18">
        <v>23.0</v>
      </c>
      <c r="D226" s="18" t="s">
        <v>31</v>
      </c>
      <c r="E226" s="27">
        <v>42566.099953703706</v>
      </c>
      <c r="F226" s="19">
        <f>IFERROR(__xludf.DUMMYFUNCTION("IFERROR(TO_DATE(E226), """")"),42566.099953703706)</f>
        <v>42566.09995</v>
      </c>
      <c r="G226" s="20">
        <f t="shared" si="1"/>
        <v>2</v>
      </c>
      <c r="H226" s="27">
        <v>42566.130960648145</v>
      </c>
      <c r="I226" s="19">
        <f>IFERROR(__xludf.DUMMYFUNCTION("IFERROR(TO_DATE(H226), """")"),42566.130960648145)</f>
        <v>42566.13096</v>
      </c>
      <c r="J226" s="19" t="s">
        <v>15</v>
      </c>
      <c r="K226" s="22">
        <f t="shared" si="2"/>
        <v>0</v>
      </c>
    </row>
    <row r="227">
      <c r="A227" s="18">
        <v>5488.0</v>
      </c>
      <c r="B227" s="18" t="s">
        <v>32</v>
      </c>
      <c r="C227" s="18">
        <v>23.0</v>
      </c>
      <c r="D227" s="18" t="s">
        <v>31</v>
      </c>
      <c r="E227" s="27">
        <v>42566.20395833333</v>
      </c>
      <c r="F227" s="19">
        <f>IFERROR(__xludf.DUMMYFUNCTION("IFERROR(TO_DATE(E227), """")"),42566.20395833333)</f>
        <v>42566.20396</v>
      </c>
      <c r="G227" s="20">
        <f t="shared" si="1"/>
        <v>4</v>
      </c>
      <c r="H227" s="27">
        <v>42566.250185185185</v>
      </c>
      <c r="I227" s="19">
        <f>IFERROR(__xludf.DUMMYFUNCTION("IFERROR(TO_DATE(H227), """")"),42566.250185185185)</f>
        <v>42566.25019</v>
      </c>
      <c r="J227" s="19" t="s">
        <v>11</v>
      </c>
      <c r="K227" s="22">
        <f t="shared" si="2"/>
        <v>0</v>
      </c>
    </row>
    <row r="228">
      <c r="A228" s="18">
        <v>5781.0</v>
      </c>
      <c r="B228" s="18" t="s">
        <v>32</v>
      </c>
      <c r="C228" s="18">
        <v>23.0</v>
      </c>
      <c r="D228" s="18" t="s">
        <v>31</v>
      </c>
      <c r="E228" s="27">
        <v>42566.35818287037</v>
      </c>
      <c r="F228" s="19">
        <f>IFERROR(__xludf.DUMMYFUNCTION("IFERROR(TO_DATE(E228), """")"),42566.35818287037)</f>
        <v>42566.35818</v>
      </c>
      <c r="G228" s="20">
        <f t="shared" si="1"/>
        <v>8</v>
      </c>
      <c r="H228" s="27">
        <v>42566.40447916667</v>
      </c>
      <c r="I228" s="19">
        <f>IFERROR(__xludf.DUMMYFUNCTION("IFERROR(TO_DATE(H228), """")"),42566.40447916667)</f>
        <v>42566.40448</v>
      </c>
      <c r="J228" s="19" t="s">
        <v>14</v>
      </c>
      <c r="K228" s="22">
        <f t="shared" si="2"/>
        <v>0</v>
      </c>
    </row>
    <row r="229">
      <c r="A229" s="18">
        <v>5966.0</v>
      </c>
      <c r="B229" s="18" t="s">
        <v>30</v>
      </c>
      <c r="C229" s="18">
        <v>23.0</v>
      </c>
      <c r="D229" s="18" t="s">
        <v>31</v>
      </c>
      <c r="E229" s="27">
        <v>42566.45447916666</v>
      </c>
      <c r="F229" s="19">
        <f>IFERROR(__xludf.DUMMYFUNCTION("IFERROR(TO_DATE(E229), """")"),42566.45447916666)</f>
        <v>42566.45448</v>
      </c>
      <c r="G229" s="20">
        <f t="shared" si="1"/>
        <v>10</v>
      </c>
      <c r="H229" s="27">
        <v>42566.49912037037</v>
      </c>
      <c r="I229" s="19">
        <f>IFERROR(__xludf.DUMMYFUNCTION("IFERROR(TO_DATE(H229), """")"),42566.49912037037)</f>
        <v>42566.49912</v>
      </c>
      <c r="J229" s="19" t="s">
        <v>14</v>
      </c>
      <c r="K229" s="22">
        <f t="shared" si="2"/>
        <v>0</v>
      </c>
    </row>
    <row r="230">
      <c r="A230" s="18">
        <v>6122.0</v>
      </c>
      <c r="B230" s="18" t="s">
        <v>32</v>
      </c>
      <c r="C230" s="18">
        <v>23.0</v>
      </c>
      <c r="D230" s="18" t="s">
        <v>31</v>
      </c>
      <c r="E230" s="27">
        <v>42566.643125</v>
      </c>
      <c r="F230" s="19">
        <f>IFERROR(__xludf.DUMMYFUNCTION("IFERROR(TO_DATE(E230), """")"),42566.643125)</f>
        <v>42566.64313</v>
      </c>
      <c r="G230" s="20">
        <f t="shared" si="1"/>
        <v>15</v>
      </c>
      <c r="H230" s="27">
        <v>42566.687268518515</v>
      </c>
      <c r="I230" s="19">
        <f>IFERROR(__xludf.DUMMYFUNCTION("IFERROR(TO_DATE(H230), """")"),42566.687268518515)</f>
        <v>42566.68727</v>
      </c>
      <c r="J230" s="19" t="s">
        <v>10</v>
      </c>
      <c r="K230" s="22">
        <f t="shared" si="2"/>
        <v>0</v>
      </c>
    </row>
    <row r="231">
      <c r="A231" s="18">
        <v>357.0</v>
      </c>
      <c r="B231" s="18" t="s">
        <v>30</v>
      </c>
      <c r="C231" s="18">
        <v>24.0</v>
      </c>
      <c r="D231" s="18" t="s">
        <v>31</v>
      </c>
      <c r="E231" s="26">
        <v>42562.333333333336</v>
      </c>
      <c r="F231" s="19">
        <f>IFERROR(__xludf.DUMMYFUNCTION("IFERROR(TO_DATE(E231), """")"),42562.333333333336)</f>
        <v>42562.33333</v>
      </c>
      <c r="G231" s="20">
        <f t="shared" si="1"/>
        <v>8</v>
      </c>
      <c r="H231" s="26">
        <v>42562.38055555556</v>
      </c>
      <c r="I231" s="19">
        <f>IFERROR(__xludf.DUMMYFUNCTION("IFERROR(TO_DATE(H231), """")"),42562.38055555556)</f>
        <v>42562.38056</v>
      </c>
      <c r="J231" s="19" t="s">
        <v>14</v>
      </c>
      <c r="K231" s="22">
        <f t="shared" si="2"/>
        <v>0</v>
      </c>
    </row>
    <row r="232">
      <c r="A232" s="18">
        <v>1068.0</v>
      </c>
      <c r="B232" s="18" t="s">
        <v>32</v>
      </c>
      <c r="C232" s="18">
        <v>24.0</v>
      </c>
      <c r="D232" s="18" t="s">
        <v>31</v>
      </c>
      <c r="E232" s="26">
        <v>42562.82777777778</v>
      </c>
      <c r="F232" s="19">
        <f>IFERROR(__xludf.DUMMYFUNCTION("IFERROR(TO_DATE(E232), """")"),42562.82777777778)</f>
        <v>42562.82778</v>
      </c>
      <c r="G232" s="20">
        <f t="shared" si="1"/>
        <v>19</v>
      </c>
      <c r="H232" s="26">
        <v>42562.86666666667</v>
      </c>
      <c r="I232" s="19">
        <f>IFERROR(__xludf.DUMMYFUNCTION("IFERROR(TO_DATE(H232), """")"),42562.86666666667)</f>
        <v>42562.86667</v>
      </c>
      <c r="J232" s="19" t="s">
        <v>12</v>
      </c>
      <c r="K232" s="22">
        <f t="shared" si="2"/>
        <v>0</v>
      </c>
    </row>
    <row r="233">
      <c r="A233" s="18">
        <v>2689.0</v>
      </c>
      <c r="B233" s="18" t="s">
        <v>30</v>
      </c>
      <c r="C233" s="18">
        <v>24.0</v>
      </c>
      <c r="D233" s="18" t="s">
        <v>31</v>
      </c>
      <c r="E233" s="27">
        <v>42564.02364583333</v>
      </c>
      <c r="F233" s="19">
        <f>IFERROR(__xludf.DUMMYFUNCTION("IFERROR(TO_DATE(E233), """")"),42564.02364583333)</f>
        <v>42564.02365</v>
      </c>
      <c r="G233" s="20">
        <f t="shared" si="1"/>
        <v>0</v>
      </c>
      <c r="H233" s="27">
        <v>42564.075787037036</v>
      </c>
      <c r="I233" s="19">
        <f>IFERROR(__xludf.DUMMYFUNCTION("IFERROR(TO_DATE(H233), """")"),42564.075787037036)</f>
        <v>42564.07579</v>
      </c>
      <c r="J233" s="19" t="s">
        <v>15</v>
      </c>
      <c r="K233" s="22">
        <f t="shared" si="2"/>
        <v>0</v>
      </c>
    </row>
    <row r="234">
      <c r="A234" s="18">
        <v>2791.0</v>
      </c>
      <c r="B234" s="18" t="s">
        <v>32</v>
      </c>
      <c r="C234" s="18">
        <v>24.0</v>
      </c>
      <c r="D234" s="18" t="s">
        <v>31</v>
      </c>
      <c r="E234" s="27">
        <v>42564.20578703703</v>
      </c>
      <c r="F234" s="19">
        <f>IFERROR(__xludf.DUMMYFUNCTION("IFERROR(TO_DATE(E234), """")"),42564.20578703703)</f>
        <v>42564.20579</v>
      </c>
      <c r="G234" s="20">
        <f t="shared" si="1"/>
        <v>4</v>
      </c>
      <c r="H234" s="27">
        <v>42564.23148148148</v>
      </c>
      <c r="I234" s="19">
        <f>IFERROR(__xludf.DUMMYFUNCTION("IFERROR(TO_DATE(H234), """")"),42564.23148148148)</f>
        <v>42564.23148</v>
      </c>
      <c r="J234" s="19" t="s">
        <v>11</v>
      </c>
      <c r="K234" s="22">
        <f t="shared" si="2"/>
        <v>0</v>
      </c>
    </row>
    <row r="235">
      <c r="A235" s="18">
        <v>3321.0</v>
      </c>
      <c r="B235" s="18" t="s">
        <v>32</v>
      </c>
      <c r="C235" s="18">
        <v>24.0</v>
      </c>
      <c r="D235" s="18" t="s">
        <v>31</v>
      </c>
      <c r="E235" s="27">
        <v>42564.51599537037</v>
      </c>
      <c r="F235" s="19">
        <f>IFERROR(__xludf.DUMMYFUNCTION("IFERROR(TO_DATE(E235), """")"),42564.51599537037)</f>
        <v>42564.516</v>
      </c>
      <c r="G235" s="20">
        <f t="shared" si="1"/>
        <v>12</v>
      </c>
      <c r="H235" s="27">
        <v>42564.55918981481</v>
      </c>
      <c r="I235" s="19">
        <f>IFERROR(__xludf.DUMMYFUNCTION("IFERROR(TO_DATE(H235), """")"),42564.55918981481)</f>
        <v>42564.55919</v>
      </c>
      <c r="J235" s="19" t="s">
        <v>10</v>
      </c>
      <c r="K235" s="22">
        <f t="shared" si="2"/>
        <v>0</v>
      </c>
    </row>
    <row r="236">
      <c r="A236" s="18">
        <v>3423.0</v>
      </c>
      <c r="B236" s="18" t="s">
        <v>30</v>
      </c>
      <c r="C236" s="18">
        <v>24.0</v>
      </c>
      <c r="D236" s="18" t="s">
        <v>31</v>
      </c>
      <c r="E236" s="27">
        <v>42564.66119212963</v>
      </c>
      <c r="F236" s="19">
        <f>IFERROR(__xludf.DUMMYFUNCTION("IFERROR(TO_DATE(E236), """")"),42564.66119212963)</f>
        <v>42564.66119</v>
      </c>
      <c r="G236" s="20">
        <f t="shared" si="1"/>
        <v>15</v>
      </c>
      <c r="H236" s="27">
        <v>42564.7019212963</v>
      </c>
      <c r="I236" s="19">
        <f>IFERROR(__xludf.DUMMYFUNCTION("IFERROR(TO_DATE(H236), """")"),42564.7019212963)</f>
        <v>42564.70192</v>
      </c>
      <c r="J236" s="19" t="s">
        <v>10</v>
      </c>
      <c r="K236" s="22">
        <f t="shared" si="2"/>
        <v>0</v>
      </c>
    </row>
    <row r="237">
      <c r="A237" s="18">
        <v>3761.0</v>
      </c>
      <c r="B237" s="18" t="s">
        <v>30</v>
      </c>
      <c r="C237" s="18">
        <v>24.0</v>
      </c>
      <c r="D237" s="18" t="s">
        <v>31</v>
      </c>
      <c r="E237" s="27">
        <v>42564.85791666667</v>
      </c>
      <c r="F237" s="19">
        <f>IFERROR(__xludf.DUMMYFUNCTION("IFERROR(TO_DATE(E237), """")"),42564.85791666667)</f>
        <v>42564.85792</v>
      </c>
      <c r="G237" s="20">
        <f t="shared" si="1"/>
        <v>20</v>
      </c>
      <c r="H237" s="27">
        <v>42564.90210648148</v>
      </c>
      <c r="I237" s="19">
        <f>IFERROR(__xludf.DUMMYFUNCTION("IFERROR(TO_DATE(H237), """")"),42564.90210648148)</f>
        <v>42564.90211</v>
      </c>
      <c r="J237" s="19" t="s">
        <v>13</v>
      </c>
      <c r="K237" s="22">
        <f t="shared" si="2"/>
        <v>0</v>
      </c>
    </row>
    <row r="238">
      <c r="A238" s="18">
        <v>4140.0</v>
      </c>
      <c r="B238" s="18" t="s">
        <v>32</v>
      </c>
      <c r="C238" s="18">
        <v>24.0</v>
      </c>
      <c r="D238" s="18" t="s">
        <v>31</v>
      </c>
      <c r="E238" s="27">
        <v>42565.200104166666</v>
      </c>
      <c r="F238" s="19">
        <f>IFERROR(__xludf.DUMMYFUNCTION("IFERROR(TO_DATE(E238), """")"),42565.200104166666)</f>
        <v>42565.2001</v>
      </c>
      <c r="G238" s="20">
        <f t="shared" si="1"/>
        <v>4</v>
      </c>
      <c r="H238" s="27">
        <v>42565.253483796296</v>
      </c>
      <c r="I238" s="19">
        <f>IFERROR(__xludf.DUMMYFUNCTION("IFERROR(TO_DATE(H238), """")"),42565.253483796296)</f>
        <v>42565.25348</v>
      </c>
      <c r="J238" s="19" t="s">
        <v>11</v>
      </c>
      <c r="K238" s="22">
        <f t="shared" si="2"/>
        <v>0</v>
      </c>
    </row>
    <row r="239">
      <c r="A239" s="18">
        <v>4656.0</v>
      </c>
      <c r="B239" s="18" t="s">
        <v>32</v>
      </c>
      <c r="C239" s="18">
        <v>24.0</v>
      </c>
      <c r="D239" s="18" t="s">
        <v>31</v>
      </c>
      <c r="E239" s="27">
        <v>42565.504479166666</v>
      </c>
      <c r="F239" s="19">
        <f>IFERROR(__xludf.DUMMYFUNCTION("IFERROR(TO_DATE(E239), """")"),42565.504479166666)</f>
        <v>42565.50448</v>
      </c>
      <c r="G239" s="20">
        <f t="shared" si="1"/>
        <v>12</v>
      </c>
      <c r="H239" s="27">
        <v>42565.53418981482</v>
      </c>
      <c r="I239" s="19">
        <f>IFERROR(__xludf.DUMMYFUNCTION("IFERROR(TO_DATE(H239), """")"),42565.53418981482)</f>
        <v>42565.53419</v>
      </c>
      <c r="J239" s="19" t="s">
        <v>10</v>
      </c>
      <c r="K239" s="22">
        <f t="shared" si="2"/>
        <v>0</v>
      </c>
    </row>
    <row r="240">
      <c r="A240" s="18">
        <v>4931.0</v>
      </c>
      <c r="B240" s="18" t="s">
        <v>30</v>
      </c>
      <c r="C240" s="18">
        <v>24.0</v>
      </c>
      <c r="D240" s="18" t="s">
        <v>31</v>
      </c>
      <c r="E240" s="27">
        <v>42565.765185185184</v>
      </c>
      <c r="F240" s="19">
        <f>IFERROR(__xludf.DUMMYFUNCTION("IFERROR(TO_DATE(E240), """")"),42565.765185185184)</f>
        <v>42565.76519</v>
      </c>
      <c r="G240" s="20">
        <f t="shared" si="1"/>
        <v>18</v>
      </c>
      <c r="H240" s="27">
        <v>42565.78753472222</v>
      </c>
      <c r="I240" s="19">
        <f>IFERROR(__xludf.DUMMYFUNCTION("IFERROR(TO_DATE(H240), """")"),42565.78753472222)</f>
        <v>42565.78753</v>
      </c>
      <c r="J240" s="19" t="s">
        <v>12</v>
      </c>
      <c r="K240" s="22">
        <f t="shared" si="2"/>
        <v>0</v>
      </c>
    </row>
    <row r="241">
      <c r="A241" s="18">
        <v>5268.0</v>
      </c>
      <c r="B241" s="18" t="s">
        <v>32</v>
      </c>
      <c r="C241" s="18">
        <v>24.0</v>
      </c>
      <c r="D241" s="18" t="s">
        <v>31</v>
      </c>
      <c r="E241" s="27">
        <v>42565.89554398148</v>
      </c>
      <c r="F241" s="19">
        <f>IFERROR(__xludf.DUMMYFUNCTION("IFERROR(TO_DATE(E241), """")"),42565.89554398148)</f>
        <v>42565.89554</v>
      </c>
      <c r="G241" s="20">
        <f t="shared" si="1"/>
        <v>21</v>
      </c>
      <c r="H241" s="27">
        <v>42565.937627314815</v>
      </c>
      <c r="I241" s="19">
        <f>IFERROR(__xludf.DUMMYFUNCTION("IFERROR(TO_DATE(H241), """")"),42565.937627314815)</f>
        <v>42565.93763</v>
      </c>
      <c r="J241" s="19" t="s">
        <v>13</v>
      </c>
      <c r="K241" s="22">
        <f t="shared" si="2"/>
        <v>0</v>
      </c>
    </row>
    <row r="242">
      <c r="A242" s="18">
        <v>5811.0</v>
      </c>
      <c r="B242" s="18" t="s">
        <v>32</v>
      </c>
      <c r="C242" s="18">
        <v>24.0</v>
      </c>
      <c r="D242" s="18" t="s">
        <v>31</v>
      </c>
      <c r="E242" s="27">
        <v>42566.365625</v>
      </c>
      <c r="F242" s="19">
        <f>IFERROR(__xludf.DUMMYFUNCTION("IFERROR(TO_DATE(E242), """")"),42566.365625)</f>
        <v>42566.36563</v>
      </c>
      <c r="G242" s="20">
        <f t="shared" si="1"/>
        <v>8</v>
      </c>
      <c r="H242" s="27">
        <v>42566.3934375</v>
      </c>
      <c r="I242" s="19">
        <f>IFERROR(__xludf.DUMMYFUNCTION("IFERROR(TO_DATE(H242), """")"),42566.3934375)</f>
        <v>42566.39344</v>
      </c>
      <c r="J242" s="19" t="s">
        <v>14</v>
      </c>
      <c r="K242" s="22">
        <f t="shared" si="2"/>
        <v>0</v>
      </c>
    </row>
    <row r="243">
      <c r="A243" s="18">
        <v>6139.0</v>
      </c>
      <c r="B243" s="18" t="s">
        <v>30</v>
      </c>
      <c r="C243" s="18">
        <v>24.0</v>
      </c>
      <c r="D243" s="18" t="s">
        <v>31</v>
      </c>
      <c r="E243" s="27">
        <v>42566.656435185185</v>
      </c>
      <c r="F243" s="19">
        <f>IFERROR(__xludf.DUMMYFUNCTION("IFERROR(TO_DATE(E243), """")"),42566.656435185185)</f>
        <v>42566.65644</v>
      </c>
      <c r="G243" s="20">
        <f t="shared" si="1"/>
        <v>15</v>
      </c>
      <c r="H243" s="27">
        <v>42566.694918981484</v>
      </c>
      <c r="I243" s="19">
        <f>IFERROR(__xludf.DUMMYFUNCTION("IFERROR(TO_DATE(H243), """")"),42566.694918981484)</f>
        <v>42566.69492</v>
      </c>
      <c r="J243" s="19" t="s">
        <v>10</v>
      </c>
      <c r="K243" s="22">
        <f t="shared" si="2"/>
        <v>0</v>
      </c>
    </row>
    <row r="244">
      <c r="A244" s="18">
        <v>6333.0</v>
      </c>
      <c r="B244" s="18" t="s">
        <v>30</v>
      </c>
      <c r="C244" s="18">
        <v>24.0</v>
      </c>
      <c r="D244" s="18" t="s">
        <v>31</v>
      </c>
      <c r="E244" s="27">
        <v>42566.77872685185</v>
      </c>
      <c r="F244" s="19">
        <f>IFERROR(__xludf.DUMMYFUNCTION("IFERROR(TO_DATE(E244), """")"),42566.77872685185)</f>
        <v>42566.77873</v>
      </c>
      <c r="G244" s="20">
        <f t="shared" si="1"/>
        <v>18</v>
      </c>
      <c r="H244" s="27">
        <v>42566.82880787037</v>
      </c>
      <c r="I244" s="19">
        <f>IFERROR(__xludf.DUMMYFUNCTION("IFERROR(TO_DATE(H244), """")"),42566.82880787037)</f>
        <v>42566.82881</v>
      </c>
      <c r="J244" s="19" t="s">
        <v>12</v>
      </c>
      <c r="K244" s="22">
        <f t="shared" si="2"/>
        <v>0</v>
      </c>
    </row>
    <row r="245">
      <c r="A245" s="18">
        <v>773.0</v>
      </c>
      <c r="B245" s="18" t="s">
        <v>32</v>
      </c>
      <c r="C245" s="18">
        <v>25.0</v>
      </c>
      <c r="D245" s="18" t="s">
        <v>31</v>
      </c>
      <c r="E245" s="26">
        <v>42562.68263888889</v>
      </c>
      <c r="F245" s="19">
        <f>IFERROR(__xludf.DUMMYFUNCTION("IFERROR(TO_DATE(E245), """")"),42562.68263888889)</f>
        <v>42562.68264</v>
      </c>
      <c r="G245" s="20">
        <f t="shared" si="1"/>
        <v>16</v>
      </c>
      <c r="H245" s="26">
        <v>42562.722916666666</v>
      </c>
      <c r="I245" s="19">
        <f>IFERROR(__xludf.DUMMYFUNCTION("IFERROR(TO_DATE(H245), """")"),42562.722916666666)</f>
        <v>42562.72292</v>
      </c>
      <c r="J245" s="19" t="s">
        <v>12</v>
      </c>
      <c r="K245" s="22">
        <f t="shared" si="2"/>
        <v>0</v>
      </c>
    </row>
    <row r="246">
      <c r="A246" s="18">
        <v>1123.0</v>
      </c>
      <c r="B246" s="18" t="s">
        <v>32</v>
      </c>
      <c r="C246" s="18">
        <v>25.0</v>
      </c>
      <c r="D246" s="18" t="s">
        <v>31</v>
      </c>
      <c r="E246" s="26">
        <v>42562.84722222222</v>
      </c>
      <c r="F246" s="19">
        <f>IFERROR(__xludf.DUMMYFUNCTION("IFERROR(TO_DATE(E246), """")"),42562.84722222222)</f>
        <v>42562.84722</v>
      </c>
      <c r="G246" s="20">
        <f t="shared" si="1"/>
        <v>20</v>
      </c>
      <c r="H246" s="26">
        <v>42562.8875</v>
      </c>
      <c r="I246" s="19">
        <f>IFERROR(__xludf.DUMMYFUNCTION("IFERROR(TO_DATE(H246), """")"),42562.8875)</f>
        <v>42562.8875</v>
      </c>
      <c r="J246" s="19" t="s">
        <v>13</v>
      </c>
      <c r="K246" s="22">
        <f t="shared" si="2"/>
        <v>0</v>
      </c>
    </row>
    <row r="247">
      <c r="A247" s="18">
        <v>2667.0</v>
      </c>
      <c r="B247" s="18" t="s">
        <v>30</v>
      </c>
      <c r="C247" s="18">
        <v>25.0</v>
      </c>
      <c r="D247" s="18" t="s">
        <v>31</v>
      </c>
      <c r="E247" s="26">
        <v>42563.98263888889</v>
      </c>
      <c r="F247" s="19">
        <f>IFERROR(__xludf.DUMMYFUNCTION("IFERROR(TO_DATE(E247), """")"),42563.98263888889)</f>
        <v>42563.98264</v>
      </c>
      <c r="G247" s="20">
        <f t="shared" si="1"/>
        <v>23</v>
      </c>
      <c r="H247" s="27">
        <v>42564.02837962963</v>
      </c>
      <c r="I247" s="19">
        <f>IFERROR(__xludf.DUMMYFUNCTION("IFERROR(TO_DATE(H247), """")"),42564.02837962963)</f>
        <v>42564.02838</v>
      </c>
      <c r="J247" s="19" t="s">
        <v>13</v>
      </c>
      <c r="K247" s="22">
        <f t="shared" si="2"/>
        <v>0</v>
      </c>
    </row>
    <row r="248">
      <c r="A248" s="18">
        <v>2833.0</v>
      </c>
      <c r="B248" s="18" t="s">
        <v>32</v>
      </c>
      <c r="C248" s="18">
        <v>25.0</v>
      </c>
      <c r="D248" s="18" t="s">
        <v>31</v>
      </c>
      <c r="E248" s="27">
        <v>42564.22738425926</v>
      </c>
      <c r="F248" s="19">
        <f>IFERROR(__xludf.DUMMYFUNCTION("IFERROR(TO_DATE(E248), """")"),42564.22738425926)</f>
        <v>42564.22738</v>
      </c>
      <c r="G248" s="20">
        <f t="shared" si="1"/>
        <v>5</v>
      </c>
      <c r="H248" s="27">
        <v>42564.263402777775</v>
      </c>
      <c r="I248" s="19">
        <f>IFERROR(__xludf.DUMMYFUNCTION("IFERROR(TO_DATE(H248), """")"),42564.263402777775)</f>
        <v>42564.2634</v>
      </c>
      <c r="J248" s="19" t="s">
        <v>11</v>
      </c>
      <c r="K248" s="22">
        <f t="shared" si="2"/>
        <v>0</v>
      </c>
    </row>
    <row r="249">
      <c r="A249" s="18">
        <v>3396.0</v>
      </c>
      <c r="B249" s="18" t="s">
        <v>32</v>
      </c>
      <c r="C249" s="18">
        <v>25.0</v>
      </c>
      <c r="D249" s="18" t="s">
        <v>31</v>
      </c>
      <c r="E249" s="27">
        <v>42564.624398148146</v>
      </c>
      <c r="F249" s="19">
        <f>IFERROR(__xludf.DUMMYFUNCTION("IFERROR(TO_DATE(E249), """")"),42564.624398148146)</f>
        <v>42564.6244</v>
      </c>
      <c r="G249" s="20">
        <f t="shared" si="1"/>
        <v>14</v>
      </c>
      <c r="H249" s="27">
        <v>42564.66486111111</v>
      </c>
      <c r="I249" s="19">
        <f>IFERROR(__xludf.DUMMYFUNCTION("IFERROR(TO_DATE(H249), """")"),42564.66486111111)</f>
        <v>42564.66486</v>
      </c>
      <c r="J249" s="19" t="s">
        <v>10</v>
      </c>
      <c r="K249" s="22">
        <f t="shared" si="2"/>
        <v>0</v>
      </c>
    </row>
    <row r="250">
      <c r="A250" s="18">
        <v>3590.0</v>
      </c>
      <c r="B250" s="18" t="s">
        <v>32</v>
      </c>
      <c r="C250" s="18">
        <v>25.0</v>
      </c>
      <c r="D250" s="18" t="s">
        <v>31</v>
      </c>
      <c r="E250" s="27">
        <v>42564.77186342593</v>
      </c>
      <c r="F250" s="19">
        <f>IFERROR(__xludf.DUMMYFUNCTION("IFERROR(TO_DATE(E250), """")"),42564.77186342593)</f>
        <v>42564.77186</v>
      </c>
      <c r="G250" s="20">
        <f t="shared" si="1"/>
        <v>18</v>
      </c>
      <c r="H250" s="27">
        <v>42564.81384259259</v>
      </c>
      <c r="I250" s="19">
        <f>IFERROR(__xludf.DUMMYFUNCTION("IFERROR(TO_DATE(H250), """")"),42564.81384259259)</f>
        <v>42564.81384</v>
      </c>
      <c r="J250" s="19" t="s">
        <v>12</v>
      </c>
      <c r="K250" s="22">
        <f t="shared" si="2"/>
        <v>0</v>
      </c>
    </row>
    <row r="251">
      <c r="A251" s="18">
        <v>3762.0</v>
      </c>
      <c r="B251" s="18" t="s">
        <v>32</v>
      </c>
      <c r="C251" s="18">
        <v>25.0</v>
      </c>
      <c r="D251" s="18" t="s">
        <v>31</v>
      </c>
      <c r="E251" s="27">
        <v>42564.85983796296</v>
      </c>
      <c r="F251" s="19">
        <f>IFERROR(__xludf.DUMMYFUNCTION("IFERROR(TO_DATE(E251), """")"),42564.85983796296)</f>
        <v>42564.85984</v>
      </c>
      <c r="G251" s="20">
        <f t="shared" si="1"/>
        <v>20</v>
      </c>
      <c r="H251" s="27">
        <v>42564.889861111114</v>
      </c>
      <c r="I251" s="19">
        <f>IFERROR(__xludf.DUMMYFUNCTION("IFERROR(TO_DATE(H251), """")"),42564.889861111114)</f>
        <v>42564.88986</v>
      </c>
      <c r="J251" s="19" t="s">
        <v>13</v>
      </c>
      <c r="K251" s="22">
        <f t="shared" si="2"/>
        <v>0</v>
      </c>
    </row>
    <row r="252">
      <c r="A252" s="18">
        <v>4566.0</v>
      </c>
      <c r="B252" s="18" t="s">
        <v>32</v>
      </c>
      <c r="C252" s="18">
        <v>25.0</v>
      </c>
      <c r="D252" s="18" t="s">
        <v>31</v>
      </c>
      <c r="E252" s="27">
        <v>42565.40898148148</v>
      </c>
      <c r="F252" s="19">
        <f>IFERROR(__xludf.DUMMYFUNCTION("IFERROR(TO_DATE(E252), """")"),42565.40898148148)</f>
        <v>42565.40898</v>
      </c>
      <c r="G252" s="20">
        <f t="shared" si="1"/>
        <v>9</v>
      </c>
      <c r="H252" s="27">
        <v>42565.432546296295</v>
      </c>
      <c r="I252" s="19">
        <f>IFERROR(__xludf.DUMMYFUNCTION("IFERROR(TO_DATE(H252), """")"),42565.432546296295)</f>
        <v>42565.43255</v>
      </c>
      <c r="J252" s="19" t="s">
        <v>14</v>
      </c>
      <c r="K252" s="22">
        <f t="shared" si="2"/>
        <v>0</v>
      </c>
    </row>
    <row r="253">
      <c r="A253" s="18">
        <v>4862.0</v>
      </c>
      <c r="B253" s="18" t="s">
        <v>32</v>
      </c>
      <c r="C253" s="18">
        <v>25.0</v>
      </c>
      <c r="D253" s="18" t="s">
        <v>31</v>
      </c>
      <c r="E253" s="27">
        <v>42565.73453703704</v>
      </c>
      <c r="F253" s="19">
        <f>IFERROR(__xludf.DUMMYFUNCTION("IFERROR(TO_DATE(E253), """")"),42565.73453703704)</f>
        <v>42565.73454</v>
      </c>
      <c r="G253" s="20">
        <f t="shared" si="1"/>
        <v>17</v>
      </c>
      <c r="H253" s="27">
        <v>42565.77893518518</v>
      </c>
      <c r="I253" s="19">
        <f>IFERROR(__xludf.DUMMYFUNCTION("IFERROR(TO_DATE(H253), """")"),42565.77893518518)</f>
        <v>42565.77894</v>
      </c>
      <c r="J253" s="19" t="s">
        <v>12</v>
      </c>
      <c r="K253" s="22">
        <f t="shared" si="2"/>
        <v>0</v>
      </c>
    </row>
    <row r="254">
      <c r="A254" s="18">
        <v>5564.0</v>
      </c>
      <c r="B254" s="18" t="s">
        <v>30</v>
      </c>
      <c r="C254" s="18">
        <v>25.0</v>
      </c>
      <c r="D254" s="18" t="s">
        <v>31</v>
      </c>
      <c r="E254" s="27">
        <v>42566.23693287037</v>
      </c>
      <c r="F254" s="19">
        <f>IFERROR(__xludf.DUMMYFUNCTION("IFERROR(TO_DATE(E254), """")"),42566.23693287037)</f>
        <v>42566.23693</v>
      </c>
      <c r="G254" s="20">
        <f t="shared" si="1"/>
        <v>5</v>
      </c>
      <c r="H254" s="27">
        <v>42566.28706018518</v>
      </c>
      <c r="I254" s="19">
        <f>IFERROR(__xludf.DUMMYFUNCTION("IFERROR(TO_DATE(H254), """")"),42566.28706018518)</f>
        <v>42566.28706</v>
      </c>
      <c r="J254" s="19" t="s">
        <v>11</v>
      </c>
      <c r="K254" s="22">
        <f t="shared" si="2"/>
        <v>0</v>
      </c>
    </row>
    <row r="255">
      <c r="A255" s="18">
        <v>6187.0</v>
      </c>
      <c r="B255" s="18" t="s">
        <v>32</v>
      </c>
      <c r="C255" s="18">
        <v>25.0</v>
      </c>
      <c r="D255" s="18" t="s">
        <v>31</v>
      </c>
      <c r="E255" s="27">
        <v>42566.71606481481</v>
      </c>
      <c r="F255" s="19">
        <f>IFERROR(__xludf.DUMMYFUNCTION("IFERROR(TO_DATE(E255), """")"),42566.71606481481)</f>
        <v>42566.71606</v>
      </c>
      <c r="G255" s="20">
        <f t="shared" si="1"/>
        <v>17</v>
      </c>
      <c r="H255" s="27">
        <v>42566.75568287037</v>
      </c>
      <c r="I255" s="19">
        <f>IFERROR(__xludf.DUMMYFUNCTION("IFERROR(TO_DATE(H255), """")"),42566.75568287037)</f>
        <v>42566.75568</v>
      </c>
      <c r="J255" s="19" t="s">
        <v>12</v>
      </c>
      <c r="K255" s="22">
        <f t="shared" si="2"/>
        <v>0</v>
      </c>
    </row>
    <row r="256">
      <c r="A256" s="18">
        <v>6642.0</v>
      </c>
      <c r="B256" s="18" t="s">
        <v>32</v>
      </c>
      <c r="C256" s="18">
        <v>25.0</v>
      </c>
      <c r="D256" s="18" t="s">
        <v>31</v>
      </c>
      <c r="E256" s="27">
        <v>42566.921689814815</v>
      </c>
      <c r="F256" s="19">
        <f>IFERROR(__xludf.DUMMYFUNCTION("IFERROR(TO_DATE(E256), """")"),42566.921689814815)</f>
        <v>42566.92169</v>
      </c>
      <c r="G256" s="20">
        <f t="shared" si="1"/>
        <v>22</v>
      </c>
      <c r="H256" s="27">
        <v>42566.954189814816</v>
      </c>
      <c r="I256" s="19">
        <f>IFERROR(__xludf.DUMMYFUNCTION("IFERROR(TO_DATE(H256), """")"),42566.954189814816)</f>
        <v>42566.95419</v>
      </c>
      <c r="J256" s="19" t="s">
        <v>13</v>
      </c>
      <c r="K256" s="22">
        <f t="shared" si="2"/>
        <v>0</v>
      </c>
    </row>
    <row r="257">
      <c r="A257" s="18">
        <v>322.0</v>
      </c>
      <c r="B257" s="18" t="s">
        <v>32</v>
      </c>
      <c r="C257" s="18">
        <v>26.0</v>
      </c>
      <c r="D257" s="18" t="s">
        <v>31</v>
      </c>
      <c r="E257" s="26">
        <v>42562.31319444445</v>
      </c>
      <c r="F257" s="19">
        <f>IFERROR(__xludf.DUMMYFUNCTION("IFERROR(TO_DATE(E257), """")"),42562.31319444445)</f>
        <v>42562.31319</v>
      </c>
      <c r="G257" s="20">
        <f t="shared" si="1"/>
        <v>7</v>
      </c>
      <c r="H257" s="26">
        <v>42562.34027777778</v>
      </c>
      <c r="I257" s="19">
        <f>IFERROR(__xludf.DUMMYFUNCTION("IFERROR(TO_DATE(H257), """")"),42562.34027777778)</f>
        <v>42562.34028</v>
      </c>
      <c r="J257" s="19" t="s">
        <v>11</v>
      </c>
      <c r="K257" s="22">
        <f t="shared" si="2"/>
        <v>0</v>
      </c>
    </row>
    <row r="258">
      <c r="A258" s="18">
        <v>793.0</v>
      </c>
      <c r="B258" s="18" t="s">
        <v>32</v>
      </c>
      <c r="C258" s="18">
        <v>26.0</v>
      </c>
      <c r="D258" s="18" t="s">
        <v>31</v>
      </c>
      <c r="E258" s="26">
        <v>42562.71111111111</v>
      </c>
      <c r="F258" s="19">
        <f>IFERROR(__xludf.DUMMYFUNCTION("IFERROR(TO_DATE(E258), """")"),42562.71111111111)</f>
        <v>42562.71111</v>
      </c>
      <c r="G258" s="20">
        <f t="shared" si="1"/>
        <v>17</v>
      </c>
      <c r="H258" s="26">
        <v>42562.754166666666</v>
      </c>
      <c r="I258" s="19">
        <f>IFERROR(__xludf.DUMMYFUNCTION("IFERROR(TO_DATE(H258), """")"),42562.754166666666)</f>
        <v>42562.75417</v>
      </c>
      <c r="J258" s="19" t="s">
        <v>12</v>
      </c>
      <c r="K258" s="22">
        <f t="shared" si="2"/>
        <v>0</v>
      </c>
    </row>
    <row r="259">
      <c r="A259" s="18">
        <v>898.0</v>
      </c>
      <c r="B259" s="18" t="s">
        <v>30</v>
      </c>
      <c r="C259" s="18">
        <v>26.0</v>
      </c>
      <c r="D259" s="18" t="s">
        <v>31</v>
      </c>
      <c r="E259" s="26">
        <v>42562.759722222225</v>
      </c>
      <c r="F259" s="19">
        <f>IFERROR(__xludf.DUMMYFUNCTION("IFERROR(TO_DATE(E259), """")"),42562.759722222225)</f>
        <v>42562.75972</v>
      </c>
      <c r="G259" s="20">
        <f t="shared" si="1"/>
        <v>18</v>
      </c>
      <c r="H259" s="26">
        <v>42562.79791666667</v>
      </c>
      <c r="I259" s="19">
        <f>IFERROR(__xludf.DUMMYFUNCTION("IFERROR(TO_DATE(H259), """")"),42562.79791666667)</f>
        <v>42562.79792</v>
      </c>
      <c r="J259" s="19" t="s">
        <v>12</v>
      </c>
      <c r="K259" s="22">
        <f t="shared" si="2"/>
        <v>0</v>
      </c>
    </row>
    <row r="260">
      <c r="A260" s="18">
        <v>1258.0</v>
      </c>
      <c r="B260" s="18" t="s">
        <v>32</v>
      </c>
      <c r="C260" s="18">
        <v>26.0</v>
      </c>
      <c r="D260" s="18" t="s">
        <v>31</v>
      </c>
      <c r="E260" s="26">
        <v>42562.910416666666</v>
      </c>
      <c r="F260" s="19">
        <f>IFERROR(__xludf.DUMMYFUNCTION("IFERROR(TO_DATE(E260), """")"),42562.910416666666)</f>
        <v>42562.91042</v>
      </c>
      <c r="G260" s="20">
        <f t="shared" si="1"/>
        <v>21</v>
      </c>
      <c r="H260" s="26">
        <v>42562.958333333336</v>
      </c>
      <c r="I260" s="19">
        <f>IFERROR(__xludf.DUMMYFUNCTION("IFERROR(TO_DATE(H260), """")"),42562.958333333336)</f>
        <v>42562.95833</v>
      </c>
      <c r="J260" s="19" t="s">
        <v>13</v>
      </c>
      <c r="K260" s="22">
        <f t="shared" si="2"/>
        <v>0</v>
      </c>
    </row>
    <row r="261">
      <c r="A261" s="18">
        <v>2832.0</v>
      </c>
      <c r="B261" s="18" t="s">
        <v>32</v>
      </c>
      <c r="C261" s="18">
        <v>26.0</v>
      </c>
      <c r="D261" s="18" t="s">
        <v>31</v>
      </c>
      <c r="E261" s="27">
        <v>42564.222407407404</v>
      </c>
      <c r="F261" s="19">
        <f>IFERROR(__xludf.DUMMYFUNCTION("IFERROR(TO_DATE(E261), """")"),42564.222407407404)</f>
        <v>42564.22241</v>
      </c>
      <c r="G261" s="20">
        <f t="shared" si="1"/>
        <v>5</v>
      </c>
      <c r="H261" s="27">
        <v>42564.25980324074</v>
      </c>
      <c r="I261" s="19">
        <f>IFERROR(__xludf.DUMMYFUNCTION("IFERROR(TO_DATE(H261), """")"),42564.25980324074)</f>
        <v>42564.2598</v>
      </c>
      <c r="J261" s="19" t="s">
        <v>11</v>
      </c>
      <c r="K261" s="22">
        <f t="shared" si="2"/>
        <v>0</v>
      </c>
    </row>
    <row r="262">
      <c r="A262" s="18">
        <v>3139.0</v>
      </c>
      <c r="B262" s="18" t="s">
        <v>32</v>
      </c>
      <c r="C262" s="18">
        <v>26.0</v>
      </c>
      <c r="D262" s="18" t="s">
        <v>31</v>
      </c>
      <c r="E262" s="27">
        <v>42564.37087962963</v>
      </c>
      <c r="F262" s="19">
        <f>IFERROR(__xludf.DUMMYFUNCTION("IFERROR(TO_DATE(E262), """")"),42564.37087962963)</f>
        <v>42564.37088</v>
      </c>
      <c r="G262" s="20">
        <f t="shared" si="1"/>
        <v>8</v>
      </c>
      <c r="H262" s="27">
        <v>42564.39076388889</v>
      </c>
      <c r="I262" s="19">
        <f>IFERROR(__xludf.DUMMYFUNCTION("IFERROR(TO_DATE(H262), """")"),42564.39076388889)</f>
        <v>42564.39076</v>
      </c>
      <c r="J262" s="19" t="s">
        <v>14</v>
      </c>
      <c r="K262" s="22">
        <f t="shared" si="2"/>
        <v>0</v>
      </c>
    </row>
    <row r="263">
      <c r="A263" s="18">
        <v>3438.0</v>
      </c>
      <c r="B263" s="18" t="s">
        <v>32</v>
      </c>
      <c r="C263" s="18">
        <v>26.0</v>
      </c>
      <c r="D263" s="18" t="s">
        <v>31</v>
      </c>
      <c r="E263" s="27">
        <v>42564.67561342593</v>
      </c>
      <c r="F263" s="19">
        <f>IFERROR(__xludf.DUMMYFUNCTION("IFERROR(TO_DATE(E263), """")"),42564.67561342593)</f>
        <v>42564.67561</v>
      </c>
      <c r="G263" s="20">
        <f t="shared" si="1"/>
        <v>16</v>
      </c>
      <c r="H263" s="27">
        <v>42564.71787037037</v>
      </c>
      <c r="I263" s="19">
        <f>IFERROR(__xludf.DUMMYFUNCTION("IFERROR(TO_DATE(H263), """")"),42564.71787037037)</f>
        <v>42564.71787</v>
      </c>
      <c r="J263" s="19" t="s">
        <v>12</v>
      </c>
      <c r="K263" s="22">
        <f t="shared" si="2"/>
        <v>0</v>
      </c>
    </row>
    <row r="264">
      <c r="A264" s="18">
        <v>3966.0</v>
      </c>
      <c r="B264" s="18" t="s">
        <v>30</v>
      </c>
      <c r="C264" s="18">
        <v>26.0</v>
      </c>
      <c r="D264" s="18" t="s">
        <v>31</v>
      </c>
      <c r="E264" s="27">
        <v>42564.951875</v>
      </c>
      <c r="F264" s="19">
        <f>IFERROR(__xludf.DUMMYFUNCTION("IFERROR(TO_DATE(E264), """")"),42564.951875)</f>
        <v>42564.95188</v>
      </c>
      <c r="G264" s="20">
        <f t="shared" si="1"/>
        <v>22</v>
      </c>
      <c r="H264" s="27">
        <v>42564.97758101852</v>
      </c>
      <c r="I264" s="19">
        <f>IFERROR(__xludf.DUMMYFUNCTION("IFERROR(TO_DATE(H264), """")"),42564.97758101852)</f>
        <v>42564.97758</v>
      </c>
      <c r="J264" s="19" t="s">
        <v>13</v>
      </c>
      <c r="K264" s="22">
        <f t="shared" si="2"/>
        <v>0</v>
      </c>
    </row>
    <row r="265">
      <c r="A265" s="18">
        <v>6401.0</v>
      </c>
      <c r="B265" s="18" t="s">
        <v>30</v>
      </c>
      <c r="C265" s="18">
        <v>26.0</v>
      </c>
      <c r="D265" s="18" t="s">
        <v>31</v>
      </c>
      <c r="E265" s="27">
        <v>42566.81458333333</v>
      </c>
      <c r="F265" s="19">
        <f>IFERROR(__xludf.DUMMYFUNCTION("IFERROR(TO_DATE(E265), """")"),42566.81458333333)</f>
        <v>42566.81458</v>
      </c>
      <c r="G265" s="20">
        <f t="shared" si="1"/>
        <v>19</v>
      </c>
      <c r="H265" s="27">
        <v>42566.84510416666</v>
      </c>
      <c r="I265" s="19">
        <f>IFERROR(__xludf.DUMMYFUNCTION("IFERROR(TO_DATE(H265), """")"),42566.84510416666)</f>
        <v>42566.8451</v>
      </c>
      <c r="J265" s="19" t="s">
        <v>12</v>
      </c>
      <c r="K265" s="22">
        <f t="shared" si="2"/>
        <v>0</v>
      </c>
    </row>
    <row r="266">
      <c r="A266" s="18">
        <v>204.0</v>
      </c>
      <c r="B266" s="18" t="s">
        <v>32</v>
      </c>
      <c r="C266" s="18">
        <v>27.0</v>
      </c>
      <c r="D266" s="18" t="s">
        <v>31</v>
      </c>
      <c r="E266" s="26">
        <v>42562.25277777778</v>
      </c>
      <c r="F266" s="19">
        <f>IFERROR(__xludf.DUMMYFUNCTION("IFERROR(TO_DATE(E266), """")"),42562.25277777778)</f>
        <v>42562.25278</v>
      </c>
      <c r="G266" s="20">
        <f t="shared" si="1"/>
        <v>6</v>
      </c>
      <c r="H266" s="26">
        <v>42562.28055555555</v>
      </c>
      <c r="I266" s="19">
        <f>IFERROR(__xludf.DUMMYFUNCTION("IFERROR(TO_DATE(H266), """")"),42562.28055555555)</f>
        <v>42562.28056</v>
      </c>
      <c r="J266" s="19" t="s">
        <v>11</v>
      </c>
      <c r="K266" s="22">
        <f t="shared" si="2"/>
        <v>0</v>
      </c>
    </row>
    <row r="267">
      <c r="A267" s="18">
        <v>632.0</v>
      </c>
      <c r="B267" s="18" t="s">
        <v>30</v>
      </c>
      <c r="C267" s="18">
        <v>27.0</v>
      </c>
      <c r="D267" s="18" t="s">
        <v>31</v>
      </c>
      <c r="E267" s="26">
        <v>42562.51388888889</v>
      </c>
      <c r="F267" s="19">
        <f>IFERROR(__xludf.DUMMYFUNCTION("IFERROR(TO_DATE(E267), """")"),42562.51388888889)</f>
        <v>42562.51389</v>
      </c>
      <c r="G267" s="20">
        <f t="shared" si="1"/>
        <v>12</v>
      </c>
      <c r="H267" s="26">
        <v>42562.54861111111</v>
      </c>
      <c r="I267" s="19">
        <f>IFERROR(__xludf.DUMMYFUNCTION("IFERROR(TO_DATE(H267), """")"),42562.54861111111)</f>
        <v>42562.54861</v>
      </c>
      <c r="J267" s="19" t="s">
        <v>10</v>
      </c>
      <c r="K267" s="22">
        <f t="shared" si="2"/>
        <v>0</v>
      </c>
    </row>
    <row r="268">
      <c r="A268" s="18">
        <v>763.0</v>
      </c>
      <c r="B268" s="18" t="s">
        <v>32</v>
      </c>
      <c r="C268" s="18">
        <v>27.0</v>
      </c>
      <c r="D268" s="18" t="s">
        <v>31</v>
      </c>
      <c r="E268" s="26">
        <v>42562.67986111111</v>
      </c>
      <c r="F268" s="19">
        <f>IFERROR(__xludf.DUMMYFUNCTION("IFERROR(TO_DATE(E268), """")"),42562.67986111111)</f>
        <v>42562.67986</v>
      </c>
      <c r="G268" s="20">
        <f t="shared" si="1"/>
        <v>16</v>
      </c>
      <c r="H268" s="26">
        <v>42562.725694444445</v>
      </c>
      <c r="I268" s="19">
        <f>IFERROR(__xludf.DUMMYFUNCTION("IFERROR(TO_DATE(H268), """")"),42562.725694444445)</f>
        <v>42562.72569</v>
      </c>
      <c r="J268" s="19" t="s">
        <v>12</v>
      </c>
      <c r="K268" s="22">
        <f t="shared" si="2"/>
        <v>0</v>
      </c>
    </row>
    <row r="269">
      <c r="A269" s="18">
        <v>1786.0</v>
      </c>
      <c r="B269" s="18" t="s">
        <v>30</v>
      </c>
      <c r="C269" s="18">
        <v>27.0</v>
      </c>
      <c r="D269" s="18" t="s">
        <v>31</v>
      </c>
      <c r="E269" s="26">
        <v>42563.37708333333</v>
      </c>
      <c r="F269" s="19">
        <f>IFERROR(__xludf.DUMMYFUNCTION("IFERROR(TO_DATE(E269), """")"),42563.37708333333)</f>
        <v>42563.37708</v>
      </c>
      <c r="G269" s="20">
        <f t="shared" si="1"/>
        <v>9</v>
      </c>
      <c r="H269" s="26">
        <v>42563.41527777778</v>
      </c>
      <c r="I269" s="19">
        <f>IFERROR(__xludf.DUMMYFUNCTION("IFERROR(TO_DATE(H269), """")"),42563.41527777778)</f>
        <v>42563.41528</v>
      </c>
      <c r="J269" s="19" t="s">
        <v>14</v>
      </c>
      <c r="K269" s="22">
        <f t="shared" si="2"/>
        <v>0</v>
      </c>
    </row>
    <row r="270">
      <c r="A270" s="18">
        <v>1968.0</v>
      </c>
      <c r="B270" s="18" t="s">
        <v>32</v>
      </c>
      <c r="C270" s="18">
        <v>27.0</v>
      </c>
      <c r="D270" s="18" t="s">
        <v>31</v>
      </c>
      <c r="E270" s="26">
        <v>42563.506944444445</v>
      </c>
      <c r="F270" s="19">
        <f>IFERROR(__xludf.DUMMYFUNCTION("IFERROR(TO_DATE(E270), """")"),42563.506944444445)</f>
        <v>42563.50694</v>
      </c>
      <c r="G270" s="20">
        <f t="shared" si="1"/>
        <v>12</v>
      </c>
      <c r="H270" s="26">
        <v>42563.53402777778</v>
      </c>
      <c r="I270" s="19">
        <f>IFERROR(__xludf.DUMMYFUNCTION("IFERROR(TO_DATE(H270), """")"),42563.53402777778)</f>
        <v>42563.53403</v>
      </c>
      <c r="J270" s="19" t="s">
        <v>10</v>
      </c>
      <c r="K270" s="22">
        <f t="shared" si="2"/>
        <v>0</v>
      </c>
    </row>
    <row r="271">
      <c r="A271" s="18">
        <v>2088.0</v>
      </c>
      <c r="B271" s="18" t="s">
        <v>30</v>
      </c>
      <c r="C271" s="18">
        <v>27.0</v>
      </c>
      <c r="D271" s="18" t="s">
        <v>31</v>
      </c>
      <c r="E271" s="26">
        <v>42563.660416666666</v>
      </c>
      <c r="F271" s="19">
        <f>IFERROR(__xludf.DUMMYFUNCTION("IFERROR(TO_DATE(E271), """")"),42563.660416666666)</f>
        <v>42563.66042</v>
      </c>
      <c r="G271" s="20">
        <f t="shared" si="1"/>
        <v>15</v>
      </c>
      <c r="H271" s="26">
        <v>42563.70972222222</v>
      </c>
      <c r="I271" s="19">
        <f>IFERROR(__xludf.DUMMYFUNCTION("IFERROR(TO_DATE(H271), """")"),42563.70972222222)</f>
        <v>42563.70972</v>
      </c>
      <c r="J271" s="19" t="s">
        <v>10</v>
      </c>
      <c r="K271" s="22">
        <f t="shared" si="2"/>
        <v>0</v>
      </c>
    </row>
    <row r="272">
      <c r="A272" s="18">
        <v>2473.0</v>
      </c>
      <c r="B272" s="18" t="s">
        <v>30</v>
      </c>
      <c r="C272" s="18">
        <v>27.0</v>
      </c>
      <c r="D272" s="18" t="s">
        <v>31</v>
      </c>
      <c r="E272" s="26">
        <v>42563.86319444444</v>
      </c>
      <c r="F272" s="19">
        <f>IFERROR(__xludf.DUMMYFUNCTION("IFERROR(TO_DATE(E272), """")"),42563.86319444444)</f>
        <v>42563.86319</v>
      </c>
      <c r="G272" s="20">
        <f t="shared" si="1"/>
        <v>20</v>
      </c>
      <c r="H272" s="26">
        <v>42563.88888888889</v>
      </c>
      <c r="I272" s="19">
        <f>IFERROR(__xludf.DUMMYFUNCTION("IFERROR(TO_DATE(H272), """")"),42563.88888888889)</f>
        <v>42563.88889</v>
      </c>
      <c r="J272" s="19" t="s">
        <v>13</v>
      </c>
      <c r="K272" s="22">
        <f t="shared" si="2"/>
        <v>0</v>
      </c>
    </row>
    <row r="273">
      <c r="A273" s="18">
        <v>2869.0</v>
      </c>
      <c r="B273" s="18" t="s">
        <v>30</v>
      </c>
      <c r="C273" s="18">
        <v>27.0</v>
      </c>
      <c r="D273" s="18" t="s">
        <v>31</v>
      </c>
      <c r="E273" s="27">
        <v>42564.243159722224</v>
      </c>
      <c r="F273" s="19">
        <f>IFERROR(__xludf.DUMMYFUNCTION("IFERROR(TO_DATE(E273), """")"),42564.243159722224)</f>
        <v>42564.24316</v>
      </c>
      <c r="G273" s="20">
        <f t="shared" si="1"/>
        <v>5</v>
      </c>
      <c r="H273" s="27">
        <v>42564.26883101852</v>
      </c>
      <c r="I273" s="19">
        <f>IFERROR(__xludf.DUMMYFUNCTION("IFERROR(TO_DATE(H273), """")"),42564.26883101852)</f>
        <v>42564.26883</v>
      </c>
      <c r="J273" s="19" t="s">
        <v>11</v>
      </c>
      <c r="K273" s="22">
        <f t="shared" si="2"/>
        <v>0</v>
      </c>
    </row>
    <row r="274">
      <c r="A274" s="18">
        <v>3742.0</v>
      </c>
      <c r="B274" s="18" t="s">
        <v>30</v>
      </c>
      <c r="C274" s="18">
        <v>27.0</v>
      </c>
      <c r="D274" s="18" t="s">
        <v>31</v>
      </c>
      <c r="E274" s="27">
        <v>42564.850266203706</v>
      </c>
      <c r="F274" s="19">
        <f>IFERROR(__xludf.DUMMYFUNCTION("IFERROR(TO_DATE(E274), """")"),42564.850266203706)</f>
        <v>42564.85027</v>
      </c>
      <c r="G274" s="20">
        <f t="shared" si="1"/>
        <v>20</v>
      </c>
      <c r="H274" s="27">
        <v>42564.86672453704</v>
      </c>
      <c r="I274" s="19">
        <f>IFERROR(__xludf.DUMMYFUNCTION("IFERROR(TO_DATE(H274), """")"),42564.86672453704)</f>
        <v>42564.86672</v>
      </c>
      <c r="J274" s="19" t="s">
        <v>13</v>
      </c>
      <c r="K274" s="22">
        <f t="shared" si="2"/>
        <v>0</v>
      </c>
    </row>
    <row r="275">
      <c r="A275" s="18">
        <v>4440.0</v>
      </c>
      <c r="B275" s="18" t="s">
        <v>30</v>
      </c>
      <c r="C275" s="18">
        <v>27.0</v>
      </c>
      <c r="D275" s="18" t="s">
        <v>31</v>
      </c>
      <c r="E275" s="27">
        <v>42565.35172453704</v>
      </c>
      <c r="F275" s="19">
        <f>IFERROR(__xludf.DUMMYFUNCTION("IFERROR(TO_DATE(E275), """")"),42565.35172453704)</f>
        <v>42565.35172</v>
      </c>
      <c r="G275" s="20">
        <f t="shared" si="1"/>
        <v>8</v>
      </c>
      <c r="H275" s="27">
        <v>42565.37541666667</v>
      </c>
      <c r="I275" s="19">
        <f>IFERROR(__xludf.DUMMYFUNCTION("IFERROR(TO_DATE(H275), """")"),42565.37541666667)</f>
        <v>42565.37542</v>
      </c>
      <c r="J275" s="19" t="s">
        <v>14</v>
      </c>
      <c r="K275" s="22">
        <f t="shared" si="2"/>
        <v>0</v>
      </c>
    </row>
    <row r="276">
      <c r="A276" s="18">
        <v>5234.0</v>
      </c>
      <c r="B276" s="18" t="s">
        <v>32</v>
      </c>
      <c r="C276" s="18">
        <v>27.0</v>
      </c>
      <c r="D276" s="18" t="s">
        <v>31</v>
      </c>
      <c r="E276" s="27">
        <v>42565.88179398148</v>
      </c>
      <c r="F276" s="19">
        <f>IFERROR(__xludf.DUMMYFUNCTION("IFERROR(TO_DATE(E276), """")"),42565.88179398148)</f>
        <v>42565.88179</v>
      </c>
      <c r="G276" s="20">
        <f t="shared" si="1"/>
        <v>21</v>
      </c>
      <c r="H276" s="27">
        <v>42565.91153935185</v>
      </c>
      <c r="I276" s="19">
        <f>IFERROR(__xludf.DUMMYFUNCTION("IFERROR(TO_DATE(H276), """")"),42565.91153935185)</f>
        <v>42565.91154</v>
      </c>
      <c r="J276" s="19" t="s">
        <v>13</v>
      </c>
      <c r="K276" s="22">
        <f t="shared" si="2"/>
        <v>0</v>
      </c>
    </row>
    <row r="277">
      <c r="A277" s="18">
        <v>6354.0</v>
      </c>
      <c r="B277" s="18" t="s">
        <v>30</v>
      </c>
      <c r="C277" s="18">
        <v>27.0</v>
      </c>
      <c r="D277" s="18" t="s">
        <v>31</v>
      </c>
      <c r="E277" s="27">
        <v>42566.790983796294</v>
      </c>
      <c r="F277" s="19">
        <f>IFERROR(__xludf.DUMMYFUNCTION("IFERROR(TO_DATE(E277), """")"),42566.790983796294)</f>
        <v>42566.79098</v>
      </c>
      <c r="G277" s="20">
        <f t="shared" si="1"/>
        <v>18</v>
      </c>
      <c r="H277" s="27">
        <v>42566.816087962965</v>
      </c>
      <c r="I277" s="19">
        <f>IFERROR(__xludf.DUMMYFUNCTION("IFERROR(TO_DATE(H277), """")"),42566.816087962965)</f>
        <v>42566.81609</v>
      </c>
      <c r="J277" s="19" t="s">
        <v>12</v>
      </c>
      <c r="K277" s="22">
        <f t="shared" si="2"/>
        <v>0</v>
      </c>
    </row>
    <row r="278">
      <c r="A278" s="18">
        <v>6638.0</v>
      </c>
      <c r="B278" s="18" t="s">
        <v>32</v>
      </c>
      <c r="C278" s="18">
        <v>27.0</v>
      </c>
      <c r="D278" s="18" t="s">
        <v>31</v>
      </c>
      <c r="E278" s="27">
        <v>42566.91608796296</v>
      </c>
      <c r="F278" s="19">
        <f>IFERROR(__xludf.DUMMYFUNCTION("IFERROR(TO_DATE(E278), """")"),42566.91608796296)</f>
        <v>42566.91609</v>
      </c>
      <c r="G278" s="20">
        <f t="shared" si="1"/>
        <v>21</v>
      </c>
      <c r="H278" s="27">
        <v>42566.967569444445</v>
      </c>
      <c r="I278" s="19">
        <f>IFERROR(__xludf.DUMMYFUNCTION("IFERROR(TO_DATE(H278), """")"),42566.967569444445)</f>
        <v>42566.96757</v>
      </c>
      <c r="J278" s="19" t="s">
        <v>13</v>
      </c>
      <c r="K278" s="22">
        <f t="shared" si="2"/>
        <v>0</v>
      </c>
    </row>
    <row r="279">
      <c r="A279" s="18">
        <v>84.0</v>
      </c>
      <c r="B279" s="18" t="s">
        <v>32</v>
      </c>
      <c r="C279" s="18">
        <v>28.0</v>
      </c>
      <c r="D279" s="18" t="s">
        <v>31</v>
      </c>
      <c r="E279" s="26">
        <v>42562.20138888889</v>
      </c>
      <c r="F279" s="19">
        <f>IFERROR(__xludf.DUMMYFUNCTION("IFERROR(TO_DATE(E279), """")"),42562.20138888889)</f>
        <v>42562.20139</v>
      </c>
      <c r="G279" s="20">
        <f t="shared" si="1"/>
        <v>4</v>
      </c>
      <c r="H279" s="26">
        <v>42562.22638888889</v>
      </c>
      <c r="I279" s="19">
        <f>IFERROR(__xludf.DUMMYFUNCTION("IFERROR(TO_DATE(H279), """")"),42562.22638888889)</f>
        <v>42562.22639</v>
      </c>
      <c r="J279" s="19" t="s">
        <v>11</v>
      </c>
      <c r="K279" s="22">
        <f t="shared" si="2"/>
        <v>0</v>
      </c>
    </row>
    <row r="280">
      <c r="A280" s="18">
        <v>1199.0</v>
      </c>
      <c r="B280" s="18" t="s">
        <v>32</v>
      </c>
      <c r="C280" s="18">
        <v>28.0</v>
      </c>
      <c r="D280" s="18" t="s">
        <v>31</v>
      </c>
      <c r="E280" s="26">
        <v>42562.88680555556</v>
      </c>
      <c r="F280" s="19">
        <f>IFERROR(__xludf.DUMMYFUNCTION("IFERROR(TO_DATE(E280), """")"),42562.88680555556)</f>
        <v>42562.88681</v>
      </c>
      <c r="G280" s="20">
        <f t="shared" si="1"/>
        <v>21</v>
      </c>
      <c r="H280" s="26">
        <v>42562.91180555556</v>
      </c>
      <c r="I280" s="19">
        <f>IFERROR(__xludf.DUMMYFUNCTION("IFERROR(TO_DATE(H280), """")"),42562.91180555556)</f>
        <v>42562.91181</v>
      </c>
      <c r="J280" s="19" t="s">
        <v>13</v>
      </c>
      <c r="K280" s="22">
        <f t="shared" si="2"/>
        <v>0</v>
      </c>
    </row>
    <row r="281">
      <c r="A281" s="18">
        <v>1676.0</v>
      </c>
      <c r="B281" s="18" t="s">
        <v>30</v>
      </c>
      <c r="C281" s="18">
        <v>28.0</v>
      </c>
      <c r="D281" s="18" t="s">
        <v>31</v>
      </c>
      <c r="E281" s="26">
        <v>42563.322222222225</v>
      </c>
      <c r="F281" s="19">
        <f>IFERROR(__xludf.DUMMYFUNCTION("IFERROR(TO_DATE(E281), """")"),42563.322222222225)</f>
        <v>42563.32222</v>
      </c>
      <c r="G281" s="20">
        <f t="shared" si="1"/>
        <v>7</v>
      </c>
      <c r="H281" s="26">
        <v>42563.36111111111</v>
      </c>
      <c r="I281" s="19">
        <f>IFERROR(__xludf.DUMMYFUNCTION("IFERROR(TO_DATE(H281), """")"),42563.36111111111)</f>
        <v>42563.36111</v>
      </c>
      <c r="J281" s="19" t="s">
        <v>11</v>
      </c>
      <c r="K281" s="22">
        <f t="shared" si="2"/>
        <v>0</v>
      </c>
    </row>
    <row r="282">
      <c r="A282" s="18">
        <v>2774.0</v>
      </c>
      <c r="B282" s="18" t="s">
        <v>32</v>
      </c>
      <c r="C282" s="18">
        <v>28.0</v>
      </c>
      <c r="D282" s="18" t="s">
        <v>31</v>
      </c>
      <c r="E282" s="27">
        <v>42564.19002314815</v>
      </c>
      <c r="F282" s="19">
        <f>IFERROR(__xludf.DUMMYFUNCTION("IFERROR(TO_DATE(E282), """")"),42564.19002314815)</f>
        <v>42564.19002</v>
      </c>
      <c r="G282" s="20">
        <f t="shared" si="1"/>
        <v>4</v>
      </c>
      <c r="H282" s="27">
        <v>42564.217986111114</v>
      </c>
      <c r="I282" s="19">
        <f>IFERROR(__xludf.DUMMYFUNCTION("IFERROR(TO_DATE(H282), """")"),42564.217986111114)</f>
        <v>42564.21799</v>
      </c>
      <c r="J282" s="19" t="s">
        <v>11</v>
      </c>
      <c r="K282" s="22">
        <f t="shared" si="2"/>
        <v>0</v>
      </c>
    </row>
    <row r="283">
      <c r="A283" s="18">
        <v>3220.0</v>
      </c>
      <c r="B283" s="18" t="s">
        <v>30</v>
      </c>
      <c r="C283" s="18">
        <v>28.0</v>
      </c>
      <c r="D283" s="18" t="s">
        <v>31</v>
      </c>
      <c r="E283" s="27">
        <v>42564.410891203705</v>
      </c>
      <c r="F283" s="19">
        <f>IFERROR(__xludf.DUMMYFUNCTION("IFERROR(TO_DATE(E283), """")"),42564.410891203705)</f>
        <v>42564.41089</v>
      </c>
      <c r="G283" s="20">
        <f t="shared" si="1"/>
        <v>9</v>
      </c>
      <c r="H283" s="27">
        <v>42564.43378472222</v>
      </c>
      <c r="I283" s="19">
        <f>IFERROR(__xludf.DUMMYFUNCTION("IFERROR(TO_DATE(H283), """")"),42564.43378472222)</f>
        <v>42564.43378</v>
      </c>
      <c r="J283" s="19" t="s">
        <v>14</v>
      </c>
      <c r="K283" s="22">
        <f t="shared" si="2"/>
        <v>0</v>
      </c>
    </row>
    <row r="284">
      <c r="A284" s="18">
        <v>3718.0</v>
      </c>
      <c r="B284" s="18" t="s">
        <v>30</v>
      </c>
      <c r="C284" s="18">
        <v>28.0</v>
      </c>
      <c r="D284" s="18" t="s">
        <v>31</v>
      </c>
      <c r="E284" s="27">
        <v>42564.83078703703</v>
      </c>
      <c r="F284" s="19">
        <f>IFERROR(__xludf.DUMMYFUNCTION("IFERROR(TO_DATE(E284), """")"),42564.83078703703)</f>
        <v>42564.83079</v>
      </c>
      <c r="G284" s="20">
        <f t="shared" si="1"/>
        <v>19</v>
      </c>
      <c r="H284" s="27">
        <v>42564.86616898148</v>
      </c>
      <c r="I284" s="19">
        <f>IFERROR(__xludf.DUMMYFUNCTION("IFERROR(TO_DATE(H284), """")"),42564.86616898148)</f>
        <v>42564.86617</v>
      </c>
      <c r="J284" s="19" t="s">
        <v>12</v>
      </c>
      <c r="K284" s="22">
        <f t="shared" si="2"/>
        <v>0</v>
      </c>
    </row>
    <row r="285">
      <c r="A285" s="18">
        <v>4904.0</v>
      </c>
      <c r="B285" s="18" t="s">
        <v>30</v>
      </c>
      <c r="C285" s="18">
        <v>28.0</v>
      </c>
      <c r="D285" s="18" t="s">
        <v>31</v>
      </c>
      <c r="E285" s="27">
        <v>42565.751655092594</v>
      </c>
      <c r="F285" s="19">
        <f>IFERROR(__xludf.DUMMYFUNCTION("IFERROR(TO_DATE(E285), """")"),42565.751655092594)</f>
        <v>42565.75166</v>
      </c>
      <c r="G285" s="20">
        <f t="shared" si="1"/>
        <v>18</v>
      </c>
      <c r="H285" s="27">
        <v>42565.79084490741</v>
      </c>
      <c r="I285" s="19">
        <f>IFERROR(__xludf.DUMMYFUNCTION("IFERROR(TO_DATE(H285), """")"),42565.79084490741)</f>
        <v>42565.79084</v>
      </c>
      <c r="J285" s="19" t="s">
        <v>12</v>
      </c>
      <c r="K285" s="22">
        <f t="shared" si="2"/>
        <v>0</v>
      </c>
    </row>
    <row r="286">
      <c r="A286" s="18">
        <v>6527.0</v>
      </c>
      <c r="B286" s="18" t="s">
        <v>30</v>
      </c>
      <c r="C286" s="18">
        <v>28.0</v>
      </c>
      <c r="D286" s="18" t="s">
        <v>31</v>
      </c>
      <c r="E286" s="27">
        <v>42566.870844907404</v>
      </c>
      <c r="F286" s="19">
        <f>IFERROR(__xludf.DUMMYFUNCTION("IFERROR(TO_DATE(E286), """")"),42566.870844907404)</f>
        <v>42566.87084</v>
      </c>
      <c r="G286" s="20">
        <f t="shared" si="1"/>
        <v>20</v>
      </c>
      <c r="H286" s="27">
        <v>42566.912141203706</v>
      </c>
      <c r="I286" s="19">
        <f>IFERROR(__xludf.DUMMYFUNCTION("IFERROR(TO_DATE(H286), """")"),42566.912141203706)</f>
        <v>42566.91214</v>
      </c>
      <c r="J286" s="19" t="s">
        <v>13</v>
      </c>
      <c r="K286" s="22">
        <f t="shared" si="2"/>
        <v>0</v>
      </c>
    </row>
    <row r="287">
      <c r="A287" s="18">
        <v>6710.0</v>
      </c>
      <c r="B287" s="18" t="s">
        <v>32</v>
      </c>
      <c r="C287" s="18">
        <v>28.0</v>
      </c>
      <c r="D287" s="18" t="s">
        <v>31</v>
      </c>
      <c r="E287" s="27">
        <v>42566.96013888889</v>
      </c>
      <c r="F287" s="19">
        <f>IFERROR(__xludf.DUMMYFUNCTION("IFERROR(TO_DATE(E287), """")"),42566.96013888889)</f>
        <v>42566.96014</v>
      </c>
      <c r="G287" s="20">
        <f t="shared" si="1"/>
        <v>23</v>
      </c>
      <c r="H287" s="27">
        <v>42567.008472222224</v>
      </c>
      <c r="I287" s="19">
        <f>IFERROR(__xludf.DUMMYFUNCTION("IFERROR(TO_DATE(H287), """")"),42567.008472222224)</f>
        <v>42567.00847</v>
      </c>
      <c r="J287" s="19" t="s">
        <v>13</v>
      </c>
      <c r="K287" s="22">
        <f t="shared" si="2"/>
        <v>0</v>
      </c>
    </row>
    <row r="288">
      <c r="A288" s="18">
        <v>1584.0</v>
      </c>
      <c r="B288" s="18" t="s">
        <v>30</v>
      </c>
      <c r="C288" s="18">
        <v>29.0</v>
      </c>
      <c r="D288" s="18" t="s">
        <v>31</v>
      </c>
      <c r="E288" s="26">
        <v>42563.268055555556</v>
      </c>
      <c r="F288" s="19">
        <f>IFERROR(__xludf.DUMMYFUNCTION("IFERROR(TO_DATE(E288), """")"),42563.268055555556)</f>
        <v>42563.26806</v>
      </c>
      <c r="G288" s="20">
        <f t="shared" si="1"/>
        <v>6</v>
      </c>
      <c r="H288" s="26">
        <v>42563.30416666667</v>
      </c>
      <c r="I288" s="19">
        <f>IFERROR(__xludf.DUMMYFUNCTION("IFERROR(TO_DATE(H288), """")"),42563.30416666667)</f>
        <v>42563.30417</v>
      </c>
      <c r="J288" s="19" t="s">
        <v>11</v>
      </c>
      <c r="K288" s="22">
        <f t="shared" si="2"/>
        <v>0</v>
      </c>
    </row>
    <row r="289">
      <c r="A289" s="18">
        <v>1966.0</v>
      </c>
      <c r="B289" s="18" t="s">
        <v>30</v>
      </c>
      <c r="C289" s="18">
        <v>29.0</v>
      </c>
      <c r="D289" s="18" t="s">
        <v>31</v>
      </c>
      <c r="E289" s="26">
        <v>42563.50347222222</v>
      </c>
      <c r="F289" s="19">
        <f>IFERROR(__xludf.DUMMYFUNCTION("IFERROR(TO_DATE(E289), """")"),42563.50347222222)</f>
        <v>42563.50347</v>
      </c>
      <c r="G289" s="20">
        <f t="shared" si="1"/>
        <v>12</v>
      </c>
      <c r="H289" s="26">
        <v>42563.55</v>
      </c>
      <c r="I289" s="19">
        <f>IFERROR(__xludf.DUMMYFUNCTION("IFERROR(TO_DATE(H289), """")"),42563.55)</f>
        <v>42563.55</v>
      </c>
      <c r="J289" s="19" t="s">
        <v>10</v>
      </c>
      <c r="K289" s="22">
        <f t="shared" si="2"/>
        <v>0</v>
      </c>
    </row>
    <row r="290">
      <c r="A290" s="18">
        <v>2827.0</v>
      </c>
      <c r="B290" s="18" t="s">
        <v>32</v>
      </c>
      <c r="C290" s="18">
        <v>29.0</v>
      </c>
      <c r="D290" s="18" t="s">
        <v>31</v>
      </c>
      <c r="E290" s="27">
        <v>42564.22119212963</v>
      </c>
      <c r="F290" s="19">
        <f>IFERROR(__xludf.DUMMYFUNCTION("IFERROR(TO_DATE(E290), """")"),42564.22119212963)</f>
        <v>42564.22119</v>
      </c>
      <c r="G290" s="20">
        <f t="shared" si="1"/>
        <v>5</v>
      </c>
      <c r="H290" s="27">
        <v>42564.26275462963</v>
      </c>
      <c r="I290" s="19">
        <f>IFERROR(__xludf.DUMMYFUNCTION("IFERROR(TO_DATE(H290), """")"),42564.26275462963)</f>
        <v>42564.26275</v>
      </c>
      <c r="J290" s="19" t="s">
        <v>11</v>
      </c>
      <c r="K290" s="22">
        <f t="shared" si="2"/>
        <v>0</v>
      </c>
    </row>
    <row r="291">
      <c r="A291" s="18">
        <v>2945.0</v>
      </c>
      <c r="B291" s="18" t="s">
        <v>30</v>
      </c>
      <c r="C291" s="18">
        <v>29.0</v>
      </c>
      <c r="D291" s="18" t="s">
        <v>31</v>
      </c>
      <c r="E291" s="27">
        <v>42564.27376157408</v>
      </c>
      <c r="F291" s="19">
        <f>IFERROR(__xludf.DUMMYFUNCTION("IFERROR(TO_DATE(E291), """")"),42564.27376157408)</f>
        <v>42564.27376</v>
      </c>
      <c r="G291" s="20">
        <f t="shared" si="1"/>
        <v>6</v>
      </c>
      <c r="H291" s="27">
        <v>42564.31116898148</v>
      </c>
      <c r="I291" s="19">
        <f>IFERROR(__xludf.DUMMYFUNCTION("IFERROR(TO_DATE(H291), """")"),42564.31116898148)</f>
        <v>42564.31117</v>
      </c>
      <c r="J291" s="19" t="s">
        <v>11</v>
      </c>
      <c r="K291" s="22">
        <f t="shared" si="2"/>
        <v>0</v>
      </c>
    </row>
    <row r="292">
      <c r="A292" s="18">
        <v>3365.0</v>
      </c>
      <c r="B292" s="18" t="s">
        <v>32</v>
      </c>
      <c r="C292" s="18">
        <v>29.0</v>
      </c>
      <c r="D292" s="18" t="s">
        <v>31</v>
      </c>
      <c r="E292" s="27">
        <v>42564.574467592596</v>
      </c>
      <c r="F292" s="19">
        <f>IFERROR(__xludf.DUMMYFUNCTION("IFERROR(TO_DATE(E292), """")"),42564.574467592596)</f>
        <v>42564.57447</v>
      </c>
      <c r="G292" s="20">
        <f t="shared" si="1"/>
        <v>13</v>
      </c>
      <c r="H292" s="27">
        <v>42564.61934027778</v>
      </c>
      <c r="I292" s="19">
        <f>IFERROR(__xludf.DUMMYFUNCTION("IFERROR(TO_DATE(H292), """")"),42564.61934027778)</f>
        <v>42564.61934</v>
      </c>
      <c r="J292" s="19" t="s">
        <v>10</v>
      </c>
      <c r="K292" s="22">
        <f t="shared" si="2"/>
        <v>0</v>
      </c>
    </row>
    <row r="293">
      <c r="A293" s="18">
        <v>3548.0</v>
      </c>
      <c r="B293" s="18" t="s">
        <v>30</v>
      </c>
      <c r="C293" s="18">
        <v>29.0</v>
      </c>
      <c r="D293" s="18" t="s">
        <v>31</v>
      </c>
      <c r="E293" s="27">
        <v>42564.75534722222</v>
      </c>
      <c r="F293" s="19">
        <f>IFERROR(__xludf.DUMMYFUNCTION("IFERROR(TO_DATE(E293), """")"),42564.75534722222)</f>
        <v>42564.75535</v>
      </c>
      <c r="G293" s="20">
        <f t="shared" si="1"/>
        <v>18</v>
      </c>
      <c r="H293" s="27">
        <v>42564.80025462963</v>
      </c>
      <c r="I293" s="19">
        <f>IFERROR(__xludf.DUMMYFUNCTION("IFERROR(TO_DATE(H293), """")"),42564.80025462963)</f>
        <v>42564.80025</v>
      </c>
      <c r="J293" s="19" t="s">
        <v>12</v>
      </c>
      <c r="K293" s="22">
        <f t="shared" si="2"/>
        <v>0</v>
      </c>
    </row>
    <row r="294">
      <c r="A294" s="18">
        <v>3753.0</v>
      </c>
      <c r="B294" s="18" t="s">
        <v>32</v>
      </c>
      <c r="C294" s="18">
        <v>29.0</v>
      </c>
      <c r="D294" s="18" t="s">
        <v>31</v>
      </c>
      <c r="E294" s="27">
        <v>42564.85425925926</v>
      </c>
      <c r="F294" s="19">
        <f>IFERROR(__xludf.DUMMYFUNCTION("IFERROR(TO_DATE(E294), """")"),42564.85425925926)</f>
        <v>42564.85426</v>
      </c>
      <c r="G294" s="20">
        <f t="shared" si="1"/>
        <v>20</v>
      </c>
      <c r="H294" s="27">
        <v>42564.90453703704</v>
      </c>
      <c r="I294" s="19">
        <f>IFERROR(__xludf.DUMMYFUNCTION("IFERROR(TO_DATE(H294), """")"),42564.90453703704)</f>
        <v>42564.90454</v>
      </c>
      <c r="J294" s="19" t="s">
        <v>13</v>
      </c>
      <c r="K294" s="22">
        <f t="shared" si="2"/>
        <v>0</v>
      </c>
    </row>
    <row r="295">
      <c r="A295" s="18">
        <v>4569.0</v>
      </c>
      <c r="B295" s="18" t="s">
        <v>30</v>
      </c>
      <c r="C295" s="18">
        <v>29.0</v>
      </c>
      <c r="D295" s="18" t="s">
        <v>31</v>
      </c>
      <c r="E295" s="27">
        <v>42565.408530092594</v>
      </c>
      <c r="F295" s="19">
        <f>IFERROR(__xludf.DUMMYFUNCTION("IFERROR(TO_DATE(E295), """")"),42565.408530092594)</f>
        <v>42565.40853</v>
      </c>
      <c r="G295" s="20">
        <f t="shared" si="1"/>
        <v>9</v>
      </c>
      <c r="H295" s="27">
        <v>42565.451145833336</v>
      </c>
      <c r="I295" s="19">
        <f>IFERROR(__xludf.DUMMYFUNCTION("IFERROR(TO_DATE(H295), """")"),42565.451145833336)</f>
        <v>42565.45115</v>
      </c>
      <c r="J295" s="19" t="s">
        <v>14</v>
      </c>
      <c r="K295" s="22">
        <f t="shared" si="2"/>
        <v>0</v>
      </c>
    </row>
    <row r="296">
      <c r="A296" s="18">
        <v>6309.0</v>
      </c>
      <c r="B296" s="18" t="s">
        <v>30</v>
      </c>
      <c r="C296" s="18">
        <v>29.0</v>
      </c>
      <c r="D296" s="18" t="s">
        <v>31</v>
      </c>
      <c r="E296" s="27">
        <v>42566.77076388889</v>
      </c>
      <c r="F296" s="19">
        <f>IFERROR(__xludf.DUMMYFUNCTION("IFERROR(TO_DATE(E296), """")"),42566.77076388889)</f>
        <v>42566.77076</v>
      </c>
      <c r="G296" s="20">
        <f t="shared" si="1"/>
        <v>18</v>
      </c>
      <c r="H296" s="27">
        <v>42566.821076388886</v>
      </c>
      <c r="I296" s="19">
        <f>IFERROR(__xludf.DUMMYFUNCTION("IFERROR(TO_DATE(H296), """")"),42566.821076388886)</f>
        <v>42566.82108</v>
      </c>
      <c r="J296" s="19" t="s">
        <v>12</v>
      </c>
      <c r="K296" s="22">
        <f t="shared" si="2"/>
        <v>0</v>
      </c>
    </row>
    <row r="297">
      <c r="A297" s="18">
        <v>6437.0</v>
      </c>
      <c r="B297" s="18" t="s">
        <v>32</v>
      </c>
      <c r="C297" s="18">
        <v>29.0</v>
      </c>
      <c r="D297" s="18" t="s">
        <v>31</v>
      </c>
      <c r="E297" s="27">
        <v>42566.82907407408</v>
      </c>
      <c r="F297" s="19">
        <f>IFERROR(__xludf.DUMMYFUNCTION("IFERROR(TO_DATE(E297), """")"),42566.82907407408)</f>
        <v>42566.82907</v>
      </c>
      <c r="G297" s="20">
        <f t="shared" si="1"/>
        <v>19</v>
      </c>
      <c r="H297" s="27">
        <v>42566.85175925926</v>
      </c>
      <c r="I297" s="19">
        <f>IFERROR(__xludf.DUMMYFUNCTION("IFERROR(TO_DATE(H297), """")"),42566.85175925926)</f>
        <v>42566.85176</v>
      </c>
      <c r="J297" s="19" t="s">
        <v>12</v>
      </c>
      <c r="K297" s="22">
        <f t="shared" si="2"/>
        <v>0</v>
      </c>
    </row>
    <row r="298">
      <c r="A298" s="18">
        <v>517.0</v>
      </c>
      <c r="B298" s="18" t="s">
        <v>30</v>
      </c>
      <c r="C298" s="18">
        <v>30.0</v>
      </c>
      <c r="D298" s="18" t="s">
        <v>31</v>
      </c>
      <c r="E298" s="26">
        <v>42562.40625</v>
      </c>
      <c r="F298" s="19">
        <f>IFERROR(__xludf.DUMMYFUNCTION("IFERROR(TO_DATE(E298), """")"),42562.40625)</f>
        <v>42562.40625</v>
      </c>
      <c r="G298" s="20">
        <f t="shared" si="1"/>
        <v>9</v>
      </c>
      <c r="H298" s="26">
        <v>42562.433333333334</v>
      </c>
      <c r="I298" s="19">
        <f>IFERROR(__xludf.DUMMYFUNCTION("IFERROR(TO_DATE(H298), """")"),42562.433333333334)</f>
        <v>42562.43333</v>
      </c>
      <c r="J298" s="19" t="s">
        <v>14</v>
      </c>
      <c r="K298" s="22">
        <f t="shared" si="2"/>
        <v>0</v>
      </c>
    </row>
    <row r="299">
      <c r="A299" s="18">
        <v>1406.0</v>
      </c>
      <c r="B299" s="18" t="s">
        <v>30</v>
      </c>
      <c r="C299" s="18">
        <v>30.0</v>
      </c>
      <c r="D299" s="18" t="s">
        <v>31</v>
      </c>
      <c r="E299" s="26">
        <v>42563.126388888886</v>
      </c>
      <c r="F299" s="19">
        <f>IFERROR(__xludf.DUMMYFUNCTION("IFERROR(TO_DATE(E299), """")"),42563.126388888886)</f>
        <v>42563.12639</v>
      </c>
      <c r="G299" s="20">
        <f t="shared" si="1"/>
        <v>3</v>
      </c>
      <c r="H299" s="26">
        <v>42563.163194444445</v>
      </c>
      <c r="I299" s="19">
        <f>IFERROR(__xludf.DUMMYFUNCTION("IFERROR(TO_DATE(H299), """")"),42563.163194444445)</f>
        <v>42563.16319</v>
      </c>
      <c r="J299" s="19" t="s">
        <v>15</v>
      </c>
      <c r="K299" s="22">
        <f t="shared" si="2"/>
        <v>0</v>
      </c>
    </row>
    <row r="300">
      <c r="A300" s="18">
        <v>1643.0</v>
      </c>
      <c r="B300" s="18" t="s">
        <v>30</v>
      </c>
      <c r="C300" s="18">
        <v>30.0</v>
      </c>
      <c r="D300" s="18" t="s">
        <v>31</v>
      </c>
      <c r="E300" s="26">
        <v>42563.30416666667</v>
      </c>
      <c r="F300" s="19">
        <f>IFERROR(__xludf.DUMMYFUNCTION("IFERROR(TO_DATE(E300), """")"),42563.30416666667)</f>
        <v>42563.30417</v>
      </c>
      <c r="G300" s="20">
        <f t="shared" si="1"/>
        <v>7</v>
      </c>
      <c r="H300" s="26">
        <v>42563.34027777778</v>
      </c>
      <c r="I300" s="19">
        <f>IFERROR(__xludf.DUMMYFUNCTION("IFERROR(TO_DATE(H300), """")"),42563.34027777778)</f>
        <v>42563.34028</v>
      </c>
      <c r="J300" s="19" t="s">
        <v>11</v>
      </c>
      <c r="K300" s="22">
        <f t="shared" si="2"/>
        <v>0</v>
      </c>
    </row>
    <row r="301">
      <c r="A301" s="18">
        <v>2108.0</v>
      </c>
      <c r="B301" s="18" t="s">
        <v>30</v>
      </c>
      <c r="C301" s="18">
        <v>30.0</v>
      </c>
      <c r="D301" s="18" t="s">
        <v>31</v>
      </c>
      <c r="E301" s="26">
        <v>42563.67638888889</v>
      </c>
      <c r="F301" s="19">
        <f>IFERROR(__xludf.DUMMYFUNCTION("IFERROR(TO_DATE(E301), """")"),42563.67638888889)</f>
        <v>42563.67639</v>
      </c>
      <c r="G301" s="20">
        <f t="shared" si="1"/>
        <v>16</v>
      </c>
      <c r="H301" s="26">
        <v>42563.7</v>
      </c>
      <c r="I301" s="19">
        <f>IFERROR(__xludf.DUMMYFUNCTION("IFERROR(TO_DATE(H301), """")"),42563.7)</f>
        <v>42563.7</v>
      </c>
      <c r="J301" s="19" t="s">
        <v>12</v>
      </c>
      <c r="K301" s="22">
        <f t="shared" si="2"/>
        <v>0</v>
      </c>
    </row>
    <row r="302">
      <c r="A302" s="18">
        <v>2647.0</v>
      </c>
      <c r="B302" s="18" t="s">
        <v>32</v>
      </c>
      <c r="C302" s="18">
        <v>30.0</v>
      </c>
      <c r="D302" s="18" t="s">
        <v>31</v>
      </c>
      <c r="E302" s="26">
        <v>42563.94861111111</v>
      </c>
      <c r="F302" s="19">
        <f>IFERROR(__xludf.DUMMYFUNCTION("IFERROR(TO_DATE(E302), """")"),42563.94861111111)</f>
        <v>42563.94861</v>
      </c>
      <c r="G302" s="20">
        <f t="shared" si="1"/>
        <v>22</v>
      </c>
      <c r="H302" s="26">
        <v>42563.97083333333</v>
      </c>
      <c r="I302" s="19">
        <f>IFERROR(__xludf.DUMMYFUNCTION("IFERROR(TO_DATE(H302), """")"),42563.97083333333)</f>
        <v>42563.97083</v>
      </c>
      <c r="J302" s="19" t="s">
        <v>13</v>
      </c>
      <c r="K302" s="22">
        <f t="shared" si="2"/>
        <v>0</v>
      </c>
    </row>
    <row r="303">
      <c r="A303" s="18">
        <v>3129.0</v>
      </c>
      <c r="B303" s="18" t="s">
        <v>32</v>
      </c>
      <c r="C303" s="18">
        <v>30.0</v>
      </c>
      <c r="D303" s="18" t="s">
        <v>31</v>
      </c>
      <c r="E303" s="27">
        <v>42564.36237268519</v>
      </c>
      <c r="F303" s="19">
        <f>IFERROR(__xludf.DUMMYFUNCTION("IFERROR(TO_DATE(E303), """")"),42564.36237268519)</f>
        <v>42564.36237</v>
      </c>
      <c r="G303" s="20">
        <f t="shared" si="1"/>
        <v>8</v>
      </c>
      <c r="H303" s="27">
        <v>42564.403958333336</v>
      </c>
      <c r="I303" s="19">
        <f>IFERROR(__xludf.DUMMYFUNCTION("IFERROR(TO_DATE(H303), """")"),42564.403958333336)</f>
        <v>42564.40396</v>
      </c>
      <c r="J303" s="19" t="s">
        <v>14</v>
      </c>
      <c r="K303" s="22">
        <f t="shared" si="2"/>
        <v>0</v>
      </c>
    </row>
    <row r="304">
      <c r="A304" s="18">
        <v>3738.0</v>
      </c>
      <c r="B304" s="18" t="s">
        <v>30</v>
      </c>
      <c r="C304" s="18">
        <v>30.0</v>
      </c>
      <c r="D304" s="18" t="s">
        <v>31</v>
      </c>
      <c r="E304" s="27">
        <v>42564.844375</v>
      </c>
      <c r="F304" s="19">
        <f>IFERROR(__xludf.DUMMYFUNCTION("IFERROR(TO_DATE(E304), """")"),42564.844375)</f>
        <v>42564.84438</v>
      </c>
      <c r="G304" s="20">
        <f t="shared" si="1"/>
        <v>20</v>
      </c>
      <c r="H304" s="27">
        <v>42564.87153935185</v>
      </c>
      <c r="I304" s="19">
        <f>IFERROR(__xludf.DUMMYFUNCTION("IFERROR(TO_DATE(H304), """")"),42564.87153935185)</f>
        <v>42564.87154</v>
      </c>
      <c r="J304" s="19" t="s">
        <v>13</v>
      </c>
      <c r="K304" s="22">
        <f t="shared" si="2"/>
        <v>0</v>
      </c>
    </row>
    <row r="305">
      <c r="A305" s="18">
        <v>4422.0</v>
      </c>
      <c r="B305" s="18" t="s">
        <v>30</v>
      </c>
      <c r="C305" s="18">
        <v>30.0</v>
      </c>
      <c r="D305" s="18" t="s">
        <v>31</v>
      </c>
      <c r="E305" s="27">
        <v>42565.34253472222</v>
      </c>
      <c r="F305" s="19">
        <f>IFERROR(__xludf.DUMMYFUNCTION("IFERROR(TO_DATE(E305), """")"),42565.34253472222)</f>
        <v>42565.34253</v>
      </c>
      <c r="G305" s="20">
        <f t="shared" si="1"/>
        <v>8</v>
      </c>
      <c r="H305" s="27">
        <v>42565.38414351852</v>
      </c>
      <c r="I305" s="19">
        <f>IFERROR(__xludf.DUMMYFUNCTION("IFERROR(TO_DATE(H305), """")"),42565.38414351852)</f>
        <v>42565.38414</v>
      </c>
      <c r="J305" s="19" t="s">
        <v>14</v>
      </c>
      <c r="K305" s="22">
        <f t="shared" si="2"/>
        <v>0</v>
      </c>
    </row>
    <row r="306">
      <c r="A306" s="18">
        <v>4790.0</v>
      </c>
      <c r="B306" s="18" t="s">
        <v>32</v>
      </c>
      <c r="C306" s="18">
        <v>30.0</v>
      </c>
      <c r="D306" s="18" t="s">
        <v>31</v>
      </c>
      <c r="E306" s="27">
        <v>42565.6971412037</v>
      </c>
      <c r="F306" s="19">
        <f>IFERROR(__xludf.DUMMYFUNCTION("IFERROR(TO_DATE(E306), """")"),42565.6971412037)</f>
        <v>42565.69714</v>
      </c>
      <c r="G306" s="20">
        <f t="shared" si="1"/>
        <v>16</v>
      </c>
      <c r="H306" s="27">
        <v>42565.74731481481</v>
      </c>
      <c r="I306" s="19">
        <f>IFERROR(__xludf.DUMMYFUNCTION("IFERROR(TO_DATE(H306), """")"),42565.74731481481)</f>
        <v>42565.74731</v>
      </c>
      <c r="J306" s="19" t="s">
        <v>12</v>
      </c>
      <c r="K306" s="22">
        <f t="shared" si="2"/>
        <v>0</v>
      </c>
    </row>
    <row r="307">
      <c r="A307" s="18">
        <v>5496.0</v>
      </c>
      <c r="B307" s="18" t="s">
        <v>32</v>
      </c>
      <c r="C307" s="18">
        <v>30.0</v>
      </c>
      <c r="D307" s="18" t="s">
        <v>31</v>
      </c>
      <c r="E307" s="27">
        <v>42566.20831018518</v>
      </c>
      <c r="F307" s="19">
        <f>IFERROR(__xludf.DUMMYFUNCTION("IFERROR(TO_DATE(E307), """")"),42566.20831018518)</f>
        <v>42566.20831</v>
      </c>
      <c r="G307" s="20">
        <f t="shared" si="1"/>
        <v>4</v>
      </c>
      <c r="H307" s="27">
        <v>42566.23204861111</v>
      </c>
      <c r="I307" s="19">
        <f>IFERROR(__xludf.DUMMYFUNCTION("IFERROR(TO_DATE(H307), """")"),42566.23204861111)</f>
        <v>42566.23205</v>
      </c>
      <c r="J307" s="19" t="s">
        <v>11</v>
      </c>
      <c r="K307" s="22">
        <f t="shared" si="2"/>
        <v>0</v>
      </c>
    </row>
    <row r="308">
      <c r="A308" s="18">
        <v>6484.0</v>
      </c>
      <c r="B308" s="18" t="s">
        <v>30</v>
      </c>
      <c r="C308" s="18">
        <v>30.0</v>
      </c>
      <c r="D308" s="18" t="s">
        <v>31</v>
      </c>
      <c r="E308" s="27">
        <v>42566.84704861111</v>
      </c>
      <c r="F308" s="19">
        <f>IFERROR(__xludf.DUMMYFUNCTION("IFERROR(TO_DATE(E308), """")"),42566.84704861111)</f>
        <v>42566.84705</v>
      </c>
      <c r="G308" s="20">
        <f t="shared" si="1"/>
        <v>20</v>
      </c>
      <c r="H308" s="27">
        <v>42566.8759375</v>
      </c>
      <c r="I308" s="19">
        <f>IFERROR(__xludf.DUMMYFUNCTION("IFERROR(TO_DATE(H308), """")"),42566.8759375)</f>
        <v>42566.87594</v>
      </c>
      <c r="J308" s="19" t="s">
        <v>13</v>
      </c>
      <c r="K308" s="22">
        <f t="shared" si="2"/>
        <v>0</v>
      </c>
    </row>
    <row r="309">
      <c r="A309" s="18">
        <v>6731.0</v>
      </c>
      <c r="B309" s="18" t="s">
        <v>30</v>
      </c>
      <c r="C309" s="18">
        <v>30.0</v>
      </c>
      <c r="D309" s="18" t="s">
        <v>31</v>
      </c>
      <c r="E309" s="27">
        <v>42566.97494212963</v>
      </c>
      <c r="F309" s="19">
        <f>IFERROR(__xludf.DUMMYFUNCTION("IFERROR(TO_DATE(E309), """")"),42566.97494212963)</f>
        <v>42566.97494</v>
      </c>
      <c r="G309" s="20">
        <f t="shared" si="1"/>
        <v>23</v>
      </c>
      <c r="H309" s="27">
        <v>42567.00827546296</v>
      </c>
      <c r="I309" s="19">
        <f>IFERROR(__xludf.DUMMYFUNCTION("IFERROR(TO_DATE(H309), """")"),42567.00827546296)</f>
        <v>42567.00828</v>
      </c>
      <c r="J309" s="19" t="s">
        <v>13</v>
      </c>
      <c r="K309" s="22">
        <f t="shared" si="2"/>
        <v>0</v>
      </c>
    </row>
    <row r="310">
      <c r="A310" s="18">
        <v>629.0</v>
      </c>
      <c r="B310" s="18" t="s">
        <v>30</v>
      </c>
      <c r="C310" s="18">
        <v>31.0</v>
      </c>
      <c r="D310" s="18" t="s">
        <v>31</v>
      </c>
      <c r="E310" s="26">
        <v>42562.509722222225</v>
      </c>
      <c r="F310" s="19">
        <f>IFERROR(__xludf.DUMMYFUNCTION("IFERROR(TO_DATE(E310), """")"),42562.509722222225)</f>
        <v>42562.50972</v>
      </c>
      <c r="G310" s="20">
        <f t="shared" si="1"/>
        <v>12</v>
      </c>
      <c r="H310" s="26">
        <v>42562.541666666664</v>
      </c>
      <c r="I310" s="19">
        <f>IFERROR(__xludf.DUMMYFUNCTION("IFERROR(TO_DATE(H310), """")"),42562.541666666664)</f>
        <v>42562.54167</v>
      </c>
      <c r="J310" s="19" t="s">
        <v>10</v>
      </c>
      <c r="K310" s="22">
        <f t="shared" si="2"/>
        <v>0</v>
      </c>
    </row>
    <row r="311">
      <c r="A311" s="18">
        <v>745.0</v>
      </c>
      <c r="B311" s="18" t="s">
        <v>30</v>
      </c>
      <c r="C311" s="18">
        <v>31.0</v>
      </c>
      <c r="D311" s="18" t="s">
        <v>31</v>
      </c>
      <c r="E311" s="26">
        <v>42562.65833333333</v>
      </c>
      <c r="F311" s="19">
        <f>IFERROR(__xludf.DUMMYFUNCTION("IFERROR(TO_DATE(E311), """")"),42562.65833333333)</f>
        <v>42562.65833</v>
      </c>
      <c r="G311" s="20">
        <f t="shared" si="1"/>
        <v>15</v>
      </c>
      <c r="H311" s="26">
        <v>42562.697916666664</v>
      </c>
      <c r="I311" s="19">
        <f>IFERROR(__xludf.DUMMYFUNCTION("IFERROR(TO_DATE(H311), """")"),42562.697916666664)</f>
        <v>42562.69792</v>
      </c>
      <c r="J311" s="19" t="s">
        <v>10</v>
      </c>
      <c r="K311" s="22">
        <f t="shared" si="2"/>
        <v>0</v>
      </c>
    </row>
    <row r="312">
      <c r="A312" s="18">
        <v>1064.0</v>
      </c>
      <c r="B312" s="18" t="s">
        <v>32</v>
      </c>
      <c r="C312" s="18">
        <v>31.0</v>
      </c>
      <c r="D312" s="18" t="s">
        <v>31</v>
      </c>
      <c r="E312" s="26">
        <v>42562.82847222222</v>
      </c>
      <c r="F312" s="19">
        <f>IFERROR(__xludf.DUMMYFUNCTION("IFERROR(TO_DATE(E312), """")"),42562.82847222222)</f>
        <v>42562.82847</v>
      </c>
      <c r="G312" s="20">
        <f t="shared" si="1"/>
        <v>19</v>
      </c>
      <c r="H312" s="26">
        <v>42562.85486111111</v>
      </c>
      <c r="I312" s="19">
        <f>IFERROR(__xludf.DUMMYFUNCTION("IFERROR(TO_DATE(H312), """")"),42562.85486111111)</f>
        <v>42562.85486</v>
      </c>
      <c r="J312" s="19" t="s">
        <v>12</v>
      </c>
      <c r="K312" s="22">
        <f t="shared" si="2"/>
        <v>0</v>
      </c>
    </row>
    <row r="313">
      <c r="A313" s="18">
        <v>1886.0</v>
      </c>
      <c r="B313" s="18" t="s">
        <v>30</v>
      </c>
      <c r="C313" s="18">
        <v>31.0</v>
      </c>
      <c r="D313" s="18" t="s">
        <v>31</v>
      </c>
      <c r="E313" s="26">
        <v>42563.42361111111</v>
      </c>
      <c r="F313" s="19">
        <f>IFERROR(__xludf.DUMMYFUNCTION("IFERROR(TO_DATE(E313), """")"),42563.42361111111)</f>
        <v>42563.42361</v>
      </c>
      <c r="G313" s="20">
        <f t="shared" si="1"/>
        <v>10</v>
      </c>
      <c r="H313" s="26">
        <v>42563.44097222222</v>
      </c>
      <c r="I313" s="19">
        <f>IFERROR(__xludf.DUMMYFUNCTION("IFERROR(TO_DATE(H313), """")"),42563.44097222222)</f>
        <v>42563.44097</v>
      </c>
      <c r="J313" s="19" t="s">
        <v>14</v>
      </c>
      <c r="K313" s="22">
        <f t="shared" si="2"/>
        <v>0</v>
      </c>
    </row>
    <row r="314">
      <c r="A314" s="18">
        <v>5608.0</v>
      </c>
      <c r="B314" s="18" t="s">
        <v>30</v>
      </c>
      <c r="C314" s="18">
        <v>31.0</v>
      </c>
      <c r="D314" s="18" t="s">
        <v>31</v>
      </c>
      <c r="E314" s="27">
        <v>42566.26291666667</v>
      </c>
      <c r="F314" s="19">
        <f>IFERROR(__xludf.DUMMYFUNCTION("IFERROR(TO_DATE(E314), """")"),42566.26291666667)</f>
        <v>42566.26292</v>
      </c>
      <c r="G314" s="20">
        <f t="shared" si="1"/>
        <v>6</v>
      </c>
      <c r="H314" s="27">
        <v>42566.2969212963</v>
      </c>
      <c r="I314" s="19">
        <f>IFERROR(__xludf.DUMMYFUNCTION("IFERROR(TO_DATE(H314), """")"),42566.2969212963)</f>
        <v>42566.29692</v>
      </c>
      <c r="J314" s="19" t="s">
        <v>11</v>
      </c>
      <c r="K314" s="22">
        <f t="shared" si="2"/>
        <v>0</v>
      </c>
    </row>
    <row r="315">
      <c r="A315" s="18">
        <v>5877.0</v>
      </c>
      <c r="B315" s="18" t="s">
        <v>32</v>
      </c>
      <c r="C315" s="18">
        <v>31.0</v>
      </c>
      <c r="D315" s="18" t="s">
        <v>31</v>
      </c>
      <c r="E315" s="27">
        <v>42566.4009375</v>
      </c>
      <c r="F315" s="19">
        <f>IFERROR(__xludf.DUMMYFUNCTION("IFERROR(TO_DATE(E315), """")"),42566.4009375)</f>
        <v>42566.40094</v>
      </c>
      <c r="G315" s="20">
        <f t="shared" si="1"/>
        <v>9</v>
      </c>
      <c r="H315" s="27">
        <v>42566.42225694445</v>
      </c>
      <c r="I315" s="19">
        <f>IFERROR(__xludf.DUMMYFUNCTION("IFERROR(TO_DATE(H315), """")"),42566.42225694445)</f>
        <v>42566.42226</v>
      </c>
      <c r="J315" s="19" t="s">
        <v>14</v>
      </c>
      <c r="K315" s="22">
        <f t="shared" si="2"/>
        <v>0</v>
      </c>
    </row>
    <row r="316">
      <c r="A316" s="18">
        <v>6100.0</v>
      </c>
      <c r="B316" s="18" t="s">
        <v>30</v>
      </c>
      <c r="C316" s="18">
        <v>31.0</v>
      </c>
      <c r="D316" s="18" t="s">
        <v>31</v>
      </c>
      <c r="E316" s="27">
        <v>42566.61425925926</v>
      </c>
      <c r="F316" s="19">
        <f>IFERROR(__xludf.DUMMYFUNCTION("IFERROR(TO_DATE(E316), """")"),42566.61425925926)</f>
        <v>42566.61426</v>
      </c>
      <c r="G316" s="20">
        <f t="shared" si="1"/>
        <v>14</v>
      </c>
      <c r="H316" s="27">
        <v>42566.65361111111</v>
      </c>
      <c r="I316" s="19">
        <f>IFERROR(__xludf.DUMMYFUNCTION("IFERROR(TO_DATE(H316), """")"),42566.65361111111)</f>
        <v>42566.65361</v>
      </c>
      <c r="J316" s="19" t="s">
        <v>10</v>
      </c>
      <c r="K316" s="22">
        <f t="shared" si="2"/>
        <v>0</v>
      </c>
    </row>
    <row r="317">
      <c r="A317" s="18">
        <v>6659.0</v>
      </c>
      <c r="B317" s="18" t="s">
        <v>30</v>
      </c>
      <c r="C317" s="18">
        <v>31.0</v>
      </c>
      <c r="D317" s="18" t="s">
        <v>31</v>
      </c>
      <c r="E317" s="27">
        <v>42566.92760416667</v>
      </c>
      <c r="F317" s="19">
        <f>IFERROR(__xludf.DUMMYFUNCTION("IFERROR(TO_DATE(E317), """")"),42566.92760416667)</f>
        <v>42566.9276</v>
      </c>
      <c r="G317" s="20">
        <f t="shared" si="1"/>
        <v>22</v>
      </c>
      <c r="H317" s="27">
        <v>42566.96377314815</v>
      </c>
      <c r="I317" s="19">
        <f>IFERROR(__xludf.DUMMYFUNCTION("IFERROR(TO_DATE(H317), """")"),42566.96377314815)</f>
        <v>42566.96377</v>
      </c>
      <c r="J317" s="19" t="s">
        <v>13</v>
      </c>
      <c r="K317" s="22">
        <f t="shared" si="2"/>
        <v>0</v>
      </c>
    </row>
    <row r="318">
      <c r="A318" s="18">
        <v>2162.0</v>
      </c>
      <c r="B318" s="18" t="s">
        <v>30</v>
      </c>
      <c r="C318" s="18">
        <v>32.0</v>
      </c>
      <c r="D318" s="18" t="s">
        <v>31</v>
      </c>
      <c r="E318" s="26">
        <v>42563.731944444444</v>
      </c>
      <c r="F318" s="19">
        <f>IFERROR(__xludf.DUMMYFUNCTION("IFERROR(TO_DATE(E318), """")"),42563.731944444444)</f>
        <v>42563.73194</v>
      </c>
      <c r="G318" s="20">
        <f t="shared" si="1"/>
        <v>17</v>
      </c>
      <c r="H318" s="26">
        <v>42563.77291666667</v>
      </c>
      <c r="I318" s="19">
        <f>IFERROR(__xludf.DUMMYFUNCTION("IFERROR(TO_DATE(H318), """")"),42563.77291666667)</f>
        <v>42563.77292</v>
      </c>
      <c r="J318" s="19" t="s">
        <v>12</v>
      </c>
      <c r="K318" s="22">
        <f t="shared" si="2"/>
        <v>0</v>
      </c>
    </row>
    <row r="319">
      <c r="A319" s="18">
        <v>3294.0</v>
      </c>
      <c r="B319" s="18" t="s">
        <v>30</v>
      </c>
      <c r="C319" s="18">
        <v>32.0</v>
      </c>
      <c r="D319" s="18" t="s">
        <v>31</v>
      </c>
      <c r="E319" s="27">
        <v>42564.47472222222</v>
      </c>
      <c r="F319" s="19">
        <f>IFERROR(__xludf.DUMMYFUNCTION("IFERROR(TO_DATE(E319), """")"),42564.47472222222)</f>
        <v>42564.47472</v>
      </c>
      <c r="G319" s="20">
        <f t="shared" si="1"/>
        <v>11</v>
      </c>
      <c r="H319" s="27">
        <v>42564.509791666664</v>
      </c>
      <c r="I319" s="19">
        <f>IFERROR(__xludf.DUMMYFUNCTION("IFERROR(TO_DATE(H319), """")"),42564.509791666664)</f>
        <v>42564.50979</v>
      </c>
      <c r="J319" s="19" t="s">
        <v>14</v>
      </c>
      <c r="K319" s="22">
        <f t="shared" si="2"/>
        <v>0</v>
      </c>
    </row>
    <row r="320">
      <c r="A320" s="18">
        <v>3686.0</v>
      </c>
      <c r="B320" s="18" t="s">
        <v>32</v>
      </c>
      <c r="C320" s="18">
        <v>32.0</v>
      </c>
      <c r="D320" s="18" t="s">
        <v>31</v>
      </c>
      <c r="E320" s="27">
        <v>42564.814791666664</v>
      </c>
      <c r="F320" s="19">
        <f>IFERROR(__xludf.DUMMYFUNCTION("IFERROR(TO_DATE(E320), """")"),42564.814791666664)</f>
        <v>42564.81479</v>
      </c>
      <c r="G320" s="20">
        <f t="shared" si="1"/>
        <v>19</v>
      </c>
      <c r="H320" s="27">
        <v>42564.8571875</v>
      </c>
      <c r="I320" s="19">
        <f>IFERROR(__xludf.DUMMYFUNCTION("IFERROR(TO_DATE(H320), """")"),42564.8571875)</f>
        <v>42564.85719</v>
      </c>
      <c r="J320" s="19" t="s">
        <v>12</v>
      </c>
      <c r="K320" s="22">
        <f t="shared" si="2"/>
        <v>0</v>
      </c>
    </row>
    <row r="321">
      <c r="A321" s="18">
        <v>4784.0</v>
      </c>
      <c r="B321" s="18" t="s">
        <v>32</v>
      </c>
      <c r="C321" s="18">
        <v>32.0</v>
      </c>
      <c r="D321" s="18" t="s">
        <v>31</v>
      </c>
      <c r="E321" s="27">
        <v>42565.69574074074</v>
      </c>
      <c r="F321" s="19">
        <f>IFERROR(__xludf.DUMMYFUNCTION("IFERROR(TO_DATE(E321), """")"),42565.69574074074)</f>
        <v>42565.69574</v>
      </c>
      <c r="G321" s="20">
        <f t="shared" si="1"/>
        <v>16</v>
      </c>
      <c r="H321" s="27">
        <v>42565.71876157408</v>
      </c>
      <c r="I321" s="19">
        <f>IFERROR(__xludf.DUMMYFUNCTION("IFERROR(TO_DATE(H321), """")"),42565.71876157408)</f>
        <v>42565.71876</v>
      </c>
      <c r="J321" s="19" t="s">
        <v>12</v>
      </c>
      <c r="K321" s="22">
        <f t="shared" si="2"/>
        <v>0</v>
      </c>
    </row>
    <row r="322">
      <c r="A322" s="18">
        <v>5896.0</v>
      </c>
      <c r="B322" s="18" t="s">
        <v>32</v>
      </c>
      <c r="C322" s="18">
        <v>32.0</v>
      </c>
      <c r="D322" s="18" t="s">
        <v>31</v>
      </c>
      <c r="E322" s="27">
        <v>42566.4077662037</v>
      </c>
      <c r="F322" s="19">
        <f>IFERROR(__xludf.DUMMYFUNCTION("IFERROR(TO_DATE(E322), """")"),42566.4077662037)</f>
        <v>42566.40777</v>
      </c>
      <c r="G322" s="20">
        <f t="shared" si="1"/>
        <v>9</v>
      </c>
      <c r="H322" s="27">
        <v>42566.439363425925</v>
      </c>
      <c r="I322" s="19">
        <f>IFERROR(__xludf.DUMMYFUNCTION("IFERROR(TO_DATE(H322), """")"),42566.439363425925)</f>
        <v>42566.43936</v>
      </c>
      <c r="J322" s="19" t="s">
        <v>14</v>
      </c>
      <c r="K322" s="22">
        <f t="shared" si="2"/>
        <v>0</v>
      </c>
    </row>
    <row r="323">
      <c r="A323" s="18">
        <v>6190.0</v>
      </c>
      <c r="B323" s="18" t="s">
        <v>32</v>
      </c>
      <c r="C323" s="18">
        <v>32.0</v>
      </c>
      <c r="D323" s="18" t="s">
        <v>31</v>
      </c>
      <c r="E323" s="27">
        <v>42566.71635416667</v>
      </c>
      <c r="F323" s="19">
        <f>IFERROR(__xludf.DUMMYFUNCTION("IFERROR(TO_DATE(E323), """")"),42566.71635416667)</f>
        <v>42566.71635</v>
      </c>
      <c r="G323" s="20">
        <f t="shared" si="1"/>
        <v>17</v>
      </c>
      <c r="H323" s="27">
        <v>42566.74710648148</v>
      </c>
      <c r="I323" s="19">
        <f>IFERROR(__xludf.DUMMYFUNCTION("IFERROR(TO_DATE(H323), """")"),42566.74710648148)</f>
        <v>42566.74711</v>
      </c>
      <c r="J323" s="19" t="s">
        <v>12</v>
      </c>
      <c r="K323" s="22">
        <f t="shared" si="2"/>
        <v>0</v>
      </c>
    </row>
    <row r="324">
      <c r="A324" s="18">
        <v>6551.0</v>
      </c>
      <c r="B324" s="18" t="s">
        <v>32</v>
      </c>
      <c r="C324" s="18">
        <v>32.0</v>
      </c>
      <c r="D324" s="18" t="s">
        <v>31</v>
      </c>
      <c r="E324" s="27">
        <v>42566.87710648148</v>
      </c>
      <c r="F324" s="19">
        <f>IFERROR(__xludf.DUMMYFUNCTION("IFERROR(TO_DATE(E324), """")"),42566.87710648148)</f>
        <v>42566.87711</v>
      </c>
      <c r="G324" s="20">
        <f t="shared" si="1"/>
        <v>21</v>
      </c>
      <c r="H324" s="27">
        <v>42566.92872685185</v>
      </c>
      <c r="I324" s="19">
        <f>IFERROR(__xludf.DUMMYFUNCTION("IFERROR(TO_DATE(H324), """")"),42566.92872685185)</f>
        <v>42566.92873</v>
      </c>
      <c r="J324" s="19" t="s">
        <v>13</v>
      </c>
      <c r="K324" s="22">
        <f t="shared" si="2"/>
        <v>0</v>
      </c>
    </row>
    <row r="325">
      <c r="A325" s="18">
        <v>145.0</v>
      </c>
      <c r="B325" s="18" t="s">
        <v>32</v>
      </c>
      <c r="C325" s="18">
        <v>33.0</v>
      </c>
      <c r="D325" s="18" t="s">
        <v>31</v>
      </c>
      <c r="E325" s="26">
        <v>42562.23055555556</v>
      </c>
      <c r="F325" s="19">
        <f>IFERROR(__xludf.DUMMYFUNCTION("IFERROR(TO_DATE(E325), """")"),42562.23055555556)</f>
        <v>42562.23056</v>
      </c>
      <c r="G325" s="20">
        <f t="shared" si="1"/>
        <v>5</v>
      </c>
      <c r="H325" s="26">
        <v>42562.27569444444</v>
      </c>
      <c r="I325" s="19">
        <f>IFERROR(__xludf.DUMMYFUNCTION("IFERROR(TO_DATE(H325), """")"),42562.27569444444)</f>
        <v>42562.27569</v>
      </c>
      <c r="J325" s="19" t="s">
        <v>11</v>
      </c>
      <c r="K325" s="22">
        <f t="shared" si="2"/>
        <v>0</v>
      </c>
    </row>
    <row r="326">
      <c r="A326" s="18">
        <v>735.0</v>
      </c>
      <c r="B326" s="18" t="s">
        <v>32</v>
      </c>
      <c r="C326" s="18">
        <v>33.0</v>
      </c>
      <c r="D326" s="18" t="s">
        <v>31</v>
      </c>
      <c r="E326" s="26">
        <v>42562.64375</v>
      </c>
      <c r="F326" s="19">
        <f>IFERROR(__xludf.DUMMYFUNCTION("IFERROR(TO_DATE(E326), """")"),42562.64375)</f>
        <v>42562.64375</v>
      </c>
      <c r="G326" s="20">
        <f t="shared" si="1"/>
        <v>15</v>
      </c>
      <c r="H326" s="26">
        <v>42562.688888888886</v>
      </c>
      <c r="I326" s="19">
        <f>IFERROR(__xludf.DUMMYFUNCTION("IFERROR(TO_DATE(H326), """")"),42562.688888888886)</f>
        <v>42562.68889</v>
      </c>
      <c r="J326" s="19" t="s">
        <v>10</v>
      </c>
      <c r="K326" s="22">
        <f t="shared" si="2"/>
        <v>0</v>
      </c>
    </row>
    <row r="327">
      <c r="A327" s="18">
        <v>918.0</v>
      </c>
      <c r="B327" s="18" t="s">
        <v>30</v>
      </c>
      <c r="C327" s="18">
        <v>33.0</v>
      </c>
      <c r="D327" s="18" t="s">
        <v>31</v>
      </c>
      <c r="E327" s="26">
        <v>42562.76527777778</v>
      </c>
      <c r="F327" s="19">
        <f>IFERROR(__xludf.DUMMYFUNCTION("IFERROR(TO_DATE(E327), """")"),42562.76527777778)</f>
        <v>42562.76528</v>
      </c>
      <c r="G327" s="20">
        <f t="shared" si="1"/>
        <v>18</v>
      </c>
      <c r="H327" s="26">
        <v>42562.794444444444</v>
      </c>
      <c r="I327" s="19">
        <f>IFERROR(__xludf.DUMMYFUNCTION("IFERROR(TO_DATE(H327), """")"),42562.794444444444)</f>
        <v>42562.79444</v>
      </c>
      <c r="J327" s="19" t="s">
        <v>12</v>
      </c>
      <c r="K327" s="22">
        <f t="shared" si="2"/>
        <v>0</v>
      </c>
    </row>
    <row r="328">
      <c r="A328" s="18">
        <v>1478.0</v>
      </c>
      <c r="B328" s="18" t="s">
        <v>32</v>
      </c>
      <c r="C328" s="18">
        <v>33.0</v>
      </c>
      <c r="D328" s="18" t="s">
        <v>31</v>
      </c>
      <c r="E328" s="26">
        <v>42563.21944444445</v>
      </c>
      <c r="F328" s="19">
        <f>IFERROR(__xludf.DUMMYFUNCTION("IFERROR(TO_DATE(E328), """")"),42563.21944444445)</f>
        <v>42563.21944</v>
      </c>
      <c r="G328" s="20">
        <f t="shared" si="1"/>
        <v>5</v>
      </c>
      <c r="H328" s="26">
        <v>42563.25902777778</v>
      </c>
      <c r="I328" s="19">
        <f>IFERROR(__xludf.DUMMYFUNCTION("IFERROR(TO_DATE(H328), """")"),42563.25902777778)</f>
        <v>42563.25903</v>
      </c>
      <c r="J328" s="19" t="s">
        <v>11</v>
      </c>
      <c r="K328" s="22">
        <f t="shared" si="2"/>
        <v>0</v>
      </c>
    </row>
    <row r="329">
      <c r="A329" s="18">
        <v>1957.0</v>
      </c>
      <c r="B329" s="18" t="s">
        <v>32</v>
      </c>
      <c r="C329" s="18">
        <v>33.0</v>
      </c>
      <c r="D329" s="18" t="s">
        <v>31</v>
      </c>
      <c r="E329" s="26">
        <v>42563.489583333336</v>
      </c>
      <c r="F329" s="19">
        <f>IFERROR(__xludf.DUMMYFUNCTION("IFERROR(TO_DATE(E329), """")"),42563.489583333336)</f>
        <v>42563.48958</v>
      </c>
      <c r="G329" s="20">
        <f t="shared" si="1"/>
        <v>11</v>
      </c>
      <c r="H329" s="26">
        <v>42563.538194444445</v>
      </c>
      <c r="I329" s="19">
        <f>IFERROR(__xludf.DUMMYFUNCTION("IFERROR(TO_DATE(H329), """")"),42563.538194444445)</f>
        <v>42563.53819</v>
      </c>
      <c r="J329" s="19" t="s">
        <v>14</v>
      </c>
      <c r="K329" s="22">
        <f t="shared" si="2"/>
        <v>0</v>
      </c>
    </row>
    <row r="330">
      <c r="A330" s="18">
        <v>3097.0</v>
      </c>
      <c r="B330" s="18" t="s">
        <v>32</v>
      </c>
      <c r="C330" s="18">
        <v>33.0</v>
      </c>
      <c r="D330" s="18" t="s">
        <v>31</v>
      </c>
      <c r="E330" s="27">
        <v>42564.344143518516</v>
      </c>
      <c r="F330" s="19">
        <f>IFERROR(__xludf.DUMMYFUNCTION("IFERROR(TO_DATE(E330), """")"),42564.344143518516)</f>
        <v>42564.34414</v>
      </c>
      <c r="G330" s="20">
        <f t="shared" si="1"/>
        <v>8</v>
      </c>
      <c r="H330" s="27">
        <v>42564.383993055555</v>
      </c>
      <c r="I330" s="19">
        <f>IFERROR(__xludf.DUMMYFUNCTION("IFERROR(TO_DATE(H330), """")"),42564.383993055555)</f>
        <v>42564.38399</v>
      </c>
      <c r="J330" s="19" t="s">
        <v>14</v>
      </c>
      <c r="K330" s="22">
        <f t="shared" si="2"/>
        <v>0</v>
      </c>
    </row>
    <row r="331">
      <c r="A331" s="18">
        <v>3981.0</v>
      </c>
      <c r="B331" s="18" t="s">
        <v>30</v>
      </c>
      <c r="C331" s="18">
        <v>33.0</v>
      </c>
      <c r="D331" s="18" t="s">
        <v>31</v>
      </c>
      <c r="E331" s="27">
        <v>42564.967986111114</v>
      </c>
      <c r="F331" s="19">
        <f>IFERROR(__xludf.DUMMYFUNCTION("IFERROR(TO_DATE(E331), """")"),42564.967986111114)</f>
        <v>42564.96799</v>
      </c>
      <c r="G331" s="20">
        <f t="shared" si="1"/>
        <v>23</v>
      </c>
      <c r="H331" s="27">
        <v>42564.98515046296</v>
      </c>
      <c r="I331" s="19">
        <f>IFERROR(__xludf.DUMMYFUNCTION("IFERROR(TO_DATE(H331), """")"),42564.98515046296)</f>
        <v>42564.98515</v>
      </c>
      <c r="J331" s="19" t="s">
        <v>13</v>
      </c>
      <c r="K331" s="22">
        <f t="shared" si="2"/>
        <v>0</v>
      </c>
    </row>
    <row r="332">
      <c r="A332" s="18">
        <v>4175.0</v>
      </c>
      <c r="B332" s="18" t="s">
        <v>32</v>
      </c>
      <c r="C332" s="18">
        <v>33.0</v>
      </c>
      <c r="D332" s="18" t="s">
        <v>31</v>
      </c>
      <c r="E332" s="27">
        <v>42565.216145833336</v>
      </c>
      <c r="F332" s="19">
        <f>IFERROR(__xludf.DUMMYFUNCTION("IFERROR(TO_DATE(E332), """")"),42565.216145833336)</f>
        <v>42565.21615</v>
      </c>
      <c r="G332" s="20">
        <f t="shared" si="1"/>
        <v>5</v>
      </c>
      <c r="H332" s="27">
        <v>42565.26069444444</v>
      </c>
      <c r="I332" s="19">
        <f>IFERROR(__xludf.DUMMYFUNCTION("IFERROR(TO_DATE(H332), """")"),42565.26069444444)</f>
        <v>42565.26069</v>
      </c>
      <c r="J332" s="19" t="s">
        <v>11</v>
      </c>
      <c r="K332" s="22">
        <f t="shared" si="2"/>
        <v>0</v>
      </c>
    </row>
    <row r="333">
      <c r="A333" s="18">
        <v>6237.0</v>
      </c>
      <c r="B333" s="18" t="s">
        <v>32</v>
      </c>
      <c r="C333" s="18">
        <v>33.0</v>
      </c>
      <c r="D333" s="18" t="s">
        <v>31</v>
      </c>
      <c r="E333" s="27">
        <v>42566.743483796294</v>
      </c>
      <c r="F333" s="19">
        <f>IFERROR(__xludf.DUMMYFUNCTION("IFERROR(TO_DATE(E333), """")"),42566.743483796294)</f>
        <v>42566.74348</v>
      </c>
      <c r="G333" s="20">
        <f t="shared" si="1"/>
        <v>17</v>
      </c>
      <c r="H333" s="27">
        <v>42566.784363425926</v>
      </c>
      <c r="I333" s="19">
        <f>IFERROR(__xludf.DUMMYFUNCTION("IFERROR(TO_DATE(H333), """")"),42566.784363425926)</f>
        <v>42566.78436</v>
      </c>
      <c r="J333" s="19" t="s">
        <v>12</v>
      </c>
      <c r="K333" s="22">
        <f t="shared" si="2"/>
        <v>0</v>
      </c>
    </row>
    <row r="334">
      <c r="A334" s="18">
        <v>738.0</v>
      </c>
      <c r="B334" s="18" t="s">
        <v>32</v>
      </c>
      <c r="C334" s="18">
        <v>34.0</v>
      </c>
      <c r="D334" s="18" t="s">
        <v>31</v>
      </c>
      <c r="E334" s="26">
        <v>42562.645833333336</v>
      </c>
      <c r="F334" s="19">
        <f>IFERROR(__xludf.DUMMYFUNCTION("IFERROR(TO_DATE(E334), """")"),42562.645833333336)</f>
        <v>42562.64583</v>
      </c>
      <c r="G334" s="20">
        <f t="shared" si="1"/>
        <v>15</v>
      </c>
      <c r="H334" s="26">
        <v>42562.697222222225</v>
      </c>
      <c r="I334" s="19">
        <f>IFERROR(__xludf.DUMMYFUNCTION("IFERROR(TO_DATE(H334), """")"),42562.697222222225)</f>
        <v>42562.69722</v>
      </c>
      <c r="J334" s="19" t="s">
        <v>10</v>
      </c>
      <c r="K334" s="22">
        <f t="shared" si="2"/>
        <v>0</v>
      </c>
    </row>
    <row r="335">
      <c r="A335" s="18">
        <v>2731.0</v>
      </c>
      <c r="B335" s="18" t="s">
        <v>32</v>
      </c>
      <c r="C335" s="18">
        <v>34.0</v>
      </c>
      <c r="D335" s="18" t="s">
        <v>31</v>
      </c>
      <c r="E335" s="27">
        <v>42564.11027777778</v>
      </c>
      <c r="F335" s="19">
        <f>IFERROR(__xludf.DUMMYFUNCTION("IFERROR(TO_DATE(E335), """")"),42564.11027777778)</f>
        <v>42564.11028</v>
      </c>
      <c r="G335" s="20">
        <f t="shared" si="1"/>
        <v>2</v>
      </c>
      <c r="H335" s="27">
        <v>42564.13675925926</v>
      </c>
      <c r="I335" s="19">
        <f>IFERROR(__xludf.DUMMYFUNCTION("IFERROR(TO_DATE(H335), """")"),42564.13675925926)</f>
        <v>42564.13676</v>
      </c>
      <c r="J335" s="19" t="s">
        <v>15</v>
      </c>
      <c r="K335" s="22">
        <f t="shared" si="2"/>
        <v>0</v>
      </c>
    </row>
    <row r="336">
      <c r="A336" s="18">
        <v>2863.0</v>
      </c>
      <c r="B336" s="18" t="s">
        <v>30</v>
      </c>
      <c r="C336" s="18">
        <v>34.0</v>
      </c>
      <c r="D336" s="18" t="s">
        <v>31</v>
      </c>
      <c r="E336" s="27">
        <v>42564.24076388889</v>
      </c>
      <c r="F336" s="19">
        <f>IFERROR(__xludf.DUMMYFUNCTION("IFERROR(TO_DATE(E336), """")"),42564.24076388889)</f>
        <v>42564.24076</v>
      </c>
      <c r="G336" s="20">
        <f t="shared" si="1"/>
        <v>5</v>
      </c>
      <c r="H336" s="27">
        <v>42564.26572916667</v>
      </c>
      <c r="I336" s="19">
        <f>IFERROR(__xludf.DUMMYFUNCTION("IFERROR(TO_DATE(H336), """")"),42564.26572916667)</f>
        <v>42564.26573</v>
      </c>
      <c r="J336" s="19" t="s">
        <v>11</v>
      </c>
      <c r="K336" s="22">
        <f t="shared" si="2"/>
        <v>0</v>
      </c>
    </row>
    <row r="337">
      <c r="A337" s="18">
        <v>3528.0</v>
      </c>
      <c r="B337" s="18" t="s">
        <v>30</v>
      </c>
      <c r="C337" s="18">
        <v>34.0</v>
      </c>
      <c r="D337" s="18" t="s">
        <v>31</v>
      </c>
      <c r="E337" s="27">
        <v>42564.743738425925</v>
      </c>
      <c r="F337" s="19">
        <f>IFERROR(__xludf.DUMMYFUNCTION("IFERROR(TO_DATE(E337), """")"),42564.743738425925)</f>
        <v>42564.74374</v>
      </c>
      <c r="G337" s="20">
        <f t="shared" si="1"/>
        <v>17</v>
      </c>
      <c r="H337" s="27">
        <v>42564.762083333335</v>
      </c>
      <c r="I337" s="19">
        <f>IFERROR(__xludf.DUMMYFUNCTION("IFERROR(TO_DATE(H337), """")"),42564.762083333335)</f>
        <v>42564.76208</v>
      </c>
      <c r="J337" s="19" t="s">
        <v>12</v>
      </c>
      <c r="K337" s="22">
        <f t="shared" si="2"/>
        <v>0</v>
      </c>
    </row>
    <row r="338">
      <c r="A338" s="18">
        <v>4653.0</v>
      </c>
      <c r="B338" s="18" t="s">
        <v>32</v>
      </c>
      <c r="C338" s="18">
        <v>34.0</v>
      </c>
      <c r="D338" s="18" t="s">
        <v>31</v>
      </c>
      <c r="E338" s="27">
        <v>42565.49914351852</v>
      </c>
      <c r="F338" s="19">
        <f>IFERROR(__xludf.DUMMYFUNCTION("IFERROR(TO_DATE(E338), """")"),42565.49914351852)</f>
        <v>42565.49914</v>
      </c>
      <c r="G338" s="20">
        <f t="shared" si="1"/>
        <v>11</v>
      </c>
      <c r="H338" s="27">
        <v>42565.5384375</v>
      </c>
      <c r="I338" s="19">
        <f>IFERROR(__xludf.DUMMYFUNCTION("IFERROR(TO_DATE(H338), """")"),42565.5384375)</f>
        <v>42565.53844</v>
      </c>
      <c r="J338" s="19" t="s">
        <v>14</v>
      </c>
      <c r="K338" s="22">
        <f t="shared" si="2"/>
        <v>0</v>
      </c>
    </row>
    <row r="339">
      <c r="A339" s="18">
        <v>5042.0</v>
      </c>
      <c r="B339" s="18" t="s">
        <v>32</v>
      </c>
      <c r="C339" s="18">
        <v>34.0</v>
      </c>
      <c r="D339" s="18" t="s">
        <v>31</v>
      </c>
      <c r="E339" s="27">
        <v>42565.806435185186</v>
      </c>
      <c r="F339" s="19">
        <f>IFERROR(__xludf.DUMMYFUNCTION("IFERROR(TO_DATE(E339), """")"),42565.806435185186)</f>
        <v>42565.80644</v>
      </c>
      <c r="G339" s="20">
        <f t="shared" si="1"/>
        <v>19</v>
      </c>
      <c r="H339" s="27">
        <v>42565.83688657408</v>
      </c>
      <c r="I339" s="19">
        <f>IFERROR(__xludf.DUMMYFUNCTION("IFERROR(TO_DATE(H339), """")"),42565.83688657408)</f>
        <v>42565.83689</v>
      </c>
      <c r="J339" s="19" t="s">
        <v>12</v>
      </c>
      <c r="K339" s="22">
        <f t="shared" si="2"/>
        <v>0</v>
      </c>
    </row>
    <row r="340">
      <c r="A340" s="18">
        <v>360.0</v>
      </c>
      <c r="B340" s="18" t="s">
        <v>30</v>
      </c>
      <c r="C340" s="18">
        <v>35.0</v>
      </c>
      <c r="D340" s="18" t="s">
        <v>31</v>
      </c>
      <c r="E340" s="26">
        <v>42562.33472222222</v>
      </c>
      <c r="F340" s="19">
        <f>IFERROR(__xludf.DUMMYFUNCTION("IFERROR(TO_DATE(E340), """")"),42562.33472222222)</f>
        <v>42562.33472</v>
      </c>
      <c r="G340" s="20">
        <f t="shared" si="1"/>
        <v>8</v>
      </c>
      <c r="H340" s="26">
        <v>42562.37847222222</v>
      </c>
      <c r="I340" s="19">
        <f>IFERROR(__xludf.DUMMYFUNCTION("IFERROR(TO_DATE(H340), """")"),42562.37847222222)</f>
        <v>42562.37847</v>
      </c>
      <c r="J340" s="19" t="s">
        <v>14</v>
      </c>
      <c r="K340" s="22">
        <f t="shared" si="2"/>
        <v>0</v>
      </c>
    </row>
    <row r="341">
      <c r="A341" s="18">
        <v>771.0</v>
      </c>
      <c r="B341" s="18" t="s">
        <v>30</v>
      </c>
      <c r="C341" s="18">
        <v>35.0</v>
      </c>
      <c r="D341" s="18" t="s">
        <v>31</v>
      </c>
      <c r="E341" s="26">
        <v>42562.67986111111</v>
      </c>
      <c r="F341" s="19">
        <f>IFERROR(__xludf.DUMMYFUNCTION("IFERROR(TO_DATE(E341), """")"),42562.67986111111)</f>
        <v>42562.67986</v>
      </c>
      <c r="G341" s="20">
        <f t="shared" si="1"/>
        <v>16</v>
      </c>
      <c r="H341" s="26">
        <v>42562.731944444444</v>
      </c>
      <c r="I341" s="19">
        <f>IFERROR(__xludf.DUMMYFUNCTION("IFERROR(TO_DATE(H341), """")"),42562.731944444444)</f>
        <v>42562.73194</v>
      </c>
      <c r="J341" s="19" t="s">
        <v>12</v>
      </c>
      <c r="K341" s="22">
        <f t="shared" si="2"/>
        <v>0</v>
      </c>
    </row>
    <row r="342">
      <c r="A342" s="18">
        <v>1274.0</v>
      </c>
      <c r="B342" s="18" t="s">
        <v>32</v>
      </c>
      <c r="C342" s="18">
        <v>35.0</v>
      </c>
      <c r="D342" s="18" t="s">
        <v>31</v>
      </c>
      <c r="E342" s="26">
        <v>42562.91736111111</v>
      </c>
      <c r="F342" s="19">
        <f>IFERROR(__xludf.DUMMYFUNCTION("IFERROR(TO_DATE(E342), """")"),42562.91736111111)</f>
        <v>42562.91736</v>
      </c>
      <c r="G342" s="20">
        <f t="shared" si="1"/>
        <v>22</v>
      </c>
      <c r="H342" s="26">
        <v>42562.972916666666</v>
      </c>
      <c r="I342" s="19">
        <f>IFERROR(__xludf.DUMMYFUNCTION("IFERROR(TO_DATE(H342), """")"),42562.972916666666)</f>
        <v>42562.97292</v>
      </c>
      <c r="J342" s="19" t="s">
        <v>13</v>
      </c>
      <c r="K342" s="22">
        <f t="shared" si="2"/>
        <v>0</v>
      </c>
    </row>
    <row r="343">
      <c r="A343" s="18">
        <v>1501.0</v>
      </c>
      <c r="B343" s="18" t="s">
        <v>32</v>
      </c>
      <c r="C343" s="18">
        <v>35.0</v>
      </c>
      <c r="D343" s="18" t="s">
        <v>31</v>
      </c>
      <c r="E343" s="26">
        <v>42563.236805555556</v>
      </c>
      <c r="F343" s="19">
        <f>IFERROR(__xludf.DUMMYFUNCTION("IFERROR(TO_DATE(E343), """")"),42563.236805555556)</f>
        <v>42563.23681</v>
      </c>
      <c r="G343" s="20">
        <f t="shared" si="1"/>
        <v>5</v>
      </c>
      <c r="H343" s="26">
        <v>42563.282638888886</v>
      </c>
      <c r="I343" s="19">
        <f>IFERROR(__xludf.DUMMYFUNCTION("IFERROR(TO_DATE(H343), """")"),42563.282638888886)</f>
        <v>42563.28264</v>
      </c>
      <c r="J343" s="19" t="s">
        <v>11</v>
      </c>
      <c r="K343" s="22">
        <f t="shared" si="2"/>
        <v>0</v>
      </c>
    </row>
    <row r="344">
      <c r="A344" s="18">
        <v>1972.0</v>
      </c>
      <c r="B344" s="18" t="s">
        <v>32</v>
      </c>
      <c r="C344" s="18">
        <v>35.0</v>
      </c>
      <c r="D344" s="18" t="s">
        <v>31</v>
      </c>
      <c r="E344" s="26">
        <v>42563.51527777778</v>
      </c>
      <c r="F344" s="19">
        <f>IFERROR(__xludf.DUMMYFUNCTION("IFERROR(TO_DATE(E344), """")"),42563.51527777778)</f>
        <v>42563.51528</v>
      </c>
      <c r="G344" s="20">
        <f t="shared" si="1"/>
        <v>12</v>
      </c>
      <c r="H344" s="26">
        <v>42563.529861111114</v>
      </c>
      <c r="I344" s="19">
        <f>IFERROR(__xludf.DUMMYFUNCTION("IFERROR(TO_DATE(H344), """")"),42563.529861111114)</f>
        <v>42563.52986</v>
      </c>
      <c r="J344" s="19" t="s">
        <v>10</v>
      </c>
      <c r="K344" s="22">
        <f t="shared" si="2"/>
        <v>0</v>
      </c>
    </row>
    <row r="345">
      <c r="A345" s="18">
        <v>2871.0</v>
      </c>
      <c r="B345" s="18" t="s">
        <v>32</v>
      </c>
      <c r="C345" s="18">
        <v>35.0</v>
      </c>
      <c r="D345" s="18" t="s">
        <v>31</v>
      </c>
      <c r="E345" s="27">
        <v>42564.245520833334</v>
      </c>
      <c r="F345" s="19">
        <f>IFERROR(__xludf.DUMMYFUNCTION("IFERROR(TO_DATE(E345), """")"),42564.245520833334)</f>
        <v>42564.24552</v>
      </c>
      <c r="G345" s="20">
        <f t="shared" si="1"/>
        <v>5</v>
      </c>
      <c r="H345" s="27">
        <v>42564.29204861111</v>
      </c>
      <c r="I345" s="19">
        <f>IFERROR(__xludf.DUMMYFUNCTION("IFERROR(TO_DATE(H345), """")"),42564.29204861111)</f>
        <v>42564.29205</v>
      </c>
      <c r="J345" s="19" t="s">
        <v>11</v>
      </c>
      <c r="K345" s="22">
        <f t="shared" si="2"/>
        <v>0</v>
      </c>
    </row>
    <row r="346">
      <c r="A346" s="18">
        <v>3395.0</v>
      </c>
      <c r="B346" s="18" t="s">
        <v>32</v>
      </c>
      <c r="C346" s="18">
        <v>35.0</v>
      </c>
      <c r="D346" s="18" t="s">
        <v>31</v>
      </c>
      <c r="E346" s="27">
        <v>42564.620046296295</v>
      </c>
      <c r="F346" s="19">
        <f>IFERROR(__xludf.DUMMYFUNCTION("IFERROR(TO_DATE(E346), """")"),42564.620046296295)</f>
        <v>42564.62005</v>
      </c>
      <c r="G346" s="20">
        <f t="shared" si="1"/>
        <v>14</v>
      </c>
      <c r="H346" s="27">
        <v>42564.64796296296</v>
      </c>
      <c r="I346" s="19">
        <f>IFERROR(__xludf.DUMMYFUNCTION("IFERROR(TO_DATE(H346), """")"),42564.64796296296)</f>
        <v>42564.64796</v>
      </c>
      <c r="J346" s="19" t="s">
        <v>10</v>
      </c>
      <c r="K346" s="22">
        <f t="shared" si="2"/>
        <v>0</v>
      </c>
    </row>
    <row r="347">
      <c r="A347" s="18">
        <v>3572.0</v>
      </c>
      <c r="B347" s="18" t="s">
        <v>32</v>
      </c>
      <c r="C347" s="18">
        <v>35.0</v>
      </c>
      <c r="D347" s="18" t="s">
        <v>31</v>
      </c>
      <c r="E347" s="27">
        <v>42564.767962962964</v>
      </c>
      <c r="F347" s="19">
        <f>IFERROR(__xludf.DUMMYFUNCTION("IFERROR(TO_DATE(E347), """")"),42564.767962962964)</f>
        <v>42564.76796</v>
      </c>
      <c r="G347" s="20">
        <f t="shared" si="1"/>
        <v>18</v>
      </c>
      <c r="H347" s="27">
        <v>42564.81351851852</v>
      </c>
      <c r="I347" s="19">
        <f>IFERROR(__xludf.DUMMYFUNCTION("IFERROR(TO_DATE(H347), """")"),42564.81351851852)</f>
        <v>42564.81352</v>
      </c>
      <c r="J347" s="19" t="s">
        <v>12</v>
      </c>
      <c r="K347" s="22">
        <f t="shared" si="2"/>
        <v>0</v>
      </c>
    </row>
    <row r="348">
      <c r="A348" s="18">
        <v>4118.0</v>
      </c>
      <c r="B348" s="18" t="s">
        <v>30</v>
      </c>
      <c r="C348" s="18">
        <v>35.0</v>
      </c>
      <c r="D348" s="18" t="s">
        <v>31</v>
      </c>
      <c r="E348" s="27">
        <v>42565.18651620371</v>
      </c>
      <c r="F348" s="19">
        <f>IFERROR(__xludf.DUMMYFUNCTION("IFERROR(TO_DATE(E348), """")"),42565.18651620371)</f>
        <v>42565.18652</v>
      </c>
      <c r="G348" s="20">
        <f t="shared" si="1"/>
        <v>4</v>
      </c>
      <c r="H348" s="27">
        <v>42565.22694444445</v>
      </c>
      <c r="I348" s="19">
        <f>IFERROR(__xludf.DUMMYFUNCTION("IFERROR(TO_DATE(H348), """")"),42565.22694444445)</f>
        <v>42565.22694</v>
      </c>
      <c r="J348" s="19" t="s">
        <v>11</v>
      </c>
      <c r="K348" s="22">
        <f t="shared" si="2"/>
        <v>0</v>
      </c>
    </row>
    <row r="349">
      <c r="A349" s="18">
        <v>4739.0</v>
      </c>
      <c r="B349" s="18" t="s">
        <v>32</v>
      </c>
      <c r="C349" s="18">
        <v>35.0</v>
      </c>
      <c r="D349" s="18" t="s">
        <v>31</v>
      </c>
      <c r="E349" s="27">
        <v>42565.619942129626</v>
      </c>
      <c r="F349" s="19">
        <f>IFERROR(__xludf.DUMMYFUNCTION("IFERROR(TO_DATE(E349), """")"),42565.619942129626)</f>
        <v>42565.61994</v>
      </c>
      <c r="G349" s="20">
        <f t="shared" si="1"/>
        <v>14</v>
      </c>
      <c r="H349" s="27">
        <v>42565.650983796295</v>
      </c>
      <c r="I349" s="19">
        <f>IFERROR(__xludf.DUMMYFUNCTION("IFERROR(TO_DATE(H349), """")"),42565.650983796295)</f>
        <v>42565.65098</v>
      </c>
      <c r="J349" s="19" t="s">
        <v>10</v>
      </c>
      <c r="K349" s="22">
        <f t="shared" si="2"/>
        <v>0</v>
      </c>
    </row>
    <row r="350">
      <c r="A350" s="18">
        <v>6556.0</v>
      </c>
      <c r="B350" s="18" t="s">
        <v>32</v>
      </c>
      <c r="C350" s="18">
        <v>35.0</v>
      </c>
      <c r="D350" s="18" t="s">
        <v>31</v>
      </c>
      <c r="E350" s="27">
        <v>42566.88190972222</v>
      </c>
      <c r="F350" s="19">
        <f>IFERROR(__xludf.DUMMYFUNCTION("IFERROR(TO_DATE(E350), """")"),42566.88190972222)</f>
        <v>42566.88191</v>
      </c>
      <c r="G350" s="20">
        <f t="shared" si="1"/>
        <v>21</v>
      </c>
      <c r="H350" s="27">
        <v>42566.901458333334</v>
      </c>
      <c r="I350" s="19">
        <f>IFERROR(__xludf.DUMMYFUNCTION("IFERROR(TO_DATE(H350), """")"),42566.901458333334)</f>
        <v>42566.90146</v>
      </c>
      <c r="J350" s="19" t="s">
        <v>13</v>
      </c>
      <c r="K350" s="22">
        <f t="shared" si="2"/>
        <v>0</v>
      </c>
    </row>
    <row r="351">
      <c r="A351" s="18">
        <v>6677.0</v>
      </c>
      <c r="B351" s="18" t="s">
        <v>30</v>
      </c>
      <c r="C351" s="18">
        <v>35.0</v>
      </c>
      <c r="D351" s="18" t="s">
        <v>31</v>
      </c>
      <c r="E351" s="27">
        <v>42566.9374537037</v>
      </c>
      <c r="F351" s="19">
        <f>IFERROR(__xludf.DUMMYFUNCTION("IFERROR(TO_DATE(E351), """")"),42566.9374537037)</f>
        <v>42566.93745</v>
      </c>
      <c r="G351" s="20">
        <f t="shared" si="1"/>
        <v>22</v>
      </c>
      <c r="H351" s="27">
        <v>42566.97416666667</v>
      </c>
      <c r="I351" s="19">
        <f>IFERROR(__xludf.DUMMYFUNCTION("IFERROR(TO_DATE(H351), """")"),42566.97416666667)</f>
        <v>42566.97417</v>
      </c>
      <c r="J351" s="19" t="s">
        <v>13</v>
      </c>
      <c r="K351" s="22">
        <f t="shared" si="2"/>
        <v>0</v>
      </c>
    </row>
    <row r="352">
      <c r="A352" s="18">
        <v>1104.0</v>
      </c>
      <c r="B352" s="18" t="s">
        <v>30</v>
      </c>
      <c r="C352" s="18">
        <v>36.0</v>
      </c>
      <c r="D352" s="18" t="s">
        <v>31</v>
      </c>
      <c r="E352" s="26">
        <v>42562.845138888886</v>
      </c>
      <c r="F352" s="19">
        <f>IFERROR(__xludf.DUMMYFUNCTION("IFERROR(TO_DATE(E352), """")"),42562.845138888886)</f>
        <v>42562.84514</v>
      </c>
      <c r="G352" s="20">
        <f t="shared" si="1"/>
        <v>20</v>
      </c>
      <c r="H352" s="26">
        <v>42562.88888888889</v>
      </c>
      <c r="I352" s="19">
        <f>IFERROR(__xludf.DUMMYFUNCTION("IFERROR(TO_DATE(H352), """")"),42562.88888888889)</f>
        <v>42562.88889</v>
      </c>
      <c r="J352" s="19" t="s">
        <v>13</v>
      </c>
      <c r="K352" s="22">
        <f t="shared" si="2"/>
        <v>0</v>
      </c>
    </row>
    <row r="353">
      <c r="A353" s="18">
        <v>1596.0</v>
      </c>
      <c r="B353" s="18" t="s">
        <v>30</v>
      </c>
      <c r="C353" s="18">
        <v>36.0</v>
      </c>
      <c r="D353" s="18" t="s">
        <v>31</v>
      </c>
      <c r="E353" s="26">
        <v>42563.277083333334</v>
      </c>
      <c r="F353" s="19">
        <f>IFERROR(__xludf.DUMMYFUNCTION("IFERROR(TO_DATE(E353), """")"),42563.277083333334)</f>
        <v>42563.27708</v>
      </c>
      <c r="G353" s="20">
        <f t="shared" si="1"/>
        <v>6</v>
      </c>
      <c r="H353" s="26">
        <v>42563.3125</v>
      </c>
      <c r="I353" s="19">
        <f>IFERROR(__xludf.DUMMYFUNCTION("IFERROR(TO_DATE(H353), """")"),42563.3125)</f>
        <v>42563.3125</v>
      </c>
      <c r="J353" s="19" t="s">
        <v>11</v>
      </c>
      <c r="K353" s="22">
        <f t="shared" si="2"/>
        <v>0</v>
      </c>
    </row>
    <row r="354">
      <c r="A354" s="18">
        <v>1835.0</v>
      </c>
      <c r="B354" s="18" t="s">
        <v>30</v>
      </c>
      <c r="C354" s="18">
        <v>36.0</v>
      </c>
      <c r="D354" s="18" t="s">
        <v>31</v>
      </c>
      <c r="E354" s="26">
        <v>42563.399305555555</v>
      </c>
      <c r="F354" s="19">
        <f>IFERROR(__xludf.DUMMYFUNCTION("IFERROR(TO_DATE(E354), """")"),42563.399305555555)</f>
        <v>42563.39931</v>
      </c>
      <c r="G354" s="20">
        <f t="shared" si="1"/>
        <v>9</v>
      </c>
      <c r="H354" s="26">
        <v>42563.4375</v>
      </c>
      <c r="I354" s="19">
        <f>IFERROR(__xludf.DUMMYFUNCTION("IFERROR(TO_DATE(H354), """")"),42563.4375)</f>
        <v>42563.4375</v>
      </c>
      <c r="J354" s="19" t="s">
        <v>14</v>
      </c>
      <c r="K354" s="22">
        <f t="shared" si="2"/>
        <v>0</v>
      </c>
    </row>
    <row r="355">
      <c r="A355" s="18">
        <v>2110.0</v>
      </c>
      <c r="B355" s="18" t="s">
        <v>30</v>
      </c>
      <c r="C355" s="18">
        <v>36.0</v>
      </c>
      <c r="D355" s="18" t="s">
        <v>31</v>
      </c>
      <c r="E355" s="26">
        <v>42563.67986111111</v>
      </c>
      <c r="F355" s="19">
        <f>IFERROR(__xludf.DUMMYFUNCTION("IFERROR(TO_DATE(E355), """")"),42563.67986111111)</f>
        <v>42563.67986</v>
      </c>
      <c r="G355" s="20">
        <f t="shared" si="1"/>
        <v>16</v>
      </c>
      <c r="H355" s="26">
        <v>42563.71666666667</v>
      </c>
      <c r="I355" s="19">
        <f>IFERROR(__xludf.DUMMYFUNCTION("IFERROR(TO_DATE(H355), """")"),42563.71666666667)</f>
        <v>42563.71667</v>
      </c>
      <c r="J355" s="19" t="s">
        <v>12</v>
      </c>
      <c r="K355" s="22">
        <f t="shared" si="2"/>
        <v>0</v>
      </c>
    </row>
    <row r="356">
      <c r="A356" s="18">
        <v>2759.0</v>
      </c>
      <c r="B356" s="18" t="s">
        <v>30</v>
      </c>
      <c r="C356" s="18">
        <v>36.0</v>
      </c>
      <c r="D356" s="18" t="s">
        <v>31</v>
      </c>
      <c r="E356" s="27">
        <v>42564.15975694444</v>
      </c>
      <c r="F356" s="19">
        <f>IFERROR(__xludf.DUMMYFUNCTION("IFERROR(TO_DATE(E356), """")"),42564.15975694444)</f>
        <v>42564.15976</v>
      </c>
      <c r="G356" s="20">
        <f t="shared" si="1"/>
        <v>3</v>
      </c>
      <c r="H356" s="27">
        <v>42564.18975694444</v>
      </c>
      <c r="I356" s="19">
        <f>IFERROR(__xludf.DUMMYFUNCTION("IFERROR(TO_DATE(H356), """")"),42564.18975694444)</f>
        <v>42564.18976</v>
      </c>
      <c r="J356" s="19" t="s">
        <v>15</v>
      </c>
      <c r="K356" s="22">
        <f t="shared" si="2"/>
        <v>0</v>
      </c>
    </row>
    <row r="357">
      <c r="A357" s="18">
        <v>3010.0</v>
      </c>
      <c r="B357" s="18" t="s">
        <v>30</v>
      </c>
      <c r="C357" s="18">
        <v>36.0</v>
      </c>
      <c r="D357" s="18" t="s">
        <v>31</v>
      </c>
      <c r="E357" s="27">
        <v>42564.30975694444</v>
      </c>
      <c r="F357" s="19">
        <f>IFERROR(__xludf.DUMMYFUNCTION("IFERROR(TO_DATE(E357), """")"),42564.30975694444)</f>
        <v>42564.30976</v>
      </c>
      <c r="G357" s="20">
        <f t="shared" si="1"/>
        <v>7</v>
      </c>
      <c r="H357" s="27">
        <v>42564.361712962964</v>
      </c>
      <c r="I357" s="19">
        <f>IFERROR(__xludf.DUMMYFUNCTION("IFERROR(TO_DATE(H357), """")"),42564.361712962964)</f>
        <v>42564.36171</v>
      </c>
      <c r="J357" s="19" t="s">
        <v>11</v>
      </c>
      <c r="K357" s="22">
        <f t="shared" si="2"/>
        <v>0</v>
      </c>
    </row>
    <row r="358">
      <c r="A358" s="18">
        <v>3403.0</v>
      </c>
      <c r="B358" s="18" t="s">
        <v>32</v>
      </c>
      <c r="C358" s="18">
        <v>36.0</v>
      </c>
      <c r="D358" s="18" t="s">
        <v>31</v>
      </c>
      <c r="E358" s="27">
        <v>42564.636712962965</v>
      </c>
      <c r="F358" s="19">
        <f>IFERROR(__xludf.DUMMYFUNCTION("IFERROR(TO_DATE(E358), """")"),42564.636712962965)</f>
        <v>42564.63671</v>
      </c>
      <c r="G358" s="20">
        <f t="shared" si="1"/>
        <v>15</v>
      </c>
      <c r="H358" s="27">
        <v>42564.656851851854</v>
      </c>
      <c r="I358" s="19">
        <f>IFERROR(__xludf.DUMMYFUNCTION("IFERROR(TO_DATE(H358), """")"),42564.656851851854)</f>
        <v>42564.65685</v>
      </c>
      <c r="J358" s="19" t="s">
        <v>10</v>
      </c>
      <c r="K358" s="22">
        <f t="shared" si="2"/>
        <v>0</v>
      </c>
    </row>
    <row r="359">
      <c r="A359" s="18">
        <v>3856.0</v>
      </c>
      <c r="B359" s="18" t="s">
        <v>30</v>
      </c>
      <c r="C359" s="18">
        <v>36.0</v>
      </c>
      <c r="D359" s="18" t="s">
        <v>31</v>
      </c>
      <c r="E359" s="27">
        <v>42564.89885416667</v>
      </c>
      <c r="F359" s="19">
        <f>IFERROR(__xludf.DUMMYFUNCTION("IFERROR(TO_DATE(E359), """")"),42564.89885416667)</f>
        <v>42564.89885</v>
      </c>
      <c r="G359" s="20">
        <f t="shared" si="1"/>
        <v>21</v>
      </c>
      <c r="H359" s="27">
        <v>42564.93493055556</v>
      </c>
      <c r="I359" s="19">
        <f>IFERROR(__xludf.DUMMYFUNCTION("IFERROR(TO_DATE(H359), """")"),42564.93493055556)</f>
        <v>42564.93493</v>
      </c>
      <c r="J359" s="19" t="s">
        <v>13</v>
      </c>
      <c r="K359" s="22">
        <f t="shared" si="2"/>
        <v>0</v>
      </c>
    </row>
    <row r="360">
      <c r="A360" s="18">
        <v>4472.0</v>
      </c>
      <c r="B360" s="18" t="s">
        <v>32</v>
      </c>
      <c r="C360" s="18">
        <v>36.0</v>
      </c>
      <c r="D360" s="18" t="s">
        <v>31</v>
      </c>
      <c r="E360" s="27">
        <v>42565.360925925925</v>
      </c>
      <c r="F360" s="19">
        <f>IFERROR(__xludf.DUMMYFUNCTION("IFERROR(TO_DATE(E360), """")"),42565.360925925925)</f>
        <v>42565.36093</v>
      </c>
      <c r="G360" s="20">
        <f t="shared" si="1"/>
        <v>8</v>
      </c>
      <c r="H360" s="27">
        <v>42565.41365740741</v>
      </c>
      <c r="I360" s="19">
        <f>IFERROR(__xludf.DUMMYFUNCTION("IFERROR(TO_DATE(H360), """")"),42565.41365740741)</f>
        <v>42565.41366</v>
      </c>
      <c r="J360" s="19" t="s">
        <v>14</v>
      </c>
      <c r="K360" s="22">
        <f t="shared" si="2"/>
        <v>0</v>
      </c>
    </row>
    <row r="361">
      <c r="A361" s="18">
        <v>5199.0</v>
      </c>
      <c r="B361" s="18" t="s">
        <v>32</v>
      </c>
      <c r="C361" s="18">
        <v>36.0</v>
      </c>
      <c r="D361" s="18" t="s">
        <v>31</v>
      </c>
      <c r="E361" s="27">
        <v>42565.86865740741</v>
      </c>
      <c r="F361" s="19">
        <f>IFERROR(__xludf.DUMMYFUNCTION("IFERROR(TO_DATE(E361), """")"),42565.86865740741)</f>
        <v>42565.86866</v>
      </c>
      <c r="G361" s="20">
        <f t="shared" si="1"/>
        <v>20</v>
      </c>
      <c r="H361" s="27">
        <v>42565.915034722224</v>
      </c>
      <c r="I361" s="19">
        <f>IFERROR(__xludf.DUMMYFUNCTION("IFERROR(TO_DATE(H361), """")"),42565.915034722224)</f>
        <v>42565.91503</v>
      </c>
      <c r="J361" s="19" t="s">
        <v>13</v>
      </c>
      <c r="K361" s="22">
        <f t="shared" si="2"/>
        <v>0</v>
      </c>
    </row>
    <row r="362">
      <c r="A362" s="18">
        <v>5612.0</v>
      </c>
      <c r="B362" s="18" t="s">
        <v>32</v>
      </c>
      <c r="C362" s="18">
        <v>36.0</v>
      </c>
      <c r="D362" s="18" t="s">
        <v>31</v>
      </c>
      <c r="E362" s="27">
        <v>42566.261041666665</v>
      </c>
      <c r="F362" s="19">
        <f>IFERROR(__xludf.DUMMYFUNCTION("IFERROR(TO_DATE(E362), """")"),42566.261041666665)</f>
        <v>42566.26104</v>
      </c>
      <c r="G362" s="20">
        <f t="shared" si="1"/>
        <v>6</v>
      </c>
      <c r="H362" s="27">
        <v>42566.30401620371</v>
      </c>
      <c r="I362" s="19">
        <f>IFERROR(__xludf.DUMMYFUNCTION("IFERROR(TO_DATE(H362), """")"),42566.30401620371)</f>
        <v>42566.30402</v>
      </c>
      <c r="J362" s="19" t="s">
        <v>11</v>
      </c>
      <c r="K362" s="22">
        <f t="shared" si="2"/>
        <v>0</v>
      </c>
    </row>
    <row r="363">
      <c r="A363" s="18">
        <v>6614.0</v>
      </c>
      <c r="B363" s="18" t="s">
        <v>30</v>
      </c>
      <c r="C363" s="18">
        <v>36.0</v>
      </c>
      <c r="D363" s="18" t="s">
        <v>31</v>
      </c>
      <c r="E363" s="27">
        <v>42566.903229166666</v>
      </c>
      <c r="F363" s="19">
        <f>IFERROR(__xludf.DUMMYFUNCTION("IFERROR(TO_DATE(E363), """")"),42566.903229166666)</f>
        <v>42566.90323</v>
      </c>
      <c r="G363" s="20">
        <f t="shared" si="1"/>
        <v>21</v>
      </c>
      <c r="H363" s="27">
        <v>42566.95564814815</v>
      </c>
      <c r="I363" s="19">
        <f>IFERROR(__xludf.DUMMYFUNCTION("IFERROR(TO_DATE(H363), """")"),42566.95564814815)</f>
        <v>42566.95565</v>
      </c>
      <c r="J363" s="19" t="s">
        <v>13</v>
      </c>
      <c r="K363" s="22">
        <f t="shared" si="2"/>
        <v>0</v>
      </c>
    </row>
    <row r="364">
      <c r="A364" s="18">
        <v>191.0</v>
      </c>
      <c r="B364" s="18" t="s">
        <v>30</v>
      </c>
      <c r="C364" s="18">
        <v>37.0</v>
      </c>
      <c r="D364" s="18" t="s">
        <v>31</v>
      </c>
      <c r="E364" s="26">
        <v>42562.24652777778</v>
      </c>
      <c r="F364" s="19">
        <f>IFERROR(__xludf.DUMMYFUNCTION("IFERROR(TO_DATE(E364), """")"),42562.24652777778)</f>
        <v>42562.24653</v>
      </c>
      <c r="G364" s="20">
        <f t="shared" si="1"/>
        <v>5</v>
      </c>
      <c r="H364" s="26">
        <v>42562.28125</v>
      </c>
      <c r="I364" s="19">
        <f>IFERROR(__xludf.DUMMYFUNCTION("IFERROR(TO_DATE(H364), """")"),42562.28125)</f>
        <v>42562.28125</v>
      </c>
      <c r="J364" s="19" t="s">
        <v>11</v>
      </c>
      <c r="K364" s="22">
        <f t="shared" si="2"/>
        <v>0</v>
      </c>
    </row>
    <row r="365">
      <c r="A365" s="18">
        <v>333.0</v>
      </c>
      <c r="B365" s="18" t="s">
        <v>32</v>
      </c>
      <c r="C365" s="18">
        <v>37.0</v>
      </c>
      <c r="D365" s="18" t="s">
        <v>31</v>
      </c>
      <c r="E365" s="26">
        <v>42562.32152777778</v>
      </c>
      <c r="F365" s="19">
        <f>IFERROR(__xludf.DUMMYFUNCTION("IFERROR(TO_DATE(E365), """")"),42562.32152777778)</f>
        <v>42562.32153</v>
      </c>
      <c r="G365" s="20">
        <f t="shared" si="1"/>
        <v>7</v>
      </c>
      <c r="H365" s="26">
        <v>42562.37013888889</v>
      </c>
      <c r="I365" s="19">
        <f>IFERROR(__xludf.DUMMYFUNCTION("IFERROR(TO_DATE(H365), """")"),42562.37013888889)</f>
        <v>42562.37014</v>
      </c>
      <c r="J365" s="19" t="s">
        <v>11</v>
      </c>
      <c r="K365" s="22">
        <f t="shared" si="2"/>
        <v>0</v>
      </c>
    </row>
    <row r="366">
      <c r="A366" s="18">
        <v>488.0</v>
      </c>
      <c r="B366" s="18" t="s">
        <v>30</v>
      </c>
      <c r="C366" s="18">
        <v>37.0</v>
      </c>
      <c r="D366" s="18" t="s">
        <v>31</v>
      </c>
      <c r="E366" s="26">
        <v>42562.399305555555</v>
      </c>
      <c r="F366" s="19">
        <f>IFERROR(__xludf.DUMMYFUNCTION("IFERROR(TO_DATE(E366), """")"),42562.399305555555)</f>
        <v>42562.39931</v>
      </c>
      <c r="G366" s="20">
        <f t="shared" si="1"/>
        <v>9</v>
      </c>
      <c r="H366" s="26">
        <v>42562.430555555555</v>
      </c>
      <c r="I366" s="19">
        <f>IFERROR(__xludf.DUMMYFUNCTION("IFERROR(TO_DATE(H366), """")"),42562.430555555555)</f>
        <v>42562.43056</v>
      </c>
      <c r="J366" s="19" t="s">
        <v>14</v>
      </c>
      <c r="K366" s="22">
        <f t="shared" si="2"/>
        <v>0</v>
      </c>
    </row>
    <row r="367">
      <c r="A367" s="18">
        <v>1780.0</v>
      </c>
      <c r="B367" s="18" t="s">
        <v>32</v>
      </c>
      <c r="C367" s="18">
        <v>37.0</v>
      </c>
      <c r="D367" s="18" t="s">
        <v>31</v>
      </c>
      <c r="E367" s="26">
        <v>42563.373611111114</v>
      </c>
      <c r="F367" s="19">
        <f>IFERROR(__xludf.DUMMYFUNCTION("IFERROR(TO_DATE(E367), """")"),42563.373611111114)</f>
        <v>42563.37361</v>
      </c>
      <c r="G367" s="20">
        <f t="shared" si="1"/>
        <v>8</v>
      </c>
      <c r="H367" s="26">
        <v>42563.40625</v>
      </c>
      <c r="I367" s="19">
        <f>IFERROR(__xludf.DUMMYFUNCTION("IFERROR(TO_DATE(H367), """")"),42563.40625)</f>
        <v>42563.40625</v>
      </c>
      <c r="J367" s="19" t="s">
        <v>14</v>
      </c>
      <c r="K367" s="22">
        <f t="shared" si="2"/>
        <v>0</v>
      </c>
    </row>
    <row r="368">
      <c r="A368" s="18">
        <v>2235.0</v>
      </c>
      <c r="B368" s="18" t="s">
        <v>30</v>
      </c>
      <c r="C368" s="18">
        <v>37.0</v>
      </c>
      <c r="D368" s="18" t="s">
        <v>31</v>
      </c>
      <c r="E368" s="26">
        <v>42563.75833333333</v>
      </c>
      <c r="F368" s="19">
        <f>IFERROR(__xludf.DUMMYFUNCTION("IFERROR(TO_DATE(E368), """")"),42563.75833333333)</f>
        <v>42563.75833</v>
      </c>
      <c r="G368" s="20">
        <f t="shared" si="1"/>
        <v>18</v>
      </c>
      <c r="H368" s="26">
        <v>42563.80138888889</v>
      </c>
      <c r="I368" s="19">
        <f>IFERROR(__xludf.DUMMYFUNCTION("IFERROR(TO_DATE(H368), """")"),42563.80138888889)</f>
        <v>42563.80139</v>
      </c>
      <c r="J368" s="19" t="s">
        <v>12</v>
      </c>
      <c r="K368" s="22">
        <f t="shared" si="2"/>
        <v>0</v>
      </c>
    </row>
    <row r="369">
      <c r="A369" s="18">
        <v>2516.0</v>
      </c>
      <c r="B369" s="18" t="s">
        <v>32</v>
      </c>
      <c r="C369" s="18">
        <v>37.0</v>
      </c>
      <c r="D369" s="18" t="s">
        <v>31</v>
      </c>
      <c r="E369" s="26">
        <v>42563.87847222222</v>
      </c>
      <c r="F369" s="19">
        <f>IFERROR(__xludf.DUMMYFUNCTION("IFERROR(TO_DATE(E369), """")"),42563.87847222222)</f>
        <v>42563.87847</v>
      </c>
      <c r="G369" s="20">
        <f t="shared" si="1"/>
        <v>21</v>
      </c>
      <c r="H369" s="26">
        <v>42563.92916666667</v>
      </c>
      <c r="I369" s="19">
        <f>IFERROR(__xludf.DUMMYFUNCTION("IFERROR(TO_DATE(H369), """")"),42563.92916666667)</f>
        <v>42563.92917</v>
      </c>
      <c r="J369" s="19" t="s">
        <v>13</v>
      </c>
      <c r="K369" s="22">
        <f t="shared" si="2"/>
        <v>0</v>
      </c>
    </row>
    <row r="370">
      <c r="A370" s="18">
        <v>4209.0</v>
      </c>
      <c r="B370" s="18" t="s">
        <v>32</v>
      </c>
      <c r="C370" s="18">
        <v>37.0</v>
      </c>
      <c r="D370" s="18" t="s">
        <v>31</v>
      </c>
      <c r="E370" s="27">
        <v>42565.23403935185</v>
      </c>
      <c r="F370" s="19">
        <f>IFERROR(__xludf.DUMMYFUNCTION("IFERROR(TO_DATE(E370), """")"),42565.23403935185)</f>
        <v>42565.23404</v>
      </c>
      <c r="G370" s="20">
        <f t="shared" si="1"/>
        <v>5</v>
      </c>
      <c r="H370" s="27">
        <v>42565.27930555555</v>
      </c>
      <c r="I370" s="19">
        <f>IFERROR(__xludf.DUMMYFUNCTION("IFERROR(TO_DATE(H370), """")"),42565.27930555555)</f>
        <v>42565.27931</v>
      </c>
      <c r="J370" s="19" t="s">
        <v>11</v>
      </c>
      <c r="K370" s="22">
        <f t="shared" si="2"/>
        <v>0</v>
      </c>
    </row>
    <row r="371">
      <c r="A371" s="18">
        <v>4726.0</v>
      </c>
      <c r="B371" s="18" t="s">
        <v>32</v>
      </c>
      <c r="C371" s="18">
        <v>37.0</v>
      </c>
      <c r="D371" s="18" t="s">
        <v>31</v>
      </c>
      <c r="E371" s="27">
        <v>42565.57837962963</v>
      </c>
      <c r="F371" s="19">
        <f>IFERROR(__xludf.DUMMYFUNCTION("IFERROR(TO_DATE(E371), """")"),42565.57837962963)</f>
        <v>42565.57838</v>
      </c>
      <c r="G371" s="20">
        <f t="shared" si="1"/>
        <v>13</v>
      </c>
      <c r="H371" s="27">
        <v>42565.62840277778</v>
      </c>
      <c r="I371" s="19">
        <f>IFERROR(__xludf.DUMMYFUNCTION("IFERROR(TO_DATE(H371), """")"),42565.62840277778)</f>
        <v>42565.6284</v>
      </c>
      <c r="J371" s="19" t="s">
        <v>10</v>
      </c>
      <c r="K371" s="22">
        <f t="shared" si="2"/>
        <v>0</v>
      </c>
    </row>
    <row r="372">
      <c r="A372" s="18">
        <v>5088.0</v>
      </c>
      <c r="B372" s="18" t="s">
        <v>30</v>
      </c>
      <c r="C372" s="18">
        <v>37.0</v>
      </c>
      <c r="D372" s="18" t="s">
        <v>31</v>
      </c>
      <c r="E372" s="27">
        <v>42565.82840277778</v>
      </c>
      <c r="F372" s="19">
        <f>IFERROR(__xludf.DUMMYFUNCTION("IFERROR(TO_DATE(E372), """")"),42565.82840277778)</f>
        <v>42565.8284</v>
      </c>
      <c r="G372" s="20">
        <f t="shared" si="1"/>
        <v>19</v>
      </c>
      <c r="H372" s="27">
        <v>42565.87954861111</v>
      </c>
      <c r="I372" s="19">
        <f>IFERROR(__xludf.DUMMYFUNCTION("IFERROR(TO_DATE(H372), """")"),42565.87954861111)</f>
        <v>42565.87955</v>
      </c>
      <c r="J372" s="19" t="s">
        <v>12</v>
      </c>
      <c r="K372" s="22">
        <f t="shared" si="2"/>
        <v>0</v>
      </c>
    </row>
    <row r="373">
      <c r="A373" s="18">
        <v>5352.0</v>
      </c>
      <c r="B373" s="18" t="s">
        <v>30</v>
      </c>
      <c r="C373" s="18">
        <v>37.0</v>
      </c>
      <c r="D373" s="18" t="s">
        <v>31</v>
      </c>
      <c r="E373" s="27">
        <v>42565.959548611114</v>
      </c>
      <c r="F373" s="19">
        <f>IFERROR(__xludf.DUMMYFUNCTION("IFERROR(TO_DATE(E373), """")"),42565.959548611114)</f>
        <v>42565.95955</v>
      </c>
      <c r="G373" s="20">
        <f t="shared" si="1"/>
        <v>23</v>
      </c>
      <c r="H373" s="27">
        <v>42565.99019675926</v>
      </c>
      <c r="I373" s="19">
        <f>IFERROR(__xludf.DUMMYFUNCTION("IFERROR(TO_DATE(H373), """")"),42565.99019675926)</f>
        <v>42565.9902</v>
      </c>
      <c r="J373" s="19" t="s">
        <v>13</v>
      </c>
      <c r="K373" s="22">
        <f t="shared" si="2"/>
        <v>0</v>
      </c>
    </row>
    <row r="374">
      <c r="A374" s="18">
        <v>6024.0</v>
      </c>
      <c r="B374" s="18" t="s">
        <v>30</v>
      </c>
      <c r="C374" s="18">
        <v>37.0</v>
      </c>
      <c r="D374" s="18" t="s">
        <v>31</v>
      </c>
      <c r="E374" s="27">
        <v>42566.529965277776</v>
      </c>
      <c r="F374" s="19">
        <f>IFERROR(__xludf.DUMMYFUNCTION("IFERROR(TO_DATE(E374), """")"),42566.529965277776)</f>
        <v>42566.52997</v>
      </c>
      <c r="G374" s="20">
        <f t="shared" si="1"/>
        <v>12</v>
      </c>
      <c r="H374" s="27">
        <v>42566.58017361111</v>
      </c>
      <c r="I374" s="19">
        <f>IFERROR(__xludf.DUMMYFUNCTION("IFERROR(TO_DATE(H374), """")"),42566.58017361111)</f>
        <v>42566.58017</v>
      </c>
      <c r="J374" s="19" t="s">
        <v>10</v>
      </c>
      <c r="K374" s="22">
        <f t="shared" si="2"/>
        <v>0</v>
      </c>
    </row>
    <row r="375">
      <c r="A375" s="18">
        <v>6196.0</v>
      </c>
      <c r="B375" s="18" t="s">
        <v>30</v>
      </c>
      <c r="C375" s="18">
        <v>37.0</v>
      </c>
      <c r="D375" s="18" t="s">
        <v>31</v>
      </c>
      <c r="E375" s="27">
        <v>42566.72217592593</v>
      </c>
      <c r="F375" s="19">
        <f>IFERROR(__xludf.DUMMYFUNCTION("IFERROR(TO_DATE(E375), """")"),42566.72217592593)</f>
        <v>42566.72218</v>
      </c>
      <c r="G375" s="20">
        <f t="shared" si="1"/>
        <v>17</v>
      </c>
      <c r="H375" s="27">
        <v>42566.75269675926</v>
      </c>
      <c r="I375" s="19">
        <f>IFERROR(__xludf.DUMMYFUNCTION("IFERROR(TO_DATE(H375), """")"),42566.75269675926)</f>
        <v>42566.7527</v>
      </c>
      <c r="J375" s="19" t="s">
        <v>12</v>
      </c>
      <c r="K375" s="22">
        <f t="shared" si="2"/>
        <v>0</v>
      </c>
    </row>
    <row r="376">
      <c r="A376" s="18">
        <v>6297.0</v>
      </c>
      <c r="B376" s="18" t="s">
        <v>32</v>
      </c>
      <c r="C376" s="18">
        <v>37.0</v>
      </c>
      <c r="D376" s="18" t="s">
        <v>31</v>
      </c>
      <c r="E376" s="27">
        <v>42566.7646875</v>
      </c>
      <c r="F376" s="19">
        <f>IFERROR(__xludf.DUMMYFUNCTION("IFERROR(TO_DATE(E376), """")"),42566.7646875)</f>
        <v>42566.76469</v>
      </c>
      <c r="G376" s="20">
        <f t="shared" si="1"/>
        <v>18</v>
      </c>
      <c r="H376" s="27">
        <v>42566.78986111111</v>
      </c>
      <c r="I376" s="19">
        <f>IFERROR(__xludf.DUMMYFUNCTION("IFERROR(TO_DATE(H376), """")"),42566.78986111111)</f>
        <v>42566.78986</v>
      </c>
      <c r="J376" s="19" t="s">
        <v>12</v>
      </c>
      <c r="K376" s="22">
        <f t="shared" si="2"/>
        <v>0</v>
      </c>
    </row>
    <row r="377">
      <c r="A377" s="18">
        <v>125.0</v>
      </c>
      <c r="B377" s="18" t="s">
        <v>32</v>
      </c>
      <c r="C377" s="18">
        <v>38.0</v>
      </c>
      <c r="D377" s="18" t="s">
        <v>31</v>
      </c>
      <c r="E377" s="26">
        <v>42562.21666666667</v>
      </c>
      <c r="F377" s="19">
        <f>IFERROR(__xludf.DUMMYFUNCTION("IFERROR(TO_DATE(E377), """")"),42562.21666666667)</f>
        <v>42562.21667</v>
      </c>
      <c r="G377" s="20">
        <f t="shared" si="1"/>
        <v>5</v>
      </c>
      <c r="H377" s="26">
        <v>42562.26180555556</v>
      </c>
      <c r="I377" s="19">
        <f>IFERROR(__xludf.DUMMYFUNCTION("IFERROR(TO_DATE(H377), """")"),42562.26180555556)</f>
        <v>42562.26181</v>
      </c>
      <c r="J377" s="19" t="s">
        <v>11</v>
      </c>
      <c r="K377" s="22">
        <f t="shared" si="2"/>
        <v>0</v>
      </c>
    </row>
    <row r="378">
      <c r="A378" s="18">
        <v>1611.0</v>
      </c>
      <c r="B378" s="18" t="s">
        <v>32</v>
      </c>
      <c r="C378" s="18">
        <v>38.0</v>
      </c>
      <c r="D378" s="18" t="s">
        <v>31</v>
      </c>
      <c r="E378" s="26">
        <v>42563.28402777778</v>
      </c>
      <c r="F378" s="19">
        <f>IFERROR(__xludf.DUMMYFUNCTION("IFERROR(TO_DATE(E378), """")"),42563.28402777778)</f>
        <v>42563.28403</v>
      </c>
      <c r="G378" s="20">
        <f t="shared" si="1"/>
        <v>6</v>
      </c>
      <c r="H378" s="26">
        <v>42563.322222222225</v>
      </c>
      <c r="I378" s="19">
        <f>IFERROR(__xludf.DUMMYFUNCTION("IFERROR(TO_DATE(H378), """")"),42563.322222222225)</f>
        <v>42563.32222</v>
      </c>
      <c r="J378" s="19" t="s">
        <v>11</v>
      </c>
      <c r="K378" s="22">
        <f t="shared" si="2"/>
        <v>0</v>
      </c>
    </row>
    <row r="379">
      <c r="A379" s="18">
        <v>1814.0</v>
      </c>
      <c r="B379" s="18" t="s">
        <v>32</v>
      </c>
      <c r="C379" s="18">
        <v>38.0</v>
      </c>
      <c r="D379" s="18" t="s">
        <v>31</v>
      </c>
      <c r="E379" s="26">
        <v>42563.388194444444</v>
      </c>
      <c r="F379" s="19">
        <f>IFERROR(__xludf.DUMMYFUNCTION("IFERROR(TO_DATE(E379), """")"),42563.388194444444)</f>
        <v>42563.38819</v>
      </c>
      <c r="G379" s="20">
        <f t="shared" si="1"/>
        <v>9</v>
      </c>
      <c r="H379" s="26">
        <v>42563.415972222225</v>
      </c>
      <c r="I379" s="19">
        <f>IFERROR(__xludf.DUMMYFUNCTION("IFERROR(TO_DATE(H379), """")"),42563.415972222225)</f>
        <v>42563.41597</v>
      </c>
      <c r="J379" s="19" t="s">
        <v>14</v>
      </c>
      <c r="K379" s="22">
        <f t="shared" si="2"/>
        <v>0</v>
      </c>
    </row>
    <row r="380">
      <c r="A380" s="18">
        <v>3088.0</v>
      </c>
      <c r="B380" s="18" t="s">
        <v>32</v>
      </c>
      <c r="C380" s="18">
        <v>38.0</v>
      </c>
      <c r="D380" s="18" t="s">
        <v>31</v>
      </c>
      <c r="E380" s="27">
        <v>42564.34211805555</v>
      </c>
      <c r="F380" s="19">
        <f>IFERROR(__xludf.DUMMYFUNCTION("IFERROR(TO_DATE(E380), """")"),42564.34211805555)</f>
        <v>42564.34212</v>
      </c>
      <c r="G380" s="20">
        <f t="shared" si="1"/>
        <v>8</v>
      </c>
      <c r="H380" s="27">
        <v>42564.37571759259</v>
      </c>
      <c r="I380" s="19">
        <f>IFERROR(__xludf.DUMMYFUNCTION("IFERROR(TO_DATE(H380), """")"),42564.37571759259)</f>
        <v>42564.37572</v>
      </c>
      <c r="J380" s="19" t="s">
        <v>14</v>
      </c>
      <c r="K380" s="22">
        <f t="shared" si="2"/>
        <v>0</v>
      </c>
    </row>
    <row r="381">
      <c r="A381" s="18">
        <v>3384.0</v>
      </c>
      <c r="B381" s="18" t="s">
        <v>30</v>
      </c>
      <c r="C381" s="18">
        <v>38.0</v>
      </c>
      <c r="D381" s="18" t="s">
        <v>31</v>
      </c>
      <c r="E381" s="27">
        <v>42564.61172453704</v>
      </c>
      <c r="F381" s="19">
        <f>IFERROR(__xludf.DUMMYFUNCTION("IFERROR(TO_DATE(E381), """")"),42564.61172453704)</f>
        <v>42564.61172</v>
      </c>
      <c r="G381" s="20">
        <f t="shared" si="1"/>
        <v>14</v>
      </c>
      <c r="H381" s="27">
        <v>42564.64891203704</v>
      </c>
      <c r="I381" s="19">
        <f>IFERROR(__xludf.DUMMYFUNCTION("IFERROR(TO_DATE(H381), """")"),42564.64891203704)</f>
        <v>42564.64891</v>
      </c>
      <c r="J381" s="19" t="s">
        <v>10</v>
      </c>
      <c r="K381" s="22">
        <f t="shared" si="2"/>
        <v>0</v>
      </c>
    </row>
    <row r="382">
      <c r="A382" s="18">
        <v>4218.0</v>
      </c>
      <c r="B382" s="18" t="s">
        <v>30</v>
      </c>
      <c r="C382" s="18">
        <v>38.0</v>
      </c>
      <c r="D382" s="18" t="s">
        <v>31</v>
      </c>
      <c r="E382" s="27">
        <v>42565.234918981485</v>
      </c>
      <c r="F382" s="19">
        <f>IFERROR(__xludf.DUMMYFUNCTION("IFERROR(TO_DATE(E382), """")"),42565.234918981485)</f>
        <v>42565.23492</v>
      </c>
      <c r="G382" s="20">
        <f t="shared" si="1"/>
        <v>5</v>
      </c>
      <c r="H382" s="27">
        <v>42565.267222222225</v>
      </c>
      <c r="I382" s="19">
        <f>IFERROR(__xludf.DUMMYFUNCTION("IFERROR(TO_DATE(H382), """")"),42565.267222222225)</f>
        <v>42565.26722</v>
      </c>
      <c r="J382" s="19" t="s">
        <v>11</v>
      </c>
      <c r="K382" s="22">
        <f t="shared" si="2"/>
        <v>0</v>
      </c>
    </row>
    <row r="383">
      <c r="A383" s="18">
        <v>5757.0</v>
      </c>
      <c r="B383" s="18" t="s">
        <v>32</v>
      </c>
      <c r="C383" s="18">
        <v>38.0</v>
      </c>
      <c r="D383" s="18" t="s">
        <v>31</v>
      </c>
      <c r="E383" s="27">
        <v>42566.34190972222</v>
      </c>
      <c r="F383" s="19">
        <f>IFERROR(__xludf.DUMMYFUNCTION("IFERROR(TO_DATE(E383), """")"),42566.34190972222)</f>
        <v>42566.34191</v>
      </c>
      <c r="G383" s="20">
        <f t="shared" si="1"/>
        <v>8</v>
      </c>
      <c r="H383" s="27">
        <v>42566.38744212963</v>
      </c>
      <c r="I383" s="19">
        <f>IFERROR(__xludf.DUMMYFUNCTION("IFERROR(TO_DATE(H383), """")"),42566.38744212963)</f>
        <v>42566.38744</v>
      </c>
      <c r="J383" s="19" t="s">
        <v>14</v>
      </c>
      <c r="K383" s="22">
        <f t="shared" si="2"/>
        <v>0</v>
      </c>
    </row>
    <row r="384">
      <c r="A384" s="18">
        <v>5958.0</v>
      </c>
      <c r="B384" s="18" t="s">
        <v>30</v>
      </c>
      <c r="C384" s="18">
        <v>38.0</v>
      </c>
      <c r="D384" s="18" t="s">
        <v>31</v>
      </c>
      <c r="E384" s="27">
        <v>42566.45043981481</v>
      </c>
      <c r="F384" s="19">
        <f>IFERROR(__xludf.DUMMYFUNCTION("IFERROR(TO_DATE(E384), """")"),42566.45043981481)</f>
        <v>42566.45044</v>
      </c>
      <c r="G384" s="20">
        <f t="shared" si="1"/>
        <v>10</v>
      </c>
      <c r="H384" s="27">
        <v>42566.49259259259</v>
      </c>
      <c r="I384" s="19">
        <f>IFERROR(__xludf.DUMMYFUNCTION("IFERROR(TO_DATE(H384), """")"),42566.49259259259)</f>
        <v>42566.49259</v>
      </c>
      <c r="J384" s="19" t="s">
        <v>14</v>
      </c>
      <c r="K384" s="22">
        <f t="shared" si="2"/>
        <v>0</v>
      </c>
    </row>
    <row r="385">
      <c r="A385" s="18">
        <v>6314.0</v>
      </c>
      <c r="B385" s="18" t="s">
        <v>32</v>
      </c>
      <c r="C385" s="18">
        <v>38.0</v>
      </c>
      <c r="D385" s="18" t="s">
        <v>31</v>
      </c>
      <c r="E385" s="27">
        <v>42566.77159722222</v>
      </c>
      <c r="F385" s="19">
        <f>IFERROR(__xludf.DUMMYFUNCTION("IFERROR(TO_DATE(E385), """")"),42566.77159722222)</f>
        <v>42566.7716</v>
      </c>
      <c r="G385" s="20">
        <f t="shared" si="1"/>
        <v>18</v>
      </c>
      <c r="H385" s="27">
        <v>42566.81282407408</v>
      </c>
      <c r="I385" s="19">
        <f>IFERROR(__xludf.DUMMYFUNCTION("IFERROR(TO_DATE(H385), """")"),42566.81282407408)</f>
        <v>42566.81282</v>
      </c>
      <c r="J385" s="19" t="s">
        <v>12</v>
      </c>
      <c r="K385" s="22">
        <f t="shared" si="2"/>
        <v>0</v>
      </c>
    </row>
    <row r="386">
      <c r="A386" s="18">
        <v>249.0</v>
      </c>
      <c r="B386" s="18" t="s">
        <v>32</v>
      </c>
      <c r="C386" s="18">
        <v>39.0</v>
      </c>
      <c r="D386" s="18" t="s">
        <v>31</v>
      </c>
      <c r="E386" s="26">
        <v>42562.271527777775</v>
      </c>
      <c r="F386" s="19">
        <f>IFERROR(__xludf.DUMMYFUNCTION("IFERROR(TO_DATE(E386), """")"),42562.271527777775)</f>
        <v>42562.27153</v>
      </c>
      <c r="G386" s="20">
        <f t="shared" si="1"/>
        <v>6</v>
      </c>
      <c r="H386" s="26">
        <v>42562.30138888889</v>
      </c>
      <c r="I386" s="19">
        <f>IFERROR(__xludf.DUMMYFUNCTION("IFERROR(TO_DATE(H386), """")"),42562.30138888889)</f>
        <v>42562.30139</v>
      </c>
      <c r="J386" s="19" t="s">
        <v>11</v>
      </c>
      <c r="K386" s="22">
        <f t="shared" si="2"/>
        <v>0</v>
      </c>
    </row>
    <row r="387">
      <c r="A387" s="18">
        <v>728.0</v>
      </c>
      <c r="B387" s="18" t="s">
        <v>32</v>
      </c>
      <c r="C387" s="18">
        <v>39.0</v>
      </c>
      <c r="D387" s="18" t="s">
        <v>31</v>
      </c>
      <c r="E387" s="26">
        <v>42562.62847222222</v>
      </c>
      <c r="F387" s="19">
        <f>IFERROR(__xludf.DUMMYFUNCTION("IFERROR(TO_DATE(E387), """")"),42562.62847222222)</f>
        <v>42562.62847</v>
      </c>
      <c r="G387" s="20">
        <f t="shared" si="1"/>
        <v>15</v>
      </c>
      <c r="H387" s="26">
        <v>42562.67291666667</v>
      </c>
      <c r="I387" s="19">
        <f>IFERROR(__xludf.DUMMYFUNCTION("IFERROR(TO_DATE(H387), """")"),42562.67291666667)</f>
        <v>42562.67292</v>
      </c>
      <c r="J387" s="19" t="s">
        <v>10</v>
      </c>
      <c r="K387" s="22">
        <f t="shared" si="2"/>
        <v>0</v>
      </c>
    </row>
    <row r="388">
      <c r="A388" s="18">
        <v>3042.0</v>
      </c>
      <c r="B388" s="18" t="s">
        <v>32</v>
      </c>
      <c r="C388" s="18">
        <v>39.0</v>
      </c>
      <c r="D388" s="18" t="s">
        <v>31</v>
      </c>
      <c r="E388" s="27">
        <v>42564.31864583334</v>
      </c>
      <c r="F388" s="19">
        <f>IFERROR(__xludf.DUMMYFUNCTION("IFERROR(TO_DATE(E388), """")"),42564.31864583334)</f>
        <v>42564.31865</v>
      </c>
      <c r="G388" s="20">
        <f t="shared" si="1"/>
        <v>7</v>
      </c>
      <c r="H388" s="27">
        <v>42564.356099537035</v>
      </c>
      <c r="I388" s="19">
        <f>IFERROR(__xludf.DUMMYFUNCTION("IFERROR(TO_DATE(H388), """")"),42564.356099537035)</f>
        <v>42564.3561</v>
      </c>
      <c r="J388" s="19" t="s">
        <v>11</v>
      </c>
      <c r="K388" s="22">
        <f t="shared" si="2"/>
        <v>0</v>
      </c>
    </row>
    <row r="389">
      <c r="A389" s="18">
        <v>3620.0</v>
      </c>
      <c r="B389" s="18" t="s">
        <v>32</v>
      </c>
      <c r="C389" s="18">
        <v>39.0</v>
      </c>
      <c r="D389" s="18" t="s">
        <v>31</v>
      </c>
      <c r="E389" s="27">
        <v>42564.78810185185</v>
      </c>
      <c r="F389" s="19">
        <f>IFERROR(__xludf.DUMMYFUNCTION("IFERROR(TO_DATE(E389), """")"),42564.78810185185)</f>
        <v>42564.7881</v>
      </c>
      <c r="G389" s="20">
        <f t="shared" si="1"/>
        <v>18</v>
      </c>
      <c r="H389" s="27">
        <v>42564.8393287037</v>
      </c>
      <c r="I389" s="19">
        <f>IFERROR(__xludf.DUMMYFUNCTION("IFERROR(TO_DATE(H389), """")"),42564.8393287037)</f>
        <v>42564.83933</v>
      </c>
      <c r="J389" s="19" t="s">
        <v>12</v>
      </c>
      <c r="K389" s="22">
        <f t="shared" si="2"/>
        <v>0</v>
      </c>
    </row>
    <row r="390">
      <c r="A390" s="18">
        <v>4276.0</v>
      </c>
      <c r="B390" s="18" t="s">
        <v>32</v>
      </c>
      <c r="C390" s="18">
        <v>39.0</v>
      </c>
      <c r="D390" s="18" t="s">
        <v>31</v>
      </c>
      <c r="E390" s="27">
        <v>42565.26532407408</v>
      </c>
      <c r="F390" s="19">
        <f>IFERROR(__xludf.DUMMYFUNCTION("IFERROR(TO_DATE(E390), """")"),42565.26532407408)</f>
        <v>42565.26532</v>
      </c>
      <c r="G390" s="20">
        <f t="shared" si="1"/>
        <v>6</v>
      </c>
      <c r="H390" s="27">
        <v>42565.307662037034</v>
      </c>
      <c r="I390" s="19">
        <f>IFERROR(__xludf.DUMMYFUNCTION("IFERROR(TO_DATE(H390), """")"),42565.307662037034)</f>
        <v>42565.30766</v>
      </c>
      <c r="J390" s="19" t="s">
        <v>11</v>
      </c>
      <c r="K390" s="22">
        <f t="shared" si="2"/>
        <v>0</v>
      </c>
    </row>
    <row r="391">
      <c r="A391" s="18">
        <v>4735.0</v>
      </c>
      <c r="B391" s="18" t="s">
        <v>32</v>
      </c>
      <c r="C391" s="18">
        <v>39.0</v>
      </c>
      <c r="D391" s="18" t="s">
        <v>31</v>
      </c>
      <c r="E391" s="27">
        <v>42565.61331018519</v>
      </c>
      <c r="F391" s="19">
        <f>IFERROR(__xludf.DUMMYFUNCTION("IFERROR(TO_DATE(E391), """")"),42565.61331018519)</f>
        <v>42565.61331</v>
      </c>
      <c r="G391" s="20">
        <f t="shared" si="1"/>
        <v>14</v>
      </c>
      <c r="H391" s="27">
        <v>42565.660844907405</v>
      </c>
      <c r="I391" s="19">
        <f>IFERROR(__xludf.DUMMYFUNCTION("IFERROR(TO_DATE(H391), """")"),42565.660844907405)</f>
        <v>42565.66084</v>
      </c>
      <c r="J391" s="19" t="s">
        <v>10</v>
      </c>
      <c r="K391" s="22">
        <f t="shared" si="2"/>
        <v>0</v>
      </c>
    </row>
    <row r="392">
      <c r="A392" s="18">
        <v>1353.0</v>
      </c>
      <c r="B392" s="18" t="s">
        <v>30</v>
      </c>
      <c r="C392" s="18">
        <v>40.0</v>
      </c>
      <c r="D392" s="18" t="s">
        <v>31</v>
      </c>
      <c r="E392" s="26">
        <v>42562.99375</v>
      </c>
      <c r="F392" s="19">
        <f>IFERROR(__xludf.DUMMYFUNCTION("IFERROR(TO_DATE(E392), """")"),42562.99375)</f>
        <v>42562.99375</v>
      </c>
      <c r="G392" s="20">
        <f t="shared" si="1"/>
        <v>23</v>
      </c>
      <c r="H392" s="26">
        <v>42563.02361111111</v>
      </c>
      <c r="I392" s="19">
        <f>IFERROR(__xludf.DUMMYFUNCTION("IFERROR(TO_DATE(H392), """")"),42563.02361111111)</f>
        <v>42563.02361</v>
      </c>
      <c r="J392" s="19" t="s">
        <v>13</v>
      </c>
      <c r="K392" s="22">
        <f t="shared" si="2"/>
        <v>0</v>
      </c>
    </row>
    <row r="393">
      <c r="A393" s="18">
        <v>1568.0</v>
      </c>
      <c r="B393" s="18" t="s">
        <v>32</v>
      </c>
      <c r="C393" s="18">
        <v>40.0</v>
      </c>
      <c r="D393" s="18" t="s">
        <v>31</v>
      </c>
      <c r="E393" s="26">
        <v>42563.2625</v>
      </c>
      <c r="F393" s="19">
        <f>IFERROR(__xludf.DUMMYFUNCTION("IFERROR(TO_DATE(E393), """")"),42563.2625)</f>
        <v>42563.2625</v>
      </c>
      <c r="G393" s="20">
        <f t="shared" si="1"/>
        <v>6</v>
      </c>
      <c r="H393" s="26">
        <v>42563.28611111111</v>
      </c>
      <c r="I393" s="19">
        <f>IFERROR(__xludf.DUMMYFUNCTION("IFERROR(TO_DATE(H393), """")"),42563.28611111111)</f>
        <v>42563.28611</v>
      </c>
      <c r="J393" s="19" t="s">
        <v>11</v>
      </c>
      <c r="K393" s="22">
        <f t="shared" si="2"/>
        <v>0</v>
      </c>
    </row>
    <row r="394">
      <c r="A394" s="18">
        <v>2465.0</v>
      </c>
      <c r="B394" s="18" t="s">
        <v>32</v>
      </c>
      <c r="C394" s="18">
        <v>40.0</v>
      </c>
      <c r="D394" s="18" t="s">
        <v>31</v>
      </c>
      <c r="E394" s="26">
        <v>42563.85972222222</v>
      </c>
      <c r="F394" s="19">
        <f>IFERROR(__xludf.DUMMYFUNCTION("IFERROR(TO_DATE(E394), """")"),42563.85972222222)</f>
        <v>42563.85972</v>
      </c>
      <c r="G394" s="20">
        <f t="shared" si="1"/>
        <v>20</v>
      </c>
      <c r="H394" s="26">
        <v>42563.90069444444</v>
      </c>
      <c r="I394" s="19">
        <f>IFERROR(__xludf.DUMMYFUNCTION("IFERROR(TO_DATE(H394), """")"),42563.90069444444)</f>
        <v>42563.90069</v>
      </c>
      <c r="J394" s="19" t="s">
        <v>13</v>
      </c>
      <c r="K394" s="22">
        <f t="shared" si="2"/>
        <v>0</v>
      </c>
    </row>
    <row r="395">
      <c r="A395" s="18">
        <v>3688.0</v>
      </c>
      <c r="B395" s="18" t="s">
        <v>32</v>
      </c>
      <c r="C395" s="18">
        <v>40.0</v>
      </c>
      <c r="D395" s="18" t="s">
        <v>31</v>
      </c>
      <c r="E395" s="27">
        <v>42564.81935185185</v>
      </c>
      <c r="F395" s="19">
        <f>IFERROR(__xludf.DUMMYFUNCTION("IFERROR(TO_DATE(E395), """")"),42564.81935185185)</f>
        <v>42564.81935</v>
      </c>
      <c r="G395" s="20">
        <f t="shared" si="1"/>
        <v>19</v>
      </c>
      <c r="H395" s="27">
        <v>42564.86170138889</v>
      </c>
      <c r="I395" s="19">
        <f>IFERROR(__xludf.DUMMYFUNCTION("IFERROR(TO_DATE(H395), """")"),42564.86170138889)</f>
        <v>42564.8617</v>
      </c>
      <c r="J395" s="19" t="s">
        <v>12</v>
      </c>
      <c r="K395" s="22">
        <f t="shared" si="2"/>
        <v>0</v>
      </c>
    </row>
    <row r="396">
      <c r="A396" s="18">
        <v>4727.0</v>
      </c>
      <c r="B396" s="18" t="s">
        <v>32</v>
      </c>
      <c r="C396" s="18">
        <v>40.0</v>
      </c>
      <c r="D396" s="18" t="s">
        <v>31</v>
      </c>
      <c r="E396" s="27">
        <v>42565.58770833333</v>
      </c>
      <c r="F396" s="19">
        <f>IFERROR(__xludf.DUMMYFUNCTION("IFERROR(TO_DATE(E396), """")"),42565.58770833333)</f>
        <v>42565.58771</v>
      </c>
      <c r="G396" s="20">
        <f t="shared" si="1"/>
        <v>14</v>
      </c>
      <c r="H396" s="27">
        <v>42565.62702546296</v>
      </c>
      <c r="I396" s="19">
        <f>IFERROR(__xludf.DUMMYFUNCTION("IFERROR(TO_DATE(H396), """")"),42565.62702546296)</f>
        <v>42565.62703</v>
      </c>
      <c r="J396" s="19" t="s">
        <v>10</v>
      </c>
      <c r="K396" s="22">
        <f t="shared" si="2"/>
        <v>0</v>
      </c>
    </row>
    <row r="397">
      <c r="A397" s="18">
        <v>5348.0</v>
      </c>
      <c r="B397" s="18" t="s">
        <v>32</v>
      </c>
      <c r="C397" s="18">
        <v>40.0</v>
      </c>
      <c r="D397" s="18" t="s">
        <v>31</v>
      </c>
      <c r="E397" s="27">
        <v>42565.95202546296</v>
      </c>
      <c r="F397" s="19">
        <f>IFERROR(__xludf.DUMMYFUNCTION("IFERROR(TO_DATE(E397), """")"),42565.95202546296)</f>
        <v>42565.95203</v>
      </c>
      <c r="G397" s="20">
        <f t="shared" si="1"/>
        <v>22</v>
      </c>
      <c r="H397" s="27">
        <v>42565.98978009259</v>
      </c>
      <c r="I397" s="19">
        <f>IFERROR(__xludf.DUMMYFUNCTION("IFERROR(TO_DATE(H397), """")"),42565.98978009259)</f>
        <v>42565.98978</v>
      </c>
      <c r="J397" s="19" t="s">
        <v>13</v>
      </c>
      <c r="K397" s="22">
        <f t="shared" si="2"/>
        <v>0</v>
      </c>
    </row>
    <row r="398">
      <c r="A398" s="18">
        <v>6537.0</v>
      </c>
      <c r="B398" s="18" t="s">
        <v>30</v>
      </c>
      <c r="C398" s="18">
        <v>40.0</v>
      </c>
      <c r="D398" s="18" t="s">
        <v>31</v>
      </c>
      <c r="E398" s="27">
        <v>42566.86965277778</v>
      </c>
      <c r="F398" s="19">
        <f>IFERROR(__xludf.DUMMYFUNCTION("IFERROR(TO_DATE(E398), """")"),42566.86965277778)</f>
        <v>42566.86965</v>
      </c>
      <c r="G398" s="20">
        <f t="shared" si="1"/>
        <v>20</v>
      </c>
      <c r="H398" s="27">
        <v>42566.918854166666</v>
      </c>
      <c r="I398" s="19">
        <f>IFERROR(__xludf.DUMMYFUNCTION("IFERROR(TO_DATE(H398), """")"),42566.918854166666)</f>
        <v>42566.91885</v>
      </c>
      <c r="J398" s="19" t="s">
        <v>13</v>
      </c>
      <c r="K398" s="22">
        <f t="shared" si="2"/>
        <v>0</v>
      </c>
    </row>
    <row r="399">
      <c r="A399" s="18">
        <v>1941.0</v>
      </c>
      <c r="B399" s="18" t="s">
        <v>30</v>
      </c>
      <c r="C399" s="18">
        <v>41.0</v>
      </c>
      <c r="D399" s="18" t="s">
        <v>31</v>
      </c>
      <c r="E399" s="26">
        <v>42563.478472222225</v>
      </c>
      <c r="F399" s="19">
        <f>IFERROR(__xludf.DUMMYFUNCTION("IFERROR(TO_DATE(E399), """")"),42563.478472222225)</f>
        <v>42563.47847</v>
      </c>
      <c r="G399" s="20">
        <f t="shared" si="1"/>
        <v>11</v>
      </c>
      <c r="H399" s="26">
        <v>42563.50625</v>
      </c>
      <c r="I399" s="19">
        <f>IFERROR(__xludf.DUMMYFUNCTION("IFERROR(TO_DATE(H399), """")"),42563.50625)</f>
        <v>42563.50625</v>
      </c>
      <c r="J399" s="19" t="s">
        <v>14</v>
      </c>
      <c r="K399" s="22">
        <f t="shared" si="2"/>
        <v>0</v>
      </c>
    </row>
    <row r="400">
      <c r="A400" s="18">
        <v>3766.0</v>
      </c>
      <c r="B400" s="18" t="s">
        <v>30</v>
      </c>
      <c r="C400" s="18">
        <v>41.0</v>
      </c>
      <c r="D400" s="18" t="s">
        <v>31</v>
      </c>
      <c r="E400" s="27">
        <v>42564.856261574074</v>
      </c>
      <c r="F400" s="19">
        <f>IFERROR(__xludf.DUMMYFUNCTION("IFERROR(TO_DATE(E400), """")"),42564.856261574074)</f>
        <v>42564.85626</v>
      </c>
      <c r="G400" s="20">
        <f t="shared" si="1"/>
        <v>20</v>
      </c>
      <c r="H400" s="27">
        <v>42564.89193287037</v>
      </c>
      <c r="I400" s="19">
        <f>IFERROR(__xludf.DUMMYFUNCTION("IFERROR(TO_DATE(H400), """")"),42564.89193287037)</f>
        <v>42564.89193</v>
      </c>
      <c r="J400" s="19" t="s">
        <v>13</v>
      </c>
      <c r="K400" s="22">
        <f t="shared" si="2"/>
        <v>0</v>
      </c>
    </row>
    <row r="401">
      <c r="A401" s="18">
        <v>4243.0</v>
      </c>
      <c r="B401" s="18" t="s">
        <v>30</v>
      </c>
      <c r="C401" s="18">
        <v>41.0</v>
      </c>
      <c r="D401" s="18" t="s">
        <v>31</v>
      </c>
      <c r="E401" s="27">
        <v>42565.25193287037</v>
      </c>
      <c r="F401" s="19">
        <f>IFERROR(__xludf.DUMMYFUNCTION("IFERROR(TO_DATE(E401), """")"),42565.25193287037)</f>
        <v>42565.25193</v>
      </c>
      <c r="G401" s="20">
        <f t="shared" si="1"/>
        <v>6</v>
      </c>
      <c r="H401" s="27">
        <v>42565.276354166665</v>
      </c>
      <c r="I401" s="19">
        <f>IFERROR(__xludf.DUMMYFUNCTION("IFERROR(TO_DATE(H401), """")"),42565.276354166665)</f>
        <v>42565.27635</v>
      </c>
      <c r="J401" s="19" t="s">
        <v>11</v>
      </c>
      <c r="K401" s="22">
        <f t="shared" si="2"/>
        <v>0</v>
      </c>
    </row>
    <row r="402">
      <c r="A402" s="18">
        <v>4717.0</v>
      </c>
      <c r="B402" s="18" t="s">
        <v>30</v>
      </c>
      <c r="C402" s="18">
        <v>41.0</v>
      </c>
      <c r="D402" s="18" t="s">
        <v>31</v>
      </c>
      <c r="E402" s="27">
        <v>42565.57135416667</v>
      </c>
      <c r="F402" s="19">
        <f>IFERROR(__xludf.DUMMYFUNCTION("IFERROR(TO_DATE(E402), """")"),42565.57135416667)</f>
        <v>42565.57135</v>
      </c>
      <c r="G402" s="20">
        <f t="shared" si="1"/>
        <v>13</v>
      </c>
      <c r="H402" s="27">
        <v>42565.60900462963</v>
      </c>
      <c r="I402" s="19">
        <f>IFERROR(__xludf.DUMMYFUNCTION("IFERROR(TO_DATE(H402), """")"),42565.60900462963)</f>
        <v>42565.609</v>
      </c>
      <c r="J402" s="19" t="s">
        <v>10</v>
      </c>
      <c r="K402" s="22">
        <f t="shared" si="2"/>
        <v>0</v>
      </c>
    </row>
    <row r="403">
      <c r="A403" s="18">
        <v>5682.0</v>
      </c>
      <c r="B403" s="18" t="s">
        <v>32</v>
      </c>
      <c r="C403" s="18">
        <v>41.0</v>
      </c>
      <c r="D403" s="18" t="s">
        <v>31</v>
      </c>
      <c r="E403" s="27">
        <v>42566.30299768518</v>
      </c>
      <c r="F403" s="19">
        <f>IFERROR(__xludf.DUMMYFUNCTION("IFERROR(TO_DATE(E403), """")"),42566.30299768518)</f>
        <v>42566.303</v>
      </c>
      <c r="G403" s="20">
        <f t="shared" si="1"/>
        <v>7</v>
      </c>
      <c r="H403" s="27">
        <v>42566.350636574076</v>
      </c>
      <c r="I403" s="19">
        <f>IFERROR(__xludf.DUMMYFUNCTION("IFERROR(TO_DATE(H403), """")"),42566.350636574076)</f>
        <v>42566.35064</v>
      </c>
      <c r="J403" s="19" t="s">
        <v>11</v>
      </c>
      <c r="K403" s="22">
        <f t="shared" si="2"/>
        <v>0</v>
      </c>
    </row>
    <row r="404">
      <c r="A404" s="18">
        <v>6343.0</v>
      </c>
      <c r="B404" s="18" t="s">
        <v>32</v>
      </c>
      <c r="C404" s="18">
        <v>41.0</v>
      </c>
      <c r="D404" s="18" t="s">
        <v>31</v>
      </c>
      <c r="E404" s="27">
        <v>42566.780636574076</v>
      </c>
      <c r="F404" s="19">
        <f>IFERROR(__xludf.DUMMYFUNCTION("IFERROR(TO_DATE(E404), """")"),42566.780636574076)</f>
        <v>42566.78064</v>
      </c>
      <c r="G404" s="20">
        <f t="shared" si="1"/>
        <v>18</v>
      </c>
      <c r="H404" s="27">
        <v>42566.80693287037</v>
      </c>
      <c r="I404" s="19">
        <f>IFERROR(__xludf.DUMMYFUNCTION("IFERROR(TO_DATE(H404), """")"),42566.80693287037)</f>
        <v>42566.80693</v>
      </c>
      <c r="J404" s="19" t="s">
        <v>12</v>
      </c>
      <c r="K404" s="22">
        <f t="shared" si="2"/>
        <v>0</v>
      </c>
    </row>
    <row r="405">
      <c r="A405" s="18">
        <v>6726.0</v>
      </c>
      <c r="B405" s="18" t="s">
        <v>30</v>
      </c>
      <c r="C405" s="18">
        <v>41.0</v>
      </c>
      <c r="D405" s="18" t="s">
        <v>31</v>
      </c>
      <c r="E405" s="27">
        <v>42566.97393518518</v>
      </c>
      <c r="F405" s="19">
        <f>IFERROR(__xludf.DUMMYFUNCTION("IFERROR(TO_DATE(E405), """")"),42566.97393518518)</f>
        <v>42566.97394</v>
      </c>
      <c r="G405" s="20">
        <f t="shared" si="1"/>
        <v>23</v>
      </c>
      <c r="H405" s="27">
        <v>42567.008368055554</v>
      </c>
      <c r="I405" s="19">
        <f>IFERROR(__xludf.DUMMYFUNCTION("IFERROR(TO_DATE(H405), """")"),42567.008368055554)</f>
        <v>42567.00837</v>
      </c>
      <c r="J405" s="19" t="s">
        <v>13</v>
      </c>
      <c r="K405" s="22">
        <f t="shared" si="2"/>
        <v>0</v>
      </c>
    </row>
    <row r="406">
      <c r="A406" s="18">
        <v>238.0</v>
      </c>
      <c r="B406" s="18" t="s">
        <v>32</v>
      </c>
      <c r="C406" s="18">
        <v>42.0</v>
      </c>
      <c r="D406" s="18" t="s">
        <v>31</v>
      </c>
      <c r="E406" s="26">
        <v>42562.26875</v>
      </c>
      <c r="F406" s="19">
        <f>IFERROR(__xludf.DUMMYFUNCTION("IFERROR(TO_DATE(E406), """")"),42562.26875)</f>
        <v>42562.26875</v>
      </c>
      <c r="G406" s="20">
        <f t="shared" si="1"/>
        <v>6</v>
      </c>
      <c r="H406" s="26">
        <v>42562.302083333336</v>
      </c>
      <c r="I406" s="19">
        <f>IFERROR(__xludf.DUMMYFUNCTION("IFERROR(TO_DATE(H406), """")"),42562.302083333336)</f>
        <v>42562.30208</v>
      </c>
      <c r="J406" s="19" t="s">
        <v>11</v>
      </c>
      <c r="K406" s="22">
        <f t="shared" si="2"/>
        <v>0</v>
      </c>
    </row>
    <row r="407">
      <c r="A407" s="18">
        <v>2624.0</v>
      </c>
      <c r="B407" s="18" t="s">
        <v>32</v>
      </c>
      <c r="C407" s="18">
        <v>42.0</v>
      </c>
      <c r="D407" s="18" t="s">
        <v>31</v>
      </c>
      <c r="E407" s="26">
        <v>42563.927777777775</v>
      </c>
      <c r="F407" s="19">
        <f>IFERROR(__xludf.DUMMYFUNCTION("IFERROR(TO_DATE(E407), """")"),42563.927777777775)</f>
        <v>42563.92778</v>
      </c>
      <c r="G407" s="20">
        <f t="shared" si="1"/>
        <v>22</v>
      </c>
      <c r="H407" s="26">
        <v>42563.970138888886</v>
      </c>
      <c r="I407" s="19">
        <f>IFERROR(__xludf.DUMMYFUNCTION("IFERROR(TO_DATE(H407), """")"),42563.970138888886)</f>
        <v>42563.97014</v>
      </c>
      <c r="J407" s="19" t="s">
        <v>13</v>
      </c>
      <c r="K407" s="22">
        <f t="shared" si="2"/>
        <v>0</v>
      </c>
    </row>
    <row r="408">
      <c r="A408" s="18">
        <v>2787.0</v>
      </c>
      <c r="B408" s="18" t="s">
        <v>32</v>
      </c>
      <c r="C408" s="18">
        <v>42.0</v>
      </c>
      <c r="D408" s="18" t="s">
        <v>31</v>
      </c>
      <c r="E408" s="27">
        <v>42564.20469907407</v>
      </c>
      <c r="F408" s="19">
        <f>IFERROR(__xludf.DUMMYFUNCTION("IFERROR(TO_DATE(E408), """")"),42564.20469907407)</f>
        <v>42564.2047</v>
      </c>
      <c r="G408" s="20">
        <f t="shared" si="1"/>
        <v>4</v>
      </c>
      <c r="H408" s="27">
        <v>42564.22859953704</v>
      </c>
      <c r="I408" s="19">
        <f>IFERROR(__xludf.DUMMYFUNCTION("IFERROR(TO_DATE(H408), """")"),42564.22859953704)</f>
        <v>42564.2286</v>
      </c>
      <c r="J408" s="19" t="s">
        <v>11</v>
      </c>
      <c r="K408" s="22">
        <f t="shared" si="2"/>
        <v>0</v>
      </c>
    </row>
    <row r="409">
      <c r="A409" s="18">
        <v>3992.0</v>
      </c>
      <c r="B409" s="18" t="s">
        <v>32</v>
      </c>
      <c r="C409" s="18">
        <v>42.0</v>
      </c>
      <c r="D409" s="18" t="s">
        <v>31</v>
      </c>
      <c r="E409" s="27">
        <v>42564.97560185185</v>
      </c>
      <c r="F409" s="19">
        <f>IFERROR(__xludf.DUMMYFUNCTION("IFERROR(TO_DATE(E409), """")"),42564.97560185185)</f>
        <v>42564.9756</v>
      </c>
      <c r="G409" s="20">
        <f t="shared" si="1"/>
        <v>23</v>
      </c>
      <c r="H409" s="27">
        <v>42565.003229166665</v>
      </c>
      <c r="I409" s="19">
        <f>IFERROR(__xludf.DUMMYFUNCTION("IFERROR(TO_DATE(H409), """")"),42565.003229166665)</f>
        <v>42565.00323</v>
      </c>
      <c r="J409" s="19" t="s">
        <v>13</v>
      </c>
      <c r="K409" s="22">
        <f t="shared" si="2"/>
        <v>0</v>
      </c>
    </row>
    <row r="410">
      <c r="A410" s="18">
        <v>4974.0</v>
      </c>
      <c r="B410" s="18" t="s">
        <v>32</v>
      </c>
      <c r="C410" s="18">
        <v>42.0</v>
      </c>
      <c r="D410" s="18" t="s">
        <v>31</v>
      </c>
      <c r="E410" s="27">
        <v>42565.781226851854</v>
      </c>
      <c r="F410" s="19">
        <f>IFERROR(__xludf.DUMMYFUNCTION("IFERROR(TO_DATE(E410), """")"),42565.781226851854)</f>
        <v>42565.78123</v>
      </c>
      <c r="G410" s="20">
        <f t="shared" si="1"/>
        <v>18</v>
      </c>
      <c r="H410" s="27">
        <v>42565.80298611111</v>
      </c>
      <c r="I410" s="19">
        <f>IFERROR(__xludf.DUMMYFUNCTION("IFERROR(TO_DATE(H410), """")"),42565.80298611111)</f>
        <v>42565.80299</v>
      </c>
      <c r="J410" s="19" t="s">
        <v>12</v>
      </c>
      <c r="K410" s="22">
        <f t="shared" si="2"/>
        <v>0</v>
      </c>
    </row>
    <row r="411">
      <c r="A411" s="18">
        <v>5478.0</v>
      </c>
      <c r="B411" s="18" t="s">
        <v>30</v>
      </c>
      <c r="C411" s="18">
        <v>42.0</v>
      </c>
      <c r="D411" s="18" t="s">
        <v>31</v>
      </c>
      <c r="E411" s="27">
        <v>42566.19699074074</v>
      </c>
      <c r="F411" s="19">
        <f>IFERROR(__xludf.DUMMYFUNCTION("IFERROR(TO_DATE(E411), """")"),42566.19699074074)</f>
        <v>42566.19699</v>
      </c>
      <c r="G411" s="20">
        <f t="shared" si="1"/>
        <v>4</v>
      </c>
      <c r="H411" s="27">
        <v>42566.23940972222</v>
      </c>
      <c r="I411" s="19">
        <f>IFERROR(__xludf.DUMMYFUNCTION("IFERROR(TO_DATE(H411), """")"),42566.23940972222)</f>
        <v>42566.23941</v>
      </c>
      <c r="J411" s="19" t="s">
        <v>11</v>
      </c>
      <c r="K411" s="22">
        <f t="shared" si="2"/>
        <v>0</v>
      </c>
    </row>
    <row r="412">
      <c r="A412" s="18">
        <v>5641.0</v>
      </c>
      <c r="B412" s="18" t="s">
        <v>32</v>
      </c>
      <c r="C412" s="18">
        <v>42.0</v>
      </c>
      <c r="D412" s="18" t="s">
        <v>31</v>
      </c>
      <c r="E412" s="27">
        <v>42566.28240740741</v>
      </c>
      <c r="F412" s="19">
        <f>IFERROR(__xludf.DUMMYFUNCTION("IFERROR(TO_DATE(E412), """")"),42566.28240740741)</f>
        <v>42566.28241</v>
      </c>
      <c r="G412" s="20">
        <f t="shared" si="1"/>
        <v>6</v>
      </c>
      <c r="H412" s="27">
        <v>42566.30318287037</v>
      </c>
      <c r="I412" s="19">
        <f>IFERROR(__xludf.DUMMYFUNCTION("IFERROR(TO_DATE(H412), """")"),42566.30318287037)</f>
        <v>42566.30318</v>
      </c>
      <c r="J412" s="19" t="s">
        <v>11</v>
      </c>
      <c r="K412" s="22">
        <f t="shared" si="2"/>
        <v>0</v>
      </c>
    </row>
    <row r="413">
      <c r="A413" s="18">
        <v>128.0</v>
      </c>
      <c r="B413" s="18" t="s">
        <v>32</v>
      </c>
      <c r="C413" s="18">
        <v>43.0</v>
      </c>
      <c r="D413" s="18" t="s">
        <v>31</v>
      </c>
      <c r="E413" s="26">
        <v>42562.21666666667</v>
      </c>
      <c r="F413" s="19">
        <f>IFERROR(__xludf.DUMMYFUNCTION("IFERROR(TO_DATE(E413), """")"),42562.21666666667)</f>
        <v>42562.21667</v>
      </c>
      <c r="G413" s="20">
        <f t="shared" si="1"/>
        <v>5</v>
      </c>
      <c r="H413" s="26">
        <v>42562.24166666667</v>
      </c>
      <c r="I413" s="19">
        <f>IFERROR(__xludf.DUMMYFUNCTION("IFERROR(TO_DATE(H413), """")"),42562.24166666667)</f>
        <v>42562.24167</v>
      </c>
      <c r="J413" s="19" t="s">
        <v>11</v>
      </c>
      <c r="K413" s="22">
        <f t="shared" si="2"/>
        <v>0</v>
      </c>
    </row>
    <row r="414">
      <c r="A414" s="18">
        <v>627.0</v>
      </c>
      <c r="B414" s="18" t="s">
        <v>32</v>
      </c>
      <c r="C414" s="18">
        <v>43.0</v>
      </c>
      <c r="D414" s="18" t="s">
        <v>31</v>
      </c>
      <c r="E414" s="26">
        <v>42562.50833333333</v>
      </c>
      <c r="F414" s="19">
        <f>IFERROR(__xludf.DUMMYFUNCTION("IFERROR(TO_DATE(E414), """")"),42562.50833333333)</f>
        <v>42562.50833</v>
      </c>
      <c r="G414" s="20">
        <f t="shared" si="1"/>
        <v>12</v>
      </c>
      <c r="H414" s="26">
        <v>42562.54861111111</v>
      </c>
      <c r="I414" s="19">
        <f>IFERROR(__xludf.DUMMYFUNCTION("IFERROR(TO_DATE(H414), """")"),42562.54861111111)</f>
        <v>42562.54861</v>
      </c>
      <c r="J414" s="19" t="s">
        <v>10</v>
      </c>
      <c r="K414" s="22">
        <f t="shared" si="2"/>
        <v>0</v>
      </c>
    </row>
    <row r="415">
      <c r="A415" s="18">
        <v>1766.0</v>
      </c>
      <c r="B415" s="18" t="s">
        <v>30</v>
      </c>
      <c r="C415" s="18">
        <v>43.0</v>
      </c>
      <c r="D415" s="18" t="s">
        <v>31</v>
      </c>
      <c r="E415" s="26">
        <v>42563.364583333336</v>
      </c>
      <c r="F415" s="19">
        <f>IFERROR(__xludf.DUMMYFUNCTION("IFERROR(TO_DATE(E415), """")"),42563.364583333336)</f>
        <v>42563.36458</v>
      </c>
      <c r="G415" s="20">
        <f t="shared" si="1"/>
        <v>8</v>
      </c>
      <c r="H415" s="26">
        <v>42563.41111111111</v>
      </c>
      <c r="I415" s="19">
        <f>IFERROR(__xludf.DUMMYFUNCTION("IFERROR(TO_DATE(H415), """")"),42563.41111111111)</f>
        <v>42563.41111</v>
      </c>
      <c r="J415" s="19" t="s">
        <v>14</v>
      </c>
      <c r="K415" s="22">
        <f t="shared" si="2"/>
        <v>0</v>
      </c>
    </row>
    <row r="416">
      <c r="A416" s="18">
        <v>2089.0</v>
      </c>
      <c r="B416" s="18" t="s">
        <v>32</v>
      </c>
      <c r="C416" s="18">
        <v>43.0</v>
      </c>
      <c r="D416" s="18" t="s">
        <v>31</v>
      </c>
      <c r="E416" s="26">
        <v>42563.65902777778</v>
      </c>
      <c r="F416" s="19">
        <f>IFERROR(__xludf.DUMMYFUNCTION("IFERROR(TO_DATE(E416), """")"),42563.65902777778)</f>
        <v>42563.65903</v>
      </c>
      <c r="G416" s="20">
        <f t="shared" si="1"/>
        <v>15</v>
      </c>
      <c r="H416" s="26">
        <v>42563.688888888886</v>
      </c>
      <c r="I416" s="19">
        <f>IFERROR(__xludf.DUMMYFUNCTION("IFERROR(TO_DATE(H416), """")"),42563.688888888886)</f>
        <v>42563.68889</v>
      </c>
      <c r="J416" s="19" t="s">
        <v>10</v>
      </c>
      <c r="K416" s="22">
        <f t="shared" si="2"/>
        <v>0</v>
      </c>
    </row>
    <row r="417">
      <c r="A417" s="18">
        <v>3565.0</v>
      </c>
      <c r="B417" s="18" t="s">
        <v>32</v>
      </c>
      <c r="C417" s="18">
        <v>43.0</v>
      </c>
      <c r="D417" s="18" t="s">
        <v>31</v>
      </c>
      <c r="E417" s="27">
        <v>42564.75914351852</v>
      </c>
      <c r="F417" s="19">
        <f>IFERROR(__xludf.DUMMYFUNCTION("IFERROR(TO_DATE(E417), """")"),42564.75914351852)</f>
        <v>42564.75914</v>
      </c>
      <c r="G417" s="20">
        <f t="shared" si="1"/>
        <v>18</v>
      </c>
      <c r="H417" s="27">
        <v>42564.78505787037</v>
      </c>
      <c r="I417" s="19">
        <f>IFERROR(__xludf.DUMMYFUNCTION("IFERROR(TO_DATE(H417), """")"),42564.78505787037)</f>
        <v>42564.78506</v>
      </c>
      <c r="J417" s="19" t="s">
        <v>12</v>
      </c>
      <c r="K417" s="22">
        <f t="shared" si="2"/>
        <v>0</v>
      </c>
    </row>
    <row r="418">
      <c r="A418" s="18">
        <v>3954.0</v>
      </c>
      <c r="B418" s="18" t="s">
        <v>30</v>
      </c>
      <c r="C418" s="18">
        <v>43.0</v>
      </c>
      <c r="D418" s="18" t="s">
        <v>31</v>
      </c>
      <c r="E418" s="27">
        <v>42564.94704861111</v>
      </c>
      <c r="F418" s="19">
        <f>IFERROR(__xludf.DUMMYFUNCTION("IFERROR(TO_DATE(E418), """")"),42564.94704861111)</f>
        <v>42564.94705</v>
      </c>
      <c r="G418" s="20">
        <f t="shared" si="1"/>
        <v>22</v>
      </c>
      <c r="H418" s="27">
        <v>42565.00244212963</v>
      </c>
      <c r="I418" s="19">
        <f>IFERROR(__xludf.DUMMYFUNCTION("IFERROR(TO_DATE(H418), """")"),42565.00244212963)</f>
        <v>42565.00244</v>
      </c>
      <c r="J418" s="19" t="s">
        <v>13</v>
      </c>
      <c r="K418" s="22">
        <f t="shared" si="2"/>
        <v>0</v>
      </c>
    </row>
    <row r="419">
      <c r="A419" s="18">
        <v>4204.0</v>
      </c>
      <c r="B419" s="18" t="s">
        <v>32</v>
      </c>
      <c r="C419" s="18">
        <v>43.0</v>
      </c>
      <c r="D419" s="18" t="s">
        <v>31</v>
      </c>
      <c r="E419" s="27">
        <v>42565.233449074076</v>
      </c>
      <c r="F419" s="19">
        <f>IFERROR(__xludf.DUMMYFUNCTION("IFERROR(TO_DATE(E419), """")"),42565.233449074076)</f>
        <v>42565.23345</v>
      </c>
      <c r="G419" s="20">
        <f t="shared" si="1"/>
        <v>5</v>
      </c>
      <c r="H419" s="27">
        <v>42565.26613425926</v>
      </c>
      <c r="I419" s="19">
        <f>IFERROR(__xludf.DUMMYFUNCTION("IFERROR(TO_DATE(H419), """")"),42565.26613425926)</f>
        <v>42565.26613</v>
      </c>
      <c r="J419" s="19" t="s">
        <v>11</v>
      </c>
      <c r="K419" s="22">
        <f t="shared" si="2"/>
        <v>0</v>
      </c>
    </row>
    <row r="420">
      <c r="A420" s="18">
        <v>4651.0</v>
      </c>
      <c r="B420" s="18" t="s">
        <v>32</v>
      </c>
      <c r="C420" s="18">
        <v>43.0</v>
      </c>
      <c r="D420" s="18" t="s">
        <v>31</v>
      </c>
      <c r="E420" s="27">
        <v>42565.49613425926</v>
      </c>
      <c r="F420" s="19">
        <f>IFERROR(__xludf.DUMMYFUNCTION("IFERROR(TO_DATE(E420), """")"),42565.49613425926)</f>
        <v>42565.49613</v>
      </c>
      <c r="G420" s="20">
        <f t="shared" si="1"/>
        <v>11</v>
      </c>
      <c r="H420" s="27">
        <v>42565.532847222225</v>
      </c>
      <c r="I420" s="19">
        <f>IFERROR(__xludf.DUMMYFUNCTION("IFERROR(TO_DATE(H420), """")"),42565.532847222225)</f>
        <v>42565.53285</v>
      </c>
      <c r="J420" s="19" t="s">
        <v>14</v>
      </c>
      <c r="K420" s="22">
        <f t="shared" si="2"/>
        <v>0</v>
      </c>
    </row>
    <row r="421">
      <c r="A421" s="18">
        <v>5814.0</v>
      </c>
      <c r="B421" s="18" t="s">
        <v>32</v>
      </c>
      <c r="C421" s="18">
        <v>43.0</v>
      </c>
      <c r="D421" s="18" t="s">
        <v>31</v>
      </c>
      <c r="E421" s="27">
        <v>42566.363854166666</v>
      </c>
      <c r="F421" s="19">
        <f>IFERROR(__xludf.DUMMYFUNCTION("IFERROR(TO_DATE(E421), """")"),42566.363854166666)</f>
        <v>42566.36385</v>
      </c>
      <c r="G421" s="20">
        <f t="shared" si="1"/>
        <v>8</v>
      </c>
      <c r="H421" s="27">
        <v>42566.413460648146</v>
      </c>
      <c r="I421" s="19">
        <f>IFERROR(__xludf.DUMMYFUNCTION("IFERROR(TO_DATE(H421), """")"),42566.413460648146)</f>
        <v>42566.41346</v>
      </c>
      <c r="J421" s="19" t="s">
        <v>14</v>
      </c>
      <c r="K421" s="22">
        <f t="shared" si="2"/>
        <v>0</v>
      </c>
    </row>
    <row r="422">
      <c r="A422" s="18">
        <v>6062.0</v>
      </c>
      <c r="B422" s="18" t="s">
        <v>32</v>
      </c>
      <c r="C422" s="18">
        <v>43.0</v>
      </c>
      <c r="D422" s="18" t="s">
        <v>31</v>
      </c>
      <c r="E422" s="27">
        <v>42566.57546296297</v>
      </c>
      <c r="F422" s="19">
        <f>IFERROR(__xludf.DUMMYFUNCTION("IFERROR(TO_DATE(E422), """")"),42566.57546296297)</f>
        <v>42566.57546</v>
      </c>
      <c r="G422" s="20">
        <f t="shared" si="1"/>
        <v>13</v>
      </c>
      <c r="H422" s="27">
        <v>42566.619166666664</v>
      </c>
      <c r="I422" s="19">
        <f>IFERROR(__xludf.DUMMYFUNCTION("IFERROR(TO_DATE(H422), """")"),42566.619166666664)</f>
        <v>42566.61917</v>
      </c>
      <c r="J422" s="19" t="s">
        <v>10</v>
      </c>
      <c r="K422" s="22">
        <f t="shared" si="2"/>
        <v>0</v>
      </c>
    </row>
    <row r="423">
      <c r="A423" s="18">
        <v>118.0</v>
      </c>
      <c r="B423" s="18" t="s">
        <v>30</v>
      </c>
      <c r="C423" s="18">
        <v>44.0</v>
      </c>
      <c r="D423" s="18" t="s">
        <v>31</v>
      </c>
      <c r="E423" s="26">
        <v>42562.21597222222</v>
      </c>
      <c r="F423" s="19">
        <f>IFERROR(__xludf.DUMMYFUNCTION("IFERROR(TO_DATE(E423), """")"),42562.21597222222)</f>
        <v>42562.21597</v>
      </c>
      <c r="G423" s="20">
        <f t="shared" si="1"/>
        <v>5</v>
      </c>
      <c r="H423" s="26">
        <v>42562.24444444444</v>
      </c>
      <c r="I423" s="19">
        <f>IFERROR(__xludf.DUMMYFUNCTION("IFERROR(TO_DATE(H423), """")"),42562.24444444444)</f>
        <v>42562.24444</v>
      </c>
      <c r="J423" s="19" t="s">
        <v>11</v>
      </c>
      <c r="K423" s="22">
        <f t="shared" si="2"/>
        <v>0</v>
      </c>
    </row>
    <row r="424">
      <c r="A424" s="18">
        <v>339.0</v>
      </c>
      <c r="B424" s="18" t="s">
        <v>30</v>
      </c>
      <c r="C424" s="18">
        <v>44.0</v>
      </c>
      <c r="D424" s="18" t="s">
        <v>31</v>
      </c>
      <c r="E424" s="26">
        <v>42562.325694444444</v>
      </c>
      <c r="F424" s="19">
        <f>IFERROR(__xludf.DUMMYFUNCTION("IFERROR(TO_DATE(E424), """")"),42562.325694444444)</f>
        <v>42562.32569</v>
      </c>
      <c r="G424" s="20">
        <f t="shared" si="1"/>
        <v>7</v>
      </c>
      <c r="H424" s="26">
        <v>42562.364583333336</v>
      </c>
      <c r="I424" s="19">
        <f>IFERROR(__xludf.DUMMYFUNCTION("IFERROR(TO_DATE(H424), """")"),42562.364583333336)</f>
        <v>42562.36458</v>
      </c>
      <c r="J424" s="19" t="s">
        <v>11</v>
      </c>
      <c r="K424" s="22">
        <f t="shared" si="2"/>
        <v>0</v>
      </c>
    </row>
    <row r="425">
      <c r="A425" s="18">
        <v>766.0</v>
      </c>
      <c r="B425" s="18" t="s">
        <v>32</v>
      </c>
      <c r="C425" s="18">
        <v>44.0</v>
      </c>
      <c r="D425" s="18" t="s">
        <v>31</v>
      </c>
      <c r="E425" s="26">
        <v>42562.68263888889</v>
      </c>
      <c r="F425" s="19">
        <f>IFERROR(__xludf.DUMMYFUNCTION("IFERROR(TO_DATE(E425), """")"),42562.68263888889)</f>
        <v>42562.68264</v>
      </c>
      <c r="G425" s="20">
        <f t="shared" si="1"/>
        <v>16</v>
      </c>
      <c r="H425" s="26">
        <v>42562.72708333333</v>
      </c>
      <c r="I425" s="19">
        <f>IFERROR(__xludf.DUMMYFUNCTION("IFERROR(TO_DATE(H425), """")"),42562.72708333333)</f>
        <v>42562.72708</v>
      </c>
      <c r="J425" s="19" t="s">
        <v>12</v>
      </c>
      <c r="K425" s="22">
        <f t="shared" si="2"/>
        <v>0</v>
      </c>
    </row>
    <row r="426">
      <c r="A426" s="18">
        <v>1133.0</v>
      </c>
      <c r="B426" s="18" t="s">
        <v>30</v>
      </c>
      <c r="C426" s="18">
        <v>44.0</v>
      </c>
      <c r="D426" s="18" t="s">
        <v>31</v>
      </c>
      <c r="E426" s="26">
        <v>42562.85208333333</v>
      </c>
      <c r="F426" s="19">
        <f>IFERROR(__xludf.DUMMYFUNCTION("IFERROR(TO_DATE(E426), """")"),42562.85208333333)</f>
        <v>42562.85208</v>
      </c>
      <c r="G426" s="20">
        <f t="shared" si="1"/>
        <v>20</v>
      </c>
      <c r="H426" s="26">
        <v>42562.896527777775</v>
      </c>
      <c r="I426" s="19">
        <f>IFERROR(__xludf.DUMMYFUNCTION("IFERROR(TO_DATE(H426), """")"),42562.896527777775)</f>
        <v>42562.89653</v>
      </c>
      <c r="J426" s="19" t="s">
        <v>13</v>
      </c>
      <c r="K426" s="22">
        <f t="shared" si="2"/>
        <v>0</v>
      </c>
    </row>
    <row r="427">
      <c r="A427" s="18">
        <v>2458.0</v>
      </c>
      <c r="B427" s="18" t="s">
        <v>32</v>
      </c>
      <c r="C427" s="18">
        <v>44.0</v>
      </c>
      <c r="D427" s="18" t="s">
        <v>31</v>
      </c>
      <c r="E427" s="26">
        <v>42563.85625</v>
      </c>
      <c r="F427" s="19">
        <f>IFERROR(__xludf.DUMMYFUNCTION("IFERROR(TO_DATE(E427), """")"),42563.85625)</f>
        <v>42563.85625</v>
      </c>
      <c r="G427" s="20">
        <f t="shared" si="1"/>
        <v>20</v>
      </c>
      <c r="H427" s="26">
        <v>42563.89791666667</v>
      </c>
      <c r="I427" s="19">
        <f>IFERROR(__xludf.DUMMYFUNCTION("IFERROR(TO_DATE(H427), """")"),42563.89791666667)</f>
        <v>42563.89792</v>
      </c>
      <c r="J427" s="19" t="s">
        <v>13</v>
      </c>
      <c r="K427" s="22">
        <f t="shared" si="2"/>
        <v>0</v>
      </c>
    </row>
    <row r="428">
      <c r="A428" s="18">
        <v>3060.0</v>
      </c>
      <c r="B428" s="18" t="s">
        <v>30</v>
      </c>
      <c r="C428" s="18">
        <v>44.0</v>
      </c>
      <c r="D428" s="18" t="s">
        <v>31</v>
      </c>
      <c r="E428" s="27">
        <v>42564.33116898148</v>
      </c>
      <c r="F428" s="19">
        <f>IFERROR(__xludf.DUMMYFUNCTION("IFERROR(TO_DATE(E428), """")"),42564.33116898148)</f>
        <v>42564.33117</v>
      </c>
      <c r="G428" s="20">
        <f t="shared" si="1"/>
        <v>7</v>
      </c>
      <c r="H428" s="27">
        <v>42564.38348379629</v>
      </c>
      <c r="I428" s="19">
        <f>IFERROR(__xludf.DUMMYFUNCTION("IFERROR(TO_DATE(H428), """")"),42564.38348379629)</f>
        <v>42564.38348</v>
      </c>
      <c r="J428" s="19" t="s">
        <v>11</v>
      </c>
      <c r="K428" s="22">
        <f t="shared" si="2"/>
        <v>0</v>
      </c>
    </row>
    <row r="429">
      <c r="A429" s="18">
        <v>3653.0</v>
      </c>
      <c r="B429" s="18" t="s">
        <v>32</v>
      </c>
      <c r="C429" s="18">
        <v>44.0</v>
      </c>
      <c r="D429" s="18" t="s">
        <v>31</v>
      </c>
      <c r="E429" s="27">
        <v>42564.80447916667</v>
      </c>
      <c r="F429" s="19">
        <f>IFERROR(__xludf.DUMMYFUNCTION("IFERROR(TO_DATE(E429), """")"),42564.80447916667)</f>
        <v>42564.80448</v>
      </c>
      <c r="G429" s="20">
        <f t="shared" si="1"/>
        <v>19</v>
      </c>
      <c r="H429" s="27">
        <v>42564.82708333333</v>
      </c>
      <c r="I429" s="19">
        <f>IFERROR(__xludf.DUMMYFUNCTION("IFERROR(TO_DATE(H429), """")"),42564.82708333333)</f>
        <v>42564.82708</v>
      </c>
      <c r="J429" s="19" t="s">
        <v>12</v>
      </c>
      <c r="K429" s="22">
        <f t="shared" si="2"/>
        <v>0</v>
      </c>
    </row>
    <row r="430">
      <c r="A430" s="18">
        <v>4321.0</v>
      </c>
      <c r="B430" s="18" t="s">
        <v>32</v>
      </c>
      <c r="C430" s="18">
        <v>44.0</v>
      </c>
      <c r="D430" s="18" t="s">
        <v>31</v>
      </c>
      <c r="E430" s="27">
        <v>42565.289085648146</v>
      </c>
      <c r="F430" s="19">
        <f>IFERROR(__xludf.DUMMYFUNCTION("IFERROR(TO_DATE(E430), """")"),42565.289085648146)</f>
        <v>42565.28909</v>
      </c>
      <c r="G430" s="20">
        <f t="shared" si="1"/>
        <v>6</v>
      </c>
      <c r="H430" s="27">
        <v>42565.32497685185</v>
      </c>
      <c r="I430" s="19">
        <f>IFERROR(__xludf.DUMMYFUNCTION("IFERROR(TO_DATE(H430), """")"),42565.32497685185)</f>
        <v>42565.32498</v>
      </c>
      <c r="J430" s="19" t="s">
        <v>11</v>
      </c>
      <c r="K430" s="22">
        <f t="shared" si="2"/>
        <v>0</v>
      </c>
    </row>
    <row r="431">
      <c r="A431" s="18">
        <v>5672.0</v>
      </c>
      <c r="B431" s="18" t="s">
        <v>30</v>
      </c>
      <c r="C431" s="18">
        <v>44.0</v>
      </c>
      <c r="D431" s="18" t="s">
        <v>31</v>
      </c>
      <c r="E431" s="27">
        <v>42566.2966087963</v>
      </c>
      <c r="F431" s="19">
        <f>IFERROR(__xludf.DUMMYFUNCTION("IFERROR(TO_DATE(E431), """")"),42566.2966087963)</f>
        <v>42566.29661</v>
      </c>
      <c r="G431" s="20">
        <f t="shared" si="1"/>
        <v>7</v>
      </c>
      <c r="H431" s="27">
        <v>42566.33288194444</v>
      </c>
      <c r="I431" s="19">
        <f>IFERROR(__xludf.DUMMYFUNCTION("IFERROR(TO_DATE(H431), """")"),42566.33288194444)</f>
        <v>42566.33288</v>
      </c>
      <c r="J431" s="19" t="s">
        <v>11</v>
      </c>
      <c r="K431" s="22">
        <f t="shared" si="2"/>
        <v>0</v>
      </c>
    </row>
    <row r="432">
      <c r="A432" s="18">
        <v>1698.0</v>
      </c>
      <c r="B432" s="18" t="s">
        <v>32</v>
      </c>
      <c r="C432" s="18">
        <v>45.0</v>
      </c>
      <c r="D432" s="18" t="s">
        <v>31</v>
      </c>
      <c r="E432" s="26">
        <v>42563.330555555556</v>
      </c>
      <c r="F432" s="19">
        <f>IFERROR(__xludf.DUMMYFUNCTION("IFERROR(TO_DATE(E432), """")"),42563.330555555556)</f>
        <v>42563.33056</v>
      </c>
      <c r="G432" s="20">
        <f t="shared" si="1"/>
        <v>7</v>
      </c>
      <c r="H432" s="26">
        <v>42563.37222222222</v>
      </c>
      <c r="I432" s="19">
        <f>IFERROR(__xludf.DUMMYFUNCTION("IFERROR(TO_DATE(H432), """")"),42563.37222222222)</f>
        <v>42563.37222</v>
      </c>
      <c r="J432" s="19" t="s">
        <v>11</v>
      </c>
      <c r="K432" s="22">
        <f t="shared" si="2"/>
        <v>0</v>
      </c>
    </row>
    <row r="433">
      <c r="A433" s="18">
        <v>2098.0</v>
      </c>
      <c r="B433" s="18" t="s">
        <v>32</v>
      </c>
      <c r="C433" s="18">
        <v>45.0</v>
      </c>
      <c r="D433" s="18" t="s">
        <v>31</v>
      </c>
      <c r="E433" s="26">
        <v>42563.675</v>
      </c>
      <c r="F433" s="19">
        <f>IFERROR(__xludf.DUMMYFUNCTION("IFERROR(TO_DATE(E433), """")"),42563.675)</f>
        <v>42563.675</v>
      </c>
      <c r="G433" s="20">
        <f t="shared" si="1"/>
        <v>16</v>
      </c>
      <c r="H433" s="26">
        <v>42563.69583333333</v>
      </c>
      <c r="I433" s="19">
        <f>IFERROR(__xludf.DUMMYFUNCTION("IFERROR(TO_DATE(H433), """")"),42563.69583333333)</f>
        <v>42563.69583</v>
      </c>
      <c r="J433" s="19" t="s">
        <v>12</v>
      </c>
      <c r="K433" s="22">
        <f t="shared" si="2"/>
        <v>0</v>
      </c>
    </row>
    <row r="434">
      <c r="A434" s="18">
        <v>2733.0</v>
      </c>
      <c r="B434" s="18" t="s">
        <v>32</v>
      </c>
      <c r="C434" s="18">
        <v>45.0</v>
      </c>
      <c r="D434" s="18" t="s">
        <v>31</v>
      </c>
      <c r="E434" s="27">
        <v>42564.109606481485</v>
      </c>
      <c r="F434" s="19">
        <f>IFERROR(__xludf.DUMMYFUNCTION("IFERROR(TO_DATE(E434), """")"),42564.109606481485)</f>
        <v>42564.10961</v>
      </c>
      <c r="G434" s="20">
        <f t="shared" si="1"/>
        <v>2</v>
      </c>
      <c r="H434" s="27">
        <v>42564.15625</v>
      </c>
      <c r="I434" s="19">
        <f>IFERROR(__xludf.DUMMYFUNCTION("IFERROR(TO_DATE(H434), """")"),42564.15625)</f>
        <v>42564.15625</v>
      </c>
      <c r="J434" s="19" t="s">
        <v>15</v>
      </c>
      <c r="K434" s="22">
        <f t="shared" si="2"/>
        <v>0</v>
      </c>
    </row>
    <row r="435">
      <c r="A435" s="18">
        <v>2917.0</v>
      </c>
      <c r="B435" s="18" t="s">
        <v>30</v>
      </c>
      <c r="C435" s="18">
        <v>45.0</v>
      </c>
      <c r="D435" s="18" t="s">
        <v>31</v>
      </c>
      <c r="E435" s="27">
        <v>42564.26524305555</v>
      </c>
      <c r="F435" s="19">
        <f>IFERROR(__xludf.DUMMYFUNCTION("IFERROR(TO_DATE(E435), """")"),42564.26524305555)</f>
        <v>42564.26524</v>
      </c>
      <c r="G435" s="20">
        <f t="shared" si="1"/>
        <v>6</v>
      </c>
      <c r="H435" s="27">
        <v>42564.28743055555</v>
      </c>
      <c r="I435" s="19">
        <f>IFERROR(__xludf.DUMMYFUNCTION("IFERROR(TO_DATE(H435), """")"),42564.28743055555)</f>
        <v>42564.28743</v>
      </c>
      <c r="J435" s="19" t="s">
        <v>11</v>
      </c>
      <c r="K435" s="22">
        <f t="shared" si="2"/>
        <v>0</v>
      </c>
    </row>
    <row r="436">
      <c r="A436" s="18">
        <v>3151.0</v>
      </c>
      <c r="B436" s="18" t="s">
        <v>30</v>
      </c>
      <c r="C436" s="18">
        <v>45.0</v>
      </c>
      <c r="D436" s="18" t="s">
        <v>31</v>
      </c>
      <c r="E436" s="27">
        <v>42564.37542824074</v>
      </c>
      <c r="F436" s="19">
        <f>IFERROR(__xludf.DUMMYFUNCTION("IFERROR(TO_DATE(E436), """")"),42564.37542824074)</f>
        <v>42564.37543</v>
      </c>
      <c r="G436" s="20">
        <f t="shared" si="1"/>
        <v>9</v>
      </c>
      <c r="H436" s="27">
        <v>42564.40174768519</v>
      </c>
      <c r="I436" s="19">
        <f>IFERROR(__xludf.DUMMYFUNCTION("IFERROR(TO_DATE(H436), """")"),42564.40174768519)</f>
        <v>42564.40175</v>
      </c>
      <c r="J436" s="19" t="s">
        <v>14</v>
      </c>
      <c r="K436" s="22">
        <f t="shared" si="2"/>
        <v>0</v>
      </c>
    </row>
    <row r="437">
      <c r="A437" s="18">
        <v>3358.0</v>
      </c>
      <c r="B437" s="18" t="s">
        <v>32</v>
      </c>
      <c r="C437" s="18">
        <v>45.0</v>
      </c>
      <c r="D437" s="18" t="s">
        <v>31</v>
      </c>
      <c r="E437" s="27">
        <v>42564.56275462963</v>
      </c>
      <c r="F437" s="19">
        <f>IFERROR(__xludf.DUMMYFUNCTION("IFERROR(TO_DATE(E437), """")"),42564.56275462963)</f>
        <v>42564.56275</v>
      </c>
      <c r="G437" s="20">
        <f t="shared" si="1"/>
        <v>13</v>
      </c>
      <c r="H437" s="27">
        <v>42564.610127314816</v>
      </c>
      <c r="I437" s="19">
        <f>IFERROR(__xludf.DUMMYFUNCTION("IFERROR(TO_DATE(H437), """")"),42564.610127314816)</f>
        <v>42564.61013</v>
      </c>
      <c r="J437" s="19" t="s">
        <v>10</v>
      </c>
      <c r="K437" s="22">
        <f t="shared" si="2"/>
        <v>0</v>
      </c>
    </row>
    <row r="438">
      <c r="A438" s="18">
        <v>5435.0</v>
      </c>
      <c r="B438" s="18" t="s">
        <v>32</v>
      </c>
      <c r="C438" s="18">
        <v>45.0</v>
      </c>
      <c r="D438" s="18" t="s">
        <v>31</v>
      </c>
      <c r="E438" s="27">
        <v>42566.11956018519</v>
      </c>
      <c r="F438" s="19">
        <f>IFERROR(__xludf.DUMMYFUNCTION("IFERROR(TO_DATE(E438), """")"),42566.11956018519)</f>
        <v>42566.11956</v>
      </c>
      <c r="G438" s="20">
        <f t="shared" si="1"/>
        <v>2</v>
      </c>
      <c r="H438" s="27">
        <v>42566.1553587963</v>
      </c>
      <c r="I438" s="19">
        <f>IFERROR(__xludf.DUMMYFUNCTION("IFERROR(TO_DATE(H438), """")"),42566.1553587963)</f>
        <v>42566.15536</v>
      </c>
      <c r="J438" s="19" t="s">
        <v>15</v>
      </c>
      <c r="K438" s="22">
        <f t="shared" si="2"/>
        <v>0</v>
      </c>
    </row>
    <row r="439">
      <c r="A439" s="18">
        <v>5717.0</v>
      </c>
      <c r="B439" s="18" t="s">
        <v>30</v>
      </c>
      <c r="C439" s="18">
        <v>45.0</v>
      </c>
      <c r="D439" s="18" t="s">
        <v>31</v>
      </c>
      <c r="E439" s="27">
        <v>42566.32015046296</v>
      </c>
      <c r="F439" s="19">
        <f>IFERROR(__xludf.DUMMYFUNCTION("IFERROR(TO_DATE(E439), """")"),42566.32015046296)</f>
        <v>42566.32015</v>
      </c>
      <c r="G439" s="20">
        <f t="shared" si="1"/>
        <v>7</v>
      </c>
      <c r="H439" s="27">
        <v>42566.350011574075</v>
      </c>
      <c r="I439" s="19">
        <f>IFERROR(__xludf.DUMMYFUNCTION("IFERROR(TO_DATE(H439), """")"),42566.350011574075)</f>
        <v>42566.35001</v>
      </c>
      <c r="J439" s="19" t="s">
        <v>11</v>
      </c>
      <c r="K439" s="22">
        <f t="shared" si="2"/>
        <v>0</v>
      </c>
    </row>
    <row r="440">
      <c r="A440" s="18">
        <v>635.0</v>
      </c>
      <c r="B440" s="18" t="s">
        <v>30</v>
      </c>
      <c r="C440" s="18">
        <v>46.0</v>
      </c>
      <c r="D440" s="18" t="s">
        <v>31</v>
      </c>
      <c r="E440" s="26">
        <v>42562.51736111111</v>
      </c>
      <c r="F440" s="19">
        <f>IFERROR(__xludf.DUMMYFUNCTION("IFERROR(TO_DATE(E440), """")"),42562.51736111111)</f>
        <v>42562.51736</v>
      </c>
      <c r="G440" s="20">
        <f t="shared" si="1"/>
        <v>12</v>
      </c>
      <c r="H440" s="26">
        <v>42562.56180555555</v>
      </c>
      <c r="I440" s="19">
        <f>IFERROR(__xludf.DUMMYFUNCTION("IFERROR(TO_DATE(H440), """")"),42562.56180555555)</f>
        <v>42562.56181</v>
      </c>
      <c r="J440" s="19" t="s">
        <v>10</v>
      </c>
      <c r="K440" s="22">
        <f t="shared" si="2"/>
        <v>0</v>
      </c>
    </row>
    <row r="441">
      <c r="A441" s="18">
        <v>1275.0</v>
      </c>
      <c r="B441" s="18" t="s">
        <v>30</v>
      </c>
      <c r="C441" s="18">
        <v>46.0</v>
      </c>
      <c r="D441" s="18" t="s">
        <v>31</v>
      </c>
      <c r="E441" s="26">
        <v>42562.92013888889</v>
      </c>
      <c r="F441" s="19">
        <f>IFERROR(__xludf.DUMMYFUNCTION("IFERROR(TO_DATE(E441), """")"),42562.92013888889)</f>
        <v>42562.92014</v>
      </c>
      <c r="G441" s="20">
        <f t="shared" si="1"/>
        <v>22</v>
      </c>
      <c r="H441" s="26">
        <v>42562.95972222222</v>
      </c>
      <c r="I441" s="19">
        <f>IFERROR(__xludf.DUMMYFUNCTION("IFERROR(TO_DATE(H441), """")"),42562.95972222222)</f>
        <v>42562.95972</v>
      </c>
      <c r="J441" s="19" t="s">
        <v>13</v>
      </c>
      <c r="K441" s="22">
        <f t="shared" si="2"/>
        <v>0</v>
      </c>
    </row>
    <row r="442">
      <c r="A442" s="18">
        <v>1562.0</v>
      </c>
      <c r="B442" s="18" t="s">
        <v>30</v>
      </c>
      <c r="C442" s="18">
        <v>46.0</v>
      </c>
      <c r="D442" s="18" t="s">
        <v>31</v>
      </c>
      <c r="E442" s="26">
        <v>42563.26111111111</v>
      </c>
      <c r="F442" s="19">
        <f>IFERROR(__xludf.DUMMYFUNCTION("IFERROR(TO_DATE(E442), """")"),42563.26111111111)</f>
        <v>42563.26111</v>
      </c>
      <c r="G442" s="20">
        <f t="shared" si="1"/>
        <v>6</v>
      </c>
      <c r="H442" s="26">
        <v>42563.302083333336</v>
      </c>
      <c r="I442" s="19">
        <f>IFERROR(__xludf.DUMMYFUNCTION("IFERROR(TO_DATE(H442), """")"),42563.302083333336)</f>
        <v>42563.30208</v>
      </c>
      <c r="J442" s="19" t="s">
        <v>11</v>
      </c>
      <c r="K442" s="22">
        <f t="shared" si="2"/>
        <v>0</v>
      </c>
    </row>
    <row r="443">
      <c r="A443" s="18">
        <v>2908.0</v>
      </c>
      <c r="B443" s="18" t="s">
        <v>30</v>
      </c>
      <c r="C443" s="18">
        <v>46.0</v>
      </c>
      <c r="D443" s="18" t="s">
        <v>31</v>
      </c>
      <c r="E443" s="27">
        <v>42564.26025462963</v>
      </c>
      <c r="F443" s="19">
        <f>IFERROR(__xludf.DUMMYFUNCTION("IFERROR(TO_DATE(E443), """")"),42564.26025462963)</f>
        <v>42564.26025</v>
      </c>
      <c r="G443" s="20">
        <f t="shared" si="1"/>
        <v>6</v>
      </c>
      <c r="H443" s="27">
        <v>42564.30370370371</v>
      </c>
      <c r="I443" s="19">
        <f>IFERROR(__xludf.DUMMYFUNCTION("IFERROR(TO_DATE(H443), """")"),42564.30370370371)</f>
        <v>42564.3037</v>
      </c>
      <c r="J443" s="19" t="s">
        <v>11</v>
      </c>
      <c r="K443" s="22">
        <f t="shared" si="2"/>
        <v>0</v>
      </c>
    </row>
    <row r="444">
      <c r="A444" s="18">
        <v>3414.0</v>
      </c>
      <c r="B444" s="18" t="s">
        <v>32</v>
      </c>
      <c r="C444" s="18">
        <v>46.0</v>
      </c>
      <c r="D444" s="18" t="s">
        <v>31</v>
      </c>
      <c r="E444" s="27">
        <v>42564.64471064815</v>
      </c>
      <c r="F444" s="19">
        <f>IFERROR(__xludf.DUMMYFUNCTION("IFERROR(TO_DATE(E444), """")"),42564.64471064815)</f>
        <v>42564.64471</v>
      </c>
      <c r="G444" s="20">
        <f t="shared" si="1"/>
        <v>15</v>
      </c>
      <c r="H444" s="27">
        <v>42564.697488425925</v>
      </c>
      <c r="I444" s="19">
        <f>IFERROR(__xludf.DUMMYFUNCTION("IFERROR(TO_DATE(H444), """")"),42564.697488425925)</f>
        <v>42564.69749</v>
      </c>
      <c r="J444" s="19" t="s">
        <v>10</v>
      </c>
      <c r="K444" s="22">
        <f t="shared" si="2"/>
        <v>0</v>
      </c>
    </row>
    <row r="445">
      <c r="A445" s="18">
        <v>3638.0</v>
      </c>
      <c r="B445" s="18" t="s">
        <v>30</v>
      </c>
      <c r="C445" s="18">
        <v>46.0</v>
      </c>
      <c r="D445" s="18" t="s">
        <v>31</v>
      </c>
      <c r="E445" s="27">
        <v>42564.79849537037</v>
      </c>
      <c r="F445" s="19">
        <f>IFERROR(__xludf.DUMMYFUNCTION("IFERROR(TO_DATE(E445), """")"),42564.79849537037)</f>
        <v>42564.7985</v>
      </c>
      <c r="G445" s="20">
        <f t="shared" si="1"/>
        <v>19</v>
      </c>
      <c r="H445" s="27">
        <v>42564.83246527778</v>
      </c>
      <c r="I445" s="19">
        <f>IFERROR(__xludf.DUMMYFUNCTION("IFERROR(TO_DATE(H445), """")"),42564.83246527778)</f>
        <v>42564.83247</v>
      </c>
      <c r="J445" s="19" t="s">
        <v>12</v>
      </c>
      <c r="K445" s="22">
        <f t="shared" si="2"/>
        <v>0</v>
      </c>
    </row>
    <row r="446">
      <c r="A446" s="18">
        <v>5132.0</v>
      </c>
      <c r="B446" s="18" t="s">
        <v>30</v>
      </c>
      <c r="C446" s="18">
        <v>46.0</v>
      </c>
      <c r="D446" s="18" t="s">
        <v>31</v>
      </c>
      <c r="E446" s="27">
        <v>42565.841458333336</v>
      </c>
      <c r="F446" s="19">
        <f>IFERROR(__xludf.DUMMYFUNCTION("IFERROR(TO_DATE(E446), """")"),42565.841458333336)</f>
        <v>42565.84146</v>
      </c>
      <c r="G446" s="20">
        <f t="shared" si="1"/>
        <v>20</v>
      </c>
      <c r="H446" s="27">
        <v>42565.86168981482</v>
      </c>
      <c r="I446" s="19">
        <f>IFERROR(__xludf.DUMMYFUNCTION("IFERROR(TO_DATE(H446), """")"),42565.86168981482)</f>
        <v>42565.86169</v>
      </c>
      <c r="J446" s="19" t="s">
        <v>13</v>
      </c>
      <c r="K446" s="22">
        <f t="shared" si="2"/>
        <v>0</v>
      </c>
    </row>
    <row r="447">
      <c r="A447" s="18">
        <v>5422.0</v>
      </c>
      <c r="B447" s="18" t="s">
        <v>32</v>
      </c>
      <c r="C447" s="18">
        <v>46.0</v>
      </c>
      <c r="D447" s="18" t="s">
        <v>31</v>
      </c>
      <c r="E447" s="27">
        <v>42566.0896875</v>
      </c>
      <c r="F447" s="19">
        <f>IFERROR(__xludf.DUMMYFUNCTION("IFERROR(TO_DATE(E447), """")"),42566.0896875)</f>
        <v>42566.08969</v>
      </c>
      <c r="G447" s="20">
        <f t="shared" si="1"/>
        <v>2</v>
      </c>
      <c r="H447" s="27">
        <v>42566.13155092593</v>
      </c>
      <c r="I447" s="19">
        <f>IFERROR(__xludf.DUMMYFUNCTION("IFERROR(TO_DATE(H447), """")"),42566.13155092593)</f>
        <v>42566.13155</v>
      </c>
      <c r="J447" s="19" t="s">
        <v>15</v>
      </c>
      <c r="K447" s="22">
        <f t="shared" si="2"/>
        <v>0</v>
      </c>
    </row>
    <row r="448">
      <c r="A448" s="18">
        <v>5724.0</v>
      </c>
      <c r="B448" s="18" t="s">
        <v>32</v>
      </c>
      <c r="C448" s="18">
        <v>46.0</v>
      </c>
      <c r="D448" s="18" t="s">
        <v>31</v>
      </c>
      <c r="E448" s="27">
        <v>42566.319548611114</v>
      </c>
      <c r="F448" s="19">
        <f>IFERROR(__xludf.DUMMYFUNCTION("IFERROR(TO_DATE(E448), """")"),42566.319548611114)</f>
        <v>42566.31955</v>
      </c>
      <c r="G448" s="20">
        <f t="shared" si="1"/>
        <v>7</v>
      </c>
      <c r="H448" s="27">
        <v>42566.3671875</v>
      </c>
      <c r="I448" s="19">
        <f>IFERROR(__xludf.DUMMYFUNCTION("IFERROR(TO_DATE(H448), """")"),42566.3671875)</f>
        <v>42566.36719</v>
      </c>
      <c r="J448" s="19" t="s">
        <v>11</v>
      </c>
      <c r="K448" s="22">
        <f t="shared" si="2"/>
        <v>0</v>
      </c>
    </row>
    <row r="449">
      <c r="A449" s="18">
        <v>6026.0</v>
      </c>
      <c r="B449" s="18" t="s">
        <v>30</v>
      </c>
      <c r="C449" s="18">
        <v>46.0</v>
      </c>
      <c r="D449" s="18" t="s">
        <v>31</v>
      </c>
      <c r="E449" s="27">
        <v>42566.53519675926</v>
      </c>
      <c r="F449" s="19">
        <f>IFERROR(__xludf.DUMMYFUNCTION("IFERROR(TO_DATE(E449), """")"),42566.53519675926)</f>
        <v>42566.5352</v>
      </c>
      <c r="G449" s="20">
        <f t="shared" si="1"/>
        <v>12</v>
      </c>
      <c r="H449" s="27">
        <v>42566.56600694444</v>
      </c>
      <c r="I449" s="19">
        <f>IFERROR(__xludf.DUMMYFUNCTION("IFERROR(TO_DATE(H449), """")"),42566.56600694444)</f>
        <v>42566.56601</v>
      </c>
      <c r="J449" s="19" t="s">
        <v>10</v>
      </c>
      <c r="K449" s="22">
        <f t="shared" si="2"/>
        <v>0</v>
      </c>
    </row>
    <row r="450">
      <c r="A450" s="18">
        <v>6416.0</v>
      </c>
      <c r="B450" s="18" t="s">
        <v>32</v>
      </c>
      <c r="C450" s="18">
        <v>46.0</v>
      </c>
      <c r="D450" s="18" t="s">
        <v>31</v>
      </c>
      <c r="E450" s="27">
        <v>42566.82100694445</v>
      </c>
      <c r="F450" s="19">
        <f>IFERROR(__xludf.DUMMYFUNCTION("IFERROR(TO_DATE(E450), """")"),42566.82100694445)</f>
        <v>42566.82101</v>
      </c>
      <c r="G450" s="20">
        <f t="shared" si="1"/>
        <v>19</v>
      </c>
      <c r="H450" s="27">
        <v>42566.8525</v>
      </c>
      <c r="I450" s="19">
        <f>IFERROR(__xludf.DUMMYFUNCTION("IFERROR(TO_DATE(H450), """")"),42566.8525)</f>
        <v>42566.8525</v>
      </c>
      <c r="J450" s="19" t="s">
        <v>12</v>
      </c>
      <c r="K450" s="22">
        <f t="shared" si="2"/>
        <v>0</v>
      </c>
    </row>
    <row r="451">
      <c r="A451" s="18">
        <v>995.0</v>
      </c>
      <c r="B451" s="18" t="s">
        <v>30</v>
      </c>
      <c r="C451" s="18">
        <v>47.0</v>
      </c>
      <c r="D451" s="18" t="s">
        <v>31</v>
      </c>
      <c r="E451" s="26">
        <v>42562.799305555556</v>
      </c>
      <c r="F451" s="19">
        <f>IFERROR(__xludf.DUMMYFUNCTION("IFERROR(TO_DATE(E451), """")"),42562.799305555556)</f>
        <v>42562.79931</v>
      </c>
      <c r="G451" s="20">
        <f t="shared" si="1"/>
        <v>19</v>
      </c>
      <c r="H451" s="26">
        <v>42562.81458333333</v>
      </c>
      <c r="I451" s="19">
        <f>IFERROR(__xludf.DUMMYFUNCTION("IFERROR(TO_DATE(H451), """")"),42562.81458333333)</f>
        <v>42562.81458</v>
      </c>
      <c r="J451" s="19" t="s">
        <v>12</v>
      </c>
      <c r="K451" s="22">
        <f t="shared" si="2"/>
        <v>0</v>
      </c>
    </row>
    <row r="452">
      <c r="A452" s="18">
        <v>1771.0</v>
      </c>
      <c r="B452" s="18" t="s">
        <v>32</v>
      </c>
      <c r="C452" s="18">
        <v>47.0</v>
      </c>
      <c r="D452" s="18" t="s">
        <v>31</v>
      </c>
      <c r="E452" s="26">
        <v>42563.37222222222</v>
      </c>
      <c r="F452" s="19">
        <f>IFERROR(__xludf.DUMMYFUNCTION("IFERROR(TO_DATE(E452), """")"),42563.37222222222)</f>
        <v>42563.37222</v>
      </c>
      <c r="G452" s="20">
        <f t="shared" si="1"/>
        <v>8</v>
      </c>
      <c r="H452" s="26">
        <v>42563.39375</v>
      </c>
      <c r="I452" s="19">
        <f>IFERROR(__xludf.DUMMYFUNCTION("IFERROR(TO_DATE(H452), """")"),42563.39375)</f>
        <v>42563.39375</v>
      </c>
      <c r="J452" s="19" t="s">
        <v>14</v>
      </c>
      <c r="K452" s="22">
        <f t="shared" si="2"/>
        <v>0</v>
      </c>
    </row>
    <row r="453">
      <c r="A453" s="18">
        <v>2729.0</v>
      </c>
      <c r="B453" s="18" t="s">
        <v>30</v>
      </c>
      <c r="C453" s="18">
        <v>47.0</v>
      </c>
      <c r="D453" s="18" t="s">
        <v>31</v>
      </c>
      <c r="E453" s="27">
        <v>42564.108981481484</v>
      </c>
      <c r="F453" s="19">
        <f>IFERROR(__xludf.DUMMYFUNCTION("IFERROR(TO_DATE(E453), """")"),42564.108981481484)</f>
        <v>42564.10898</v>
      </c>
      <c r="G453" s="20">
        <f t="shared" si="1"/>
        <v>2</v>
      </c>
      <c r="H453" s="27">
        <v>42564.12721064815</v>
      </c>
      <c r="I453" s="19">
        <f>IFERROR(__xludf.DUMMYFUNCTION("IFERROR(TO_DATE(H453), """")"),42564.12721064815)</f>
        <v>42564.12721</v>
      </c>
      <c r="J453" s="19" t="s">
        <v>15</v>
      </c>
      <c r="K453" s="22">
        <f t="shared" si="2"/>
        <v>0</v>
      </c>
    </row>
    <row r="454">
      <c r="A454" s="18">
        <v>3416.0</v>
      </c>
      <c r="B454" s="18" t="s">
        <v>32</v>
      </c>
      <c r="C454" s="18">
        <v>47.0</v>
      </c>
      <c r="D454" s="18" t="s">
        <v>31</v>
      </c>
      <c r="E454" s="27">
        <v>42564.647210648145</v>
      </c>
      <c r="F454" s="19">
        <f>IFERROR(__xludf.DUMMYFUNCTION("IFERROR(TO_DATE(E454), """")"),42564.647210648145)</f>
        <v>42564.64721</v>
      </c>
      <c r="G454" s="20">
        <f t="shared" si="1"/>
        <v>15</v>
      </c>
      <c r="H454" s="27">
        <v>42564.67138888889</v>
      </c>
      <c r="I454" s="19">
        <f>IFERROR(__xludf.DUMMYFUNCTION("IFERROR(TO_DATE(H454), """")"),42564.67138888889)</f>
        <v>42564.67139</v>
      </c>
      <c r="J454" s="19" t="s">
        <v>10</v>
      </c>
      <c r="K454" s="22">
        <f t="shared" si="2"/>
        <v>0</v>
      </c>
    </row>
    <row r="455">
      <c r="A455" s="18">
        <v>4286.0</v>
      </c>
      <c r="B455" s="18" t="s">
        <v>32</v>
      </c>
      <c r="C455" s="18">
        <v>47.0</v>
      </c>
      <c r="D455" s="18" t="s">
        <v>31</v>
      </c>
      <c r="E455" s="27">
        <v>42565.27438657408</v>
      </c>
      <c r="F455" s="19">
        <f>IFERROR(__xludf.DUMMYFUNCTION("IFERROR(TO_DATE(E455), """")"),42565.27438657408)</f>
        <v>42565.27439</v>
      </c>
      <c r="G455" s="20">
        <f t="shared" si="1"/>
        <v>6</v>
      </c>
      <c r="H455" s="27">
        <v>42565.31659722222</v>
      </c>
      <c r="I455" s="19">
        <f>IFERROR(__xludf.DUMMYFUNCTION("IFERROR(TO_DATE(H455), """")"),42565.31659722222)</f>
        <v>42565.3166</v>
      </c>
      <c r="J455" s="19" t="s">
        <v>11</v>
      </c>
      <c r="K455" s="22">
        <f t="shared" si="2"/>
        <v>0</v>
      </c>
    </row>
    <row r="456">
      <c r="A456" s="18">
        <v>5012.0</v>
      </c>
      <c r="B456" s="18" t="s">
        <v>30</v>
      </c>
      <c r="C456" s="18">
        <v>47.0</v>
      </c>
      <c r="D456" s="18" t="s">
        <v>31</v>
      </c>
      <c r="E456" s="27">
        <v>42565.791597222225</v>
      </c>
      <c r="F456" s="19">
        <f>IFERROR(__xludf.DUMMYFUNCTION("IFERROR(TO_DATE(E456), """")"),42565.791597222225)</f>
        <v>42565.7916</v>
      </c>
      <c r="G456" s="20">
        <f t="shared" si="1"/>
        <v>18</v>
      </c>
      <c r="H456" s="27">
        <v>42565.83738425926</v>
      </c>
      <c r="I456" s="19">
        <f>IFERROR(__xludf.DUMMYFUNCTION("IFERROR(TO_DATE(H456), """")"),42565.83738425926)</f>
        <v>42565.83738</v>
      </c>
      <c r="J456" s="19" t="s">
        <v>12</v>
      </c>
      <c r="K456" s="22">
        <f t="shared" si="2"/>
        <v>0</v>
      </c>
    </row>
    <row r="457">
      <c r="A457" s="18">
        <v>6761.0</v>
      </c>
      <c r="B457" s="18" t="s">
        <v>30</v>
      </c>
      <c r="C457" s="18">
        <v>47.0</v>
      </c>
      <c r="D457" s="18" t="s">
        <v>31</v>
      </c>
      <c r="E457" s="27">
        <v>42566.00347222222</v>
      </c>
      <c r="F457" s="19">
        <f>IFERROR(__xludf.DUMMYFUNCTION("IFERROR(TO_DATE(E457), """")"),42566.00347222222)</f>
        <v>42566.00347</v>
      </c>
      <c r="G457" s="20">
        <f t="shared" si="1"/>
        <v>0</v>
      </c>
      <c r="H457" s="27">
        <v>42566.03270833333</v>
      </c>
      <c r="I457" s="19">
        <f>IFERROR(__xludf.DUMMYFUNCTION("IFERROR(TO_DATE(H457), """")"),42566.03270833333)</f>
        <v>42566.03271</v>
      </c>
      <c r="J457" s="19" t="s">
        <v>15</v>
      </c>
      <c r="K457" s="22">
        <f t="shared" si="2"/>
        <v>0</v>
      </c>
    </row>
    <row r="458">
      <c r="A458" s="18">
        <v>5638.0</v>
      </c>
      <c r="B458" s="18" t="s">
        <v>32</v>
      </c>
      <c r="C458" s="18">
        <v>47.0</v>
      </c>
      <c r="D458" s="18" t="s">
        <v>31</v>
      </c>
      <c r="E458" s="27">
        <v>42566.27836805556</v>
      </c>
      <c r="F458" s="19">
        <f>IFERROR(__xludf.DUMMYFUNCTION("IFERROR(TO_DATE(E458), """")"),42566.27836805556)</f>
        <v>42566.27837</v>
      </c>
      <c r="G458" s="20">
        <f t="shared" si="1"/>
        <v>6</v>
      </c>
      <c r="H458" s="27">
        <v>42566.30472222222</v>
      </c>
      <c r="I458" s="19">
        <f>IFERROR(__xludf.DUMMYFUNCTION("IFERROR(TO_DATE(H458), """")"),42566.30472222222)</f>
        <v>42566.30472</v>
      </c>
      <c r="J458" s="19" t="s">
        <v>11</v>
      </c>
      <c r="K458" s="22">
        <f t="shared" si="2"/>
        <v>0</v>
      </c>
    </row>
    <row r="459">
      <c r="A459" s="18">
        <v>6191.0</v>
      </c>
      <c r="B459" s="18" t="s">
        <v>30</v>
      </c>
      <c r="C459" s="18">
        <v>47.0</v>
      </c>
      <c r="D459" s="18" t="s">
        <v>31</v>
      </c>
      <c r="E459" s="27">
        <v>42566.720717592594</v>
      </c>
      <c r="F459" s="19">
        <f>IFERROR(__xludf.DUMMYFUNCTION("IFERROR(TO_DATE(E459), """")"),42566.720717592594)</f>
        <v>42566.72072</v>
      </c>
      <c r="G459" s="20">
        <f t="shared" si="1"/>
        <v>17</v>
      </c>
      <c r="H459" s="27">
        <v>42566.761516203704</v>
      </c>
      <c r="I459" s="19">
        <f>IFERROR(__xludf.DUMMYFUNCTION("IFERROR(TO_DATE(H459), """")"),42566.761516203704)</f>
        <v>42566.76152</v>
      </c>
      <c r="J459" s="19" t="s">
        <v>12</v>
      </c>
      <c r="K459" s="22">
        <f t="shared" si="2"/>
        <v>0</v>
      </c>
    </row>
    <row r="460">
      <c r="A460" s="18">
        <v>443.0</v>
      </c>
      <c r="B460" s="18" t="s">
        <v>32</v>
      </c>
      <c r="C460" s="18">
        <v>48.0</v>
      </c>
      <c r="D460" s="18" t="s">
        <v>31</v>
      </c>
      <c r="E460" s="26">
        <v>42562.37847222222</v>
      </c>
      <c r="F460" s="19">
        <f>IFERROR(__xludf.DUMMYFUNCTION("IFERROR(TO_DATE(E460), """")"),42562.37847222222)</f>
        <v>42562.37847</v>
      </c>
      <c r="G460" s="20">
        <f t="shared" si="1"/>
        <v>9</v>
      </c>
      <c r="H460" s="26">
        <v>42562.40625</v>
      </c>
      <c r="I460" s="19">
        <f>IFERROR(__xludf.DUMMYFUNCTION("IFERROR(TO_DATE(H460), """")"),42562.40625)</f>
        <v>42562.40625</v>
      </c>
      <c r="J460" s="19" t="s">
        <v>14</v>
      </c>
      <c r="K460" s="22">
        <f t="shared" si="2"/>
        <v>0</v>
      </c>
    </row>
    <row r="461">
      <c r="A461" s="18">
        <v>1299.0</v>
      </c>
      <c r="B461" s="18" t="s">
        <v>32</v>
      </c>
      <c r="C461" s="18">
        <v>48.0</v>
      </c>
      <c r="D461" s="18" t="s">
        <v>31</v>
      </c>
      <c r="E461" s="26">
        <v>42562.93194444444</v>
      </c>
      <c r="F461" s="19">
        <f>IFERROR(__xludf.DUMMYFUNCTION("IFERROR(TO_DATE(E461), """")"),42562.93194444444)</f>
        <v>42562.93194</v>
      </c>
      <c r="G461" s="20">
        <f t="shared" si="1"/>
        <v>22</v>
      </c>
      <c r="H461" s="26">
        <v>42562.9625</v>
      </c>
      <c r="I461" s="19">
        <f>IFERROR(__xludf.DUMMYFUNCTION("IFERROR(TO_DATE(H461), """")"),42562.9625)</f>
        <v>42562.9625</v>
      </c>
      <c r="J461" s="19" t="s">
        <v>13</v>
      </c>
      <c r="K461" s="22">
        <f t="shared" si="2"/>
        <v>0</v>
      </c>
    </row>
    <row r="462">
      <c r="A462" s="18">
        <v>1637.0</v>
      </c>
      <c r="B462" s="18" t="s">
        <v>30</v>
      </c>
      <c r="C462" s="18">
        <v>48.0</v>
      </c>
      <c r="D462" s="18" t="s">
        <v>31</v>
      </c>
      <c r="E462" s="26">
        <v>42563.29791666667</v>
      </c>
      <c r="F462" s="19">
        <f>IFERROR(__xludf.DUMMYFUNCTION("IFERROR(TO_DATE(E462), """")"),42563.29791666667)</f>
        <v>42563.29792</v>
      </c>
      <c r="G462" s="20">
        <f t="shared" si="1"/>
        <v>7</v>
      </c>
      <c r="H462" s="26">
        <v>42563.34375</v>
      </c>
      <c r="I462" s="19">
        <f>IFERROR(__xludf.DUMMYFUNCTION("IFERROR(TO_DATE(H462), """")"),42563.34375)</f>
        <v>42563.34375</v>
      </c>
      <c r="J462" s="19" t="s">
        <v>11</v>
      </c>
      <c r="K462" s="22">
        <f t="shared" si="2"/>
        <v>0</v>
      </c>
    </row>
    <row r="463">
      <c r="A463" s="18">
        <v>2099.0</v>
      </c>
      <c r="B463" s="18" t="s">
        <v>30</v>
      </c>
      <c r="C463" s="18">
        <v>48.0</v>
      </c>
      <c r="D463" s="18" t="s">
        <v>31</v>
      </c>
      <c r="E463" s="26">
        <v>42563.66875</v>
      </c>
      <c r="F463" s="19">
        <f>IFERROR(__xludf.DUMMYFUNCTION("IFERROR(TO_DATE(E463), """")"),42563.66875)</f>
        <v>42563.66875</v>
      </c>
      <c r="G463" s="20">
        <f t="shared" si="1"/>
        <v>16</v>
      </c>
      <c r="H463" s="26">
        <v>42563.71944444445</v>
      </c>
      <c r="I463" s="19">
        <f>IFERROR(__xludf.DUMMYFUNCTION("IFERROR(TO_DATE(H463), """")"),42563.71944444445)</f>
        <v>42563.71944</v>
      </c>
      <c r="J463" s="19" t="s">
        <v>12</v>
      </c>
      <c r="K463" s="22">
        <f t="shared" si="2"/>
        <v>0</v>
      </c>
    </row>
    <row r="464">
      <c r="A464" s="18">
        <v>2349.0</v>
      </c>
      <c r="B464" s="18" t="s">
        <v>30</v>
      </c>
      <c r="C464" s="18">
        <v>48.0</v>
      </c>
      <c r="D464" s="18" t="s">
        <v>31</v>
      </c>
      <c r="E464" s="26">
        <v>42563.80694444444</v>
      </c>
      <c r="F464" s="19">
        <f>IFERROR(__xludf.DUMMYFUNCTION("IFERROR(TO_DATE(E464), """")"),42563.80694444444)</f>
        <v>42563.80694</v>
      </c>
      <c r="G464" s="20">
        <f t="shared" si="1"/>
        <v>19</v>
      </c>
      <c r="H464" s="26">
        <v>42563.83819444444</v>
      </c>
      <c r="I464" s="19">
        <f>IFERROR(__xludf.DUMMYFUNCTION("IFERROR(TO_DATE(H464), """")"),42563.83819444444)</f>
        <v>42563.83819</v>
      </c>
      <c r="J464" s="19" t="s">
        <v>12</v>
      </c>
      <c r="K464" s="22">
        <f t="shared" si="2"/>
        <v>0</v>
      </c>
    </row>
    <row r="465">
      <c r="A465" s="18">
        <v>3081.0</v>
      </c>
      <c r="B465" s="18" t="s">
        <v>32</v>
      </c>
      <c r="C465" s="18">
        <v>48.0</v>
      </c>
      <c r="D465" s="18" t="s">
        <v>31</v>
      </c>
      <c r="E465" s="27">
        <v>42564.340729166666</v>
      </c>
      <c r="F465" s="19">
        <f>IFERROR(__xludf.DUMMYFUNCTION("IFERROR(TO_DATE(E465), """")"),42564.340729166666)</f>
        <v>42564.34073</v>
      </c>
      <c r="G465" s="20">
        <f t="shared" si="1"/>
        <v>8</v>
      </c>
      <c r="H465" s="27">
        <v>42564.366574074076</v>
      </c>
      <c r="I465" s="19">
        <f>IFERROR(__xludf.DUMMYFUNCTION("IFERROR(TO_DATE(H465), """")"),42564.366574074076)</f>
        <v>42564.36657</v>
      </c>
      <c r="J465" s="19" t="s">
        <v>14</v>
      </c>
      <c r="K465" s="22">
        <f t="shared" si="2"/>
        <v>0</v>
      </c>
    </row>
    <row r="466">
      <c r="A466" s="18">
        <v>3555.0</v>
      </c>
      <c r="B466" s="18" t="s">
        <v>30</v>
      </c>
      <c r="C466" s="18">
        <v>48.0</v>
      </c>
      <c r="D466" s="18" t="s">
        <v>31</v>
      </c>
      <c r="E466" s="27">
        <v>42564.755578703705</v>
      </c>
      <c r="F466" s="19">
        <f>IFERROR(__xludf.DUMMYFUNCTION("IFERROR(TO_DATE(E466), """")"),42564.755578703705)</f>
        <v>42564.75558</v>
      </c>
      <c r="G466" s="20">
        <f t="shared" si="1"/>
        <v>18</v>
      </c>
      <c r="H466" s="27">
        <v>42564.79659722222</v>
      </c>
      <c r="I466" s="19">
        <f>IFERROR(__xludf.DUMMYFUNCTION("IFERROR(TO_DATE(H466), """")"),42564.79659722222)</f>
        <v>42564.7966</v>
      </c>
      <c r="J466" s="19" t="s">
        <v>12</v>
      </c>
      <c r="K466" s="22">
        <f t="shared" si="2"/>
        <v>0</v>
      </c>
    </row>
    <row r="467">
      <c r="A467" s="18">
        <v>3798.0</v>
      </c>
      <c r="B467" s="18" t="s">
        <v>32</v>
      </c>
      <c r="C467" s="18">
        <v>48.0</v>
      </c>
      <c r="D467" s="18" t="s">
        <v>31</v>
      </c>
      <c r="E467" s="27">
        <v>42564.87159722222</v>
      </c>
      <c r="F467" s="19">
        <f>IFERROR(__xludf.DUMMYFUNCTION("IFERROR(TO_DATE(E467), """")"),42564.87159722222)</f>
        <v>42564.8716</v>
      </c>
      <c r="G467" s="20">
        <f t="shared" si="1"/>
        <v>20</v>
      </c>
      <c r="H467" s="27">
        <v>42564.90403935185</v>
      </c>
      <c r="I467" s="19">
        <f>IFERROR(__xludf.DUMMYFUNCTION("IFERROR(TO_DATE(H467), """")"),42564.90403935185)</f>
        <v>42564.90404</v>
      </c>
      <c r="J467" s="19" t="s">
        <v>13</v>
      </c>
      <c r="K467" s="22">
        <f t="shared" si="2"/>
        <v>0</v>
      </c>
    </row>
    <row r="468">
      <c r="A468" s="18">
        <v>3982.0</v>
      </c>
      <c r="B468" s="18" t="s">
        <v>30</v>
      </c>
      <c r="C468" s="18">
        <v>48.0</v>
      </c>
      <c r="D468" s="18" t="s">
        <v>31</v>
      </c>
      <c r="E468" s="27">
        <v>42564.970046296294</v>
      </c>
      <c r="F468" s="19">
        <f>IFERROR(__xludf.DUMMYFUNCTION("IFERROR(TO_DATE(E468), """")"),42564.970046296294)</f>
        <v>42564.97005</v>
      </c>
      <c r="G468" s="20">
        <f t="shared" si="1"/>
        <v>23</v>
      </c>
      <c r="H468" s="27">
        <v>42565.023668981485</v>
      </c>
      <c r="I468" s="19">
        <f>IFERROR(__xludf.DUMMYFUNCTION("IFERROR(TO_DATE(H468), """")"),42565.023668981485)</f>
        <v>42565.02367</v>
      </c>
      <c r="J468" s="19" t="s">
        <v>13</v>
      </c>
      <c r="K468" s="22">
        <f t="shared" si="2"/>
        <v>0</v>
      </c>
    </row>
    <row r="469">
      <c r="A469" s="18">
        <v>4082.0</v>
      </c>
      <c r="B469" s="18" t="s">
        <v>30</v>
      </c>
      <c r="C469" s="18">
        <v>48.0</v>
      </c>
      <c r="D469" s="18" t="s">
        <v>31</v>
      </c>
      <c r="E469" s="27">
        <v>42565.10967592592</v>
      </c>
      <c r="F469" s="19">
        <f>IFERROR(__xludf.DUMMYFUNCTION("IFERROR(TO_DATE(E469), """")"),42565.10967592592)</f>
        <v>42565.10968</v>
      </c>
      <c r="G469" s="20">
        <f t="shared" si="1"/>
        <v>2</v>
      </c>
      <c r="H469" s="27">
        <v>42565.14121527778</v>
      </c>
      <c r="I469" s="19">
        <f>IFERROR(__xludf.DUMMYFUNCTION("IFERROR(TO_DATE(H469), """")"),42565.14121527778)</f>
        <v>42565.14122</v>
      </c>
      <c r="J469" s="19" t="s">
        <v>15</v>
      </c>
      <c r="K469" s="22">
        <f t="shared" si="2"/>
        <v>0</v>
      </c>
    </row>
    <row r="470">
      <c r="A470" s="18">
        <v>4672.0</v>
      </c>
      <c r="B470" s="18" t="s">
        <v>32</v>
      </c>
      <c r="C470" s="18">
        <v>48.0</v>
      </c>
      <c r="D470" s="18" t="s">
        <v>31</v>
      </c>
      <c r="E470" s="27">
        <v>42565.52520833333</v>
      </c>
      <c r="F470" s="19">
        <f>IFERROR(__xludf.DUMMYFUNCTION("IFERROR(TO_DATE(E470), """")"),42565.52520833333)</f>
        <v>42565.52521</v>
      </c>
      <c r="G470" s="20">
        <f t="shared" si="1"/>
        <v>12</v>
      </c>
      <c r="H470" s="27">
        <v>42565.574525462966</v>
      </c>
      <c r="I470" s="19">
        <f>IFERROR(__xludf.DUMMYFUNCTION("IFERROR(TO_DATE(H470), """")"),42565.574525462966)</f>
        <v>42565.57453</v>
      </c>
      <c r="J470" s="19" t="s">
        <v>10</v>
      </c>
      <c r="K470" s="22">
        <f t="shared" si="2"/>
        <v>0</v>
      </c>
    </row>
    <row r="471">
      <c r="A471" s="18">
        <v>4937.0</v>
      </c>
      <c r="B471" s="18" t="s">
        <v>32</v>
      </c>
      <c r="C471" s="18">
        <v>48.0</v>
      </c>
      <c r="D471" s="18" t="s">
        <v>31</v>
      </c>
      <c r="E471" s="27">
        <v>42565.76552083333</v>
      </c>
      <c r="F471" s="19">
        <f>IFERROR(__xludf.DUMMYFUNCTION("IFERROR(TO_DATE(E471), """")"),42565.76552083333)</f>
        <v>42565.76552</v>
      </c>
      <c r="G471" s="20">
        <f t="shared" si="1"/>
        <v>18</v>
      </c>
      <c r="H471" s="27">
        <v>42565.80201388889</v>
      </c>
      <c r="I471" s="19">
        <f>IFERROR(__xludf.DUMMYFUNCTION("IFERROR(TO_DATE(H471), """")"),42565.80201388889)</f>
        <v>42565.80201</v>
      </c>
      <c r="J471" s="19" t="s">
        <v>12</v>
      </c>
      <c r="K471" s="22">
        <f t="shared" si="2"/>
        <v>0</v>
      </c>
    </row>
    <row r="472">
      <c r="A472" s="18">
        <v>5594.0</v>
      </c>
      <c r="B472" s="18" t="s">
        <v>30</v>
      </c>
      <c r="C472" s="18">
        <v>48.0</v>
      </c>
      <c r="D472" s="18" t="s">
        <v>31</v>
      </c>
      <c r="E472" s="27">
        <v>42566.254016203704</v>
      </c>
      <c r="F472" s="19">
        <f>IFERROR(__xludf.DUMMYFUNCTION("IFERROR(TO_DATE(E472), """")"),42566.254016203704)</f>
        <v>42566.25402</v>
      </c>
      <c r="G472" s="20">
        <f t="shared" si="1"/>
        <v>6</v>
      </c>
      <c r="H472" s="27">
        <v>42566.29344907407</v>
      </c>
      <c r="I472" s="19">
        <f>IFERROR(__xludf.DUMMYFUNCTION("IFERROR(TO_DATE(H472), """")"),42566.29344907407)</f>
        <v>42566.29345</v>
      </c>
      <c r="J472" s="19" t="s">
        <v>11</v>
      </c>
      <c r="K472" s="22">
        <f t="shared" si="2"/>
        <v>0</v>
      </c>
    </row>
    <row r="473">
      <c r="A473" s="18">
        <v>540.0</v>
      </c>
      <c r="B473" s="18" t="s">
        <v>32</v>
      </c>
      <c r="C473" s="18">
        <v>49.0</v>
      </c>
      <c r="D473" s="18" t="s">
        <v>31</v>
      </c>
      <c r="E473" s="26">
        <v>42562.41388888889</v>
      </c>
      <c r="F473" s="19">
        <f>IFERROR(__xludf.DUMMYFUNCTION("IFERROR(TO_DATE(E473), """")"),42562.41388888889)</f>
        <v>42562.41389</v>
      </c>
      <c r="G473" s="20">
        <f t="shared" si="1"/>
        <v>9</v>
      </c>
      <c r="H473" s="26">
        <v>42562.45277777778</v>
      </c>
      <c r="I473" s="19">
        <f>IFERROR(__xludf.DUMMYFUNCTION("IFERROR(TO_DATE(H473), """")"),42562.45277777778)</f>
        <v>42562.45278</v>
      </c>
      <c r="J473" s="19" t="s">
        <v>14</v>
      </c>
      <c r="K473" s="22">
        <f t="shared" si="2"/>
        <v>0</v>
      </c>
    </row>
    <row r="474">
      <c r="A474" s="18">
        <v>1533.0</v>
      </c>
      <c r="B474" s="18" t="s">
        <v>32</v>
      </c>
      <c r="C474" s="18">
        <v>49.0</v>
      </c>
      <c r="D474" s="18" t="s">
        <v>31</v>
      </c>
      <c r="E474" s="26">
        <v>42563.24722222222</v>
      </c>
      <c r="F474" s="19">
        <f>IFERROR(__xludf.DUMMYFUNCTION("IFERROR(TO_DATE(E474), """")"),42563.24722222222)</f>
        <v>42563.24722</v>
      </c>
      <c r="G474" s="20">
        <f t="shared" si="1"/>
        <v>5</v>
      </c>
      <c r="H474" s="26">
        <v>42563.27222222222</v>
      </c>
      <c r="I474" s="19">
        <f>IFERROR(__xludf.DUMMYFUNCTION("IFERROR(TO_DATE(H474), """")"),42563.27222222222)</f>
        <v>42563.27222</v>
      </c>
      <c r="J474" s="19" t="s">
        <v>11</v>
      </c>
      <c r="K474" s="22">
        <f t="shared" si="2"/>
        <v>0</v>
      </c>
    </row>
    <row r="475">
      <c r="A475" s="18">
        <v>2359.0</v>
      </c>
      <c r="B475" s="18" t="s">
        <v>32</v>
      </c>
      <c r="C475" s="18">
        <v>49.0</v>
      </c>
      <c r="D475" s="18" t="s">
        <v>31</v>
      </c>
      <c r="E475" s="26">
        <v>42563.81319444445</v>
      </c>
      <c r="F475" s="19">
        <f>IFERROR(__xludf.DUMMYFUNCTION("IFERROR(TO_DATE(E475), """")"),42563.81319444445)</f>
        <v>42563.81319</v>
      </c>
      <c r="G475" s="20">
        <f t="shared" si="1"/>
        <v>19</v>
      </c>
      <c r="H475" s="26">
        <v>42563.85277777778</v>
      </c>
      <c r="I475" s="19">
        <f>IFERROR(__xludf.DUMMYFUNCTION("IFERROR(TO_DATE(H475), """")"),42563.85277777778)</f>
        <v>42563.85278</v>
      </c>
      <c r="J475" s="19" t="s">
        <v>12</v>
      </c>
      <c r="K475" s="22">
        <f t="shared" si="2"/>
        <v>0</v>
      </c>
    </row>
    <row r="476">
      <c r="A476" s="18">
        <v>2603.0</v>
      </c>
      <c r="B476" s="18" t="s">
        <v>32</v>
      </c>
      <c r="C476" s="18">
        <v>49.0</v>
      </c>
      <c r="D476" s="18" t="s">
        <v>31</v>
      </c>
      <c r="E476" s="26">
        <v>42563.916666666664</v>
      </c>
      <c r="F476" s="19">
        <f>IFERROR(__xludf.DUMMYFUNCTION("IFERROR(TO_DATE(E476), """")"),42563.916666666664)</f>
        <v>42563.91667</v>
      </c>
      <c r="G476" s="20">
        <f t="shared" si="1"/>
        <v>22</v>
      </c>
      <c r="H476" s="26">
        <v>42563.95208333333</v>
      </c>
      <c r="I476" s="19">
        <f>IFERROR(__xludf.DUMMYFUNCTION("IFERROR(TO_DATE(H476), """")"),42563.95208333333)</f>
        <v>42563.95208</v>
      </c>
      <c r="J476" s="19" t="s">
        <v>13</v>
      </c>
      <c r="K476" s="22">
        <f t="shared" si="2"/>
        <v>0</v>
      </c>
    </row>
    <row r="477">
      <c r="A477" s="18">
        <v>2965.0</v>
      </c>
      <c r="B477" s="18" t="s">
        <v>30</v>
      </c>
      <c r="C477" s="18">
        <v>49.0</v>
      </c>
      <c r="D477" s="18" t="s">
        <v>31</v>
      </c>
      <c r="E477" s="27">
        <v>42564.289293981485</v>
      </c>
      <c r="F477" s="19">
        <f>IFERROR(__xludf.DUMMYFUNCTION("IFERROR(TO_DATE(E477), """")"),42564.289293981485)</f>
        <v>42564.28929</v>
      </c>
      <c r="G477" s="20">
        <f t="shared" si="1"/>
        <v>6</v>
      </c>
      <c r="H477" s="27">
        <v>42564.309699074074</v>
      </c>
      <c r="I477" s="19">
        <f>IFERROR(__xludf.DUMMYFUNCTION("IFERROR(TO_DATE(H477), """")"),42564.309699074074)</f>
        <v>42564.3097</v>
      </c>
      <c r="J477" s="19" t="s">
        <v>11</v>
      </c>
      <c r="K477" s="22">
        <f t="shared" si="2"/>
        <v>0</v>
      </c>
    </row>
    <row r="478">
      <c r="A478" s="18">
        <v>4002.0</v>
      </c>
      <c r="B478" s="18" t="s">
        <v>32</v>
      </c>
      <c r="C478" s="18">
        <v>49.0</v>
      </c>
      <c r="D478" s="18" t="s">
        <v>31</v>
      </c>
      <c r="E478" s="27">
        <v>42564.98570601852</v>
      </c>
      <c r="F478" s="19">
        <f>IFERROR(__xludf.DUMMYFUNCTION("IFERROR(TO_DATE(E478), """")"),42564.98570601852)</f>
        <v>42564.98571</v>
      </c>
      <c r="G478" s="20">
        <f t="shared" si="1"/>
        <v>23</v>
      </c>
      <c r="H478" s="27">
        <v>42565.03525462963</v>
      </c>
      <c r="I478" s="19">
        <f>IFERROR(__xludf.DUMMYFUNCTION("IFERROR(TO_DATE(H478), """")"),42565.03525462963)</f>
        <v>42565.03525</v>
      </c>
      <c r="J478" s="19" t="s">
        <v>13</v>
      </c>
      <c r="K478" s="22">
        <f t="shared" si="2"/>
        <v>0</v>
      </c>
    </row>
    <row r="479">
      <c r="A479" s="18">
        <v>4364.0</v>
      </c>
      <c r="B479" s="18" t="s">
        <v>30</v>
      </c>
      <c r="C479" s="18">
        <v>49.0</v>
      </c>
      <c r="D479" s="18" t="s">
        <v>31</v>
      </c>
      <c r="E479" s="27">
        <v>42565.31025462963</v>
      </c>
      <c r="F479" s="19">
        <f>IFERROR(__xludf.DUMMYFUNCTION("IFERROR(TO_DATE(E479), """")"),42565.31025462963)</f>
        <v>42565.31025</v>
      </c>
      <c r="G479" s="20">
        <f t="shared" si="1"/>
        <v>7</v>
      </c>
      <c r="H479" s="27">
        <v>42565.338275462964</v>
      </c>
      <c r="I479" s="19">
        <f>IFERROR(__xludf.DUMMYFUNCTION("IFERROR(TO_DATE(H479), """")"),42565.338275462964)</f>
        <v>42565.33828</v>
      </c>
      <c r="J479" s="19" t="s">
        <v>11</v>
      </c>
      <c r="K479" s="22">
        <f t="shared" si="2"/>
        <v>0</v>
      </c>
    </row>
    <row r="480">
      <c r="A480" s="18">
        <v>4614.0</v>
      </c>
      <c r="B480" s="18" t="s">
        <v>30</v>
      </c>
      <c r="C480" s="18">
        <v>49.0</v>
      </c>
      <c r="D480" s="18" t="s">
        <v>31</v>
      </c>
      <c r="E480" s="27">
        <v>42565.45226851852</v>
      </c>
      <c r="F480" s="19">
        <f>IFERROR(__xludf.DUMMYFUNCTION("IFERROR(TO_DATE(E480), """")"),42565.45226851852)</f>
        <v>42565.45227</v>
      </c>
      <c r="G480" s="20">
        <f t="shared" si="1"/>
        <v>10</v>
      </c>
      <c r="H480" s="27">
        <v>42565.478368055556</v>
      </c>
      <c r="I480" s="19">
        <f>IFERROR(__xludf.DUMMYFUNCTION("IFERROR(TO_DATE(H480), """")"),42565.478368055556)</f>
        <v>42565.47837</v>
      </c>
      <c r="J480" s="19" t="s">
        <v>14</v>
      </c>
      <c r="K480" s="22">
        <f t="shared" si="2"/>
        <v>0</v>
      </c>
    </row>
    <row r="481">
      <c r="A481" s="18">
        <v>5235.0</v>
      </c>
      <c r="B481" s="18" t="s">
        <v>30</v>
      </c>
      <c r="C481" s="18">
        <v>49.0</v>
      </c>
      <c r="D481" s="18" t="s">
        <v>31</v>
      </c>
      <c r="E481" s="27">
        <v>42565.88119212963</v>
      </c>
      <c r="F481" s="19">
        <f>IFERROR(__xludf.DUMMYFUNCTION("IFERROR(TO_DATE(E481), """")"),42565.88119212963)</f>
        <v>42565.88119</v>
      </c>
      <c r="G481" s="20">
        <f t="shared" si="1"/>
        <v>21</v>
      </c>
      <c r="H481" s="27">
        <v>42565.916967592595</v>
      </c>
      <c r="I481" s="19">
        <f>IFERROR(__xludf.DUMMYFUNCTION("IFERROR(TO_DATE(H481), """")"),42565.916967592595)</f>
        <v>42565.91697</v>
      </c>
      <c r="J481" s="19" t="s">
        <v>13</v>
      </c>
      <c r="K481" s="22">
        <f t="shared" si="2"/>
        <v>0</v>
      </c>
    </row>
    <row r="482">
      <c r="A482" s="18">
        <v>5979.0</v>
      </c>
      <c r="B482" s="18" t="s">
        <v>30</v>
      </c>
      <c r="C482" s="18">
        <v>49.0</v>
      </c>
      <c r="D482" s="18" t="s">
        <v>31</v>
      </c>
      <c r="E482" s="27">
        <v>42566.48296296296</v>
      </c>
      <c r="F482" s="19">
        <f>IFERROR(__xludf.DUMMYFUNCTION("IFERROR(TO_DATE(E482), """")"),42566.48296296296)</f>
        <v>42566.48296</v>
      </c>
      <c r="G482" s="20">
        <f t="shared" si="1"/>
        <v>11</v>
      </c>
      <c r="H482" s="27">
        <v>42566.50769675926</v>
      </c>
      <c r="I482" s="19">
        <f>IFERROR(__xludf.DUMMYFUNCTION("IFERROR(TO_DATE(H482), """")"),42566.50769675926)</f>
        <v>42566.5077</v>
      </c>
      <c r="J482" s="19" t="s">
        <v>14</v>
      </c>
      <c r="K482" s="22">
        <f t="shared" si="2"/>
        <v>0</v>
      </c>
    </row>
    <row r="483">
      <c r="A483" s="18">
        <v>6145.0</v>
      </c>
      <c r="B483" s="18" t="s">
        <v>30</v>
      </c>
      <c r="C483" s="18">
        <v>49.0</v>
      </c>
      <c r="D483" s="18" t="s">
        <v>31</v>
      </c>
      <c r="E483" s="27">
        <v>42566.67269675926</v>
      </c>
      <c r="F483" s="19">
        <f>IFERROR(__xludf.DUMMYFUNCTION("IFERROR(TO_DATE(E483), """")"),42566.67269675926)</f>
        <v>42566.6727</v>
      </c>
      <c r="G483" s="20">
        <f t="shared" si="1"/>
        <v>16</v>
      </c>
      <c r="H483" s="27">
        <v>42566.72263888889</v>
      </c>
      <c r="I483" s="19">
        <f>IFERROR(__xludf.DUMMYFUNCTION("IFERROR(TO_DATE(H483), """")"),42566.72263888889)</f>
        <v>42566.72264</v>
      </c>
      <c r="J483" s="19" t="s">
        <v>12</v>
      </c>
      <c r="K483" s="22">
        <f t="shared" si="2"/>
        <v>0</v>
      </c>
    </row>
    <row r="484">
      <c r="A484" s="18">
        <v>6363.0</v>
      </c>
      <c r="B484" s="18" t="s">
        <v>30</v>
      </c>
      <c r="C484" s="18">
        <v>49.0</v>
      </c>
      <c r="D484" s="18" t="s">
        <v>31</v>
      </c>
      <c r="E484" s="27">
        <v>42566.796631944446</v>
      </c>
      <c r="F484" s="19">
        <f>IFERROR(__xludf.DUMMYFUNCTION("IFERROR(TO_DATE(E484), """")"),42566.796631944446)</f>
        <v>42566.79663</v>
      </c>
      <c r="G484" s="20">
        <f t="shared" si="1"/>
        <v>19</v>
      </c>
      <c r="H484" s="27">
        <v>42566.82408564815</v>
      </c>
      <c r="I484" s="19">
        <f>IFERROR(__xludf.DUMMYFUNCTION("IFERROR(TO_DATE(H484), """")"),42566.82408564815)</f>
        <v>42566.82409</v>
      </c>
      <c r="J484" s="19" t="s">
        <v>12</v>
      </c>
      <c r="K484" s="22">
        <f t="shared" si="2"/>
        <v>0</v>
      </c>
    </row>
    <row r="485">
      <c r="A485" s="18">
        <v>2481.0</v>
      </c>
      <c r="B485" s="18" t="s">
        <v>32</v>
      </c>
      <c r="C485" s="18">
        <v>50.0</v>
      </c>
      <c r="D485" s="18" t="s">
        <v>31</v>
      </c>
      <c r="E485" s="26">
        <v>42563.86111111111</v>
      </c>
      <c r="F485" s="19">
        <f>IFERROR(__xludf.DUMMYFUNCTION("IFERROR(TO_DATE(E485), """")"),42563.86111111111)</f>
        <v>42563.86111</v>
      </c>
      <c r="G485" s="20">
        <f t="shared" si="1"/>
        <v>20</v>
      </c>
      <c r="H485" s="26">
        <v>42563.90069444444</v>
      </c>
      <c r="I485" s="19">
        <f>IFERROR(__xludf.DUMMYFUNCTION("IFERROR(TO_DATE(H485), """")"),42563.90069444444)</f>
        <v>42563.90069</v>
      </c>
      <c r="J485" s="19" t="s">
        <v>13</v>
      </c>
      <c r="K485" s="22">
        <f t="shared" si="2"/>
        <v>0</v>
      </c>
    </row>
    <row r="486">
      <c r="A486" s="18">
        <v>3328.0</v>
      </c>
      <c r="B486" s="18" t="s">
        <v>30</v>
      </c>
      <c r="C486" s="18">
        <v>50.0</v>
      </c>
      <c r="D486" s="18" t="s">
        <v>31</v>
      </c>
      <c r="E486" s="27">
        <v>42564.52003472222</v>
      </c>
      <c r="F486" s="19">
        <f>IFERROR(__xludf.DUMMYFUNCTION("IFERROR(TO_DATE(E486), """")"),42564.52003472222)</f>
        <v>42564.52003</v>
      </c>
      <c r="G486" s="20">
        <f t="shared" si="1"/>
        <v>12</v>
      </c>
      <c r="H486" s="27">
        <v>42564.5487037037</v>
      </c>
      <c r="I486" s="19">
        <f>IFERROR(__xludf.DUMMYFUNCTION("IFERROR(TO_DATE(H486), """")"),42564.5487037037)</f>
        <v>42564.5487</v>
      </c>
      <c r="J486" s="19" t="s">
        <v>10</v>
      </c>
      <c r="K486" s="22">
        <f t="shared" si="2"/>
        <v>0</v>
      </c>
    </row>
    <row r="487">
      <c r="A487" s="18">
        <v>3908.0</v>
      </c>
      <c r="B487" s="18" t="s">
        <v>30</v>
      </c>
      <c r="C487" s="18">
        <v>50.0</v>
      </c>
      <c r="D487" s="18" t="s">
        <v>31</v>
      </c>
      <c r="E487" s="27">
        <v>42564.92170138889</v>
      </c>
      <c r="F487" s="19">
        <f>IFERROR(__xludf.DUMMYFUNCTION("IFERROR(TO_DATE(E487), """")"),42564.92170138889)</f>
        <v>42564.9217</v>
      </c>
      <c r="G487" s="20">
        <f t="shared" si="1"/>
        <v>22</v>
      </c>
      <c r="H487" s="27">
        <v>42564.969201388885</v>
      </c>
      <c r="I487" s="19">
        <f>IFERROR(__xludf.DUMMYFUNCTION("IFERROR(TO_DATE(H487), """")"),42564.969201388885)</f>
        <v>42564.9692</v>
      </c>
      <c r="J487" s="19" t="s">
        <v>13</v>
      </c>
      <c r="K487" s="22">
        <f t="shared" si="2"/>
        <v>0</v>
      </c>
    </row>
    <row r="488">
      <c r="A488" s="18">
        <v>4416.0</v>
      </c>
      <c r="B488" s="18" t="s">
        <v>32</v>
      </c>
      <c r="C488" s="18">
        <v>50.0</v>
      </c>
      <c r="D488" s="18" t="s">
        <v>31</v>
      </c>
      <c r="E488" s="27">
        <v>42565.342199074075</v>
      </c>
      <c r="F488" s="19">
        <f>IFERROR(__xludf.DUMMYFUNCTION("IFERROR(TO_DATE(E488), """")"),42565.342199074075)</f>
        <v>42565.3422</v>
      </c>
      <c r="G488" s="20">
        <f t="shared" si="1"/>
        <v>8</v>
      </c>
      <c r="H488" s="27">
        <v>42565.38077546296</v>
      </c>
      <c r="I488" s="19">
        <f>IFERROR(__xludf.DUMMYFUNCTION("IFERROR(TO_DATE(H488), """")"),42565.38077546296)</f>
        <v>42565.38078</v>
      </c>
      <c r="J488" s="19" t="s">
        <v>14</v>
      </c>
      <c r="K488" s="22">
        <f t="shared" si="2"/>
        <v>0</v>
      </c>
    </row>
    <row r="489">
      <c r="A489" s="18">
        <v>4966.0</v>
      </c>
      <c r="B489" s="18" t="s">
        <v>30</v>
      </c>
      <c r="C489" s="18">
        <v>50.0</v>
      </c>
      <c r="D489" s="18" t="s">
        <v>31</v>
      </c>
      <c r="E489" s="27">
        <v>42565.77476851852</v>
      </c>
      <c r="F489" s="19">
        <f>IFERROR(__xludf.DUMMYFUNCTION("IFERROR(TO_DATE(E489), """")"),42565.77476851852)</f>
        <v>42565.77477</v>
      </c>
      <c r="G489" s="20">
        <f t="shared" si="1"/>
        <v>18</v>
      </c>
      <c r="H489" s="27">
        <v>42565.805451388886</v>
      </c>
      <c r="I489" s="19">
        <f>IFERROR(__xludf.DUMMYFUNCTION("IFERROR(TO_DATE(H489), """")"),42565.805451388886)</f>
        <v>42565.80545</v>
      </c>
      <c r="J489" s="19" t="s">
        <v>12</v>
      </c>
      <c r="K489" s="22">
        <f t="shared" si="2"/>
        <v>0</v>
      </c>
    </row>
    <row r="490">
      <c r="A490" s="18">
        <v>5243.0</v>
      </c>
      <c r="B490" s="18" t="s">
        <v>32</v>
      </c>
      <c r="C490" s="18">
        <v>50.0</v>
      </c>
      <c r="D490" s="18" t="s">
        <v>31</v>
      </c>
      <c r="E490" s="27">
        <v>42565.88344907408</v>
      </c>
      <c r="F490" s="19">
        <f>IFERROR(__xludf.DUMMYFUNCTION("IFERROR(TO_DATE(E490), """")"),42565.88344907408)</f>
        <v>42565.88345</v>
      </c>
      <c r="G490" s="20">
        <f t="shared" si="1"/>
        <v>21</v>
      </c>
      <c r="H490" s="27">
        <v>42565.92722222222</v>
      </c>
      <c r="I490" s="19">
        <f>IFERROR(__xludf.DUMMYFUNCTION("IFERROR(TO_DATE(H490), """")"),42565.92722222222)</f>
        <v>42565.92722</v>
      </c>
      <c r="J490" s="19" t="s">
        <v>13</v>
      </c>
      <c r="K490" s="22">
        <f t="shared" si="2"/>
        <v>0</v>
      </c>
    </row>
    <row r="491">
      <c r="A491" s="18">
        <v>5697.0</v>
      </c>
      <c r="B491" s="18" t="s">
        <v>32</v>
      </c>
      <c r="C491" s="18">
        <v>50.0</v>
      </c>
      <c r="D491" s="18" t="s">
        <v>31</v>
      </c>
      <c r="E491" s="27">
        <v>42566.3143287037</v>
      </c>
      <c r="F491" s="19">
        <f>IFERROR(__xludf.DUMMYFUNCTION("IFERROR(TO_DATE(E491), """")"),42566.3143287037)</f>
        <v>42566.31433</v>
      </c>
      <c r="G491" s="20">
        <f t="shared" si="1"/>
        <v>7</v>
      </c>
      <c r="H491" s="27">
        <v>42566.34196759259</v>
      </c>
      <c r="I491" s="19">
        <f>IFERROR(__xludf.DUMMYFUNCTION("IFERROR(TO_DATE(H491), """")"),42566.34196759259)</f>
        <v>42566.34197</v>
      </c>
      <c r="J491" s="19" t="s">
        <v>11</v>
      </c>
      <c r="K491" s="22">
        <f t="shared" si="2"/>
        <v>0</v>
      </c>
    </row>
    <row r="492">
      <c r="A492" s="18">
        <v>5864.0</v>
      </c>
      <c r="B492" s="18" t="s">
        <v>30</v>
      </c>
      <c r="C492" s="18">
        <v>50.0</v>
      </c>
      <c r="D492" s="18" t="s">
        <v>31</v>
      </c>
      <c r="E492" s="27">
        <v>42566.39096064815</v>
      </c>
      <c r="F492" s="19">
        <f>IFERROR(__xludf.DUMMYFUNCTION("IFERROR(TO_DATE(E492), """")"),42566.39096064815)</f>
        <v>42566.39096</v>
      </c>
      <c r="G492" s="20">
        <f t="shared" si="1"/>
        <v>9</v>
      </c>
      <c r="H492" s="27">
        <v>42566.42952546296</v>
      </c>
      <c r="I492" s="19">
        <f>IFERROR(__xludf.DUMMYFUNCTION("IFERROR(TO_DATE(H492), """")"),42566.42952546296)</f>
        <v>42566.42953</v>
      </c>
      <c r="J492" s="19" t="s">
        <v>14</v>
      </c>
      <c r="K492" s="22">
        <f t="shared" si="2"/>
        <v>0</v>
      </c>
    </row>
    <row r="493">
      <c r="A493" s="18">
        <v>6530.0</v>
      </c>
      <c r="B493" s="18" t="s">
        <v>30</v>
      </c>
      <c r="C493" s="18">
        <v>50.0</v>
      </c>
      <c r="D493" s="18" t="s">
        <v>31</v>
      </c>
      <c r="E493" s="27">
        <v>42566.86943287037</v>
      </c>
      <c r="F493" s="19">
        <f>IFERROR(__xludf.DUMMYFUNCTION("IFERROR(TO_DATE(E493), """")"),42566.86943287037)</f>
        <v>42566.86943</v>
      </c>
      <c r="G493" s="20">
        <f t="shared" si="1"/>
        <v>20</v>
      </c>
      <c r="H493" s="27">
        <v>42566.89649305555</v>
      </c>
      <c r="I493" s="19">
        <f>IFERROR(__xludf.DUMMYFUNCTION("IFERROR(TO_DATE(H493), """")"),42566.89649305555)</f>
        <v>42566.89649</v>
      </c>
      <c r="J493" s="19" t="s">
        <v>13</v>
      </c>
      <c r="K493" s="22">
        <f t="shared" si="2"/>
        <v>0</v>
      </c>
    </row>
    <row r="494">
      <c r="A494" s="18">
        <v>686.0</v>
      </c>
      <c r="B494" s="18" t="s">
        <v>32</v>
      </c>
      <c r="C494" s="18">
        <v>51.0</v>
      </c>
      <c r="D494" s="18" t="s">
        <v>31</v>
      </c>
      <c r="E494" s="26">
        <v>42562.572222222225</v>
      </c>
      <c r="F494" s="19">
        <f>IFERROR(__xludf.DUMMYFUNCTION("IFERROR(TO_DATE(E494), """")"),42562.572222222225)</f>
        <v>42562.57222</v>
      </c>
      <c r="G494" s="20">
        <f t="shared" si="1"/>
        <v>13</v>
      </c>
      <c r="H494" s="26">
        <v>42562.604166666664</v>
      </c>
      <c r="I494" s="19">
        <f>IFERROR(__xludf.DUMMYFUNCTION("IFERROR(TO_DATE(H494), """")"),42562.604166666664)</f>
        <v>42562.60417</v>
      </c>
      <c r="J494" s="19" t="s">
        <v>10</v>
      </c>
      <c r="K494" s="22">
        <f t="shared" si="2"/>
        <v>0</v>
      </c>
    </row>
    <row r="495">
      <c r="A495" s="18">
        <v>777.0</v>
      </c>
      <c r="B495" s="18" t="s">
        <v>30</v>
      </c>
      <c r="C495" s="18">
        <v>51.0</v>
      </c>
      <c r="D495" s="18" t="s">
        <v>31</v>
      </c>
      <c r="E495" s="26">
        <v>42562.69513888889</v>
      </c>
      <c r="F495" s="19">
        <f>IFERROR(__xludf.DUMMYFUNCTION("IFERROR(TO_DATE(E495), """")"),42562.69513888889)</f>
        <v>42562.69514</v>
      </c>
      <c r="G495" s="20">
        <f t="shared" si="1"/>
        <v>16</v>
      </c>
      <c r="H495" s="26">
        <v>42562.73055555556</v>
      </c>
      <c r="I495" s="19">
        <f>IFERROR(__xludf.DUMMYFUNCTION("IFERROR(TO_DATE(H495), """")"),42562.73055555556)</f>
        <v>42562.73056</v>
      </c>
      <c r="J495" s="19" t="s">
        <v>12</v>
      </c>
      <c r="K495" s="22">
        <f t="shared" si="2"/>
        <v>0</v>
      </c>
    </row>
    <row r="496">
      <c r="A496" s="18">
        <v>1455.0</v>
      </c>
      <c r="B496" s="18" t="s">
        <v>30</v>
      </c>
      <c r="C496" s="18">
        <v>51.0</v>
      </c>
      <c r="D496" s="18" t="s">
        <v>31</v>
      </c>
      <c r="E496" s="26">
        <v>42563.205555555556</v>
      </c>
      <c r="F496" s="19">
        <f>IFERROR(__xludf.DUMMYFUNCTION("IFERROR(TO_DATE(E496), """")"),42563.205555555556)</f>
        <v>42563.20556</v>
      </c>
      <c r="G496" s="20">
        <f t="shared" si="1"/>
        <v>4</v>
      </c>
      <c r="H496" s="26">
        <v>42563.22708333333</v>
      </c>
      <c r="I496" s="19">
        <f>IFERROR(__xludf.DUMMYFUNCTION("IFERROR(TO_DATE(H496), """")"),42563.22708333333)</f>
        <v>42563.22708</v>
      </c>
      <c r="J496" s="19" t="s">
        <v>11</v>
      </c>
      <c r="K496" s="22">
        <f t="shared" si="2"/>
        <v>0</v>
      </c>
    </row>
    <row r="497">
      <c r="A497" s="18">
        <v>1906.0</v>
      </c>
      <c r="B497" s="18" t="s">
        <v>30</v>
      </c>
      <c r="C497" s="18">
        <v>51.0</v>
      </c>
      <c r="D497" s="18" t="s">
        <v>31</v>
      </c>
      <c r="E497" s="26">
        <v>42563.44305555556</v>
      </c>
      <c r="F497" s="19">
        <f>IFERROR(__xludf.DUMMYFUNCTION("IFERROR(TO_DATE(E497), """")"),42563.44305555556)</f>
        <v>42563.44306</v>
      </c>
      <c r="G497" s="20">
        <f t="shared" si="1"/>
        <v>10</v>
      </c>
      <c r="H497" s="26">
        <v>42563.47361111111</v>
      </c>
      <c r="I497" s="19">
        <f>IFERROR(__xludf.DUMMYFUNCTION("IFERROR(TO_DATE(H497), """")"),42563.47361111111)</f>
        <v>42563.47361</v>
      </c>
      <c r="J497" s="19" t="s">
        <v>14</v>
      </c>
      <c r="K497" s="22">
        <f t="shared" si="2"/>
        <v>0</v>
      </c>
    </row>
    <row r="498">
      <c r="A498" s="18">
        <v>2432.0</v>
      </c>
      <c r="B498" s="18" t="s">
        <v>30</v>
      </c>
      <c r="C498" s="18">
        <v>51.0</v>
      </c>
      <c r="D498" s="18" t="s">
        <v>31</v>
      </c>
      <c r="E498" s="26">
        <v>42563.84375</v>
      </c>
      <c r="F498" s="19">
        <f>IFERROR(__xludf.DUMMYFUNCTION("IFERROR(TO_DATE(E498), """")"),42563.84375)</f>
        <v>42563.84375</v>
      </c>
      <c r="G498" s="20">
        <f t="shared" si="1"/>
        <v>20</v>
      </c>
      <c r="H498" s="26">
        <v>42563.87430555555</v>
      </c>
      <c r="I498" s="19">
        <f>IFERROR(__xludf.DUMMYFUNCTION("IFERROR(TO_DATE(H498), """")"),42563.87430555555)</f>
        <v>42563.87431</v>
      </c>
      <c r="J498" s="19" t="s">
        <v>13</v>
      </c>
      <c r="K498" s="22">
        <f t="shared" si="2"/>
        <v>0</v>
      </c>
    </row>
    <row r="499">
      <c r="A499" s="18">
        <v>2977.0</v>
      </c>
      <c r="B499" s="18" t="s">
        <v>30</v>
      </c>
      <c r="C499" s="18">
        <v>51.0</v>
      </c>
      <c r="D499" s="18" t="s">
        <v>31</v>
      </c>
      <c r="E499" s="27">
        <v>42564.286516203705</v>
      </c>
      <c r="F499" s="19">
        <f>IFERROR(__xludf.DUMMYFUNCTION("IFERROR(TO_DATE(E499), """")"),42564.286516203705)</f>
        <v>42564.28652</v>
      </c>
      <c r="G499" s="20">
        <f t="shared" si="1"/>
        <v>6</v>
      </c>
      <c r="H499" s="27">
        <v>42564.32469907407</v>
      </c>
      <c r="I499" s="19">
        <f>IFERROR(__xludf.DUMMYFUNCTION("IFERROR(TO_DATE(H499), """")"),42564.32469907407)</f>
        <v>42564.3247</v>
      </c>
      <c r="J499" s="19" t="s">
        <v>11</v>
      </c>
      <c r="K499" s="22">
        <f t="shared" si="2"/>
        <v>0</v>
      </c>
    </row>
    <row r="500">
      <c r="A500" s="18">
        <v>3964.0</v>
      </c>
      <c r="B500" s="18" t="s">
        <v>32</v>
      </c>
      <c r="C500" s="18">
        <v>51.0</v>
      </c>
      <c r="D500" s="18" t="s">
        <v>31</v>
      </c>
      <c r="E500" s="27">
        <v>42564.9537037037</v>
      </c>
      <c r="F500" s="19">
        <f>IFERROR(__xludf.DUMMYFUNCTION("IFERROR(TO_DATE(E500), """")"),42564.9537037037)</f>
        <v>42564.9537</v>
      </c>
      <c r="G500" s="20">
        <f t="shared" si="1"/>
        <v>22</v>
      </c>
      <c r="H500" s="27">
        <v>42564.98202546296</v>
      </c>
      <c r="I500" s="19">
        <f>IFERROR(__xludf.DUMMYFUNCTION("IFERROR(TO_DATE(H500), """")"),42564.98202546296)</f>
        <v>42564.98203</v>
      </c>
      <c r="J500" s="19" t="s">
        <v>13</v>
      </c>
      <c r="K500" s="22">
        <f t="shared" si="2"/>
        <v>0</v>
      </c>
    </row>
    <row r="501">
      <c r="A501" s="18">
        <v>4182.0</v>
      </c>
      <c r="B501" s="18" t="s">
        <v>30</v>
      </c>
      <c r="C501" s="18">
        <v>51.0</v>
      </c>
      <c r="D501" s="18" t="s">
        <v>31</v>
      </c>
      <c r="E501" s="27">
        <v>42565.225023148145</v>
      </c>
      <c r="F501" s="19">
        <f>IFERROR(__xludf.DUMMYFUNCTION("IFERROR(TO_DATE(E501), """")"),42565.225023148145)</f>
        <v>42565.22502</v>
      </c>
      <c r="G501" s="20">
        <f t="shared" si="1"/>
        <v>5</v>
      </c>
      <c r="H501" s="27">
        <v>42565.267233796294</v>
      </c>
      <c r="I501" s="19">
        <f>IFERROR(__xludf.DUMMYFUNCTION("IFERROR(TO_DATE(H501), """")"),42565.267233796294)</f>
        <v>42565.26723</v>
      </c>
      <c r="J501" s="19" t="s">
        <v>11</v>
      </c>
      <c r="K501" s="22">
        <f t="shared" si="2"/>
        <v>0</v>
      </c>
    </row>
    <row r="502">
      <c r="A502" s="18">
        <v>4679.0</v>
      </c>
      <c r="B502" s="18" t="s">
        <v>32</v>
      </c>
      <c r="C502" s="18">
        <v>51.0</v>
      </c>
      <c r="D502" s="18" t="s">
        <v>31</v>
      </c>
      <c r="E502" s="27">
        <v>42565.53123842592</v>
      </c>
      <c r="F502" s="19">
        <f>IFERROR(__xludf.DUMMYFUNCTION("IFERROR(TO_DATE(E502), """")"),42565.53123842592)</f>
        <v>42565.53124</v>
      </c>
      <c r="G502" s="20">
        <f t="shared" si="1"/>
        <v>12</v>
      </c>
      <c r="H502" s="27">
        <v>42565.568819444445</v>
      </c>
      <c r="I502" s="19">
        <f>IFERROR(__xludf.DUMMYFUNCTION("IFERROR(TO_DATE(H502), """")"),42565.568819444445)</f>
        <v>42565.56882</v>
      </c>
      <c r="J502" s="19" t="s">
        <v>10</v>
      </c>
      <c r="K502" s="22">
        <f t="shared" si="2"/>
        <v>0</v>
      </c>
    </row>
    <row r="503">
      <c r="A503" s="18">
        <v>4997.0</v>
      </c>
      <c r="B503" s="18" t="s">
        <v>32</v>
      </c>
      <c r="C503" s="18">
        <v>51.0</v>
      </c>
      <c r="D503" s="18" t="s">
        <v>31</v>
      </c>
      <c r="E503" s="27">
        <v>42565.789814814816</v>
      </c>
      <c r="F503" s="19">
        <f>IFERROR(__xludf.DUMMYFUNCTION("IFERROR(TO_DATE(E503), """")"),42565.789814814816)</f>
        <v>42565.78981</v>
      </c>
      <c r="G503" s="20">
        <f t="shared" si="1"/>
        <v>18</v>
      </c>
      <c r="H503" s="27">
        <v>42565.82047453704</v>
      </c>
      <c r="I503" s="19">
        <f>IFERROR(__xludf.DUMMYFUNCTION("IFERROR(TO_DATE(H503), """")"),42565.82047453704)</f>
        <v>42565.82047</v>
      </c>
      <c r="J503" s="19" t="s">
        <v>12</v>
      </c>
      <c r="K503" s="22">
        <f t="shared" si="2"/>
        <v>0</v>
      </c>
    </row>
    <row r="504">
      <c r="A504" s="18">
        <v>5600.0</v>
      </c>
      <c r="B504" s="18" t="s">
        <v>32</v>
      </c>
      <c r="C504" s="18">
        <v>51.0</v>
      </c>
      <c r="D504" s="18" t="s">
        <v>31</v>
      </c>
      <c r="E504" s="27">
        <v>42566.25648148148</v>
      </c>
      <c r="F504" s="19">
        <f>IFERROR(__xludf.DUMMYFUNCTION("IFERROR(TO_DATE(E504), """")"),42566.25648148148)</f>
        <v>42566.25648</v>
      </c>
      <c r="G504" s="20">
        <f t="shared" si="1"/>
        <v>6</v>
      </c>
      <c r="H504" s="27">
        <v>42566.300520833334</v>
      </c>
      <c r="I504" s="19">
        <f>IFERROR(__xludf.DUMMYFUNCTION("IFERROR(TO_DATE(H504), """")"),42566.300520833334)</f>
        <v>42566.30052</v>
      </c>
      <c r="J504" s="19" t="s">
        <v>11</v>
      </c>
      <c r="K504" s="22">
        <f t="shared" si="2"/>
        <v>0</v>
      </c>
    </row>
    <row r="505">
      <c r="A505" s="18">
        <v>5910.0</v>
      </c>
      <c r="B505" s="18" t="s">
        <v>30</v>
      </c>
      <c r="C505" s="18">
        <v>51.0</v>
      </c>
      <c r="D505" s="18" t="s">
        <v>31</v>
      </c>
      <c r="E505" s="27">
        <v>42566.41716435185</v>
      </c>
      <c r="F505" s="19">
        <f>IFERROR(__xludf.DUMMYFUNCTION("IFERROR(TO_DATE(E505), """")"),42566.41716435185)</f>
        <v>42566.41716</v>
      </c>
      <c r="G505" s="20">
        <f t="shared" si="1"/>
        <v>10</v>
      </c>
      <c r="H505" s="27">
        <v>42566.45334490741</v>
      </c>
      <c r="I505" s="19">
        <f>IFERROR(__xludf.DUMMYFUNCTION("IFERROR(TO_DATE(H505), """")"),42566.45334490741)</f>
        <v>42566.45334</v>
      </c>
      <c r="J505" s="19" t="s">
        <v>14</v>
      </c>
      <c r="K505" s="22">
        <f t="shared" si="2"/>
        <v>0</v>
      </c>
    </row>
    <row r="506">
      <c r="A506" s="18">
        <v>6597.0</v>
      </c>
      <c r="B506" s="18" t="s">
        <v>30</v>
      </c>
      <c r="C506" s="18">
        <v>51.0</v>
      </c>
      <c r="D506" s="18" t="s">
        <v>31</v>
      </c>
      <c r="E506" s="27">
        <v>42566.899351851855</v>
      </c>
      <c r="F506" s="19">
        <f>IFERROR(__xludf.DUMMYFUNCTION("IFERROR(TO_DATE(E506), """")"),42566.899351851855)</f>
        <v>42566.89935</v>
      </c>
      <c r="G506" s="20">
        <f t="shared" si="1"/>
        <v>21</v>
      </c>
      <c r="H506" s="27">
        <v>42566.931446759256</v>
      </c>
      <c r="I506" s="19">
        <f>IFERROR(__xludf.DUMMYFUNCTION("IFERROR(TO_DATE(H506), """")"),42566.931446759256)</f>
        <v>42566.93145</v>
      </c>
      <c r="J506" s="19" t="s">
        <v>13</v>
      </c>
      <c r="K506" s="22">
        <f t="shared" si="2"/>
        <v>0</v>
      </c>
    </row>
    <row r="507">
      <c r="A507" s="18">
        <v>64.0</v>
      </c>
      <c r="B507" s="18" t="s">
        <v>32</v>
      </c>
      <c r="C507" s="18">
        <v>52.0</v>
      </c>
      <c r="D507" s="18" t="s">
        <v>31</v>
      </c>
      <c r="E507" s="26">
        <v>42562.177777777775</v>
      </c>
      <c r="F507" s="19">
        <f>IFERROR(__xludf.DUMMYFUNCTION("IFERROR(TO_DATE(E507), """")"),42562.177777777775)</f>
        <v>42562.17778</v>
      </c>
      <c r="G507" s="20">
        <f t="shared" si="1"/>
        <v>4</v>
      </c>
      <c r="H507" s="26">
        <v>42562.22777777778</v>
      </c>
      <c r="I507" s="19">
        <f>IFERROR(__xludf.DUMMYFUNCTION("IFERROR(TO_DATE(H507), """")"),42562.22777777778)</f>
        <v>42562.22778</v>
      </c>
      <c r="J507" s="19" t="s">
        <v>11</v>
      </c>
      <c r="K507" s="22">
        <f t="shared" si="2"/>
        <v>0</v>
      </c>
    </row>
    <row r="508">
      <c r="A508" s="18">
        <v>687.0</v>
      </c>
      <c r="B508" s="18" t="s">
        <v>30</v>
      </c>
      <c r="C508" s="18">
        <v>52.0</v>
      </c>
      <c r="D508" s="18" t="s">
        <v>31</v>
      </c>
      <c r="E508" s="26">
        <v>42562.57013888889</v>
      </c>
      <c r="F508" s="19">
        <f>IFERROR(__xludf.DUMMYFUNCTION("IFERROR(TO_DATE(E508), """")"),42562.57013888889)</f>
        <v>42562.57014</v>
      </c>
      <c r="G508" s="20">
        <f t="shared" si="1"/>
        <v>13</v>
      </c>
      <c r="H508" s="26">
        <v>42562.600694444445</v>
      </c>
      <c r="I508" s="19">
        <f>IFERROR(__xludf.DUMMYFUNCTION("IFERROR(TO_DATE(H508), """")"),42562.600694444445)</f>
        <v>42562.60069</v>
      </c>
      <c r="J508" s="19" t="s">
        <v>10</v>
      </c>
      <c r="K508" s="22">
        <f t="shared" si="2"/>
        <v>0</v>
      </c>
    </row>
    <row r="509">
      <c r="A509" s="18">
        <v>1625.0</v>
      </c>
      <c r="B509" s="18" t="s">
        <v>32</v>
      </c>
      <c r="C509" s="18">
        <v>52.0</v>
      </c>
      <c r="D509" s="18" t="s">
        <v>31</v>
      </c>
      <c r="E509" s="26">
        <v>42563.29236111111</v>
      </c>
      <c r="F509" s="19">
        <f>IFERROR(__xludf.DUMMYFUNCTION("IFERROR(TO_DATE(E509), """")"),42563.29236111111)</f>
        <v>42563.29236</v>
      </c>
      <c r="G509" s="20">
        <f t="shared" si="1"/>
        <v>7</v>
      </c>
      <c r="H509" s="26">
        <v>42563.325694444444</v>
      </c>
      <c r="I509" s="19">
        <f>IFERROR(__xludf.DUMMYFUNCTION("IFERROR(TO_DATE(H509), """")"),42563.325694444444)</f>
        <v>42563.32569</v>
      </c>
      <c r="J509" s="19" t="s">
        <v>11</v>
      </c>
      <c r="K509" s="22">
        <f t="shared" si="2"/>
        <v>0</v>
      </c>
    </row>
    <row r="510">
      <c r="A510" s="18">
        <v>1958.0</v>
      </c>
      <c r="B510" s="18" t="s">
        <v>30</v>
      </c>
      <c r="C510" s="18">
        <v>52.0</v>
      </c>
      <c r="D510" s="18" t="s">
        <v>31</v>
      </c>
      <c r="E510" s="26">
        <v>42563.486805555556</v>
      </c>
      <c r="F510" s="19">
        <f>IFERROR(__xludf.DUMMYFUNCTION("IFERROR(TO_DATE(E510), """")"),42563.486805555556)</f>
        <v>42563.48681</v>
      </c>
      <c r="G510" s="20">
        <f t="shared" si="1"/>
        <v>11</v>
      </c>
      <c r="H510" s="26">
        <v>42563.524305555555</v>
      </c>
      <c r="I510" s="19">
        <f>IFERROR(__xludf.DUMMYFUNCTION("IFERROR(TO_DATE(H510), """")"),42563.524305555555)</f>
        <v>42563.52431</v>
      </c>
      <c r="J510" s="19" t="s">
        <v>14</v>
      </c>
      <c r="K510" s="22">
        <f t="shared" si="2"/>
        <v>0</v>
      </c>
    </row>
    <row r="511">
      <c r="A511" s="18">
        <v>2160.0</v>
      </c>
      <c r="B511" s="18" t="s">
        <v>30</v>
      </c>
      <c r="C511" s="18">
        <v>52.0</v>
      </c>
      <c r="D511" s="18" t="s">
        <v>31</v>
      </c>
      <c r="E511" s="26">
        <v>42563.73055555556</v>
      </c>
      <c r="F511" s="19">
        <f>IFERROR(__xludf.DUMMYFUNCTION("IFERROR(TO_DATE(E511), """")"),42563.73055555556)</f>
        <v>42563.73056</v>
      </c>
      <c r="G511" s="20">
        <f t="shared" si="1"/>
        <v>17</v>
      </c>
      <c r="H511" s="26">
        <v>42563.75486111111</v>
      </c>
      <c r="I511" s="19">
        <f>IFERROR(__xludf.DUMMYFUNCTION("IFERROR(TO_DATE(H511), """")"),42563.75486111111)</f>
        <v>42563.75486</v>
      </c>
      <c r="J511" s="19" t="s">
        <v>12</v>
      </c>
      <c r="K511" s="22">
        <f t="shared" si="2"/>
        <v>0</v>
      </c>
    </row>
    <row r="512">
      <c r="A512" s="18">
        <v>2517.0</v>
      </c>
      <c r="B512" s="18" t="s">
        <v>30</v>
      </c>
      <c r="C512" s="18">
        <v>52.0</v>
      </c>
      <c r="D512" s="18" t="s">
        <v>31</v>
      </c>
      <c r="E512" s="26">
        <v>42563.87777777778</v>
      </c>
      <c r="F512" s="19">
        <f>IFERROR(__xludf.DUMMYFUNCTION("IFERROR(TO_DATE(E512), """")"),42563.87777777778)</f>
        <v>42563.87778</v>
      </c>
      <c r="G512" s="20">
        <f t="shared" si="1"/>
        <v>21</v>
      </c>
      <c r="H512" s="26">
        <v>42563.930555555555</v>
      </c>
      <c r="I512" s="19">
        <f>IFERROR(__xludf.DUMMYFUNCTION("IFERROR(TO_DATE(H512), """")"),42563.930555555555)</f>
        <v>42563.93056</v>
      </c>
      <c r="J512" s="19" t="s">
        <v>13</v>
      </c>
      <c r="K512" s="22">
        <f t="shared" si="2"/>
        <v>0</v>
      </c>
    </row>
    <row r="513">
      <c r="A513" s="18">
        <v>2894.0</v>
      </c>
      <c r="B513" s="18" t="s">
        <v>32</v>
      </c>
      <c r="C513" s="18">
        <v>52.0</v>
      </c>
      <c r="D513" s="18" t="s">
        <v>31</v>
      </c>
      <c r="E513" s="27">
        <v>42564.251122685186</v>
      </c>
      <c r="F513" s="19">
        <f>IFERROR(__xludf.DUMMYFUNCTION("IFERROR(TO_DATE(E513), """")"),42564.251122685186)</f>
        <v>42564.25112</v>
      </c>
      <c r="G513" s="20">
        <f t="shared" si="1"/>
        <v>6</v>
      </c>
      <c r="H513" s="27">
        <v>42564.301354166666</v>
      </c>
      <c r="I513" s="19">
        <f>IFERROR(__xludf.DUMMYFUNCTION("IFERROR(TO_DATE(H513), """")"),42564.301354166666)</f>
        <v>42564.30135</v>
      </c>
      <c r="J513" s="19" t="s">
        <v>11</v>
      </c>
      <c r="K513" s="22">
        <f t="shared" si="2"/>
        <v>0</v>
      </c>
    </row>
    <row r="514">
      <c r="A514" s="18">
        <v>3739.0</v>
      </c>
      <c r="B514" s="18" t="s">
        <v>30</v>
      </c>
      <c r="C514" s="18">
        <v>52.0</v>
      </c>
      <c r="D514" s="18" t="s">
        <v>31</v>
      </c>
      <c r="E514" s="27">
        <v>42564.84835648148</v>
      </c>
      <c r="F514" s="19">
        <f>IFERROR(__xludf.DUMMYFUNCTION("IFERROR(TO_DATE(E514), """")"),42564.84835648148)</f>
        <v>42564.84836</v>
      </c>
      <c r="G514" s="20">
        <f t="shared" si="1"/>
        <v>20</v>
      </c>
      <c r="H514" s="27">
        <v>42564.87950231481</v>
      </c>
      <c r="I514" s="19">
        <f>IFERROR(__xludf.DUMMYFUNCTION("IFERROR(TO_DATE(H514), """")"),42564.87950231481)</f>
        <v>42564.8795</v>
      </c>
      <c r="J514" s="19" t="s">
        <v>13</v>
      </c>
      <c r="K514" s="22">
        <f t="shared" si="2"/>
        <v>0</v>
      </c>
    </row>
    <row r="515">
      <c r="A515" s="18">
        <v>4737.0</v>
      </c>
      <c r="B515" s="18" t="s">
        <v>32</v>
      </c>
      <c r="C515" s="18">
        <v>52.0</v>
      </c>
      <c r="D515" s="18" t="s">
        <v>31</v>
      </c>
      <c r="E515" s="27">
        <v>42565.60967592592</v>
      </c>
      <c r="F515" s="19">
        <f>IFERROR(__xludf.DUMMYFUNCTION("IFERROR(TO_DATE(E515), """")"),42565.60967592592)</f>
        <v>42565.60968</v>
      </c>
      <c r="G515" s="20">
        <f t="shared" si="1"/>
        <v>14</v>
      </c>
      <c r="H515" s="27">
        <v>42565.65814814815</v>
      </c>
      <c r="I515" s="19">
        <f>IFERROR(__xludf.DUMMYFUNCTION("IFERROR(TO_DATE(H515), """")"),42565.65814814815)</f>
        <v>42565.65815</v>
      </c>
      <c r="J515" s="19" t="s">
        <v>10</v>
      </c>
      <c r="K515" s="22">
        <f t="shared" si="2"/>
        <v>0</v>
      </c>
    </row>
    <row r="516">
      <c r="A516" s="18">
        <v>5064.0</v>
      </c>
      <c r="B516" s="18" t="s">
        <v>30</v>
      </c>
      <c r="C516" s="18">
        <v>52.0</v>
      </c>
      <c r="D516" s="18" t="s">
        <v>31</v>
      </c>
      <c r="E516" s="27">
        <v>42565.81114583334</v>
      </c>
      <c r="F516" s="19">
        <f>IFERROR(__xludf.DUMMYFUNCTION("IFERROR(TO_DATE(E516), """")"),42565.81114583334)</f>
        <v>42565.81115</v>
      </c>
      <c r="G516" s="20">
        <f t="shared" si="1"/>
        <v>19</v>
      </c>
      <c r="H516" s="27">
        <v>42565.856944444444</v>
      </c>
      <c r="I516" s="19">
        <f>IFERROR(__xludf.DUMMYFUNCTION("IFERROR(TO_DATE(H516), """")"),42565.856944444444)</f>
        <v>42565.85694</v>
      </c>
      <c r="J516" s="19" t="s">
        <v>12</v>
      </c>
      <c r="K516" s="22">
        <f t="shared" si="2"/>
        <v>0</v>
      </c>
    </row>
    <row r="517">
      <c r="A517" s="18">
        <v>313.0</v>
      </c>
      <c r="B517" s="18" t="s">
        <v>32</v>
      </c>
      <c r="C517" s="18">
        <v>53.0</v>
      </c>
      <c r="D517" s="18" t="s">
        <v>31</v>
      </c>
      <c r="E517" s="26">
        <v>42562.30972222222</v>
      </c>
      <c r="F517" s="19">
        <f>IFERROR(__xludf.DUMMYFUNCTION("IFERROR(TO_DATE(E517), """")"),42562.30972222222)</f>
        <v>42562.30972</v>
      </c>
      <c r="G517" s="20">
        <f t="shared" si="1"/>
        <v>7</v>
      </c>
      <c r="H517" s="26">
        <v>42562.35763888889</v>
      </c>
      <c r="I517" s="19">
        <f>IFERROR(__xludf.DUMMYFUNCTION("IFERROR(TO_DATE(H517), """")"),42562.35763888889)</f>
        <v>42562.35764</v>
      </c>
      <c r="J517" s="19" t="s">
        <v>11</v>
      </c>
      <c r="K517" s="22">
        <f t="shared" si="2"/>
        <v>0</v>
      </c>
    </row>
    <row r="518">
      <c r="A518" s="18">
        <v>2107.0</v>
      </c>
      <c r="B518" s="18" t="s">
        <v>32</v>
      </c>
      <c r="C518" s="18">
        <v>53.0</v>
      </c>
      <c r="D518" s="18" t="s">
        <v>31</v>
      </c>
      <c r="E518" s="26">
        <v>42563.67916666667</v>
      </c>
      <c r="F518" s="19">
        <f>IFERROR(__xludf.DUMMYFUNCTION("IFERROR(TO_DATE(E518), """")"),42563.67916666667)</f>
        <v>42563.67917</v>
      </c>
      <c r="G518" s="20">
        <f t="shared" si="1"/>
        <v>16</v>
      </c>
      <c r="H518" s="26">
        <v>42563.71805555555</v>
      </c>
      <c r="I518" s="19">
        <f>IFERROR(__xludf.DUMMYFUNCTION("IFERROR(TO_DATE(H518), """")"),42563.71805555555)</f>
        <v>42563.71806</v>
      </c>
      <c r="J518" s="19" t="s">
        <v>12</v>
      </c>
      <c r="K518" s="22">
        <f t="shared" si="2"/>
        <v>0</v>
      </c>
    </row>
    <row r="519">
      <c r="A519" s="18">
        <v>2819.0</v>
      </c>
      <c r="B519" s="18" t="s">
        <v>32</v>
      </c>
      <c r="C519" s="18">
        <v>53.0</v>
      </c>
      <c r="D519" s="18" t="s">
        <v>31</v>
      </c>
      <c r="E519" s="27">
        <v>42564.21670138889</v>
      </c>
      <c r="F519" s="19">
        <f>IFERROR(__xludf.DUMMYFUNCTION("IFERROR(TO_DATE(E519), """")"),42564.21670138889)</f>
        <v>42564.2167</v>
      </c>
      <c r="G519" s="20">
        <f t="shared" si="1"/>
        <v>5</v>
      </c>
      <c r="H519" s="27">
        <v>42564.26600694445</v>
      </c>
      <c r="I519" s="19">
        <f>IFERROR(__xludf.DUMMYFUNCTION("IFERROR(TO_DATE(H519), """")"),42564.26600694445)</f>
        <v>42564.26601</v>
      </c>
      <c r="J519" s="19" t="s">
        <v>11</v>
      </c>
      <c r="K519" s="22">
        <f t="shared" si="2"/>
        <v>0</v>
      </c>
    </row>
    <row r="520">
      <c r="A520" s="18">
        <v>2932.0</v>
      </c>
      <c r="B520" s="18" t="s">
        <v>30</v>
      </c>
      <c r="C520" s="18">
        <v>53.0</v>
      </c>
      <c r="D520" s="18" t="s">
        <v>31</v>
      </c>
      <c r="E520" s="27">
        <v>42564.27001157407</v>
      </c>
      <c r="F520" s="19">
        <f>IFERROR(__xludf.DUMMYFUNCTION("IFERROR(TO_DATE(E520), """")"),42564.27001157407)</f>
        <v>42564.27001</v>
      </c>
      <c r="G520" s="20">
        <f t="shared" si="1"/>
        <v>6</v>
      </c>
      <c r="H520" s="27">
        <v>42564.29981481482</v>
      </c>
      <c r="I520" s="19">
        <f>IFERROR(__xludf.DUMMYFUNCTION("IFERROR(TO_DATE(H520), """")"),42564.29981481482)</f>
        <v>42564.29981</v>
      </c>
      <c r="J520" s="19" t="s">
        <v>11</v>
      </c>
      <c r="K520" s="22">
        <f t="shared" si="2"/>
        <v>0</v>
      </c>
    </row>
    <row r="521">
      <c r="A521" s="18">
        <v>3593.0</v>
      </c>
      <c r="B521" s="18" t="s">
        <v>32</v>
      </c>
      <c r="C521" s="18">
        <v>53.0</v>
      </c>
      <c r="D521" s="18" t="s">
        <v>31</v>
      </c>
      <c r="E521" s="27">
        <v>42564.77380787037</v>
      </c>
      <c r="F521" s="19">
        <f>IFERROR(__xludf.DUMMYFUNCTION("IFERROR(TO_DATE(E521), """")"),42564.77380787037)</f>
        <v>42564.77381</v>
      </c>
      <c r="G521" s="20">
        <f t="shared" si="1"/>
        <v>18</v>
      </c>
      <c r="H521" s="27">
        <v>42564.811064814814</v>
      </c>
      <c r="I521" s="19">
        <f>IFERROR(__xludf.DUMMYFUNCTION("IFERROR(TO_DATE(H521), """")"),42564.811064814814)</f>
        <v>42564.81106</v>
      </c>
      <c r="J521" s="19" t="s">
        <v>12</v>
      </c>
      <c r="K521" s="22">
        <f t="shared" si="2"/>
        <v>0</v>
      </c>
    </row>
    <row r="522">
      <c r="A522" s="18">
        <v>4760.0</v>
      </c>
      <c r="B522" s="18" t="s">
        <v>32</v>
      </c>
      <c r="C522" s="18">
        <v>53.0</v>
      </c>
      <c r="D522" s="18" t="s">
        <v>31</v>
      </c>
      <c r="E522" s="27">
        <v>42565.63851851852</v>
      </c>
      <c r="F522" s="19">
        <f>IFERROR(__xludf.DUMMYFUNCTION("IFERROR(TO_DATE(E522), """")"),42565.63851851852)</f>
        <v>42565.63852</v>
      </c>
      <c r="G522" s="20">
        <f t="shared" si="1"/>
        <v>15</v>
      </c>
      <c r="H522" s="27">
        <v>42565.69258101852</v>
      </c>
      <c r="I522" s="19">
        <f>IFERROR(__xludf.DUMMYFUNCTION("IFERROR(TO_DATE(H522), """")"),42565.69258101852)</f>
        <v>42565.69258</v>
      </c>
      <c r="J522" s="19" t="s">
        <v>10</v>
      </c>
      <c r="K522" s="22">
        <f t="shared" si="2"/>
        <v>0</v>
      </c>
    </row>
    <row r="523">
      <c r="A523" s="18">
        <v>6681.0</v>
      </c>
      <c r="B523" s="18" t="s">
        <v>30</v>
      </c>
      <c r="C523" s="18">
        <v>53.0</v>
      </c>
      <c r="D523" s="18" t="s">
        <v>31</v>
      </c>
      <c r="E523" s="27">
        <v>42566.93894675926</v>
      </c>
      <c r="F523" s="19">
        <f>IFERROR(__xludf.DUMMYFUNCTION("IFERROR(TO_DATE(E523), """")"),42566.93894675926)</f>
        <v>42566.93895</v>
      </c>
      <c r="G523" s="20">
        <f t="shared" si="1"/>
        <v>22</v>
      </c>
      <c r="H523" s="27">
        <v>42566.982395833336</v>
      </c>
      <c r="I523" s="19">
        <f>IFERROR(__xludf.DUMMYFUNCTION("IFERROR(TO_DATE(H523), """")"),42566.982395833336)</f>
        <v>42566.9824</v>
      </c>
      <c r="J523" s="19" t="s">
        <v>13</v>
      </c>
      <c r="K523" s="22">
        <f t="shared" si="2"/>
        <v>0</v>
      </c>
    </row>
    <row r="524">
      <c r="A524" s="18">
        <v>234.0</v>
      </c>
      <c r="B524" s="18" t="s">
        <v>32</v>
      </c>
      <c r="C524" s="18">
        <v>54.0</v>
      </c>
      <c r="D524" s="18" t="s">
        <v>31</v>
      </c>
      <c r="E524" s="26">
        <v>42562.26875</v>
      </c>
      <c r="F524" s="19">
        <f>IFERROR(__xludf.DUMMYFUNCTION("IFERROR(TO_DATE(E524), """")"),42562.26875)</f>
        <v>42562.26875</v>
      </c>
      <c r="G524" s="20">
        <f t="shared" si="1"/>
        <v>6</v>
      </c>
      <c r="H524" s="26">
        <v>42562.30763888889</v>
      </c>
      <c r="I524" s="19">
        <f>IFERROR(__xludf.DUMMYFUNCTION("IFERROR(TO_DATE(H524), """")"),42562.30763888889)</f>
        <v>42562.30764</v>
      </c>
      <c r="J524" s="19" t="s">
        <v>11</v>
      </c>
      <c r="K524" s="22">
        <f t="shared" si="2"/>
        <v>0</v>
      </c>
    </row>
    <row r="525">
      <c r="A525" s="18">
        <v>425.0</v>
      </c>
      <c r="B525" s="18" t="s">
        <v>30</v>
      </c>
      <c r="C525" s="18">
        <v>54.0</v>
      </c>
      <c r="D525" s="18" t="s">
        <v>31</v>
      </c>
      <c r="E525" s="26">
        <v>42562.36666666667</v>
      </c>
      <c r="F525" s="19">
        <f>IFERROR(__xludf.DUMMYFUNCTION("IFERROR(TO_DATE(E525), """")"),42562.36666666667)</f>
        <v>42562.36667</v>
      </c>
      <c r="G525" s="20">
        <f t="shared" si="1"/>
        <v>8</v>
      </c>
      <c r="H525" s="26">
        <v>42562.39861111111</v>
      </c>
      <c r="I525" s="19">
        <f>IFERROR(__xludf.DUMMYFUNCTION("IFERROR(TO_DATE(H525), """")"),42562.39861111111)</f>
        <v>42562.39861</v>
      </c>
      <c r="J525" s="19" t="s">
        <v>14</v>
      </c>
      <c r="K525" s="22">
        <f t="shared" si="2"/>
        <v>0</v>
      </c>
    </row>
    <row r="526">
      <c r="A526" s="18">
        <v>1528.0</v>
      </c>
      <c r="B526" s="18" t="s">
        <v>32</v>
      </c>
      <c r="C526" s="18">
        <v>54.0</v>
      </c>
      <c r="D526" s="18" t="s">
        <v>31</v>
      </c>
      <c r="E526" s="26">
        <v>42563.248611111114</v>
      </c>
      <c r="F526" s="19">
        <f>IFERROR(__xludf.DUMMYFUNCTION("IFERROR(TO_DATE(E526), """")"),42563.248611111114)</f>
        <v>42563.24861</v>
      </c>
      <c r="G526" s="20">
        <f t="shared" si="1"/>
        <v>5</v>
      </c>
      <c r="H526" s="26">
        <v>42563.27291666667</v>
      </c>
      <c r="I526" s="19">
        <f>IFERROR(__xludf.DUMMYFUNCTION("IFERROR(TO_DATE(H526), """")"),42563.27291666667)</f>
        <v>42563.27292</v>
      </c>
      <c r="J526" s="19" t="s">
        <v>11</v>
      </c>
      <c r="K526" s="22">
        <f t="shared" si="2"/>
        <v>0</v>
      </c>
    </row>
    <row r="527">
      <c r="A527" s="18">
        <v>1671.0</v>
      </c>
      <c r="B527" s="18" t="s">
        <v>30</v>
      </c>
      <c r="C527" s="18">
        <v>54.0</v>
      </c>
      <c r="D527" s="18" t="s">
        <v>31</v>
      </c>
      <c r="E527" s="26">
        <v>42563.32013888889</v>
      </c>
      <c r="F527" s="19">
        <f>IFERROR(__xludf.DUMMYFUNCTION("IFERROR(TO_DATE(E527), """")"),42563.32013888889)</f>
        <v>42563.32014</v>
      </c>
      <c r="G527" s="20">
        <f t="shared" si="1"/>
        <v>7</v>
      </c>
      <c r="H527" s="26">
        <v>42563.368055555555</v>
      </c>
      <c r="I527" s="19">
        <f>IFERROR(__xludf.DUMMYFUNCTION("IFERROR(TO_DATE(H527), """")"),42563.368055555555)</f>
        <v>42563.36806</v>
      </c>
      <c r="J527" s="19" t="s">
        <v>11</v>
      </c>
      <c r="K527" s="22">
        <f t="shared" si="2"/>
        <v>0</v>
      </c>
    </row>
    <row r="528">
      <c r="A528" s="18">
        <v>2223.0</v>
      </c>
      <c r="B528" s="18" t="s">
        <v>32</v>
      </c>
      <c r="C528" s="18">
        <v>54.0</v>
      </c>
      <c r="D528" s="18" t="s">
        <v>31</v>
      </c>
      <c r="E528" s="26">
        <v>42563.75486111111</v>
      </c>
      <c r="F528" s="19">
        <f>IFERROR(__xludf.DUMMYFUNCTION("IFERROR(TO_DATE(E528), """")"),42563.75486111111)</f>
        <v>42563.75486</v>
      </c>
      <c r="G528" s="20">
        <f t="shared" si="1"/>
        <v>18</v>
      </c>
      <c r="H528" s="26">
        <v>42563.8</v>
      </c>
      <c r="I528" s="19">
        <f>IFERROR(__xludf.DUMMYFUNCTION("IFERROR(TO_DATE(H528), """")"),42563.8)</f>
        <v>42563.8</v>
      </c>
      <c r="J528" s="19" t="s">
        <v>12</v>
      </c>
      <c r="K528" s="22">
        <f t="shared" si="2"/>
        <v>0</v>
      </c>
    </row>
    <row r="529">
      <c r="A529" s="18">
        <v>3268.0</v>
      </c>
      <c r="B529" s="18" t="s">
        <v>30</v>
      </c>
      <c r="C529" s="18">
        <v>54.0</v>
      </c>
      <c r="D529" s="18" t="s">
        <v>31</v>
      </c>
      <c r="E529" s="27">
        <v>42564.43582175926</v>
      </c>
      <c r="F529" s="19">
        <f>IFERROR(__xludf.DUMMYFUNCTION("IFERROR(TO_DATE(E529), """")"),42564.43582175926)</f>
        <v>42564.43582</v>
      </c>
      <c r="G529" s="20">
        <f t="shared" si="1"/>
        <v>10</v>
      </c>
      <c r="H529" s="27">
        <v>42564.48045138889</v>
      </c>
      <c r="I529" s="19">
        <f>IFERROR(__xludf.DUMMYFUNCTION("IFERROR(TO_DATE(H529), """")"),42564.48045138889)</f>
        <v>42564.48045</v>
      </c>
      <c r="J529" s="19" t="s">
        <v>14</v>
      </c>
      <c r="K529" s="22">
        <f t="shared" si="2"/>
        <v>0</v>
      </c>
    </row>
    <row r="530">
      <c r="A530" s="18">
        <v>3530.0</v>
      </c>
      <c r="B530" s="18" t="s">
        <v>30</v>
      </c>
      <c r="C530" s="18">
        <v>54.0</v>
      </c>
      <c r="D530" s="18" t="s">
        <v>31</v>
      </c>
      <c r="E530" s="27">
        <v>42564.74545138889</v>
      </c>
      <c r="F530" s="19">
        <f>IFERROR(__xludf.DUMMYFUNCTION("IFERROR(TO_DATE(E530), """")"),42564.74545138889)</f>
        <v>42564.74545</v>
      </c>
      <c r="G530" s="20">
        <f t="shared" si="1"/>
        <v>17</v>
      </c>
      <c r="H530" s="27">
        <v>42564.78005787037</v>
      </c>
      <c r="I530" s="19">
        <f>IFERROR(__xludf.DUMMYFUNCTION("IFERROR(TO_DATE(H530), """")"),42564.78005787037)</f>
        <v>42564.78006</v>
      </c>
      <c r="J530" s="19" t="s">
        <v>12</v>
      </c>
      <c r="K530" s="22">
        <f t="shared" si="2"/>
        <v>0</v>
      </c>
    </row>
    <row r="531">
      <c r="A531" s="18">
        <v>4765.0</v>
      </c>
      <c r="B531" s="18" t="s">
        <v>30</v>
      </c>
      <c r="C531" s="18">
        <v>54.0</v>
      </c>
      <c r="D531" s="18" t="s">
        <v>31</v>
      </c>
      <c r="E531" s="27">
        <v>42565.650347222225</v>
      </c>
      <c r="F531" s="19">
        <f>IFERROR(__xludf.DUMMYFUNCTION("IFERROR(TO_DATE(E531), """")"),42565.650347222225)</f>
        <v>42565.65035</v>
      </c>
      <c r="G531" s="20">
        <f t="shared" si="1"/>
        <v>15</v>
      </c>
      <c r="H531" s="27">
        <v>42565.69521990741</v>
      </c>
      <c r="I531" s="19">
        <f>IFERROR(__xludf.DUMMYFUNCTION("IFERROR(TO_DATE(H531), """")"),42565.69521990741)</f>
        <v>42565.69522</v>
      </c>
      <c r="J531" s="19" t="s">
        <v>10</v>
      </c>
      <c r="K531" s="22">
        <f t="shared" si="2"/>
        <v>0</v>
      </c>
    </row>
    <row r="532">
      <c r="A532" s="18">
        <v>531.0</v>
      </c>
      <c r="B532" s="18" t="s">
        <v>32</v>
      </c>
      <c r="C532" s="18">
        <v>55.0</v>
      </c>
      <c r="D532" s="18" t="s">
        <v>31</v>
      </c>
      <c r="E532" s="26">
        <v>42562.41736111111</v>
      </c>
      <c r="F532" s="19">
        <f>IFERROR(__xludf.DUMMYFUNCTION("IFERROR(TO_DATE(E532), """")"),42562.41736111111)</f>
        <v>42562.41736</v>
      </c>
      <c r="G532" s="20">
        <f t="shared" si="1"/>
        <v>10</v>
      </c>
      <c r="H532" s="26">
        <v>42562.441666666666</v>
      </c>
      <c r="I532" s="19">
        <f>IFERROR(__xludf.DUMMYFUNCTION("IFERROR(TO_DATE(H532), """")"),42562.441666666666)</f>
        <v>42562.44167</v>
      </c>
      <c r="J532" s="19" t="s">
        <v>14</v>
      </c>
      <c r="K532" s="22">
        <f t="shared" si="2"/>
        <v>0</v>
      </c>
    </row>
    <row r="533">
      <c r="A533" s="18">
        <v>1721.0</v>
      </c>
      <c r="B533" s="18" t="s">
        <v>32</v>
      </c>
      <c r="C533" s="18">
        <v>55.0</v>
      </c>
      <c r="D533" s="18" t="s">
        <v>31</v>
      </c>
      <c r="E533" s="26">
        <v>42563.34027777778</v>
      </c>
      <c r="F533" s="19">
        <f>IFERROR(__xludf.DUMMYFUNCTION("IFERROR(TO_DATE(E533), """")"),42563.34027777778)</f>
        <v>42563.34028</v>
      </c>
      <c r="G533" s="20">
        <f t="shared" si="1"/>
        <v>8</v>
      </c>
      <c r="H533" s="26">
        <v>42563.36597222222</v>
      </c>
      <c r="I533" s="19">
        <f>IFERROR(__xludf.DUMMYFUNCTION("IFERROR(TO_DATE(H533), """")"),42563.36597222222)</f>
        <v>42563.36597</v>
      </c>
      <c r="J533" s="19" t="s">
        <v>14</v>
      </c>
      <c r="K533" s="22">
        <f t="shared" si="2"/>
        <v>0</v>
      </c>
    </row>
    <row r="534">
      <c r="A534" s="18">
        <v>2665.0</v>
      </c>
      <c r="B534" s="18" t="s">
        <v>30</v>
      </c>
      <c r="C534" s="18">
        <v>55.0</v>
      </c>
      <c r="D534" s="18" t="s">
        <v>31</v>
      </c>
      <c r="E534" s="26">
        <v>42563.979166666664</v>
      </c>
      <c r="F534" s="19">
        <f>IFERROR(__xludf.DUMMYFUNCTION("IFERROR(TO_DATE(E534), """")"),42563.979166666664)</f>
        <v>42563.97917</v>
      </c>
      <c r="G534" s="20">
        <f t="shared" si="1"/>
        <v>23</v>
      </c>
      <c r="H534" s="27">
        <v>42564.0258912037</v>
      </c>
      <c r="I534" s="19">
        <f>IFERROR(__xludf.DUMMYFUNCTION("IFERROR(TO_DATE(H534), """")"),42564.0258912037)</f>
        <v>42564.02589</v>
      </c>
      <c r="J534" s="19" t="s">
        <v>13</v>
      </c>
      <c r="K534" s="22">
        <f t="shared" si="2"/>
        <v>0</v>
      </c>
    </row>
    <row r="535">
      <c r="A535" s="18">
        <v>2951.0</v>
      </c>
      <c r="B535" s="18" t="s">
        <v>32</v>
      </c>
      <c r="C535" s="18">
        <v>55.0</v>
      </c>
      <c r="D535" s="18" t="s">
        <v>31</v>
      </c>
      <c r="E535" s="27">
        <v>42564.27789351852</v>
      </c>
      <c r="F535" s="19">
        <f>IFERROR(__xludf.DUMMYFUNCTION("IFERROR(TO_DATE(E535), """")"),42564.27789351852)</f>
        <v>42564.27789</v>
      </c>
      <c r="G535" s="20">
        <f t="shared" si="1"/>
        <v>6</v>
      </c>
      <c r="H535" s="27">
        <v>42564.320335648146</v>
      </c>
      <c r="I535" s="19">
        <f>IFERROR(__xludf.DUMMYFUNCTION("IFERROR(TO_DATE(H535), """")"),42564.320335648146)</f>
        <v>42564.32034</v>
      </c>
      <c r="J535" s="19" t="s">
        <v>11</v>
      </c>
      <c r="K535" s="22">
        <f t="shared" si="2"/>
        <v>0</v>
      </c>
    </row>
    <row r="536">
      <c r="A536" s="18">
        <v>3786.0</v>
      </c>
      <c r="B536" s="18" t="s">
        <v>30</v>
      </c>
      <c r="C536" s="18">
        <v>55.0</v>
      </c>
      <c r="D536" s="18" t="s">
        <v>31</v>
      </c>
      <c r="E536" s="27">
        <v>42564.86634259259</v>
      </c>
      <c r="F536" s="19">
        <f>IFERROR(__xludf.DUMMYFUNCTION("IFERROR(TO_DATE(E536), """")"),42564.86634259259)</f>
        <v>42564.86634</v>
      </c>
      <c r="G536" s="20">
        <f t="shared" si="1"/>
        <v>20</v>
      </c>
      <c r="H536" s="27">
        <v>42564.89989583333</v>
      </c>
      <c r="I536" s="19">
        <f>IFERROR(__xludf.DUMMYFUNCTION("IFERROR(TO_DATE(H536), """")"),42564.89989583333)</f>
        <v>42564.8999</v>
      </c>
      <c r="J536" s="19" t="s">
        <v>13</v>
      </c>
      <c r="K536" s="22">
        <f t="shared" si="2"/>
        <v>0</v>
      </c>
    </row>
    <row r="537">
      <c r="A537" s="18">
        <v>4049.0</v>
      </c>
      <c r="B537" s="18" t="s">
        <v>32</v>
      </c>
      <c r="C537" s="18">
        <v>55.0</v>
      </c>
      <c r="D537" s="18" t="s">
        <v>31</v>
      </c>
      <c r="E537" s="27">
        <v>42565.04388888889</v>
      </c>
      <c r="F537" s="19">
        <f>IFERROR(__xludf.DUMMYFUNCTION("IFERROR(TO_DATE(E537), """")"),42565.04388888889)</f>
        <v>42565.04389</v>
      </c>
      <c r="G537" s="20">
        <f t="shared" si="1"/>
        <v>1</v>
      </c>
      <c r="H537" s="27">
        <v>42565.10145833333</v>
      </c>
      <c r="I537" s="19">
        <f>IFERROR(__xludf.DUMMYFUNCTION("IFERROR(TO_DATE(H537), """")"),42565.10145833333)</f>
        <v>42565.10146</v>
      </c>
      <c r="J537" s="19" t="s">
        <v>15</v>
      </c>
      <c r="K537" s="22">
        <f t="shared" si="2"/>
        <v>0</v>
      </c>
    </row>
    <row r="538">
      <c r="A538" s="18">
        <v>4079.0</v>
      </c>
      <c r="B538" s="18" t="s">
        <v>30</v>
      </c>
      <c r="C538" s="18">
        <v>55.0</v>
      </c>
      <c r="D538" s="18" t="s">
        <v>31</v>
      </c>
      <c r="E538" s="27">
        <v>42565.10545138889</v>
      </c>
      <c r="F538" s="19">
        <f>IFERROR(__xludf.DUMMYFUNCTION("IFERROR(TO_DATE(E538), """")"),42565.10545138889)</f>
        <v>42565.10545</v>
      </c>
      <c r="G538" s="20">
        <f t="shared" si="1"/>
        <v>2</v>
      </c>
      <c r="H538" s="27">
        <v>42565.14821759259</v>
      </c>
      <c r="I538" s="19">
        <f>IFERROR(__xludf.DUMMYFUNCTION("IFERROR(TO_DATE(H538), """")"),42565.14821759259)</f>
        <v>42565.14822</v>
      </c>
      <c r="J538" s="19" t="s">
        <v>15</v>
      </c>
      <c r="K538" s="22">
        <f t="shared" si="2"/>
        <v>0</v>
      </c>
    </row>
    <row r="539">
      <c r="A539" s="18">
        <v>4233.0</v>
      </c>
      <c r="B539" s="18" t="s">
        <v>30</v>
      </c>
      <c r="C539" s="18">
        <v>55.0</v>
      </c>
      <c r="D539" s="18" t="s">
        <v>31</v>
      </c>
      <c r="E539" s="27">
        <v>42565.24422453704</v>
      </c>
      <c r="F539" s="19">
        <f>IFERROR(__xludf.DUMMYFUNCTION("IFERROR(TO_DATE(E539), """")"),42565.24422453704)</f>
        <v>42565.24422</v>
      </c>
      <c r="G539" s="20">
        <f t="shared" si="1"/>
        <v>5</v>
      </c>
      <c r="H539" s="27">
        <v>42565.2905787037</v>
      </c>
      <c r="I539" s="19">
        <f>IFERROR(__xludf.DUMMYFUNCTION("IFERROR(TO_DATE(H539), """")"),42565.2905787037)</f>
        <v>42565.29058</v>
      </c>
      <c r="J539" s="19" t="s">
        <v>11</v>
      </c>
      <c r="K539" s="22">
        <f t="shared" si="2"/>
        <v>0</v>
      </c>
    </row>
    <row r="540">
      <c r="A540" s="18">
        <v>4884.0</v>
      </c>
      <c r="B540" s="18" t="s">
        <v>30</v>
      </c>
      <c r="C540" s="18">
        <v>55.0</v>
      </c>
      <c r="D540" s="18" t="s">
        <v>31</v>
      </c>
      <c r="E540" s="27">
        <v>42565.7455787037</v>
      </c>
      <c r="F540" s="19">
        <f>IFERROR(__xludf.DUMMYFUNCTION("IFERROR(TO_DATE(E540), """")"),42565.7455787037)</f>
        <v>42565.74558</v>
      </c>
      <c r="G540" s="20">
        <f t="shared" si="1"/>
        <v>17</v>
      </c>
      <c r="H540" s="27">
        <v>42565.79587962963</v>
      </c>
      <c r="I540" s="19">
        <f>IFERROR(__xludf.DUMMYFUNCTION("IFERROR(TO_DATE(H540), """")"),42565.79587962963)</f>
        <v>42565.79588</v>
      </c>
      <c r="J540" s="19" t="s">
        <v>12</v>
      </c>
      <c r="K540" s="22">
        <f t="shared" si="2"/>
        <v>0</v>
      </c>
    </row>
    <row r="541">
      <c r="A541" s="18">
        <v>6350.0</v>
      </c>
      <c r="B541" s="18" t="s">
        <v>32</v>
      </c>
      <c r="C541" s="18">
        <v>55.0</v>
      </c>
      <c r="D541" s="18" t="s">
        <v>31</v>
      </c>
      <c r="E541" s="27">
        <v>42566.78988425926</v>
      </c>
      <c r="F541" s="19">
        <f>IFERROR(__xludf.DUMMYFUNCTION("IFERROR(TO_DATE(E541), """")"),42566.78988425926)</f>
        <v>42566.78988</v>
      </c>
      <c r="G541" s="20">
        <f t="shared" si="1"/>
        <v>18</v>
      </c>
      <c r="H541" s="27">
        <v>42566.83917824074</v>
      </c>
      <c r="I541" s="19">
        <f>IFERROR(__xludf.DUMMYFUNCTION("IFERROR(TO_DATE(H541), """")"),42566.83917824074)</f>
        <v>42566.83918</v>
      </c>
      <c r="J541" s="19" t="s">
        <v>12</v>
      </c>
      <c r="K541" s="22">
        <f t="shared" si="2"/>
        <v>0</v>
      </c>
    </row>
    <row r="542">
      <c r="A542" s="18">
        <v>1914.0</v>
      </c>
      <c r="B542" s="18" t="s">
        <v>30</v>
      </c>
      <c r="C542" s="18">
        <v>56.0</v>
      </c>
      <c r="D542" s="18" t="s">
        <v>31</v>
      </c>
      <c r="E542" s="26">
        <v>42563.44583333333</v>
      </c>
      <c r="F542" s="19">
        <f>IFERROR(__xludf.DUMMYFUNCTION("IFERROR(TO_DATE(E542), """")"),42563.44583333333)</f>
        <v>42563.44583</v>
      </c>
      <c r="G542" s="20">
        <f t="shared" si="1"/>
        <v>10</v>
      </c>
      <c r="H542" s="26">
        <v>42563.49444444444</v>
      </c>
      <c r="I542" s="19">
        <f>IFERROR(__xludf.DUMMYFUNCTION("IFERROR(TO_DATE(H542), """")"),42563.49444444444)</f>
        <v>42563.49444</v>
      </c>
      <c r="J542" s="19" t="s">
        <v>14</v>
      </c>
      <c r="K542" s="22">
        <f t="shared" si="2"/>
        <v>0</v>
      </c>
    </row>
    <row r="543">
      <c r="A543" s="18">
        <v>3205.0</v>
      </c>
      <c r="B543" s="18" t="s">
        <v>32</v>
      </c>
      <c r="C543" s="18">
        <v>56.0</v>
      </c>
      <c r="D543" s="18" t="s">
        <v>31</v>
      </c>
      <c r="E543" s="27">
        <v>42564.401504629626</v>
      </c>
      <c r="F543" s="19">
        <f>IFERROR(__xludf.DUMMYFUNCTION("IFERROR(TO_DATE(E543), """")"),42564.401504629626)</f>
        <v>42564.4015</v>
      </c>
      <c r="G543" s="20">
        <f t="shared" si="1"/>
        <v>9</v>
      </c>
      <c r="H543" s="27">
        <v>42564.45112268518</v>
      </c>
      <c r="I543" s="19">
        <f>IFERROR(__xludf.DUMMYFUNCTION("IFERROR(TO_DATE(H543), """")"),42564.45112268518)</f>
        <v>42564.45112</v>
      </c>
      <c r="J543" s="19" t="s">
        <v>14</v>
      </c>
      <c r="K543" s="22">
        <f t="shared" si="2"/>
        <v>0</v>
      </c>
    </row>
    <row r="544">
      <c r="A544" s="18">
        <v>3448.0</v>
      </c>
      <c r="B544" s="18" t="s">
        <v>32</v>
      </c>
      <c r="C544" s="18">
        <v>56.0</v>
      </c>
      <c r="D544" s="18" t="s">
        <v>31</v>
      </c>
      <c r="E544" s="27">
        <v>42564.695127314815</v>
      </c>
      <c r="F544" s="19">
        <f>IFERROR(__xludf.DUMMYFUNCTION("IFERROR(TO_DATE(E544), """")"),42564.695127314815)</f>
        <v>42564.69513</v>
      </c>
      <c r="G544" s="20">
        <f t="shared" si="1"/>
        <v>16</v>
      </c>
      <c r="H544" s="27">
        <v>42564.73306712963</v>
      </c>
      <c r="I544" s="19">
        <f>IFERROR(__xludf.DUMMYFUNCTION("IFERROR(TO_DATE(H544), """")"),42564.73306712963)</f>
        <v>42564.73307</v>
      </c>
      <c r="J544" s="19" t="s">
        <v>12</v>
      </c>
      <c r="K544" s="22">
        <f t="shared" si="2"/>
        <v>0</v>
      </c>
    </row>
    <row r="545">
      <c r="A545" s="18">
        <v>4628.0</v>
      </c>
      <c r="B545" s="18" t="s">
        <v>32</v>
      </c>
      <c r="C545" s="18">
        <v>56.0</v>
      </c>
      <c r="D545" s="18" t="s">
        <v>31</v>
      </c>
      <c r="E545" s="27">
        <v>42565.46763888889</v>
      </c>
      <c r="F545" s="19">
        <f>IFERROR(__xludf.DUMMYFUNCTION("IFERROR(TO_DATE(E545), """")"),42565.46763888889)</f>
        <v>42565.46764</v>
      </c>
      <c r="G545" s="20">
        <f t="shared" si="1"/>
        <v>11</v>
      </c>
      <c r="H545" s="27">
        <v>42565.503900462965</v>
      </c>
      <c r="I545" s="19">
        <f>IFERROR(__xludf.DUMMYFUNCTION("IFERROR(TO_DATE(H545), """")"),42565.503900462965)</f>
        <v>42565.5039</v>
      </c>
      <c r="J545" s="19" t="s">
        <v>14</v>
      </c>
      <c r="K545" s="22">
        <f t="shared" si="2"/>
        <v>0</v>
      </c>
    </row>
    <row r="546">
      <c r="A546" s="18">
        <v>5418.0</v>
      </c>
      <c r="B546" s="18" t="s">
        <v>32</v>
      </c>
      <c r="C546" s="18">
        <v>56.0</v>
      </c>
      <c r="D546" s="18" t="s">
        <v>31</v>
      </c>
      <c r="E546" s="27">
        <v>42566.085868055554</v>
      </c>
      <c r="F546" s="19">
        <f>IFERROR(__xludf.DUMMYFUNCTION("IFERROR(TO_DATE(E546), """")"),42566.085868055554)</f>
        <v>42566.08587</v>
      </c>
      <c r="G546" s="20">
        <f t="shared" si="1"/>
        <v>2</v>
      </c>
      <c r="H546" s="27">
        <v>42566.13402777778</v>
      </c>
      <c r="I546" s="19">
        <f>IFERROR(__xludf.DUMMYFUNCTION("IFERROR(TO_DATE(H546), """")"),42566.13402777778)</f>
        <v>42566.13403</v>
      </c>
      <c r="J546" s="19" t="s">
        <v>15</v>
      </c>
      <c r="K546" s="22">
        <f t="shared" si="2"/>
        <v>0</v>
      </c>
    </row>
    <row r="547">
      <c r="A547" s="18">
        <v>5654.0</v>
      </c>
      <c r="B547" s="18" t="s">
        <v>32</v>
      </c>
      <c r="C547" s="18">
        <v>56.0</v>
      </c>
      <c r="D547" s="18" t="s">
        <v>31</v>
      </c>
      <c r="E547" s="27">
        <v>42566.28902777778</v>
      </c>
      <c r="F547" s="19">
        <f>IFERROR(__xludf.DUMMYFUNCTION("IFERROR(TO_DATE(E547), """")"),42566.28902777778)</f>
        <v>42566.28903</v>
      </c>
      <c r="G547" s="20">
        <f t="shared" si="1"/>
        <v>6</v>
      </c>
      <c r="H547" s="27">
        <v>42566.34013888889</v>
      </c>
      <c r="I547" s="19">
        <f>IFERROR(__xludf.DUMMYFUNCTION("IFERROR(TO_DATE(H547), """")"),42566.34013888889)</f>
        <v>42566.34014</v>
      </c>
      <c r="J547" s="19" t="s">
        <v>11</v>
      </c>
      <c r="K547" s="22">
        <f t="shared" si="2"/>
        <v>0</v>
      </c>
    </row>
    <row r="548">
      <c r="A548" s="18">
        <v>614.0</v>
      </c>
      <c r="B548" s="18" t="s">
        <v>32</v>
      </c>
      <c r="C548" s="18">
        <v>57.0</v>
      </c>
      <c r="D548" s="18" t="s">
        <v>31</v>
      </c>
      <c r="E548" s="26">
        <v>42562.49236111111</v>
      </c>
      <c r="F548" s="19">
        <f>IFERROR(__xludf.DUMMYFUNCTION("IFERROR(TO_DATE(E548), """")"),42562.49236111111)</f>
        <v>42562.49236</v>
      </c>
      <c r="G548" s="20">
        <f t="shared" si="1"/>
        <v>11</v>
      </c>
      <c r="H548" s="26">
        <v>42562.53611111111</v>
      </c>
      <c r="I548" s="19">
        <f>IFERROR(__xludf.DUMMYFUNCTION("IFERROR(TO_DATE(H548), """")"),42562.53611111111)</f>
        <v>42562.53611</v>
      </c>
      <c r="J548" s="19" t="s">
        <v>14</v>
      </c>
      <c r="K548" s="22">
        <f t="shared" si="2"/>
        <v>0</v>
      </c>
    </row>
    <row r="549">
      <c r="A549" s="18">
        <v>1340.0</v>
      </c>
      <c r="B549" s="18" t="s">
        <v>32</v>
      </c>
      <c r="C549" s="18">
        <v>57.0</v>
      </c>
      <c r="D549" s="18" t="s">
        <v>31</v>
      </c>
      <c r="E549" s="26">
        <v>42562.97361111111</v>
      </c>
      <c r="F549" s="19">
        <f>IFERROR(__xludf.DUMMYFUNCTION("IFERROR(TO_DATE(E549), """")"),42562.97361111111)</f>
        <v>42562.97361</v>
      </c>
      <c r="G549" s="20">
        <f t="shared" si="1"/>
        <v>23</v>
      </c>
      <c r="H549" s="26">
        <v>42562.99652777778</v>
      </c>
      <c r="I549" s="19">
        <f>IFERROR(__xludf.DUMMYFUNCTION("IFERROR(TO_DATE(H549), """")"),42562.99652777778)</f>
        <v>42562.99653</v>
      </c>
      <c r="J549" s="19" t="s">
        <v>13</v>
      </c>
      <c r="K549" s="22">
        <f t="shared" si="2"/>
        <v>0</v>
      </c>
    </row>
    <row r="550">
      <c r="A550" s="18">
        <v>1576.0</v>
      </c>
      <c r="B550" s="18" t="s">
        <v>32</v>
      </c>
      <c r="C550" s="18">
        <v>57.0</v>
      </c>
      <c r="D550" s="18" t="s">
        <v>31</v>
      </c>
      <c r="E550" s="26">
        <v>42563.26875</v>
      </c>
      <c r="F550" s="19">
        <f>IFERROR(__xludf.DUMMYFUNCTION("IFERROR(TO_DATE(E550), """")"),42563.26875)</f>
        <v>42563.26875</v>
      </c>
      <c r="G550" s="20">
        <f t="shared" si="1"/>
        <v>6</v>
      </c>
      <c r="H550" s="26">
        <v>42563.32013888889</v>
      </c>
      <c r="I550" s="19">
        <f>IFERROR(__xludf.DUMMYFUNCTION("IFERROR(TO_DATE(H550), """")"),42563.32013888889)</f>
        <v>42563.32014</v>
      </c>
      <c r="J550" s="19" t="s">
        <v>11</v>
      </c>
      <c r="K550" s="22">
        <f t="shared" si="2"/>
        <v>0</v>
      </c>
    </row>
    <row r="551">
      <c r="A551" s="18">
        <v>1974.0</v>
      </c>
      <c r="B551" s="18" t="s">
        <v>30</v>
      </c>
      <c r="C551" s="18">
        <v>57.0</v>
      </c>
      <c r="D551" s="18" t="s">
        <v>31</v>
      </c>
      <c r="E551" s="26">
        <v>42563.513194444444</v>
      </c>
      <c r="F551" s="19">
        <f>IFERROR(__xludf.DUMMYFUNCTION("IFERROR(TO_DATE(E551), """")"),42563.513194444444)</f>
        <v>42563.51319</v>
      </c>
      <c r="G551" s="20">
        <f t="shared" si="1"/>
        <v>12</v>
      </c>
      <c r="H551" s="26">
        <v>42563.54652777778</v>
      </c>
      <c r="I551" s="19">
        <f>IFERROR(__xludf.DUMMYFUNCTION("IFERROR(TO_DATE(H551), """")"),42563.54652777778)</f>
        <v>42563.54653</v>
      </c>
      <c r="J551" s="19" t="s">
        <v>10</v>
      </c>
      <c r="K551" s="22">
        <f t="shared" si="2"/>
        <v>0</v>
      </c>
    </row>
    <row r="552">
      <c r="A552" s="18">
        <v>2597.0</v>
      </c>
      <c r="B552" s="18" t="s">
        <v>32</v>
      </c>
      <c r="C552" s="18">
        <v>57.0</v>
      </c>
      <c r="D552" s="18" t="s">
        <v>31</v>
      </c>
      <c r="E552" s="26">
        <v>42563.91111111111</v>
      </c>
      <c r="F552" s="19">
        <f>IFERROR(__xludf.DUMMYFUNCTION("IFERROR(TO_DATE(E552), """")"),42563.91111111111)</f>
        <v>42563.91111</v>
      </c>
      <c r="G552" s="20">
        <f t="shared" si="1"/>
        <v>21</v>
      </c>
      <c r="H552" s="26">
        <v>42563.95416666667</v>
      </c>
      <c r="I552" s="19">
        <f>IFERROR(__xludf.DUMMYFUNCTION("IFERROR(TO_DATE(H552), """")"),42563.95416666667)</f>
        <v>42563.95417</v>
      </c>
      <c r="J552" s="19" t="s">
        <v>13</v>
      </c>
      <c r="K552" s="22">
        <f t="shared" si="2"/>
        <v>0</v>
      </c>
    </row>
    <row r="553">
      <c r="A553" s="18">
        <v>4690.0</v>
      </c>
      <c r="B553" s="18" t="s">
        <v>32</v>
      </c>
      <c r="C553" s="18">
        <v>57.0</v>
      </c>
      <c r="D553" s="18" t="s">
        <v>31</v>
      </c>
      <c r="E553" s="27">
        <v>42565.544537037036</v>
      </c>
      <c r="F553" s="19">
        <f>IFERROR(__xludf.DUMMYFUNCTION("IFERROR(TO_DATE(E553), """")"),42565.544537037036)</f>
        <v>42565.54454</v>
      </c>
      <c r="G553" s="20">
        <f t="shared" si="1"/>
        <v>13</v>
      </c>
      <c r="H553" s="27">
        <v>42565.57298611111</v>
      </c>
      <c r="I553" s="19">
        <f>IFERROR(__xludf.DUMMYFUNCTION("IFERROR(TO_DATE(H553), """")"),42565.57298611111)</f>
        <v>42565.57299</v>
      </c>
      <c r="J553" s="19" t="s">
        <v>10</v>
      </c>
      <c r="K553" s="22">
        <f t="shared" si="2"/>
        <v>0</v>
      </c>
    </row>
    <row r="554">
      <c r="A554" s="18">
        <v>6267.0</v>
      </c>
      <c r="B554" s="18" t="s">
        <v>30</v>
      </c>
      <c r="C554" s="18">
        <v>57.0</v>
      </c>
      <c r="D554" s="18" t="s">
        <v>31</v>
      </c>
      <c r="E554" s="27">
        <v>42566.75697916667</v>
      </c>
      <c r="F554" s="19">
        <f>IFERROR(__xludf.DUMMYFUNCTION("IFERROR(TO_DATE(E554), """")"),42566.75697916667)</f>
        <v>42566.75698</v>
      </c>
      <c r="G554" s="20">
        <f t="shared" si="1"/>
        <v>18</v>
      </c>
      <c r="H554" s="27">
        <v>42566.781539351854</v>
      </c>
      <c r="I554" s="19">
        <f>IFERROR(__xludf.DUMMYFUNCTION("IFERROR(TO_DATE(H554), """")"),42566.781539351854)</f>
        <v>42566.78154</v>
      </c>
      <c r="J554" s="19" t="s">
        <v>12</v>
      </c>
      <c r="K554" s="22">
        <f t="shared" si="2"/>
        <v>0</v>
      </c>
    </row>
    <row r="555">
      <c r="A555" s="18">
        <v>660.0</v>
      </c>
      <c r="B555" s="18" t="s">
        <v>30</v>
      </c>
      <c r="C555" s="18">
        <v>58.0</v>
      </c>
      <c r="D555" s="18" t="s">
        <v>31</v>
      </c>
      <c r="E555" s="26">
        <v>42562.538194444445</v>
      </c>
      <c r="F555" s="19">
        <f>IFERROR(__xludf.DUMMYFUNCTION("IFERROR(TO_DATE(E555), """")"),42562.538194444445)</f>
        <v>42562.53819</v>
      </c>
      <c r="G555" s="20">
        <f t="shared" si="1"/>
        <v>12</v>
      </c>
      <c r="H555" s="26">
        <v>42562.572222222225</v>
      </c>
      <c r="I555" s="19">
        <f>IFERROR(__xludf.DUMMYFUNCTION("IFERROR(TO_DATE(H555), """")"),42562.572222222225)</f>
        <v>42562.57222</v>
      </c>
      <c r="J555" s="19" t="s">
        <v>10</v>
      </c>
      <c r="K555" s="22">
        <f t="shared" si="2"/>
        <v>0</v>
      </c>
    </row>
    <row r="556">
      <c r="A556" s="18">
        <v>943.0</v>
      </c>
      <c r="B556" s="18" t="s">
        <v>30</v>
      </c>
      <c r="C556" s="18">
        <v>58.0</v>
      </c>
      <c r="D556" s="18" t="s">
        <v>31</v>
      </c>
      <c r="E556" s="26">
        <v>42562.77361111111</v>
      </c>
      <c r="F556" s="19">
        <f>IFERROR(__xludf.DUMMYFUNCTION("IFERROR(TO_DATE(E556), """")"),42562.77361111111)</f>
        <v>42562.77361</v>
      </c>
      <c r="G556" s="20">
        <f t="shared" si="1"/>
        <v>18</v>
      </c>
      <c r="H556" s="26">
        <v>42562.80902777778</v>
      </c>
      <c r="I556" s="19">
        <f>IFERROR(__xludf.DUMMYFUNCTION("IFERROR(TO_DATE(H556), """")"),42562.80902777778)</f>
        <v>42562.80903</v>
      </c>
      <c r="J556" s="19" t="s">
        <v>12</v>
      </c>
      <c r="K556" s="22">
        <f t="shared" si="2"/>
        <v>0</v>
      </c>
    </row>
    <row r="557">
      <c r="A557" s="18">
        <v>1445.0</v>
      </c>
      <c r="B557" s="18" t="s">
        <v>30</v>
      </c>
      <c r="C557" s="18">
        <v>58.0</v>
      </c>
      <c r="D557" s="18" t="s">
        <v>31</v>
      </c>
      <c r="E557" s="26">
        <v>42563.197916666664</v>
      </c>
      <c r="F557" s="19">
        <f>IFERROR(__xludf.DUMMYFUNCTION("IFERROR(TO_DATE(E557), """")"),42563.197916666664)</f>
        <v>42563.19792</v>
      </c>
      <c r="G557" s="20">
        <f t="shared" si="1"/>
        <v>4</v>
      </c>
      <c r="H557" s="26">
        <v>42563.251388888886</v>
      </c>
      <c r="I557" s="19">
        <f>IFERROR(__xludf.DUMMYFUNCTION("IFERROR(TO_DATE(H557), """")"),42563.251388888886)</f>
        <v>42563.25139</v>
      </c>
      <c r="J557" s="19" t="s">
        <v>11</v>
      </c>
      <c r="K557" s="22">
        <f t="shared" si="2"/>
        <v>0</v>
      </c>
    </row>
    <row r="558">
      <c r="A558" s="18">
        <v>3070.0</v>
      </c>
      <c r="B558" s="18" t="s">
        <v>32</v>
      </c>
      <c r="C558" s="18">
        <v>58.0</v>
      </c>
      <c r="D558" s="18" t="s">
        <v>31</v>
      </c>
      <c r="E558" s="27">
        <v>42564.32853009259</v>
      </c>
      <c r="F558" s="19">
        <f>IFERROR(__xludf.DUMMYFUNCTION("IFERROR(TO_DATE(E558), """")"),42564.32853009259)</f>
        <v>42564.32853</v>
      </c>
      <c r="G558" s="20">
        <f t="shared" si="1"/>
        <v>7</v>
      </c>
      <c r="H558" s="27">
        <v>42564.37038194444</v>
      </c>
      <c r="I558" s="19">
        <f>IFERROR(__xludf.DUMMYFUNCTION("IFERROR(TO_DATE(H558), """")"),42564.37038194444)</f>
        <v>42564.37038</v>
      </c>
      <c r="J558" s="19" t="s">
        <v>11</v>
      </c>
      <c r="K558" s="22">
        <f t="shared" si="2"/>
        <v>0</v>
      </c>
    </row>
    <row r="559">
      <c r="A559" s="18">
        <v>3440.0</v>
      </c>
      <c r="B559" s="18" t="s">
        <v>32</v>
      </c>
      <c r="C559" s="18">
        <v>58.0</v>
      </c>
      <c r="D559" s="18" t="s">
        <v>31</v>
      </c>
      <c r="E559" s="27">
        <v>42564.685381944444</v>
      </c>
      <c r="F559" s="19">
        <f>IFERROR(__xludf.DUMMYFUNCTION("IFERROR(TO_DATE(E559), """")"),42564.685381944444)</f>
        <v>42564.68538</v>
      </c>
      <c r="G559" s="20">
        <f t="shared" si="1"/>
        <v>16</v>
      </c>
      <c r="H559" s="27">
        <v>42564.71157407408</v>
      </c>
      <c r="I559" s="19">
        <f>IFERROR(__xludf.DUMMYFUNCTION("IFERROR(TO_DATE(H559), """")"),42564.71157407408)</f>
        <v>42564.71157</v>
      </c>
      <c r="J559" s="19" t="s">
        <v>12</v>
      </c>
      <c r="K559" s="22">
        <f t="shared" si="2"/>
        <v>0</v>
      </c>
    </row>
    <row r="560">
      <c r="A560" s="18">
        <v>4503.0</v>
      </c>
      <c r="B560" s="18" t="s">
        <v>32</v>
      </c>
      <c r="C560" s="18">
        <v>58.0</v>
      </c>
      <c r="D560" s="18" t="s">
        <v>31</v>
      </c>
      <c r="E560" s="27">
        <v>42565.37899305556</v>
      </c>
      <c r="F560" s="19">
        <f>IFERROR(__xludf.DUMMYFUNCTION("IFERROR(TO_DATE(E560), """")"),42565.37899305556)</f>
        <v>42565.37899</v>
      </c>
      <c r="G560" s="20">
        <f t="shared" si="1"/>
        <v>9</v>
      </c>
      <c r="H560" s="27">
        <v>42565.41407407408</v>
      </c>
      <c r="I560" s="19">
        <f>IFERROR(__xludf.DUMMYFUNCTION("IFERROR(TO_DATE(H560), """")"),42565.41407407408)</f>
        <v>42565.41407</v>
      </c>
      <c r="J560" s="19" t="s">
        <v>14</v>
      </c>
      <c r="K560" s="22">
        <f t="shared" si="2"/>
        <v>0</v>
      </c>
    </row>
    <row r="561">
      <c r="A561" s="18">
        <v>4771.0</v>
      </c>
      <c r="B561" s="18" t="s">
        <v>30</v>
      </c>
      <c r="C561" s="18">
        <v>58.0</v>
      </c>
      <c r="D561" s="18" t="s">
        <v>31</v>
      </c>
      <c r="E561" s="27">
        <v>42565.66508101852</v>
      </c>
      <c r="F561" s="19">
        <f>IFERROR(__xludf.DUMMYFUNCTION("IFERROR(TO_DATE(E561), """")"),42565.66508101852)</f>
        <v>42565.66508</v>
      </c>
      <c r="G561" s="20">
        <f t="shared" si="1"/>
        <v>15</v>
      </c>
      <c r="H561" s="27">
        <v>42565.68415509259</v>
      </c>
      <c r="I561" s="19">
        <f>IFERROR(__xludf.DUMMYFUNCTION("IFERROR(TO_DATE(H561), """")"),42565.68415509259)</f>
        <v>42565.68416</v>
      </c>
      <c r="J561" s="19" t="s">
        <v>10</v>
      </c>
      <c r="K561" s="22">
        <f t="shared" si="2"/>
        <v>0</v>
      </c>
    </row>
    <row r="562">
      <c r="A562" s="18">
        <v>4797.0</v>
      </c>
      <c r="B562" s="18" t="s">
        <v>32</v>
      </c>
      <c r="C562" s="18">
        <v>58.0</v>
      </c>
      <c r="D562" s="18" t="s">
        <v>31</v>
      </c>
      <c r="E562" s="27">
        <v>42565.70516203704</v>
      </c>
      <c r="F562" s="19">
        <f>IFERROR(__xludf.DUMMYFUNCTION("IFERROR(TO_DATE(E562), """")"),42565.70516203704)</f>
        <v>42565.70516</v>
      </c>
      <c r="G562" s="20">
        <f t="shared" si="1"/>
        <v>16</v>
      </c>
      <c r="H562" s="27">
        <v>42565.74400462963</v>
      </c>
      <c r="I562" s="19">
        <f>IFERROR(__xludf.DUMMYFUNCTION("IFERROR(TO_DATE(H562), """")"),42565.74400462963)</f>
        <v>42565.744</v>
      </c>
      <c r="J562" s="19" t="s">
        <v>12</v>
      </c>
      <c r="K562" s="22">
        <f t="shared" si="2"/>
        <v>0</v>
      </c>
    </row>
    <row r="563">
      <c r="A563" s="18">
        <v>4898.0</v>
      </c>
      <c r="B563" s="18" t="s">
        <v>30</v>
      </c>
      <c r="C563" s="18">
        <v>58.0</v>
      </c>
      <c r="D563" s="18" t="s">
        <v>31</v>
      </c>
      <c r="E563" s="27">
        <v>42565.75200231482</v>
      </c>
      <c r="F563" s="19">
        <f>IFERROR(__xludf.DUMMYFUNCTION("IFERROR(TO_DATE(E563), """")"),42565.75200231482)</f>
        <v>42565.752</v>
      </c>
      <c r="G563" s="20">
        <f t="shared" si="1"/>
        <v>18</v>
      </c>
      <c r="H563" s="27">
        <v>42565.797418981485</v>
      </c>
      <c r="I563" s="19">
        <f>IFERROR(__xludf.DUMMYFUNCTION("IFERROR(TO_DATE(H563), """")"),42565.797418981485)</f>
        <v>42565.79742</v>
      </c>
      <c r="J563" s="19" t="s">
        <v>12</v>
      </c>
      <c r="K563" s="22">
        <f t="shared" si="2"/>
        <v>0</v>
      </c>
    </row>
    <row r="564">
      <c r="A564" s="18">
        <v>172.0</v>
      </c>
      <c r="B564" s="18" t="s">
        <v>30</v>
      </c>
      <c r="C564" s="18">
        <v>59.0</v>
      </c>
      <c r="D564" s="18" t="s">
        <v>31</v>
      </c>
      <c r="E564" s="26">
        <v>42562.236805555556</v>
      </c>
      <c r="F564" s="19">
        <f>IFERROR(__xludf.DUMMYFUNCTION("IFERROR(TO_DATE(E564), """")"),42562.236805555556)</f>
        <v>42562.23681</v>
      </c>
      <c r="G564" s="20">
        <f t="shared" si="1"/>
        <v>5</v>
      </c>
      <c r="H564" s="26">
        <v>42562.263194444444</v>
      </c>
      <c r="I564" s="19">
        <f>IFERROR(__xludf.DUMMYFUNCTION("IFERROR(TO_DATE(H564), """")"),42562.263194444444)</f>
        <v>42562.26319</v>
      </c>
      <c r="J564" s="19" t="s">
        <v>11</v>
      </c>
      <c r="K564" s="22">
        <f t="shared" si="2"/>
        <v>0</v>
      </c>
    </row>
    <row r="565">
      <c r="A565" s="18">
        <v>518.0</v>
      </c>
      <c r="B565" s="18" t="s">
        <v>32</v>
      </c>
      <c r="C565" s="18">
        <v>59.0</v>
      </c>
      <c r="D565" s="18" t="s">
        <v>31</v>
      </c>
      <c r="E565" s="26">
        <v>42562.40694444445</v>
      </c>
      <c r="F565" s="19">
        <f>IFERROR(__xludf.DUMMYFUNCTION("IFERROR(TO_DATE(E565), """")"),42562.40694444445)</f>
        <v>42562.40694</v>
      </c>
      <c r="G565" s="20">
        <f t="shared" si="1"/>
        <v>9</v>
      </c>
      <c r="H565" s="26">
        <v>42562.44583333333</v>
      </c>
      <c r="I565" s="19">
        <f>IFERROR(__xludf.DUMMYFUNCTION("IFERROR(TO_DATE(H565), """")"),42562.44583333333)</f>
        <v>42562.44583</v>
      </c>
      <c r="J565" s="19" t="s">
        <v>14</v>
      </c>
      <c r="K565" s="22">
        <f t="shared" si="2"/>
        <v>0</v>
      </c>
    </row>
    <row r="566">
      <c r="A566" s="18">
        <v>843.0</v>
      </c>
      <c r="B566" s="18" t="s">
        <v>30</v>
      </c>
      <c r="C566" s="18">
        <v>59.0</v>
      </c>
      <c r="D566" s="18" t="s">
        <v>31</v>
      </c>
      <c r="E566" s="26">
        <v>42562.73472222222</v>
      </c>
      <c r="F566" s="19">
        <f>IFERROR(__xludf.DUMMYFUNCTION("IFERROR(TO_DATE(E566), """")"),42562.73472222222)</f>
        <v>42562.73472</v>
      </c>
      <c r="G566" s="20">
        <f t="shared" si="1"/>
        <v>17</v>
      </c>
      <c r="H566" s="26">
        <v>42562.771527777775</v>
      </c>
      <c r="I566" s="19">
        <f>IFERROR(__xludf.DUMMYFUNCTION("IFERROR(TO_DATE(H566), """")"),42562.771527777775)</f>
        <v>42562.77153</v>
      </c>
      <c r="J566" s="19" t="s">
        <v>12</v>
      </c>
      <c r="K566" s="22">
        <f t="shared" si="2"/>
        <v>0</v>
      </c>
    </row>
    <row r="567">
      <c r="A567" s="18">
        <v>1070.0</v>
      </c>
      <c r="B567" s="18" t="s">
        <v>32</v>
      </c>
      <c r="C567" s="18">
        <v>59.0</v>
      </c>
      <c r="D567" s="18" t="s">
        <v>31</v>
      </c>
      <c r="E567" s="26">
        <v>42562.83194444444</v>
      </c>
      <c r="F567" s="19">
        <f>IFERROR(__xludf.DUMMYFUNCTION("IFERROR(TO_DATE(E567), """")"),42562.83194444444)</f>
        <v>42562.83194</v>
      </c>
      <c r="G567" s="20">
        <f t="shared" si="1"/>
        <v>19</v>
      </c>
      <c r="H567" s="26">
        <v>42562.873611111114</v>
      </c>
      <c r="I567" s="19">
        <f>IFERROR(__xludf.DUMMYFUNCTION("IFERROR(TO_DATE(H567), """")"),42562.873611111114)</f>
        <v>42562.87361</v>
      </c>
      <c r="J567" s="19" t="s">
        <v>12</v>
      </c>
      <c r="K567" s="22">
        <f t="shared" si="2"/>
        <v>0</v>
      </c>
    </row>
    <row r="568">
      <c r="A568" s="18">
        <v>2078.0</v>
      </c>
      <c r="B568" s="18" t="s">
        <v>30</v>
      </c>
      <c r="C568" s="18">
        <v>59.0</v>
      </c>
      <c r="D568" s="18" t="s">
        <v>31</v>
      </c>
      <c r="E568" s="26">
        <v>42563.65</v>
      </c>
      <c r="F568" s="19">
        <f>IFERROR(__xludf.DUMMYFUNCTION("IFERROR(TO_DATE(E568), """")"),42563.65)</f>
        <v>42563.65</v>
      </c>
      <c r="G568" s="20">
        <f t="shared" si="1"/>
        <v>15</v>
      </c>
      <c r="H568" s="26">
        <v>42563.68194444444</v>
      </c>
      <c r="I568" s="19">
        <f>IFERROR(__xludf.DUMMYFUNCTION("IFERROR(TO_DATE(H568), """")"),42563.68194444444)</f>
        <v>42563.68194</v>
      </c>
      <c r="J568" s="19" t="s">
        <v>10</v>
      </c>
      <c r="K568" s="22">
        <f t="shared" si="2"/>
        <v>0</v>
      </c>
    </row>
    <row r="569">
      <c r="A569" s="18">
        <v>5382.0</v>
      </c>
      <c r="B569" s="18" t="s">
        <v>32</v>
      </c>
      <c r="C569" s="18">
        <v>59.0</v>
      </c>
      <c r="D569" s="18" t="s">
        <v>31</v>
      </c>
      <c r="E569" s="27">
        <v>42565.00556712963</v>
      </c>
      <c r="F569" s="19">
        <f>IFERROR(__xludf.DUMMYFUNCTION("IFERROR(TO_DATE(E569), """")"),42565.00556712963)</f>
        <v>42565.00557</v>
      </c>
      <c r="G569" s="20">
        <f t="shared" si="1"/>
        <v>0</v>
      </c>
      <c r="H569" s="27">
        <v>42565.02952546296</v>
      </c>
      <c r="I569" s="19">
        <f>IFERROR(__xludf.DUMMYFUNCTION("IFERROR(TO_DATE(H569), """")"),42565.02952546296)</f>
        <v>42565.02953</v>
      </c>
      <c r="J569" s="19" t="s">
        <v>15</v>
      </c>
      <c r="K569" s="22">
        <f t="shared" si="2"/>
        <v>0</v>
      </c>
    </row>
    <row r="570">
      <c r="A570" s="18">
        <v>4119.0</v>
      </c>
      <c r="B570" s="18" t="s">
        <v>32</v>
      </c>
      <c r="C570" s="18">
        <v>59.0</v>
      </c>
      <c r="D570" s="18" t="s">
        <v>31</v>
      </c>
      <c r="E570" s="27">
        <v>42565.18208333333</v>
      </c>
      <c r="F570" s="19">
        <f>IFERROR(__xludf.DUMMYFUNCTION("IFERROR(TO_DATE(E570), """")"),42565.18208333333)</f>
        <v>42565.18208</v>
      </c>
      <c r="G570" s="20">
        <f t="shared" si="1"/>
        <v>4</v>
      </c>
      <c r="H570" s="27">
        <v>42565.237592592595</v>
      </c>
      <c r="I570" s="19">
        <f>IFERROR(__xludf.DUMMYFUNCTION("IFERROR(TO_DATE(H570), """")"),42565.237592592595)</f>
        <v>42565.23759</v>
      </c>
      <c r="J570" s="19" t="s">
        <v>11</v>
      </c>
      <c r="K570" s="22">
        <f t="shared" si="2"/>
        <v>0</v>
      </c>
    </row>
    <row r="571">
      <c r="A571" s="18">
        <v>4623.0</v>
      </c>
      <c r="B571" s="18" t="s">
        <v>32</v>
      </c>
      <c r="C571" s="18">
        <v>59.0</v>
      </c>
      <c r="D571" s="18" t="s">
        <v>31</v>
      </c>
      <c r="E571" s="27">
        <v>42565.458449074074</v>
      </c>
      <c r="F571" s="19">
        <f>IFERROR(__xludf.DUMMYFUNCTION("IFERROR(TO_DATE(E571), """")"),42565.458449074074)</f>
        <v>42565.45845</v>
      </c>
      <c r="G571" s="20">
        <f t="shared" si="1"/>
        <v>11</v>
      </c>
      <c r="H571" s="27">
        <v>42565.484560185185</v>
      </c>
      <c r="I571" s="19">
        <f>IFERROR(__xludf.DUMMYFUNCTION("IFERROR(TO_DATE(H571), """")"),42565.484560185185)</f>
        <v>42565.48456</v>
      </c>
      <c r="J571" s="19" t="s">
        <v>14</v>
      </c>
      <c r="K571" s="22">
        <f t="shared" si="2"/>
        <v>0</v>
      </c>
    </row>
    <row r="572">
      <c r="A572" s="18">
        <v>620.0</v>
      </c>
      <c r="B572" s="18" t="s">
        <v>32</v>
      </c>
      <c r="C572" s="18">
        <v>60.0</v>
      </c>
      <c r="D572" s="18" t="s">
        <v>31</v>
      </c>
      <c r="E572" s="26">
        <v>42562.50277777778</v>
      </c>
      <c r="F572" s="19">
        <f>IFERROR(__xludf.DUMMYFUNCTION("IFERROR(TO_DATE(E572), """")"),42562.50277777778)</f>
        <v>42562.50278</v>
      </c>
      <c r="G572" s="20">
        <f t="shared" si="1"/>
        <v>12</v>
      </c>
      <c r="H572" s="26">
        <v>42562.55347222222</v>
      </c>
      <c r="I572" s="19">
        <f>IFERROR(__xludf.DUMMYFUNCTION("IFERROR(TO_DATE(H572), """")"),42562.55347222222)</f>
        <v>42562.55347</v>
      </c>
      <c r="J572" s="19" t="s">
        <v>10</v>
      </c>
      <c r="K572" s="22">
        <f t="shared" si="2"/>
        <v>0</v>
      </c>
    </row>
    <row r="573">
      <c r="A573" s="18">
        <v>1286.0</v>
      </c>
      <c r="B573" s="18" t="s">
        <v>30</v>
      </c>
      <c r="C573" s="18">
        <v>60.0</v>
      </c>
      <c r="D573" s="18" t="s">
        <v>31</v>
      </c>
      <c r="E573" s="26">
        <v>42562.92916666667</v>
      </c>
      <c r="F573" s="19">
        <f>IFERROR(__xludf.DUMMYFUNCTION("IFERROR(TO_DATE(E573), """")"),42562.92916666667)</f>
        <v>42562.92917</v>
      </c>
      <c r="G573" s="20">
        <f t="shared" si="1"/>
        <v>22</v>
      </c>
      <c r="H573" s="26">
        <v>42562.95763888889</v>
      </c>
      <c r="I573" s="19">
        <f>IFERROR(__xludf.DUMMYFUNCTION("IFERROR(TO_DATE(H573), """")"),42562.95763888889)</f>
        <v>42562.95764</v>
      </c>
      <c r="J573" s="19" t="s">
        <v>13</v>
      </c>
      <c r="K573" s="22">
        <f t="shared" si="2"/>
        <v>0</v>
      </c>
    </row>
    <row r="574">
      <c r="A574" s="18">
        <v>2482.0</v>
      </c>
      <c r="B574" s="18" t="s">
        <v>32</v>
      </c>
      <c r="C574" s="18">
        <v>60.0</v>
      </c>
      <c r="D574" s="18" t="s">
        <v>31</v>
      </c>
      <c r="E574" s="26">
        <v>42563.864583333336</v>
      </c>
      <c r="F574" s="19">
        <f>IFERROR(__xludf.DUMMYFUNCTION("IFERROR(TO_DATE(E574), """")"),42563.864583333336)</f>
        <v>42563.86458</v>
      </c>
      <c r="G574" s="20">
        <f t="shared" si="1"/>
        <v>20</v>
      </c>
      <c r="H574" s="26">
        <v>42563.90416666667</v>
      </c>
      <c r="I574" s="19">
        <f>IFERROR(__xludf.DUMMYFUNCTION("IFERROR(TO_DATE(H574), """")"),42563.90416666667)</f>
        <v>42563.90417</v>
      </c>
      <c r="J574" s="19" t="s">
        <v>13</v>
      </c>
      <c r="K574" s="22">
        <f t="shared" si="2"/>
        <v>0</v>
      </c>
    </row>
    <row r="575">
      <c r="A575" s="18">
        <v>3672.0</v>
      </c>
      <c r="B575" s="18" t="s">
        <v>30</v>
      </c>
      <c r="C575" s="18">
        <v>60.0</v>
      </c>
      <c r="D575" s="18" t="s">
        <v>31</v>
      </c>
      <c r="E575" s="27">
        <v>42564.811689814815</v>
      </c>
      <c r="F575" s="19">
        <f>IFERROR(__xludf.DUMMYFUNCTION("IFERROR(TO_DATE(E575), """")"),42564.811689814815)</f>
        <v>42564.81169</v>
      </c>
      <c r="G575" s="20">
        <f t="shared" si="1"/>
        <v>19</v>
      </c>
      <c r="H575" s="27">
        <v>42564.85712962963</v>
      </c>
      <c r="I575" s="19">
        <f>IFERROR(__xludf.DUMMYFUNCTION("IFERROR(TO_DATE(H575), """")"),42564.85712962963)</f>
        <v>42564.85713</v>
      </c>
      <c r="J575" s="19" t="s">
        <v>12</v>
      </c>
      <c r="K575" s="22">
        <f t="shared" si="2"/>
        <v>0</v>
      </c>
    </row>
    <row r="576">
      <c r="A576" s="18">
        <v>3959.0</v>
      </c>
      <c r="B576" s="18" t="s">
        <v>32</v>
      </c>
      <c r="C576" s="18">
        <v>60.0</v>
      </c>
      <c r="D576" s="18" t="s">
        <v>31</v>
      </c>
      <c r="E576" s="27">
        <v>42564.95212962963</v>
      </c>
      <c r="F576" s="19">
        <f>IFERROR(__xludf.DUMMYFUNCTION("IFERROR(TO_DATE(E576), """")"),42564.95212962963)</f>
        <v>42564.95213</v>
      </c>
      <c r="G576" s="20">
        <f t="shared" si="1"/>
        <v>22</v>
      </c>
      <c r="H576" s="27">
        <v>42564.976377314815</v>
      </c>
      <c r="I576" s="19">
        <f>IFERROR(__xludf.DUMMYFUNCTION("IFERROR(TO_DATE(H576), """")"),42564.976377314815)</f>
        <v>42564.97638</v>
      </c>
      <c r="J576" s="19" t="s">
        <v>13</v>
      </c>
      <c r="K576" s="22">
        <f t="shared" si="2"/>
        <v>0</v>
      </c>
    </row>
    <row r="577">
      <c r="A577" s="18">
        <v>4659.0</v>
      </c>
      <c r="B577" s="18" t="s">
        <v>32</v>
      </c>
      <c r="C577" s="18">
        <v>60.0</v>
      </c>
      <c r="D577" s="18" t="s">
        <v>31</v>
      </c>
      <c r="E577" s="27">
        <v>42565.50738425926</v>
      </c>
      <c r="F577" s="19">
        <f>IFERROR(__xludf.DUMMYFUNCTION("IFERROR(TO_DATE(E577), """")"),42565.50738425926)</f>
        <v>42565.50738</v>
      </c>
      <c r="G577" s="20">
        <f t="shared" si="1"/>
        <v>12</v>
      </c>
      <c r="H577" s="27">
        <v>42565.54891203704</v>
      </c>
      <c r="I577" s="19">
        <f>IFERROR(__xludf.DUMMYFUNCTION("IFERROR(TO_DATE(H577), """")"),42565.54891203704)</f>
        <v>42565.54891</v>
      </c>
      <c r="J577" s="19" t="s">
        <v>10</v>
      </c>
      <c r="K577" s="22">
        <f t="shared" si="2"/>
        <v>0</v>
      </c>
    </row>
    <row r="578">
      <c r="A578" s="18">
        <v>5060.0</v>
      </c>
      <c r="B578" s="18" t="s">
        <v>30</v>
      </c>
      <c r="C578" s="18">
        <v>60.0</v>
      </c>
      <c r="D578" s="18" t="s">
        <v>31</v>
      </c>
      <c r="E578" s="27">
        <v>42565.809907407405</v>
      </c>
      <c r="F578" s="19">
        <f>IFERROR(__xludf.DUMMYFUNCTION("IFERROR(TO_DATE(E578), """")"),42565.809907407405)</f>
        <v>42565.80991</v>
      </c>
      <c r="G578" s="20">
        <f t="shared" si="1"/>
        <v>19</v>
      </c>
      <c r="H578" s="27">
        <v>42565.83478009259</v>
      </c>
      <c r="I578" s="19">
        <f>IFERROR(__xludf.DUMMYFUNCTION("IFERROR(TO_DATE(H578), """")"),42565.83478009259)</f>
        <v>42565.83478</v>
      </c>
      <c r="J578" s="19" t="s">
        <v>12</v>
      </c>
      <c r="K578" s="22">
        <f t="shared" si="2"/>
        <v>0</v>
      </c>
    </row>
    <row r="579">
      <c r="A579" s="18">
        <v>5942.0</v>
      </c>
      <c r="B579" s="18" t="s">
        <v>32</v>
      </c>
      <c r="C579" s="18">
        <v>60.0</v>
      </c>
      <c r="D579" s="18" t="s">
        <v>31</v>
      </c>
      <c r="E579" s="27">
        <v>42566.4371875</v>
      </c>
      <c r="F579" s="19">
        <f>IFERROR(__xludf.DUMMYFUNCTION("IFERROR(TO_DATE(E579), """")"),42566.4371875)</f>
        <v>42566.43719</v>
      </c>
      <c r="G579" s="20">
        <f t="shared" si="1"/>
        <v>10</v>
      </c>
      <c r="H579" s="27">
        <v>42566.47487268518</v>
      </c>
      <c r="I579" s="19">
        <f>IFERROR(__xludf.DUMMYFUNCTION("IFERROR(TO_DATE(H579), """")"),42566.47487268518)</f>
        <v>42566.47487</v>
      </c>
      <c r="J579" s="19" t="s">
        <v>14</v>
      </c>
      <c r="K579" s="22">
        <f t="shared" si="2"/>
        <v>0</v>
      </c>
    </row>
    <row r="580">
      <c r="A580" s="18">
        <v>1349.0</v>
      </c>
      <c r="B580" s="18" t="s">
        <v>30</v>
      </c>
      <c r="C580" s="18">
        <v>61.0</v>
      </c>
      <c r="D580" s="18" t="s">
        <v>31</v>
      </c>
      <c r="E580" s="26">
        <v>42562.986805555556</v>
      </c>
      <c r="F580" s="19">
        <f>IFERROR(__xludf.DUMMYFUNCTION("IFERROR(TO_DATE(E580), """")"),42562.986805555556)</f>
        <v>42562.98681</v>
      </c>
      <c r="G580" s="20">
        <f t="shared" si="1"/>
        <v>23</v>
      </c>
      <c r="H580" s="26">
        <v>42563.01527777778</v>
      </c>
      <c r="I580" s="19">
        <f>IFERROR(__xludf.DUMMYFUNCTION("IFERROR(TO_DATE(H580), """")"),42563.01527777778)</f>
        <v>42563.01528</v>
      </c>
      <c r="J580" s="19" t="s">
        <v>13</v>
      </c>
      <c r="K580" s="22">
        <f t="shared" si="2"/>
        <v>0</v>
      </c>
    </row>
    <row r="581">
      <c r="A581" s="18">
        <v>2192.0</v>
      </c>
      <c r="B581" s="18" t="s">
        <v>30</v>
      </c>
      <c r="C581" s="18">
        <v>61.0</v>
      </c>
      <c r="D581" s="18" t="s">
        <v>31</v>
      </c>
      <c r="E581" s="26">
        <v>42563.73888888889</v>
      </c>
      <c r="F581" s="19">
        <f>IFERROR(__xludf.DUMMYFUNCTION("IFERROR(TO_DATE(E581), """")"),42563.73888888889)</f>
        <v>42563.73889</v>
      </c>
      <c r="G581" s="20">
        <f t="shared" si="1"/>
        <v>17</v>
      </c>
      <c r="H581" s="26">
        <v>42563.777083333334</v>
      </c>
      <c r="I581" s="19">
        <f>IFERROR(__xludf.DUMMYFUNCTION("IFERROR(TO_DATE(H581), """")"),42563.777083333334)</f>
        <v>42563.77708</v>
      </c>
      <c r="J581" s="19" t="s">
        <v>12</v>
      </c>
      <c r="K581" s="22">
        <f t="shared" si="2"/>
        <v>0</v>
      </c>
    </row>
    <row r="582">
      <c r="A582" s="18">
        <v>2323.0</v>
      </c>
      <c r="B582" s="18" t="s">
        <v>32</v>
      </c>
      <c r="C582" s="18">
        <v>61.0</v>
      </c>
      <c r="D582" s="18" t="s">
        <v>31</v>
      </c>
      <c r="E582" s="26">
        <v>42563.79583333333</v>
      </c>
      <c r="F582" s="19">
        <f>IFERROR(__xludf.DUMMYFUNCTION("IFERROR(TO_DATE(E582), """")"),42563.79583333333)</f>
        <v>42563.79583</v>
      </c>
      <c r="G582" s="20">
        <f t="shared" si="1"/>
        <v>19</v>
      </c>
      <c r="H582" s="26">
        <v>42563.845138888886</v>
      </c>
      <c r="I582" s="19">
        <f>IFERROR(__xludf.DUMMYFUNCTION("IFERROR(TO_DATE(H582), """")"),42563.845138888886)</f>
        <v>42563.84514</v>
      </c>
      <c r="J582" s="19" t="s">
        <v>12</v>
      </c>
      <c r="K582" s="22">
        <f t="shared" si="2"/>
        <v>0</v>
      </c>
    </row>
    <row r="583">
      <c r="A583" s="18">
        <v>2717.0</v>
      </c>
      <c r="B583" s="18" t="s">
        <v>32</v>
      </c>
      <c r="C583" s="18">
        <v>61.0</v>
      </c>
      <c r="D583" s="18" t="s">
        <v>31</v>
      </c>
      <c r="E583" s="27">
        <v>42564.0834837963</v>
      </c>
      <c r="F583" s="19">
        <f>IFERROR(__xludf.DUMMYFUNCTION("IFERROR(TO_DATE(E583), """")"),42564.0834837963)</f>
        <v>42564.08348</v>
      </c>
      <c r="G583" s="20">
        <f t="shared" si="1"/>
        <v>2</v>
      </c>
      <c r="H583" s="27">
        <v>42564.12153935185</v>
      </c>
      <c r="I583" s="19">
        <f>IFERROR(__xludf.DUMMYFUNCTION("IFERROR(TO_DATE(H583), """")"),42564.12153935185)</f>
        <v>42564.12154</v>
      </c>
      <c r="J583" s="19" t="s">
        <v>15</v>
      </c>
      <c r="K583" s="22">
        <f t="shared" si="2"/>
        <v>0</v>
      </c>
    </row>
    <row r="584">
      <c r="A584" s="18">
        <v>3338.0</v>
      </c>
      <c r="B584" s="18" t="s">
        <v>30</v>
      </c>
      <c r="C584" s="18">
        <v>61.0</v>
      </c>
      <c r="D584" s="18" t="s">
        <v>31</v>
      </c>
      <c r="E584" s="27">
        <v>42564.52554398148</v>
      </c>
      <c r="F584" s="19">
        <f>IFERROR(__xludf.DUMMYFUNCTION("IFERROR(TO_DATE(E584), """")"),42564.52554398148)</f>
        <v>42564.52554</v>
      </c>
      <c r="G584" s="20">
        <f t="shared" si="1"/>
        <v>12</v>
      </c>
      <c r="H584" s="27">
        <v>42564.5531712963</v>
      </c>
      <c r="I584" s="19">
        <f>IFERROR(__xludf.DUMMYFUNCTION("IFERROR(TO_DATE(H584), """")"),42564.5531712963)</f>
        <v>42564.55317</v>
      </c>
      <c r="J584" s="19" t="s">
        <v>10</v>
      </c>
      <c r="K584" s="22">
        <f t="shared" si="2"/>
        <v>0</v>
      </c>
    </row>
    <row r="585">
      <c r="A585" s="18">
        <v>4475.0</v>
      </c>
      <c r="B585" s="18" t="s">
        <v>32</v>
      </c>
      <c r="C585" s="18">
        <v>61.0</v>
      </c>
      <c r="D585" s="18" t="s">
        <v>31</v>
      </c>
      <c r="E585" s="27">
        <v>42565.364166666666</v>
      </c>
      <c r="F585" s="19">
        <f>IFERROR(__xludf.DUMMYFUNCTION("IFERROR(TO_DATE(E585), """")"),42565.364166666666)</f>
        <v>42565.36417</v>
      </c>
      <c r="G585" s="20">
        <f t="shared" si="1"/>
        <v>8</v>
      </c>
      <c r="H585" s="27">
        <v>42565.392858796295</v>
      </c>
      <c r="I585" s="19">
        <f>IFERROR(__xludf.DUMMYFUNCTION("IFERROR(TO_DATE(H585), """")"),42565.392858796295)</f>
        <v>42565.39286</v>
      </c>
      <c r="J585" s="19" t="s">
        <v>14</v>
      </c>
      <c r="K585" s="22">
        <f t="shared" si="2"/>
        <v>0</v>
      </c>
    </row>
    <row r="586">
      <c r="A586" s="18">
        <v>4786.0</v>
      </c>
      <c r="B586" s="18" t="s">
        <v>32</v>
      </c>
      <c r="C586" s="18">
        <v>61.0</v>
      </c>
      <c r="D586" s="18" t="s">
        <v>31</v>
      </c>
      <c r="E586" s="27">
        <v>42565.694861111115</v>
      </c>
      <c r="F586" s="19">
        <f>IFERROR(__xludf.DUMMYFUNCTION("IFERROR(TO_DATE(E586), """")"),42565.694861111115)</f>
        <v>42565.69486</v>
      </c>
      <c r="G586" s="20">
        <f t="shared" si="1"/>
        <v>16</v>
      </c>
      <c r="H586" s="27">
        <v>42565.71797453704</v>
      </c>
      <c r="I586" s="19">
        <f>IFERROR(__xludf.DUMMYFUNCTION("IFERROR(TO_DATE(H586), """")"),42565.71797453704)</f>
        <v>42565.71797</v>
      </c>
      <c r="J586" s="19" t="s">
        <v>12</v>
      </c>
      <c r="K586" s="22">
        <f t="shared" si="2"/>
        <v>0</v>
      </c>
    </row>
    <row r="587">
      <c r="A587" s="18">
        <v>5017.0</v>
      </c>
      <c r="B587" s="18" t="s">
        <v>32</v>
      </c>
      <c r="C587" s="18">
        <v>61.0</v>
      </c>
      <c r="D587" s="18" t="s">
        <v>31</v>
      </c>
      <c r="E587" s="27">
        <v>42565.79797453704</v>
      </c>
      <c r="F587" s="19">
        <f>IFERROR(__xludf.DUMMYFUNCTION("IFERROR(TO_DATE(E587), """")"),42565.79797453704)</f>
        <v>42565.79797</v>
      </c>
      <c r="G587" s="20">
        <f t="shared" si="1"/>
        <v>19</v>
      </c>
      <c r="H587" s="27">
        <v>42565.83430555555</v>
      </c>
      <c r="I587" s="19">
        <f>IFERROR(__xludf.DUMMYFUNCTION("IFERROR(TO_DATE(H587), """")"),42565.83430555555)</f>
        <v>42565.83431</v>
      </c>
      <c r="J587" s="19" t="s">
        <v>12</v>
      </c>
      <c r="K587" s="22">
        <f t="shared" si="2"/>
        <v>0</v>
      </c>
    </row>
    <row r="588">
      <c r="A588" s="18">
        <v>5580.0</v>
      </c>
      <c r="B588" s="18" t="s">
        <v>32</v>
      </c>
      <c r="C588" s="18">
        <v>61.0</v>
      </c>
      <c r="D588" s="18" t="s">
        <v>31</v>
      </c>
      <c r="E588" s="27">
        <v>42566.244305555556</v>
      </c>
      <c r="F588" s="19">
        <f>IFERROR(__xludf.DUMMYFUNCTION("IFERROR(TO_DATE(E588), """")"),42566.244305555556)</f>
        <v>42566.24431</v>
      </c>
      <c r="G588" s="20">
        <f t="shared" si="1"/>
        <v>5</v>
      </c>
      <c r="H588" s="27">
        <v>42566.29756944445</v>
      </c>
      <c r="I588" s="19">
        <f>IFERROR(__xludf.DUMMYFUNCTION("IFERROR(TO_DATE(H588), """")"),42566.29756944445)</f>
        <v>42566.29757</v>
      </c>
      <c r="J588" s="19" t="s">
        <v>11</v>
      </c>
      <c r="K588" s="22">
        <f t="shared" si="2"/>
        <v>0</v>
      </c>
    </row>
    <row r="589">
      <c r="A589" s="18">
        <v>6066.0</v>
      </c>
      <c r="B589" s="18" t="s">
        <v>30</v>
      </c>
      <c r="C589" s="18">
        <v>61.0</v>
      </c>
      <c r="D589" s="18" t="s">
        <v>31</v>
      </c>
      <c r="E589" s="27">
        <v>42566.579560185186</v>
      </c>
      <c r="F589" s="19">
        <f>IFERROR(__xludf.DUMMYFUNCTION("IFERROR(TO_DATE(E589), """")"),42566.579560185186)</f>
        <v>42566.57956</v>
      </c>
      <c r="G589" s="20">
        <f t="shared" si="1"/>
        <v>13</v>
      </c>
      <c r="H589" s="27">
        <v>42566.61394675926</v>
      </c>
      <c r="I589" s="19">
        <f>IFERROR(__xludf.DUMMYFUNCTION("IFERROR(TO_DATE(H589), """")"),42566.61394675926)</f>
        <v>42566.61395</v>
      </c>
      <c r="J589" s="19" t="s">
        <v>10</v>
      </c>
      <c r="K589" s="22">
        <f t="shared" si="2"/>
        <v>0</v>
      </c>
    </row>
    <row r="590">
      <c r="A590" s="18">
        <v>418.0</v>
      </c>
      <c r="B590" s="18" t="s">
        <v>32</v>
      </c>
      <c r="C590" s="18">
        <v>62.0</v>
      </c>
      <c r="D590" s="18" t="s">
        <v>31</v>
      </c>
      <c r="E590" s="26">
        <v>42562.3625</v>
      </c>
      <c r="F590" s="19">
        <f>IFERROR(__xludf.DUMMYFUNCTION("IFERROR(TO_DATE(E590), """")"),42562.3625)</f>
        <v>42562.3625</v>
      </c>
      <c r="G590" s="20">
        <f t="shared" si="1"/>
        <v>8</v>
      </c>
      <c r="H590" s="26">
        <v>42562.39166666667</v>
      </c>
      <c r="I590" s="19">
        <f>IFERROR(__xludf.DUMMYFUNCTION("IFERROR(TO_DATE(H590), """")"),42562.39166666667)</f>
        <v>42562.39167</v>
      </c>
      <c r="J590" s="19" t="s">
        <v>14</v>
      </c>
      <c r="K590" s="22">
        <f t="shared" si="2"/>
        <v>0</v>
      </c>
    </row>
    <row r="591">
      <c r="A591" s="18">
        <v>608.0</v>
      </c>
      <c r="B591" s="18" t="s">
        <v>30</v>
      </c>
      <c r="C591" s="18">
        <v>62.0</v>
      </c>
      <c r="D591" s="18" t="s">
        <v>31</v>
      </c>
      <c r="E591" s="26">
        <v>42562.49791666667</v>
      </c>
      <c r="F591" s="19">
        <f>IFERROR(__xludf.DUMMYFUNCTION("IFERROR(TO_DATE(E591), """")"),42562.49791666667)</f>
        <v>42562.49792</v>
      </c>
      <c r="G591" s="20">
        <f t="shared" si="1"/>
        <v>11</v>
      </c>
      <c r="H591" s="26">
        <v>42562.53333333333</v>
      </c>
      <c r="I591" s="19">
        <f>IFERROR(__xludf.DUMMYFUNCTION("IFERROR(TO_DATE(H591), """")"),42562.53333333333)</f>
        <v>42562.53333</v>
      </c>
      <c r="J591" s="19" t="s">
        <v>14</v>
      </c>
      <c r="K591" s="22">
        <f t="shared" si="2"/>
        <v>0</v>
      </c>
    </row>
    <row r="592">
      <c r="A592" s="18">
        <v>1842.0</v>
      </c>
      <c r="B592" s="18" t="s">
        <v>32</v>
      </c>
      <c r="C592" s="18">
        <v>62.0</v>
      </c>
      <c r="D592" s="18" t="s">
        <v>31</v>
      </c>
      <c r="E592" s="26">
        <v>42563.40277777778</v>
      </c>
      <c r="F592" s="19">
        <f>IFERROR(__xludf.DUMMYFUNCTION("IFERROR(TO_DATE(E592), """")"),42563.40277777778)</f>
        <v>42563.40278</v>
      </c>
      <c r="G592" s="20">
        <f t="shared" si="1"/>
        <v>9</v>
      </c>
      <c r="H592" s="26">
        <v>42563.42916666667</v>
      </c>
      <c r="I592" s="19">
        <f>IFERROR(__xludf.DUMMYFUNCTION("IFERROR(TO_DATE(H592), """")"),42563.42916666667)</f>
        <v>42563.42917</v>
      </c>
      <c r="J592" s="19" t="s">
        <v>14</v>
      </c>
      <c r="K592" s="22">
        <f t="shared" si="2"/>
        <v>0</v>
      </c>
    </row>
    <row r="593">
      <c r="A593" s="18">
        <v>4004.0</v>
      </c>
      <c r="B593" s="18" t="s">
        <v>32</v>
      </c>
      <c r="C593" s="18">
        <v>62.0</v>
      </c>
      <c r="D593" s="18" t="s">
        <v>31</v>
      </c>
      <c r="E593" s="27">
        <v>42564.98658564815</v>
      </c>
      <c r="F593" s="19">
        <f>IFERROR(__xludf.DUMMYFUNCTION("IFERROR(TO_DATE(E593), """")"),42564.98658564815)</f>
        <v>42564.98659</v>
      </c>
      <c r="G593" s="20">
        <f t="shared" si="1"/>
        <v>23</v>
      </c>
      <c r="H593" s="27">
        <v>42565.015023148146</v>
      </c>
      <c r="I593" s="19">
        <f>IFERROR(__xludf.DUMMYFUNCTION("IFERROR(TO_DATE(H593), """")"),42565.015023148146)</f>
        <v>42565.01502</v>
      </c>
      <c r="J593" s="19" t="s">
        <v>13</v>
      </c>
      <c r="K593" s="22">
        <f t="shared" si="2"/>
        <v>0</v>
      </c>
    </row>
    <row r="594">
      <c r="A594" s="18">
        <v>5791.0</v>
      </c>
      <c r="B594" s="18" t="s">
        <v>32</v>
      </c>
      <c r="C594" s="18">
        <v>62.0</v>
      </c>
      <c r="D594" s="18" t="s">
        <v>31</v>
      </c>
      <c r="E594" s="27">
        <v>42566.357777777775</v>
      </c>
      <c r="F594" s="19">
        <f>IFERROR(__xludf.DUMMYFUNCTION("IFERROR(TO_DATE(E594), """")"),42566.357777777775)</f>
        <v>42566.35778</v>
      </c>
      <c r="G594" s="20">
        <f t="shared" si="1"/>
        <v>8</v>
      </c>
      <c r="H594" s="27">
        <v>42566.38859953704</v>
      </c>
      <c r="I594" s="19">
        <f>IFERROR(__xludf.DUMMYFUNCTION("IFERROR(TO_DATE(H594), """")"),42566.38859953704)</f>
        <v>42566.3886</v>
      </c>
      <c r="J594" s="19" t="s">
        <v>14</v>
      </c>
      <c r="K594" s="22">
        <f t="shared" si="2"/>
        <v>0</v>
      </c>
    </row>
    <row r="595">
      <c r="A595" s="18">
        <v>6548.0</v>
      </c>
      <c r="B595" s="18" t="s">
        <v>30</v>
      </c>
      <c r="C595" s="18">
        <v>62.0</v>
      </c>
      <c r="D595" s="18" t="s">
        <v>31</v>
      </c>
      <c r="E595" s="27">
        <v>42566.87259259259</v>
      </c>
      <c r="F595" s="19">
        <f>IFERROR(__xludf.DUMMYFUNCTION("IFERROR(TO_DATE(E595), """")"),42566.87259259259)</f>
        <v>42566.87259</v>
      </c>
      <c r="G595" s="20">
        <f t="shared" si="1"/>
        <v>20</v>
      </c>
      <c r="H595" s="27">
        <v>42566.90662037037</v>
      </c>
      <c r="I595" s="19">
        <f>IFERROR(__xludf.DUMMYFUNCTION("IFERROR(TO_DATE(H595), """")"),42566.90662037037)</f>
        <v>42566.90662</v>
      </c>
      <c r="J595" s="19" t="s">
        <v>13</v>
      </c>
      <c r="K595" s="22">
        <f t="shared" si="2"/>
        <v>0</v>
      </c>
    </row>
    <row r="596">
      <c r="A596" s="18">
        <v>121.0</v>
      </c>
      <c r="B596" s="18" t="s">
        <v>30</v>
      </c>
      <c r="C596" s="18">
        <v>63.0</v>
      </c>
      <c r="D596" s="18" t="s">
        <v>31</v>
      </c>
      <c r="E596" s="26">
        <v>42562.217361111114</v>
      </c>
      <c r="F596" s="19">
        <f>IFERROR(__xludf.DUMMYFUNCTION("IFERROR(TO_DATE(E596), """")"),42562.217361111114)</f>
        <v>42562.21736</v>
      </c>
      <c r="G596" s="20">
        <f t="shared" si="1"/>
        <v>5</v>
      </c>
      <c r="H596" s="26">
        <v>42562.25555555556</v>
      </c>
      <c r="I596" s="19">
        <f>IFERROR(__xludf.DUMMYFUNCTION("IFERROR(TO_DATE(H596), """")"),42562.25555555556)</f>
        <v>42562.25556</v>
      </c>
      <c r="J596" s="19" t="s">
        <v>11</v>
      </c>
      <c r="K596" s="22">
        <f t="shared" si="2"/>
        <v>0</v>
      </c>
    </row>
    <row r="597">
      <c r="A597" s="18">
        <v>571.0</v>
      </c>
      <c r="B597" s="18" t="s">
        <v>30</v>
      </c>
      <c r="C597" s="18">
        <v>63.0</v>
      </c>
      <c r="D597" s="18" t="s">
        <v>31</v>
      </c>
      <c r="E597" s="26">
        <v>42562.447222222225</v>
      </c>
      <c r="F597" s="19">
        <f>IFERROR(__xludf.DUMMYFUNCTION("IFERROR(TO_DATE(E597), """")"),42562.447222222225)</f>
        <v>42562.44722</v>
      </c>
      <c r="G597" s="20">
        <f t="shared" si="1"/>
        <v>10</v>
      </c>
      <c r="H597" s="26">
        <v>42562.48888888889</v>
      </c>
      <c r="I597" s="19">
        <f>IFERROR(__xludf.DUMMYFUNCTION("IFERROR(TO_DATE(H597), """")"),42562.48888888889)</f>
        <v>42562.48889</v>
      </c>
      <c r="J597" s="19" t="s">
        <v>14</v>
      </c>
      <c r="K597" s="22">
        <f t="shared" si="2"/>
        <v>0</v>
      </c>
    </row>
    <row r="598">
      <c r="A598" s="18">
        <v>2444.0</v>
      </c>
      <c r="B598" s="18" t="s">
        <v>30</v>
      </c>
      <c r="C598" s="18">
        <v>63.0</v>
      </c>
      <c r="D598" s="18" t="s">
        <v>31</v>
      </c>
      <c r="E598" s="26">
        <v>42563.84930555556</v>
      </c>
      <c r="F598" s="19">
        <f>IFERROR(__xludf.DUMMYFUNCTION("IFERROR(TO_DATE(E598), """")"),42563.84930555556)</f>
        <v>42563.84931</v>
      </c>
      <c r="G598" s="20">
        <f t="shared" si="1"/>
        <v>20</v>
      </c>
      <c r="H598" s="26">
        <v>42563.899305555555</v>
      </c>
      <c r="I598" s="19">
        <f>IFERROR(__xludf.DUMMYFUNCTION("IFERROR(TO_DATE(H598), """")"),42563.899305555555)</f>
        <v>42563.89931</v>
      </c>
      <c r="J598" s="19" t="s">
        <v>13</v>
      </c>
      <c r="K598" s="22">
        <f t="shared" si="2"/>
        <v>0</v>
      </c>
    </row>
    <row r="599">
      <c r="A599" s="18">
        <v>2815.0</v>
      </c>
      <c r="B599" s="18" t="s">
        <v>32</v>
      </c>
      <c r="C599" s="18">
        <v>63.0</v>
      </c>
      <c r="D599" s="18" t="s">
        <v>31</v>
      </c>
      <c r="E599" s="27">
        <v>42564.21773148148</v>
      </c>
      <c r="F599" s="19">
        <f>IFERROR(__xludf.DUMMYFUNCTION("IFERROR(TO_DATE(E599), """")"),42564.21773148148)</f>
        <v>42564.21773</v>
      </c>
      <c r="G599" s="20">
        <f t="shared" si="1"/>
        <v>5</v>
      </c>
      <c r="H599" s="27">
        <v>42564.238171296296</v>
      </c>
      <c r="I599" s="19">
        <f>IFERROR(__xludf.DUMMYFUNCTION("IFERROR(TO_DATE(H599), """")"),42564.238171296296)</f>
        <v>42564.23817</v>
      </c>
      <c r="J599" s="19" t="s">
        <v>11</v>
      </c>
      <c r="K599" s="22">
        <f t="shared" si="2"/>
        <v>0</v>
      </c>
    </row>
    <row r="600">
      <c r="A600" s="18">
        <v>3510.0</v>
      </c>
      <c r="B600" s="18" t="s">
        <v>30</v>
      </c>
      <c r="C600" s="18">
        <v>63.0</v>
      </c>
      <c r="D600" s="18" t="s">
        <v>31</v>
      </c>
      <c r="E600" s="27">
        <v>42564.73787037037</v>
      </c>
      <c r="F600" s="19">
        <f>IFERROR(__xludf.DUMMYFUNCTION("IFERROR(TO_DATE(E600), """")"),42564.73787037037)</f>
        <v>42564.73787</v>
      </c>
      <c r="G600" s="20">
        <f t="shared" si="1"/>
        <v>17</v>
      </c>
      <c r="H600" s="27">
        <v>42564.77240740741</v>
      </c>
      <c r="I600" s="19">
        <f>IFERROR(__xludf.DUMMYFUNCTION("IFERROR(TO_DATE(H600), """")"),42564.77240740741)</f>
        <v>42564.77241</v>
      </c>
      <c r="J600" s="19" t="s">
        <v>12</v>
      </c>
      <c r="K600" s="22">
        <f t="shared" si="2"/>
        <v>0</v>
      </c>
    </row>
    <row r="601">
      <c r="A601" s="18">
        <v>5013.0</v>
      </c>
      <c r="B601" s="18" t="s">
        <v>32</v>
      </c>
      <c r="C601" s="18">
        <v>63.0</v>
      </c>
      <c r="D601" s="18" t="s">
        <v>31</v>
      </c>
      <c r="E601" s="27">
        <v>42565.79300925926</v>
      </c>
      <c r="F601" s="19">
        <f>IFERROR(__xludf.DUMMYFUNCTION("IFERROR(TO_DATE(E601), """")"),42565.79300925926)</f>
        <v>42565.79301</v>
      </c>
      <c r="G601" s="20">
        <f t="shared" si="1"/>
        <v>19</v>
      </c>
      <c r="H601" s="27">
        <v>42565.81736111111</v>
      </c>
      <c r="I601" s="19">
        <f>IFERROR(__xludf.DUMMYFUNCTION("IFERROR(TO_DATE(H601), """")"),42565.81736111111)</f>
        <v>42565.81736</v>
      </c>
      <c r="J601" s="19" t="s">
        <v>12</v>
      </c>
      <c r="K601" s="22">
        <f t="shared" si="2"/>
        <v>0</v>
      </c>
    </row>
    <row r="602">
      <c r="A602" s="18">
        <v>5457.0</v>
      </c>
      <c r="B602" s="18" t="s">
        <v>32</v>
      </c>
      <c r="C602" s="18">
        <v>63.0</v>
      </c>
      <c r="D602" s="18" t="s">
        <v>31</v>
      </c>
      <c r="E602" s="27">
        <v>42566.16436342592</v>
      </c>
      <c r="F602" s="19">
        <f>IFERROR(__xludf.DUMMYFUNCTION("IFERROR(TO_DATE(E602), """")"),42566.16436342592)</f>
        <v>42566.16436</v>
      </c>
      <c r="G602" s="20">
        <f t="shared" si="1"/>
        <v>3</v>
      </c>
      <c r="H602" s="27">
        <v>42566.20446759259</v>
      </c>
      <c r="I602" s="19">
        <f>IFERROR(__xludf.DUMMYFUNCTION("IFERROR(TO_DATE(H602), """")"),42566.20446759259)</f>
        <v>42566.20447</v>
      </c>
      <c r="J602" s="19" t="s">
        <v>15</v>
      </c>
      <c r="K602" s="22">
        <f t="shared" si="2"/>
        <v>0</v>
      </c>
    </row>
    <row r="603">
      <c r="A603" s="18">
        <v>5940.0</v>
      </c>
      <c r="B603" s="18" t="s">
        <v>32</v>
      </c>
      <c r="C603" s="18">
        <v>63.0</v>
      </c>
      <c r="D603" s="18" t="s">
        <v>31</v>
      </c>
      <c r="E603" s="27">
        <v>42566.42946759259</v>
      </c>
      <c r="F603" s="19">
        <f>IFERROR(__xludf.DUMMYFUNCTION("IFERROR(TO_DATE(E603), """")"),42566.42946759259)</f>
        <v>42566.42947</v>
      </c>
      <c r="G603" s="20">
        <f t="shared" si="1"/>
        <v>10</v>
      </c>
      <c r="H603" s="27">
        <v>42566.46728009259</v>
      </c>
      <c r="I603" s="19">
        <f>IFERROR(__xludf.DUMMYFUNCTION("IFERROR(TO_DATE(H603), """")"),42566.46728009259)</f>
        <v>42566.46728</v>
      </c>
      <c r="J603" s="19" t="s">
        <v>14</v>
      </c>
      <c r="K603" s="22">
        <f t="shared" si="2"/>
        <v>0</v>
      </c>
    </row>
    <row r="604">
      <c r="A604" s="18">
        <v>6197.0</v>
      </c>
      <c r="B604" s="18" t="s">
        <v>32</v>
      </c>
      <c r="C604" s="18">
        <v>63.0</v>
      </c>
      <c r="D604" s="18" t="s">
        <v>31</v>
      </c>
      <c r="E604" s="27">
        <v>42566.725277777776</v>
      </c>
      <c r="F604" s="19">
        <f>IFERROR(__xludf.DUMMYFUNCTION("IFERROR(TO_DATE(E604), """")"),42566.725277777776)</f>
        <v>42566.72528</v>
      </c>
      <c r="G604" s="20">
        <f t="shared" si="1"/>
        <v>17</v>
      </c>
      <c r="H604" s="27">
        <v>42566.75408564815</v>
      </c>
      <c r="I604" s="19">
        <f>IFERROR(__xludf.DUMMYFUNCTION("IFERROR(TO_DATE(H604), """")"),42566.75408564815)</f>
        <v>42566.75409</v>
      </c>
      <c r="J604" s="19" t="s">
        <v>12</v>
      </c>
      <c r="K604" s="22">
        <f t="shared" si="2"/>
        <v>0</v>
      </c>
    </row>
    <row r="605">
      <c r="A605" s="18">
        <v>6660.0</v>
      </c>
      <c r="B605" s="18" t="s">
        <v>30</v>
      </c>
      <c r="C605" s="18">
        <v>63.0</v>
      </c>
      <c r="D605" s="18" t="s">
        <v>31</v>
      </c>
      <c r="E605" s="27">
        <v>42566.927083333336</v>
      </c>
      <c r="F605" s="19">
        <f>IFERROR(__xludf.DUMMYFUNCTION("IFERROR(TO_DATE(E605), """")"),42566.927083333336)</f>
        <v>42566.92708</v>
      </c>
      <c r="G605" s="20">
        <f t="shared" si="1"/>
        <v>22</v>
      </c>
      <c r="H605" s="27">
        <v>42566.968506944446</v>
      </c>
      <c r="I605" s="19">
        <f>IFERROR(__xludf.DUMMYFUNCTION("IFERROR(TO_DATE(H605), """")"),42566.968506944446)</f>
        <v>42566.96851</v>
      </c>
      <c r="J605" s="19" t="s">
        <v>13</v>
      </c>
      <c r="K605" s="22">
        <f t="shared" si="2"/>
        <v>0</v>
      </c>
    </row>
    <row r="606">
      <c r="A606" s="18">
        <v>584.0</v>
      </c>
      <c r="B606" s="18" t="s">
        <v>30</v>
      </c>
      <c r="C606" s="18">
        <v>64.0</v>
      </c>
      <c r="D606" s="18" t="s">
        <v>31</v>
      </c>
      <c r="E606" s="26">
        <v>42562.46805555555</v>
      </c>
      <c r="F606" s="19">
        <f>IFERROR(__xludf.DUMMYFUNCTION("IFERROR(TO_DATE(E606), """")"),42562.46805555555)</f>
        <v>42562.46806</v>
      </c>
      <c r="G606" s="20">
        <f t="shared" si="1"/>
        <v>11</v>
      </c>
      <c r="H606" s="26">
        <v>42562.51736111111</v>
      </c>
      <c r="I606" s="19">
        <f>IFERROR(__xludf.DUMMYFUNCTION("IFERROR(TO_DATE(H606), """")"),42562.51736111111)</f>
        <v>42562.51736</v>
      </c>
      <c r="J606" s="19" t="s">
        <v>14</v>
      </c>
      <c r="K606" s="22">
        <f t="shared" si="2"/>
        <v>0</v>
      </c>
    </row>
    <row r="607">
      <c r="A607" s="18">
        <v>1741.0</v>
      </c>
      <c r="B607" s="18" t="s">
        <v>30</v>
      </c>
      <c r="C607" s="18">
        <v>64.0</v>
      </c>
      <c r="D607" s="18" t="s">
        <v>31</v>
      </c>
      <c r="E607" s="26">
        <v>42563.35555555556</v>
      </c>
      <c r="F607" s="19">
        <f>IFERROR(__xludf.DUMMYFUNCTION("IFERROR(TO_DATE(E607), """")"),42563.35555555556)</f>
        <v>42563.35556</v>
      </c>
      <c r="G607" s="20">
        <f t="shared" si="1"/>
        <v>8</v>
      </c>
      <c r="H607" s="26">
        <v>42563.38055555556</v>
      </c>
      <c r="I607" s="19">
        <f>IFERROR(__xludf.DUMMYFUNCTION("IFERROR(TO_DATE(H607), """")"),42563.38055555556)</f>
        <v>42563.38056</v>
      </c>
      <c r="J607" s="19" t="s">
        <v>14</v>
      </c>
      <c r="K607" s="22">
        <f t="shared" si="2"/>
        <v>0</v>
      </c>
    </row>
    <row r="608">
      <c r="A608" s="18">
        <v>2031.0</v>
      </c>
      <c r="B608" s="18" t="s">
        <v>32</v>
      </c>
      <c r="C608" s="18">
        <v>64.0</v>
      </c>
      <c r="D608" s="18" t="s">
        <v>31</v>
      </c>
      <c r="E608" s="26">
        <v>42563.595138888886</v>
      </c>
      <c r="F608" s="19">
        <f>IFERROR(__xludf.DUMMYFUNCTION("IFERROR(TO_DATE(E608), """")"),42563.595138888886)</f>
        <v>42563.59514</v>
      </c>
      <c r="G608" s="20">
        <f t="shared" si="1"/>
        <v>14</v>
      </c>
      <c r="H608" s="26">
        <v>42563.61875</v>
      </c>
      <c r="I608" s="19">
        <f>IFERROR(__xludf.DUMMYFUNCTION("IFERROR(TO_DATE(H608), """")"),42563.61875)</f>
        <v>42563.61875</v>
      </c>
      <c r="J608" s="19" t="s">
        <v>10</v>
      </c>
      <c r="K608" s="22">
        <f t="shared" si="2"/>
        <v>0</v>
      </c>
    </row>
    <row r="609">
      <c r="A609" s="18">
        <v>3158.0</v>
      </c>
      <c r="B609" s="18" t="s">
        <v>30</v>
      </c>
      <c r="C609" s="18">
        <v>64.0</v>
      </c>
      <c r="D609" s="18" t="s">
        <v>31</v>
      </c>
      <c r="E609" s="27">
        <v>42564.37986111111</v>
      </c>
      <c r="F609" s="19">
        <f>IFERROR(__xludf.DUMMYFUNCTION("IFERROR(TO_DATE(E609), """")"),42564.37986111111)</f>
        <v>42564.37986</v>
      </c>
      <c r="G609" s="20">
        <f t="shared" si="1"/>
        <v>9</v>
      </c>
      <c r="H609" s="27">
        <v>42564.416875</v>
      </c>
      <c r="I609" s="19">
        <f>IFERROR(__xludf.DUMMYFUNCTION("IFERROR(TO_DATE(H609), """")"),42564.416875)</f>
        <v>42564.41688</v>
      </c>
      <c r="J609" s="19" t="s">
        <v>14</v>
      </c>
      <c r="K609" s="22">
        <f t="shared" si="2"/>
        <v>0</v>
      </c>
    </row>
    <row r="610">
      <c r="A610" s="18">
        <v>3955.0</v>
      </c>
      <c r="B610" s="18" t="s">
        <v>30</v>
      </c>
      <c r="C610" s="18">
        <v>64.0</v>
      </c>
      <c r="D610" s="18" t="s">
        <v>31</v>
      </c>
      <c r="E610" s="27">
        <v>42564.955659722225</v>
      </c>
      <c r="F610" s="19">
        <f>IFERROR(__xludf.DUMMYFUNCTION("IFERROR(TO_DATE(E610), """")"),42564.955659722225)</f>
        <v>42564.95566</v>
      </c>
      <c r="G610" s="20">
        <f t="shared" si="1"/>
        <v>22</v>
      </c>
      <c r="H610" s="27">
        <v>42564.99369212963</v>
      </c>
      <c r="I610" s="19">
        <f>IFERROR(__xludf.DUMMYFUNCTION("IFERROR(TO_DATE(H610), """")"),42564.99369212963)</f>
        <v>42564.99369</v>
      </c>
      <c r="J610" s="19" t="s">
        <v>13</v>
      </c>
      <c r="K610" s="22">
        <f t="shared" si="2"/>
        <v>0</v>
      </c>
    </row>
    <row r="611">
      <c r="A611" s="18">
        <v>4384.0</v>
      </c>
      <c r="B611" s="18" t="s">
        <v>32</v>
      </c>
      <c r="C611" s="18">
        <v>64.0</v>
      </c>
      <c r="D611" s="18" t="s">
        <v>31</v>
      </c>
      <c r="E611" s="27">
        <v>42565.32592592593</v>
      </c>
      <c r="F611" s="19">
        <f>IFERROR(__xludf.DUMMYFUNCTION("IFERROR(TO_DATE(E611), """")"),42565.32592592593)</f>
        <v>42565.32593</v>
      </c>
      <c r="G611" s="20">
        <f t="shared" si="1"/>
        <v>7</v>
      </c>
      <c r="H611" s="27">
        <v>42565.37136574074</v>
      </c>
      <c r="I611" s="19">
        <f>IFERROR(__xludf.DUMMYFUNCTION("IFERROR(TO_DATE(H611), """")"),42565.37136574074)</f>
        <v>42565.37137</v>
      </c>
      <c r="J611" s="19" t="s">
        <v>11</v>
      </c>
      <c r="K611" s="22">
        <f t="shared" si="2"/>
        <v>0</v>
      </c>
    </row>
    <row r="612">
      <c r="A612" s="18">
        <v>5224.0</v>
      </c>
      <c r="B612" s="18" t="s">
        <v>32</v>
      </c>
      <c r="C612" s="18">
        <v>64.0</v>
      </c>
      <c r="D612" s="18" t="s">
        <v>31</v>
      </c>
      <c r="E612" s="27">
        <v>42565.88037037037</v>
      </c>
      <c r="F612" s="19">
        <f>IFERROR(__xludf.DUMMYFUNCTION("IFERROR(TO_DATE(E612), """")"),42565.88037037037)</f>
        <v>42565.88037</v>
      </c>
      <c r="G612" s="20">
        <f t="shared" si="1"/>
        <v>21</v>
      </c>
      <c r="H612" s="27">
        <v>42565.930289351854</v>
      </c>
      <c r="I612" s="19">
        <f>IFERROR(__xludf.DUMMYFUNCTION("IFERROR(TO_DATE(H612), """")"),42565.930289351854)</f>
        <v>42565.93029</v>
      </c>
      <c r="J612" s="19" t="s">
        <v>13</v>
      </c>
      <c r="K612" s="22">
        <f t="shared" si="2"/>
        <v>0</v>
      </c>
    </row>
    <row r="613">
      <c r="A613" s="18">
        <v>5394.0</v>
      </c>
      <c r="B613" s="18" t="s">
        <v>30</v>
      </c>
      <c r="C613" s="18">
        <v>64.0</v>
      </c>
      <c r="D613" s="18" t="s">
        <v>31</v>
      </c>
      <c r="E613" s="27">
        <v>42566.03329861111</v>
      </c>
      <c r="F613" s="19">
        <f>IFERROR(__xludf.DUMMYFUNCTION("IFERROR(TO_DATE(E613), """")"),42566.03329861111)</f>
        <v>42566.0333</v>
      </c>
      <c r="G613" s="20">
        <f t="shared" si="1"/>
        <v>0</v>
      </c>
      <c r="H613" s="27">
        <v>42566.07142361111</v>
      </c>
      <c r="I613" s="19">
        <f>IFERROR(__xludf.DUMMYFUNCTION("IFERROR(TO_DATE(H613), """")"),42566.07142361111)</f>
        <v>42566.07142</v>
      </c>
      <c r="J613" s="19" t="s">
        <v>15</v>
      </c>
      <c r="K613" s="22">
        <f t="shared" si="2"/>
        <v>0</v>
      </c>
    </row>
    <row r="614">
      <c r="A614" s="18">
        <v>5511.0</v>
      </c>
      <c r="B614" s="18" t="s">
        <v>30</v>
      </c>
      <c r="C614" s="18">
        <v>64.0</v>
      </c>
      <c r="D614" s="18" t="s">
        <v>31</v>
      </c>
      <c r="E614" s="27">
        <v>42566.21542824074</v>
      </c>
      <c r="F614" s="19">
        <f>IFERROR(__xludf.DUMMYFUNCTION("IFERROR(TO_DATE(E614), """")"),42566.21542824074)</f>
        <v>42566.21543</v>
      </c>
      <c r="G614" s="20">
        <f t="shared" si="1"/>
        <v>5</v>
      </c>
      <c r="H614" s="27">
        <v>42566.25666666667</v>
      </c>
      <c r="I614" s="19">
        <f>IFERROR(__xludf.DUMMYFUNCTION("IFERROR(TO_DATE(H614), """")"),42566.25666666667)</f>
        <v>42566.25667</v>
      </c>
      <c r="J614" s="19" t="s">
        <v>11</v>
      </c>
      <c r="K614" s="22">
        <f t="shared" si="2"/>
        <v>0</v>
      </c>
    </row>
    <row r="615">
      <c r="A615" s="18">
        <v>744.0</v>
      </c>
      <c r="B615" s="18" t="s">
        <v>32</v>
      </c>
      <c r="C615" s="18">
        <v>65.0</v>
      </c>
      <c r="D615" s="18" t="s">
        <v>31</v>
      </c>
      <c r="E615" s="26">
        <v>42562.65347222222</v>
      </c>
      <c r="F615" s="19">
        <f>IFERROR(__xludf.DUMMYFUNCTION("IFERROR(TO_DATE(E615), """")"),42562.65347222222)</f>
        <v>42562.65347</v>
      </c>
      <c r="G615" s="20">
        <f t="shared" si="1"/>
        <v>15</v>
      </c>
      <c r="H615" s="26">
        <v>42562.6875</v>
      </c>
      <c r="I615" s="19">
        <f>IFERROR(__xludf.DUMMYFUNCTION("IFERROR(TO_DATE(H615), """")"),42562.6875)</f>
        <v>42562.6875</v>
      </c>
      <c r="J615" s="19" t="s">
        <v>10</v>
      </c>
      <c r="K615" s="22">
        <f t="shared" si="2"/>
        <v>0</v>
      </c>
    </row>
    <row r="616">
      <c r="A616" s="18">
        <v>1634.0</v>
      </c>
      <c r="B616" s="18" t="s">
        <v>30</v>
      </c>
      <c r="C616" s="18">
        <v>65.0</v>
      </c>
      <c r="D616" s="18" t="s">
        <v>31</v>
      </c>
      <c r="E616" s="26">
        <v>42563.30069444444</v>
      </c>
      <c r="F616" s="19">
        <f>IFERROR(__xludf.DUMMYFUNCTION("IFERROR(TO_DATE(E616), """")"),42563.30069444444)</f>
        <v>42563.30069</v>
      </c>
      <c r="G616" s="20">
        <f t="shared" si="1"/>
        <v>7</v>
      </c>
      <c r="H616" s="26">
        <v>42563.33611111111</v>
      </c>
      <c r="I616" s="19">
        <f>IFERROR(__xludf.DUMMYFUNCTION("IFERROR(TO_DATE(H616), """")"),42563.33611111111)</f>
        <v>42563.33611</v>
      </c>
      <c r="J616" s="19" t="s">
        <v>11</v>
      </c>
      <c r="K616" s="22">
        <f t="shared" si="2"/>
        <v>0</v>
      </c>
    </row>
    <row r="617">
      <c r="A617" s="18">
        <v>1911.0</v>
      </c>
      <c r="B617" s="18" t="s">
        <v>30</v>
      </c>
      <c r="C617" s="18">
        <v>65.0</v>
      </c>
      <c r="D617" s="18" t="s">
        <v>31</v>
      </c>
      <c r="E617" s="26">
        <v>42563.44652777778</v>
      </c>
      <c r="F617" s="19">
        <f>IFERROR(__xludf.DUMMYFUNCTION("IFERROR(TO_DATE(E617), """")"),42563.44652777778)</f>
        <v>42563.44653</v>
      </c>
      <c r="G617" s="20">
        <f t="shared" si="1"/>
        <v>10</v>
      </c>
      <c r="H617" s="26">
        <v>42563.486805555556</v>
      </c>
      <c r="I617" s="19">
        <f>IFERROR(__xludf.DUMMYFUNCTION("IFERROR(TO_DATE(H617), """")"),42563.486805555556)</f>
        <v>42563.48681</v>
      </c>
      <c r="J617" s="19" t="s">
        <v>14</v>
      </c>
      <c r="K617" s="22">
        <f t="shared" si="2"/>
        <v>0</v>
      </c>
    </row>
    <row r="618">
      <c r="A618" s="18">
        <v>2608.0</v>
      </c>
      <c r="B618" s="18" t="s">
        <v>30</v>
      </c>
      <c r="C618" s="18">
        <v>65.0</v>
      </c>
      <c r="D618" s="18" t="s">
        <v>31</v>
      </c>
      <c r="E618" s="26">
        <v>42563.915972222225</v>
      </c>
      <c r="F618" s="19">
        <f>IFERROR(__xludf.DUMMYFUNCTION("IFERROR(TO_DATE(E618), """")"),42563.915972222225)</f>
        <v>42563.91597</v>
      </c>
      <c r="G618" s="20">
        <f t="shared" si="1"/>
        <v>21</v>
      </c>
      <c r="H618" s="26">
        <v>42563.941666666666</v>
      </c>
      <c r="I618" s="19">
        <f>IFERROR(__xludf.DUMMYFUNCTION("IFERROR(TO_DATE(H618), """")"),42563.941666666666)</f>
        <v>42563.94167</v>
      </c>
      <c r="J618" s="19" t="s">
        <v>13</v>
      </c>
      <c r="K618" s="22">
        <f t="shared" si="2"/>
        <v>0</v>
      </c>
    </row>
    <row r="619">
      <c r="A619" s="18">
        <v>3456.0</v>
      </c>
      <c r="B619" s="18" t="s">
        <v>30</v>
      </c>
      <c r="C619" s="18">
        <v>65.0</v>
      </c>
      <c r="D619" s="18" t="s">
        <v>31</v>
      </c>
      <c r="E619" s="27">
        <v>42564.70789351852</v>
      </c>
      <c r="F619" s="19">
        <f>IFERROR(__xludf.DUMMYFUNCTION("IFERROR(TO_DATE(E619), """")"),42564.70789351852)</f>
        <v>42564.70789</v>
      </c>
      <c r="G619" s="20">
        <f t="shared" si="1"/>
        <v>16</v>
      </c>
      <c r="H619" s="27">
        <v>42564.741111111114</v>
      </c>
      <c r="I619" s="19">
        <f>IFERROR(__xludf.DUMMYFUNCTION("IFERROR(TO_DATE(H619), """")"),42564.741111111114)</f>
        <v>42564.74111</v>
      </c>
      <c r="J619" s="19" t="s">
        <v>12</v>
      </c>
      <c r="K619" s="22">
        <f t="shared" si="2"/>
        <v>0</v>
      </c>
    </row>
    <row r="620">
      <c r="A620" s="18">
        <v>3561.0</v>
      </c>
      <c r="B620" s="18" t="s">
        <v>32</v>
      </c>
      <c r="C620" s="18">
        <v>65.0</v>
      </c>
      <c r="D620" s="18" t="s">
        <v>31</v>
      </c>
      <c r="E620" s="27">
        <v>42564.76011574074</v>
      </c>
      <c r="F620" s="19">
        <f>IFERROR(__xludf.DUMMYFUNCTION("IFERROR(TO_DATE(E620), """")"),42564.76011574074)</f>
        <v>42564.76012</v>
      </c>
      <c r="G620" s="20">
        <f t="shared" si="1"/>
        <v>18</v>
      </c>
      <c r="H620" s="27">
        <v>42564.78836805555</v>
      </c>
      <c r="I620" s="19">
        <f>IFERROR(__xludf.DUMMYFUNCTION("IFERROR(TO_DATE(H620), """")"),42564.78836805555)</f>
        <v>42564.78837</v>
      </c>
      <c r="J620" s="19" t="s">
        <v>12</v>
      </c>
      <c r="K620" s="22">
        <f t="shared" si="2"/>
        <v>0</v>
      </c>
    </row>
    <row r="621">
      <c r="A621" s="18">
        <v>5216.0</v>
      </c>
      <c r="B621" s="18" t="s">
        <v>30</v>
      </c>
      <c r="C621" s="18">
        <v>65.0</v>
      </c>
      <c r="D621" s="18" t="s">
        <v>31</v>
      </c>
      <c r="E621" s="27">
        <v>42565.872766203705</v>
      </c>
      <c r="F621" s="19">
        <f>IFERROR(__xludf.DUMMYFUNCTION("IFERROR(TO_DATE(E621), """")"),42565.872766203705)</f>
        <v>42565.87277</v>
      </c>
      <c r="G621" s="20">
        <f t="shared" si="1"/>
        <v>20</v>
      </c>
      <c r="H621" s="27">
        <v>42565.9062962963</v>
      </c>
      <c r="I621" s="19">
        <f>IFERROR(__xludf.DUMMYFUNCTION("IFERROR(TO_DATE(H621), """")"),42565.9062962963)</f>
        <v>42565.9063</v>
      </c>
      <c r="J621" s="19" t="s">
        <v>13</v>
      </c>
      <c r="K621" s="22">
        <f t="shared" si="2"/>
        <v>0</v>
      </c>
    </row>
    <row r="622">
      <c r="A622" s="18">
        <v>5573.0</v>
      </c>
      <c r="B622" s="18" t="s">
        <v>32</v>
      </c>
      <c r="C622" s="18">
        <v>65.0</v>
      </c>
      <c r="D622" s="18" t="s">
        <v>31</v>
      </c>
      <c r="E622" s="27">
        <v>42566.24229166667</v>
      </c>
      <c r="F622" s="19">
        <f>IFERROR(__xludf.DUMMYFUNCTION("IFERROR(TO_DATE(E622), """")"),42566.24229166667)</f>
        <v>42566.24229</v>
      </c>
      <c r="G622" s="20">
        <f t="shared" si="1"/>
        <v>5</v>
      </c>
      <c r="H622" s="27">
        <v>42566.26322916667</v>
      </c>
      <c r="I622" s="19">
        <f>IFERROR(__xludf.DUMMYFUNCTION("IFERROR(TO_DATE(H622), """")"),42566.26322916667)</f>
        <v>42566.26323</v>
      </c>
      <c r="J622" s="19" t="s">
        <v>11</v>
      </c>
      <c r="K622" s="22">
        <f t="shared" si="2"/>
        <v>0</v>
      </c>
    </row>
    <row r="623">
      <c r="A623" s="18">
        <v>5952.0</v>
      </c>
      <c r="B623" s="18" t="s">
        <v>30</v>
      </c>
      <c r="C623" s="18">
        <v>65.0</v>
      </c>
      <c r="D623" s="18" t="s">
        <v>31</v>
      </c>
      <c r="E623" s="27">
        <v>42566.446238425924</v>
      </c>
      <c r="F623" s="19">
        <f>IFERROR(__xludf.DUMMYFUNCTION("IFERROR(TO_DATE(E623), """")"),42566.446238425924)</f>
        <v>42566.44624</v>
      </c>
      <c r="G623" s="20">
        <f t="shared" si="1"/>
        <v>10</v>
      </c>
      <c r="H623" s="27">
        <v>42566.47232638889</v>
      </c>
      <c r="I623" s="19">
        <f>IFERROR(__xludf.DUMMYFUNCTION("IFERROR(TO_DATE(H623), """")"),42566.47232638889)</f>
        <v>42566.47233</v>
      </c>
      <c r="J623" s="19" t="s">
        <v>14</v>
      </c>
      <c r="K623" s="22">
        <f t="shared" si="2"/>
        <v>0</v>
      </c>
    </row>
    <row r="624">
      <c r="A624" s="18">
        <v>6093.0</v>
      </c>
      <c r="B624" s="18" t="s">
        <v>30</v>
      </c>
      <c r="C624" s="18">
        <v>65.0</v>
      </c>
      <c r="D624" s="18" t="s">
        <v>31</v>
      </c>
      <c r="E624" s="27">
        <v>42566.60732638889</v>
      </c>
      <c r="F624" s="19">
        <f>IFERROR(__xludf.DUMMYFUNCTION("IFERROR(TO_DATE(E624), """")"),42566.60732638889)</f>
        <v>42566.60733</v>
      </c>
      <c r="G624" s="20">
        <f t="shared" si="1"/>
        <v>14</v>
      </c>
      <c r="H624" s="27">
        <v>42566.64619212963</v>
      </c>
      <c r="I624" s="19">
        <f>IFERROR(__xludf.DUMMYFUNCTION("IFERROR(TO_DATE(H624), """")"),42566.64619212963)</f>
        <v>42566.64619</v>
      </c>
      <c r="J624" s="19" t="s">
        <v>10</v>
      </c>
      <c r="K624" s="22">
        <f t="shared" si="2"/>
        <v>0</v>
      </c>
    </row>
    <row r="625">
      <c r="A625" s="18">
        <v>6749.0</v>
      </c>
      <c r="B625" s="18" t="s">
        <v>30</v>
      </c>
      <c r="C625" s="18">
        <v>65.0</v>
      </c>
      <c r="D625" s="18" t="s">
        <v>31</v>
      </c>
      <c r="E625" s="27">
        <v>42566.99215277778</v>
      </c>
      <c r="F625" s="19">
        <f>IFERROR(__xludf.DUMMYFUNCTION("IFERROR(TO_DATE(E625), """")"),42566.99215277778)</f>
        <v>42566.99215</v>
      </c>
      <c r="G625" s="20">
        <f t="shared" si="1"/>
        <v>23</v>
      </c>
      <c r="H625" s="27">
        <v>42567.025613425925</v>
      </c>
      <c r="I625" s="19">
        <f>IFERROR(__xludf.DUMMYFUNCTION("IFERROR(TO_DATE(H625), """")"),42567.025613425925)</f>
        <v>42567.02561</v>
      </c>
      <c r="J625" s="19" t="s">
        <v>13</v>
      </c>
      <c r="K625" s="22">
        <f t="shared" si="2"/>
        <v>0</v>
      </c>
    </row>
    <row r="626">
      <c r="A626" s="18">
        <v>250.0</v>
      </c>
      <c r="B626" s="18" t="s">
        <v>30</v>
      </c>
      <c r="C626" s="18">
        <v>66.0</v>
      </c>
      <c r="D626" s="18" t="s">
        <v>31</v>
      </c>
      <c r="E626" s="26">
        <v>42562.27013888889</v>
      </c>
      <c r="F626" s="19">
        <f>IFERROR(__xludf.DUMMYFUNCTION("IFERROR(TO_DATE(E626), """")"),42562.27013888889)</f>
        <v>42562.27014</v>
      </c>
      <c r="G626" s="20">
        <f t="shared" si="1"/>
        <v>6</v>
      </c>
      <c r="H626" s="26">
        <v>42562.31527777778</v>
      </c>
      <c r="I626" s="19">
        <f>IFERROR(__xludf.DUMMYFUNCTION("IFERROR(TO_DATE(H626), """")"),42562.31527777778)</f>
        <v>42562.31528</v>
      </c>
      <c r="J626" s="19" t="s">
        <v>11</v>
      </c>
      <c r="K626" s="22">
        <f t="shared" si="2"/>
        <v>0</v>
      </c>
    </row>
    <row r="627">
      <c r="A627" s="18">
        <v>781.0</v>
      </c>
      <c r="B627" s="18" t="s">
        <v>32</v>
      </c>
      <c r="C627" s="18">
        <v>66.0</v>
      </c>
      <c r="D627" s="18" t="s">
        <v>31</v>
      </c>
      <c r="E627" s="26">
        <v>42562.694444444445</v>
      </c>
      <c r="F627" s="19">
        <f>IFERROR(__xludf.DUMMYFUNCTION("IFERROR(TO_DATE(E627), """")"),42562.694444444445)</f>
        <v>42562.69444</v>
      </c>
      <c r="G627" s="20">
        <f t="shared" si="1"/>
        <v>16</v>
      </c>
      <c r="H627" s="26">
        <v>42562.736805555556</v>
      </c>
      <c r="I627" s="19">
        <f>IFERROR(__xludf.DUMMYFUNCTION("IFERROR(TO_DATE(H627), """")"),42562.736805555556)</f>
        <v>42562.73681</v>
      </c>
      <c r="J627" s="19" t="s">
        <v>12</v>
      </c>
      <c r="K627" s="22">
        <f t="shared" si="2"/>
        <v>0</v>
      </c>
    </row>
    <row r="628">
      <c r="A628" s="18">
        <v>1681.0</v>
      </c>
      <c r="B628" s="18" t="s">
        <v>30</v>
      </c>
      <c r="C628" s="18">
        <v>66.0</v>
      </c>
      <c r="D628" s="18" t="s">
        <v>31</v>
      </c>
      <c r="E628" s="26">
        <v>42563.32847222222</v>
      </c>
      <c r="F628" s="19">
        <f>IFERROR(__xludf.DUMMYFUNCTION("IFERROR(TO_DATE(E628), """")"),42563.32847222222)</f>
        <v>42563.32847</v>
      </c>
      <c r="G628" s="20">
        <f t="shared" si="1"/>
        <v>7</v>
      </c>
      <c r="H628" s="26">
        <v>42563.36388888889</v>
      </c>
      <c r="I628" s="19">
        <f>IFERROR(__xludf.DUMMYFUNCTION("IFERROR(TO_DATE(H628), """")"),42563.36388888889)</f>
        <v>42563.36389</v>
      </c>
      <c r="J628" s="19" t="s">
        <v>11</v>
      </c>
      <c r="K628" s="22">
        <f t="shared" si="2"/>
        <v>0</v>
      </c>
    </row>
    <row r="629">
      <c r="A629" s="18">
        <v>3924.0</v>
      </c>
      <c r="B629" s="18" t="s">
        <v>30</v>
      </c>
      <c r="C629" s="18">
        <v>66.0</v>
      </c>
      <c r="D629" s="18" t="s">
        <v>31</v>
      </c>
      <c r="E629" s="27">
        <v>42564.93189814815</v>
      </c>
      <c r="F629" s="19">
        <f>IFERROR(__xludf.DUMMYFUNCTION("IFERROR(TO_DATE(E629), """")"),42564.93189814815)</f>
        <v>42564.9319</v>
      </c>
      <c r="G629" s="20">
        <f t="shared" si="1"/>
        <v>22</v>
      </c>
      <c r="H629" s="27">
        <v>42564.96126157408</v>
      </c>
      <c r="I629" s="19">
        <f>IFERROR(__xludf.DUMMYFUNCTION("IFERROR(TO_DATE(H629), """")"),42564.96126157408)</f>
        <v>42564.96126</v>
      </c>
      <c r="J629" s="19" t="s">
        <v>13</v>
      </c>
      <c r="K629" s="22">
        <f t="shared" si="2"/>
        <v>0</v>
      </c>
    </row>
    <row r="630">
      <c r="A630" s="18">
        <v>5271.0</v>
      </c>
      <c r="B630" s="18" t="s">
        <v>32</v>
      </c>
      <c r="C630" s="18">
        <v>66.0</v>
      </c>
      <c r="D630" s="18" t="s">
        <v>31</v>
      </c>
      <c r="E630" s="27">
        <v>42565.89826388889</v>
      </c>
      <c r="F630" s="19">
        <f>IFERROR(__xludf.DUMMYFUNCTION("IFERROR(TO_DATE(E630), """")"),42565.89826388889)</f>
        <v>42565.89826</v>
      </c>
      <c r="G630" s="20">
        <f t="shared" si="1"/>
        <v>21</v>
      </c>
      <c r="H630" s="27">
        <v>42565.93125</v>
      </c>
      <c r="I630" s="19">
        <f>IFERROR(__xludf.DUMMYFUNCTION("IFERROR(TO_DATE(H630), """")"),42565.93125)</f>
        <v>42565.93125</v>
      </c>
      <c r="J630" s="19" t="s">
        <v>13</v>
      </c>
      <c r="K630" s="22">
        <f t="shared" si="2"/>
        <v>0</v>
      </c>
    </row>
    <row r="631">
      <c r="A631" s="18">
        <v>5899.0</v>
      </c>
      <c r="B631" s="18" t="s">
        <v>30</v>
      </c>
      <c r="C631" s="18">
        <v>66.0</v>
      </c>
      <c r="D631" s="18" t="s">
        <v>31</v>
      </c>
      <c r="E631" s="27">
        <v>42566.413252314815</v>
      </c>
      <c r="F631" s="19">
        <f>IFERROR(__xludf.DUMMYFUNCTION("IFERROR(TO_DATE(E631), """")"),42566.413252314815)</f>
        <v>42566.41325</v>
      </c>
      <c r="G631" s="20">
        <f t="shared" si="1"/>
        <v>9</v>
      </c>
      <c r="H631" s="27">
        <v>42566.4327662037</v>
      </c>
      <c r="I631" s="19">
        <f>IFERROR(__xludf.DUMMYFUNCTION("IFERROR(TO_DATE(H631), """")"),42566.4327662037)</f>
        <v>42566.43277</v>
      </c>
      <c r="J631" s="19" t="s">
        <v>14</v>
      </c>
      <c r="K631" s="22">
        <f t="shared" si="2"/>
        <v>0</v>
      </c>
    </row>
    <row r="632">
      <c r="A632" s="18">
        <v>6273.0</v>
      </c>
      <c r="B632" s="18" t="s">
        <v>32</v>
      </c>
      <c r="C632" s="18">
        <v>66.0</v>
      </c>
      <c r="D632" s="18" t="s">
        <v>31</v>
      </c>
      <c r="E632" s="27">
        <v>42566.75677083333</v>
      </c>
      <c r="F632" s="19">
        <f>IFERROR(__xludf.DUMMYFUNCTION("IFERROR(TO_DATE(E632), """")"),42566.75677083333)</f>
        <v>42566.75677</v>
      </c>
      <c r="G632" s="20">
        <f t="shared" si="1"/>
        <v>18</v>
      </c>
      <c r="H632" s="27">
        <v>42566.80700231482</v>
      </c>
      <c r="I632" s="19">
        <f>IFERROR(__xludf.DUMMYFUNCTION("IFERROR(TO_DATE(H632), """")"),42566.80700231482)</f>
        <v>42566.807</v>
      </c>
      <c r="J632" s="19" t="s">
        <v>12</v>
      </c>
      <c r="K632" s="22">
        <f t="shared" si="2"/>
        <v>0</v>
      </c>
    </row>
    <row r="633">
      <c r="A633" s="18">
        <v>630.0</v>
      </c>
      <c r="B633" s="18" t="s">
        <v>30</v>
      </c>
      <c r="C633" s="18">
        <v>67.0</v>
      </c>
      <c r="D633" s="18" t="s">
        <v>31</v>
      </c>
      <c r="E633" s="26">
        <v>42562.51111111111</v>
      </c>
      <c r="F633" s="19">
        <f>IFERROR(__xludf.DUMMYFUNCTION("IFERROR(TO_DATE(E633), """")"),42562.51111111111)</f>
        <v>42562.51111</v>
      </c>
      <c r="G633" s="20">
        <f t="shared" si="1"/>
        <v>12</v>
      </c>
      <c r="H633" s="26">
        <v>42562.54861111111</v>
      </c>
      <c r="I633" s="19">
        <f>IFERROR(__xludf.DUMMYFUNCTION("IFERROR(TO_DATE(H633), """")"),42562.54861111111)</f>
        <v>42562.54861</v>
      </c>
      <c r="J633" s="19" t="s">
        <v>10</v>
      </c>
      <c r="K633" s="22">
        <f t="shared" si="2"/>
        <v>0</v>
      </c>
    </row>
    <row r="634">
      <c r="A634" s="18">
        <v>679.0</v>
      </c>
      <c r="B634" s="18" t="s">
        <v>32</v>
      </c>
      <c r="C634" s="18">
        <v>67.0</v>
      </c>
      <c r="D634" s="18" t="s">
        <v>31</v>
      </c>
      <c r="E634" s="26">
        <v>42562.55694444444</v>
      </c>
      <c r="F634" s="19">
        <f>IFERROR(__xludf.DUMMYFUNCTION("IFERROR(TO_DATE(E634), """")"),42562.55694444444)</f>
        <v>42562.55694</v>
      </c>
      <c r="G634" s="20">
        <f t="shared" si="1"/>
        <v>13</v>
      </c>
      <c r="H634" s="26">
        <v>42562.595138888886</v>
      </c>
      <c r="I634" s="19">
        <f>IFERROR(__xludf.DUMMYFUNCTION("IFERROR(TO_DATE(H634), """")"),42562.595138888886)</f>
        <v>42562.59514</v>
      </c>
      <c r="J634" s="19" t="s">
        <v>10</v>
      </c>
      <c r="K634" s="22">
        <f t="shared" si="2"/>
        <v>0</v>
      </c>
    </row>
    <row r="635">
      <c r="A635" s="18">
        <v>782.0</v>
      </c>
      <c r="B635" s="18" t="s">
        <v>30</v>
      </c>
      <c r="C635" s="18">
        <v>67.0</v>
      </c>
      <c r="D635" s="18" t="s">
        <v>31</v>
      </c>
      <c r="E635" s="26">
        <v>42562.69861111111</v>
      </c>
      <c r="F635" s="19">
        <f>IFERROR(__xludf.DUMMYFUNCTION("IFERROR(TO_DATE(E635), """")"),42562.69861111111)</f>
        <v>42562.69861</v>
      </c>
      <c r="G635" s="20">
        <f t="shared" si="1"/>
        <v>16</v>
      </c>
      <c r="H635" s="26">
        <v>42562.72708333333</v>
      </c>
      <c r="I635" s="19">
        <f>IFERROR(__xludf.DUMMYFUNCTION("IFERROR(TO_DATE(H635), """")"),42562.72708333333)</f>
        <v>42562.72708</v>
      </c>
      <c r="J635" s="19" t="s">
        <v>12</v>
      </c>
      <c r="K635" s="22">
        <f t="shared" si="2"/>
        <v>0</v>
      </c>
    </row>
    <row r="636">
      <c r="A636" s="18">
        <v>1329.0</v>
      </c>
      <c r="B636" s="18" t="s">
        <v>30</v>
      </c>
      <c r="C636" s="18">
        <v>67.0</v>
      </c>
      <c r="D636" s="18" t="s">
        <v>31</v>
      </c>
      <c r="E636" s="26">
        <v>42562.96527777778</v>
      </c>
      <c r="F636" s="19">
        <f>IFERROR(__xludf.DUMMYFUNCTION("IFERROR(TO_DATE(E636), """")"),42562.96527777778)</f>
        <v>42562.96528</v>
      </c>
      <c r="G636" s="20">
        <f t="shared" si="1"/>
        <v>23</v>
      </c>
      <c r="H636" s="26">
        <v>42562.989583333336</v>
      </c>
      <c r="I636" s="19">
        <f>IFERROR(__xludf.DUMMYFUNCTION("IFERROR(TO_DATE(H636), """")"),42562.989583333336)</f>
        <v>42562.98958</v>
      </c>
      <c r="J636" s="19" t="s">
        <v>13</v>
      </c>
      <c r="K636" s="22">
        <f t="shared" si="2"/>
        <v>0</v>
      </c>
    </row>
    <row r="637">
      <c r="A637" s="18">
        <v>1712.0</v>
      </c>
      <c r="B637" s="18" t="s">
        <v>30</v>
      </c>
      <c r="C637" s="18">
        <v>67.0</v>
      </c>
      <c r="D637" s="18" t="s">
        <v>31</v>
      </c>
      <c r="E637" s="26">
        <v>42563.34305555555</v>
      </c>
      <c r="F637" s="19">
        <f>IFERROR(__xludf.DUMMYFUNCTION("IFERROR(TO_DATE(E637), """")"),42563.34305555555)</f>
        <v>42563.34306</v>
      </c>
      <c r="G637" s="20">
        <f t="shared" si="1"/>
        <v>8</v>
      </c>
      <c r="H637" s="26">
        <v>42563.379166666666</v>
      </c>
      <c r="I637" s="19">
        <f>IFERROR(__xludf.DUMMYFUNCTION("IFERROR(TO_DATE(H637), """")"),42563.379166666666)</f>
        <v>42563.37917</v>
      </c>
      <c r="J637" s="19" t="s">
        <v>14</v>
      </c>
      <c r="K637" s="22">
        <f t="shared" si="2"/>
        <v>0</v>
      </c>
    </row>
    <row r="638">
      <c r="A638" s="18">
        <v>2033.0</v>
      </c>
      <c r="B638" s="18" t="s">
        <v>32</v>
      </c>
      <c r="C638" s="18">
        <v>67.0</v>
      </c>
      <c r="D638" s="18" t="s">
        <v>31</v>
      </c>
      <c r="E638" s="26">
        <v>42563.595138888886</v>
      </c>
      <c r="F638" s="19">
        <f>IFERROR(__xludf.DUMMYFUNCTION("IFERROR(TO_DATE(E638), """")"),42563.595138888886)</f>
        <v>42563.59514</v>
      </c>
      <c r="G638" s="20">
        <f t="shared" si="1"/>
        <v>14</v>
      </c>
      <c r="H638" s="26">
        <v>42563.62430555555</v>
      </c>
      <c r="I638" s="19">
        <f>IFERROR(__xludf.DUMMYFUNCTION("IFERROR(TO_DATE(H638), """")"),42563.62430555555)</f>
        <v>42563.62431</v>
      </c>
      <c r="J638" s="19" t="s">
        <v>10</v>
      </c>
      <c r="K638" s="22">
        <f t="shared" si="2"/>
        <v>0</v>
      </c>
    </row>
    <row r="639">
      <c r="A639" s="18">
        <v>3094.0</v>
      </c>
      <c r="B639" s="18" t="s">
        <v>30</v>
      </c>
      <c r="C639" s="18">
        <v>67.0</v>
      </c>
      <c r="D639" s="18" t="s">
        <v>31</v>
      </c>
      <c r="E639" s="27">
        <v>42564.34792824074</v>
      </c>
      <c r="F639" s="19">
        <f>IFERROR(__xludf.DUMMYFUNCTION("IFERROR(TO_DATE(E639), """")"),42564.34792824074)</f>
        <v>42564.34793</v>
      </c>
      <c r="G639" s="20">
        <f t="shared" si="1"/>
        <v>8</v>
      </c>
      <c r="H639" s="27">
        <v>42564.37053240741</v>
      </c>
      <c r="I639" s="19">
        <f>IFERROR(__xludf.DUMMYFUNCTION("IFERROR(TO_DATE(H639), """")"),42564.37053240741)</f>
        <v>42564.37053</v>
      </c>
      <c r="J639" s="19" t="s">
        <v>14</v>
      </c>
      <c r="K639" s="22">
        <f t="shared" si="2"/>
        <v>0</v>
      </c>
    </row>
    <row r="640">
      <c r="A640" s="18">
        <v>4709.0</v>
      </c>
      <c r="B640" s="18" t="s">
        <v>30</v>
      </c>
      <c r="C640" s="18">
        <v>67.0</v>
      </c>
      <c r="D640" s="18" t="s">
        <v>31</v>
      </c>
      <c r="E640" s="27">
        <v>42565.55636574074</v>
      </c>
      <c r="F640" s="19">
        <f>IFERROR(__xludf.DUMMYFUNCTION("IFERROR(TO_DATE(E640), """")"),42565.55636574074)</f>
        <v>42565.55637</v>
      </c>
      <c r="G640" s="20">
        <f t="shared" si="1"/>
        <v>13</v>
      </c>
      <c r="H640" s="27">
        <v>42565.59883101852</v>
      </c>
      <c r="I640" s="19">
        <f>IFERROR(__xludf.DUMMYFUNCTION("IFERROR(TO_DATE(H640), """")"),42565.59883101852)</f>
        <v>42565.59883</v>
      </c>
      <c r="J640" s="19" t="s">
        <v>10</v>
      </c>
      <c r="K640" s="22">
        <f t="shared" si="2"/>
        <v>0</v>
      </c>
    </row>
    <row r="641">
      <c r="A641" s="18">
        <v>4948.0</v>
      </c>
      <c r="B641" s="18" t="s">
        <v>30</v>
      </c>
      <c r="C641" s="18">
        <v>67.0</v>
      </c>
      <c r="D641" s="18" t="s">
        <v>31</v>
      </c>
      <c r="E641" s="27">
        <v>42565.769837962966</v>
      </c>
      <c r="F641" s="19">
        <f>IFERROR(__xludf.DUMMYFUNCTION("IFERROR(TO_DATE(E641), """")"),42565.769837962966)</f>
        <v>42565.76984</v>
      </c>
      <c r="G641" s="20">
        <f t="shared" si="1"/>
        <v>18</v>
      </c>
      <c r="H641" s="27">
        <v>42565.81935185185</v>
      </c>
      <c r="I641" s="19">
        <f>IFERROR(__xludf.DUMMYFUNCTION("IFERROR(TO_DATE(H641), """")"),42565.81935185185)</f>
        <v>42565.81935</v>
      </c>
      <c r="J641" s="19" t="s">
        <v>12</v>
      </c>
      <c r="K641" s="22">
        <f t="shared" si="2"/>
        <v>0</v>
      </c>
    </row>
    <row r="642">
      <c r="A642" s="18">
        <v>5597.0</v>
      </c>
      <c r="B642" s="18" t="s">
        <v>32</v>
      </c>
      <c r="C642" s="18">
        <v>67.0</v>
      </c>
      <c r="D642" s="18" t="s">
        <v>31</v>
      </c>
      <c r="E642" s="27">
        <v>42566.25334490741</v>
      </c>
      <c r="F642" s="19">
        <f>IFERROR(__xludf.DUMMYFUNCTION("IFERROR(TO_DATE(E642), """")"),42566.25334490741)</f>
        <v>42566.25334</v>
      </c>
      <c r="G642" s="20">
        <f t="shared" si="1"/>
        <v>6</v>
      </c>
      <c r="H642" s="27">
        <v>42566.291909722226</v>
      </c>
      <c r="I642" s="19">
        <f>IFERROR(__xludf.DUMMYFUNCTION("IFERROR(TO_DATE(H642), """")"),42566.291909722226)</f>
        <v>42566.29191</v>
      </c>
      <c r="J642" s="19" t="s">
        <v>11</v>
      </c>
      <c r="K642" s="22">
        <f t="shared" si="2"/>
        <v>0</v>
      </c>
    </row>
    <row r="643">
      <c r="A643" s="18">
        <v>6747.0</v>
      </c>
      <c r="B643" s="18" t="s">
        <v>32</v>
      </c>
      <c r="C643" s="18">
        <v>67.0</v>
      </c>
      <c r="D643" s="18" t="s">
        <v>31</v>
      </c>
      <c r="E643" s="27">
        <v>42566.99140046296</v>
      </c>
      <c r="F643" s="19">
        <f>IFERROR(__xludf.DUMMYFUNCTION("IFERROR(TO_DATE(E643), """")"),42566.99140046296)</f>
        <v>42566.9914</v>
      </c>
      <c r="G643" s="20">
        <f t="shared" si="1"/>
        <v>23</v>
      </c>
      <c r="H643" s="27">
        <v>42567.0409375</v>
      </c>
      <c r="I643" s="19">
        <f>IFERROR(__xludf.DUMMYFUNCTION("IFERROR(TO_DATE(H643), """")"),42567.0409375)</f>
        <v>42567.04094</v>
      </c>
      <c r="J643" s="19" t="s">
        <v>13</v>
      </c>
      <c r="K643" s="22">
        <f t="shared" si="2"/>
        <v>0</v>
      </c>
    </row>
    <row r="644">
      <c r="A644" s="18">
        <v>1480.0</v>
      </c>
      <c r="B644" s="18" t="s">
        <v>30</v>
      </c>
      <c r="C644" s="18">
        <v>68.0</v>
      </c>
      <c r="D644" s="18" t="s">
        <v>31</v>
      </c>
      <c r="E644" s="26">
        <v>42563.21875</v>
      </c>
      <c r="F644" s="19">
        <f>IFERROR(__xludf.DUMMYFUNCTION("IFERROR(TO_DATE(E644), """")"),42563.21875)</f>
        <v>42563.21875</v>
      </c>
      <c r="G644" s="20">
        <f t="shared" si="1"/>
        <v>5</v>
      </c>
      <c r="H644" s="26">
        <v>42563.254166666666</v>
      </c>
      <c r="I644" s="19">
        <f>IFERROR(__xludf.DUMMYFUNCTION("IFERROR(TO_DATE(H644), """")"),42563.254166666666)</f>
        <v>42563.25417</v>
      </c>
      <c r="J644" s="19" t="s">
        <v>11</v>
      </c>
      <c r="K644" s="22">
        <f t="shared" si="2"/>
        <v>0</v>
      </c>
    </row>
    <row r="645">
      <c r="A645" s="18">
        <v>2013.0</v>
      </c>
      <c r="B645" s="18" t="s">
        <v>32</v>
      </c>
      <c r="C645" s="18">
        <v>68.0</v>
      </c>
      <c r="D645" s="18" t="s">
        <v>31</v>
      </c>
      <c r="E645" s="26">
        <v>42563.56597222222</v>
      </c>
      <c r="F645" s="19">
        <f>IFERROR(__xludf.DUMMYFUNCTION("IFERROR(TO_DATE(E645), """")"),42563.56597222222)</f>
        <v>42563.56597</v>
      </c>
      <c r="G645" s="20">
        <f t="shared" si="1"/>
        <v>13</v>
      </c>
      <c r="H645" s="26">
        <v>42563.603472222225</v>
      </c>
      <c r="I645" s="19">
        <f>IFERROR(__xludf.DUMMYFUNCTION("IFERROR(TO_DATE(H645), """")"),42563.603472222225)</f>
        <v>42563.60347</v>
      </c>
      <c r="J645" s="19" t="s">
        <v>10</v>
      </c>
      <c r="K645" s="22">
        <f t="shared" si="2"/>
        <v>0</v>
      </c>
    </row>
    <row r="646">
      <c r="A646" s="18">
        <v>2867.0</v>
      </c>
      <c r="B646" s="18" t="s">
        <v>30</v>
      </c>
      <c r="C646" s="18">
        <v>68.0</v>
      </c>
      <c r="D646" s="18" t="s">
        <v>31</v>
      </c>
      <c r="E646" s="27">
        <v>42564.239803240744</v>
      </c>
      <c r="F646" s="19">
        <f>IFERROR(__xludf.DUMMYFUNCTION("IFERROR(TO_DATE(E646), """")"),42564.239803240744)</f>
        <v>42564.2398</v>
      </c>
      <c r="G646" s="20">
        <f t="shared" si="1"/>
        <v>5</v>
      </c>
      <c r="H646" s="27">
        <v>42564.26981481481</v>
      </c>
      <c r="I646" s="19">
        <f>IFERROR(__xludf.DUMMYFUNCTION("IFERROR(TO_DATE(H646), """")"),42564.26981481481)</f>
        <v>42564.26981</v>
      </c>
      <c r="J646" s="19" t="s">
        <v>11</v>
      </c>
      <c r="K646" s="22">
        <f t="shared" si="2"/>
        <v>0</v>
      </c>
    </row>
    <row r="647">
      <c r="A647" s="18">
        <v>3377.0</v>
      </c>
      <c r="B647" s="18" t="s">
        <v>30</v>
      </c>
      <c r="C647" s="18">
        <v>68.0</v>
      </c>
      <c r="D647" s="18" t="s">
        <v>31</v>
      </c>
      <c r="E647" s="27">
        <v>42564.595509259256</v>
      </c>
      <c r="F647" s="19">
        <f>IFERROR(__xludf.DUMMYFUNCTION("IFERROR(TO_DATE(E647), """")"),42564.595509259256)</f>
        <v>42564.59551</v>
      </c>
      <c r="G647" s="20">
        <f t="shared" si="1"/>
        <v>14</v>
      </c>
      <c r="H647" s="27">
        <v>42564.62600694445</v>
      </c>
      <c r="I647" s="19">
        <f>IFERROR(__xludf.DUMMYFUNCTION("IFERROR(TO_DATE(H647), """")"),42564.62600694445)</f>
        <v>42564.62601</v>
      </c>
      <c r="J647" s="19" t="s">
        <v>10</v>
      </c>
      <c r="K647" s="22">
        <f t="shared" si="2"/>
        <v>0</v>
      </c>
    </row>
    <row r="648">
      <c r="A648" s="18">
        <v>4108.0</v>
      </c>
      <c r="B648" s="18" t="s">
        <v>32</v>
      </c>
      <c r="C648" s="18">
        <v>68.0</v>
      </c>
      <c r="D648" s="18" t="s">
        <v>31</v>
      </c>
      <c r="E648" s="27">
        <v>42565.16400462963</v>
      </c>
      <c r="F648" s="19">
        <f>IFERROR(__xludf.DUMMYFUNCTION("IFERROR(TO_DATE(E648), """")"),42565.16400462963)</f>
        <v>42565.164</v>
      </c>
      <c r="G648" s="20">
        <f t="shared" si="1"/>
        <v>3</v>
      </c>
      <c r="H648" s="27">
        <v>42565.19373842593</v>
      </c>
      <c r="I648" s="19">
        <f>IFERROR(__xludf.DUMMYFUNCTION("IFERROR(TO_DATE(H648), """")"),42565.19373842593)</f>
        <v>42565.19374</v>
      </c>
      <c r="J648" s="19" t="s">
        <v>15</v>
      </c>
      <c r="K648" s="22">
        <f t="shared" si="2"/>
        <v>0</v>
      </c>
    </row>
    <row r="649">
      <c r="A649" s="18">
        <v>4368.0</v>
      </c>
      <c r="B649" s="18" t="s">
        <v>32</v>
      </c>
      <c r="C649" s="18">
        <v>68.0</v>
      </c>
      <c r="D649" s="18" t="s">
        <v>31</v>
      </c>
      <c r="E649" s="27">
        <v>42565.31873842593</v>
      </c>
      <c r="F649" s="19">
        <f>IFERROR(__xludf.DUMMYFUNCTION("IFERROR(TO_DATE(E649), """")"),42565.31873842593)</f>
        <v>42565.31874</v>
      </c>
      <c r="G649" s="20">
        <f t="shared" si="1"/>
        <v>7</v>
      </c>
      <c r="H649" s="27">
        <v>42565.3412962963</v>
      </c>
      <c r="I649" s="19">
        <f>IFERROR(__xludf.DUMMYFUNCTION("IFERROR(TO_DATE(H649), """")"),42565.3412962963)</f>
        <v>42565.3413</v>
      </c>
      <c r="J649" s="19" t="s">
        <v>11</v>
      </c>
      <c r="K649" s="22">
        <f t="shared" si="2"/>
        <v>0</v>
      </c>
    </row>
    <row r="650">
      <c r="A650" s="18">
        <v>4787.0</v>
      </c>
      <c r="B650" s="18" t="s">
        <v>32</v>
      </c>
      <c r="C650" s="18">
        <v>68.0</v>
      </c>
      <c r="D650" s="18" t="s">
        <v>31</v>
      </c>
      <c r="E650" s="27">
        <v>42565.695289351854</v>
      </c>
      <c r="F650" s="19">
        <f>IFERROR(__xludf.DUMMYFUNCTION("IFERROR(TO_DATE(E650), """")"),42565.695289351854)</f>
        <v>42565.69529</v>
      </c>
      <c r="G650" s="20">
        <f t="shared" si="1"/>
        <v>16</v>
      </c>
      <c r="H650" s="27">
        <v>42565.71890046296</v>
      </c>
      <c r="I650" s="19">
        <f>IFERROR(__xludf.DUMMYFUNCTION("IFERROR(TO_DATE(H650), """")"),42565.71890046296)</f>
        <v>42565.7189</v>
      </c>
      <c r="J650" s="19" t="s">
        <v>12</v>
      </c>
      <c r="K650" s="22">
        <f t="shared" si="2"/>
        <v>0</v>
      </c>
    </row>
    <row r="651">
      <c r="A651" s="18">
        <v>93.0</v>
      </c>
      <c r="B651" s="18" t="s">
        <v>32</v>
      </c>
      <c r="C651" s="18">
        <v>69.0</v>
      </c>
      <c r="D651" s="18" t="s">
        <v>31</v>
      </c>
      <c r="E651" s="26">
        <v>42562.20347222222</v>
      </c>
      <c r="F651" s="19">
        <f>IFERROR(__xludf.DUMMYFUNCTION("IFERROR(TO_DATE(E651), """")"),42562.20347222222)</f>
        <v>42562.20347</v>
      </c>
      <c r="G651" s="20">
        <f t="shared" si="1"/>
        <v>4</v>
      </c>
      <c r="H651" s="26">
        <v>42562.229166666664</v>
      </c>
      <c r="I651" s="19">
        <f>IFERROR(__xludf.DUMMYFUNCTION("IFERROR(TO_DATE(H651), """")"),42562.229166666664)</f>
        <v>42562.22917</v>
      </c>
      <c r="J651" s="19" t="s">
        <v>11</v>
      </c>
      <c r="K651" s="22">
        <f t="shared" si="2"/>
        <v>0</v>
      </c>
    </row>
    <row r="652">
      <c r="A652" s="18">
        <v>402.0</v>
      </c>
      <c r="B652" s="18" t="s">
        <v>30</v>
      </c>
      <c r="C652" s="18">
        <v>69.0</v>
      </c>
      <c r="D652" s="18" t="s">
        <v>31</v>
      </c>
      <c r="E652" s="26">
        <v>42562.35486111111</v>
      </c>
      <c r="F652" s="19">
        <f>IFERROR(__xludf.DUMMYFUNCTION("IFERROR(TO_DATE(E652), """")"),42562.35486111111)</f>
        <v>42562.35486</v>
      </c>
      <c r="G652" s="20">
        <f t="shared" si="1"/>
        <v>8</v>
      </c>
      <c r="H652" s="26">
        <v>42562.376388888886</v>
      </c>
      <c r="I652" s="19">
        <f>IFERROR(__xludf.DUMMYFUNCTION("IFERROR(TO_DATE(H652), """")"),42562.376388888886)</f>
        <v>42562.37639</v>
      </c>
      <c r="J652" s="19" t="s">
        <v>14</v>
      </c>
      <c r="K652" s="22">
        <f t="shared" si="2"/>
        <v>0</v>
      </c>
    </row>
    <row r="653">
      <c r="A653" s="18">
        <v>582.0</v>
      </c>
      <c r="B653" s="18" t="s">
        <v>32</v>
      </c>
      <c r="C653" s="18">
        <v>69.0</v>
      </c>
      <c r="D653" s="18" t="s">
        <v>31</v>
      </c>
      <c r="E653" s="26">
        <v>42562.455555555556</v>
      </c>
      <c r="F653" s="19">
        <f>IFERROR(__xludf.DUMMYFUNCTION("IFERROR(TO_DATE(E653), """")"),42562.455555555556)</f>
        <v>42562.45556</v>
      </c>
      <c r="G653" s="20">
        <f t="shared" si="1"/>
        <v>10</v>
      </c>
      <c r="H653" s="26">
        <v>42562.49930555555</v>
      </c>
      <c r="I653" s="19">
        <f>IFERROR(__xludf.DUMMYFUNCTION("IFERROR(TO_DATE(H653), """")"),42562.49930555555)</f>
        <v>42562.49931</v>
      </c>
      <c r="J653" s="19" t="s">
        <v>14</v>
      </c>
      <c r="K653" s="22">
        <f t="shared" si="2"/>
        <v>0</v>
      </c>
    </row>
    <row r="654">
      <c r="A654" s="18">
        <v>733.0</v>
      </c>
      <c r="B654" s="18" t="s">
        <v>32</v>
      </c>
      <c r="C654" s="18">
        <v>69.0</v>
      </c>
      <c r="D654" s="18" t="s">
        <v>31</v>
      </c>
      <c r="E654" s="26">
        <v>42562.64236111111</v>
      </c>
      <c r="F654" s="19">
        <f>IFERROR(__xludf.DUMMYFUNCTION("IFERROR(TO_DATE(E654), """")"),42562.64236111111)</f>
        <v>42562.64236</v>
      </c>
      <c r="G654" s="20">
        <f t="shared" si="1"/>
        <v>15</v>
      </c>
      <c r="H654" s="26">
        <v>42562.6875</v>
      </c>
      <c r="I654" s="19">
        <f>IFERROR(__xludf.DUMMYFUNCTION("IFERROR(TO_DATE(H654), """")"),42562.6875)</f>
        <v>42562.6875</v>
      </c>
      <c r="J654" s="19" t="s">
        <v>10</v>
      </c>
      <c r="K654" s="22">
        <f t="shared" si="2"/>
        <v>0</v>
      </c>
    </row>
    <row r="655">
      <c r="A655" s="18">
        <v>951.0</v>
      </c>
      <c r="B655" s="18" t="s">
        <v>30</v>
      </c>
      <c r="C655" s="18">
        <v>69.0</v>
      </c>
      <c r="D655" s="18" t="s">
        <v>31</v>
      </c>
      <c r="E655" s="26">
        <v>42562.77638888889</v>
      </c>
      <c r="F655" s="19">
        <f>IFERROR(__xludf.DUMMYFUNCTION("IFERROR(TO_DATE(E655), """")"),42562.77638888889)</f>
        <v>42562.77639</v>
      </c>
      <c r="G655" s="20">
        <f t="shared" si="1"/>
        <v>18</v>
      </c>
      <c r="H655" s="26">
        <v>42562.79861111111</v>
      </c>
      <c r="I655" s="19">
        <f>IFERROR(__xludf.DUMMYFUNCTION("IFERROR(TO_DATE(H655), """")"),42562.79861111111)</f>
        <v>42562.79861</v>
      </c>
      <c r="J655" s="19" t="s">
        <v>12</v>
      </c>
      <c r="K655" s="22">
        <f t="shared" si="2"/>
        <v>0</v>
      </c>
    </row>
    <row r="656">
      <c r="A656" s="18">
        <v>1889.0</v>
      </c>
      <c r="B656" s="18" t="s">
        <v>32</v>
      </c>
      <c r="C656" s="18">
        <v>69.0</v>
      </c>
      <c r="D656" s="18" t="s">
        <v>31</v>
      </c>
      <c r="E656" s="26">
        <v>42563.42638888889</v>
      </c>
      <c r="F656" s="19">
        <f>IFERROR(__xludf.DUMMYFUNCTION("IFERROR(TO_DATE(E656), """")"),42563.42638888889)</f>
        <v>42563.42639</v>
      </c>
      <c r="G656" s="20">
        <f t="shared" si="1"/>
        <v>10</v>
      </c>
      <c r="H656" s="26">
        <v>42563.47083333333</v>
      </c>
      <c r="I656" s="19">
        <f>IFERROR(__xludf.DUMMYFUNCTION("IFERROR(TO_DATE(H656), """")"),42563.47083333333)</f>
        <v>42563.47083</v>
      </c>
      <c r="J656" s="19" t="s">
        <v>14</v>
      </c>
      <c r="K656" s="22">
        <f t="shared" si="2"/>
        <v>0</v>
      </c>
    </row>
    <row r="657">
      <c r="A657" s="18">
        <v>2046.0</v>
      </c>
      <c r="B657" s="18" t="s">
        <v>30</v>
      </c>
      <c r="C657" s="18">
        <v>69.0</v>
      </c>
      <c r="D657" s="18" t="s">
        <v>31</v>
      </c>
      <c r="E657" s="26">
        <v>42563.61111111111</v>
      </c>
      <c r="F657" s="19">
        <f>IFERROR(__xludf.DUMMYFUNCTION("IFERROR(TO_DATE(E657), """")"),42563.61111111111)</f>
        <v>42563.61111</v>
      </c>
      <c r="G657" s="20">
        <f t="shared" si="1"/>
        <v>14</v>
      </c>
      <c r="H657" s="26">
        <v>42563.64027777778</v>
      </c>
      <c r="I657" s="19">
        <f>IFERROR(__xludf.DUMMYFUNCTION("IFERROR(TO_DATE(H657), """")"),42563.64027777778)</f>
        <v>42563.64028</v>
      </c>
      <c r="J657" s="19" t="s">
        <v>10</v>
      </c>
      <c r="K657" s="22">
        <f t="shared" si="2"/>
        <v>0</v>
      </c>
    </row>
    <row r="658">
      <c r="A658" s="18">
        <v>2664.0</v>
      </c>
      <c r="B658" s="18" t="s">
        <v>30</v>
      </c>
      <c r="C658" s="18">
        <v>69.0</v>
      </c>
      <c r="D658" s="18" t="s">
        <v>31</v>
      </c>
      <c r="E658" s="26">
        <v>42563.97638888889</v>
      </c>
      <c r="F658" s="19">
        <f>IFERROR(__xludf.DUMMYFUNCTION("IFERROR(TO_DATE(E658), """")"),42563.97638888889)</f>
        <v>42563.97639</v>
      </c>
      <c r="G658" s="20">
        <f t="shared" si="1"/>
        <v>23</v>
      </c>
      <c r="H658" s="27">
        <v>42564.00083333333</v>
      </c>
      <c r="I658" s="19">
        <f>IFERROR(__xludf.DUMMYFUNCTION("IFERROR(TO_DATE(H658), """")"),42564.00083333333)</f>
        <v>42564.00083</v>
      </c>
      <c r="J658" s="19" t="s">
        <v>13</v>
      </c>
      <c r="K658" s="22">
        <f t="shared" si="2"/>
        <v>0</v>
      </c>
    </row>
    <row r="659">
      <c r="A659" s="18">
        <v>2936.0</v>
      </c>
      <c r="B659" s="18" t="s">
        <v>32</v>
      </c>
      <c r="C659" s="18">
        <v>69.0</v>
      </c>
      <c r="D659" s="18" t="s">
        <v>31</v>
      </c>
      <c r="E659" s="27">
        <v>42564.26982638889</v>
      </c>
      <c r="F659" s="19">
        <f>IFERROR(__xludf.DUMMYFUNCTION("IFERROR(TO_DATE(E659), """")"),42564.26982638889)</f>
        <v>42564.26983</v>
      </c>
      <c r="G659" s="20">
        <f t="shared" si="1"/>
        <v>6</v>
      </c>
      <c r="H659" s="27">
        <v>42564.32113425926</v>
      </c>
      <c r="I659" s="19">
        <f>IFERROR(__xludf.DUMMYFUNCTION("IFERROR(TO_DATE(H659), """")"),42564.32113425926)</f>
        <v>42564.32113</v>
      </c>
      <c r="J659" s="19" t="s">
        <v>11</v>
      </c>
      <c r="K659" s="22">
        <f t="shared" si="2"/>
        <v>0</v>
      </c>
    </row>
    <row r="660">
      <c r="A660" s="18">
        <v>3740.0</v>
      </c>
      <c r="B660" s="18" t="s">
        <v>30</v>
      </c>
      <c r="C660" s="18">
        <v>69.0</v>
      </c>
      <c r="D660" s="18" t="s">
        <v>31</v>
      </c>
      <c r="E660" s="27">
        <v>42564.84868055556</v>
      </c>
      <c r="F660" s="19">
        <f>IFERROR(__xludf.DUMMYFUNCTION("IFERROR(TO_DATE(E660), """")"),42564.84868055556)</f>
        <v>42564.84868</v>
      </c>
      <c r="G660" s="20">
        <f t="shared" si="1"/>
        <v>20</v>
      </c>
      <c r="H660" s="27">
        <v>42564.87217592593</v>
      </c>
      <c r="I660" s="19">
        <f>IFERROR(__xludf.DUMMYFUNCTION("IFERROR(TO_DATE(H660), """")"),42564.87217592593)</f>
        <v>42564.87218</v>
      </c>
      <c r="J660" s="19" t="s">
        <v>13</v>
      </c>
      <c r="K660" s="22">
        <f t="shared" si="2"/>
        <v>0</v>
      </c>
    </row>
    <row r="661">
      <c r="A661" s="18">
        <v>4482.0</v>
      </c>
      <c r="B661" s="18" t="s">
        <v>30</v>
      </c>
      <c r="C661" s="18">
        <v>69.0</v>
      </c>
      <c r="D661" s="18" t="s">
        <v>31</v>
      </c>
      <c r="E661" s="27">
        <v>42565.37048611111</v>
      </c>
      <c r="F661" s="19">
        <f>IFERROR(__xludf.DUMMYFUNCTION("IFERROR(TO_DATE(E661), """")"),42565.37048611111)</f>
        <v>42565.37049</v>
      </c>
      <c r="G661" s="20">
        <f t="shared" si="1"/>
        <v>8</v>
      </c>
      <c r="H661" s="27">
        <v>42565.411412037036</v>
      </c>
      <c r="I661" s="19">
        <f>IFERROR(__xludf.DUMMYFUNCTION("IFERROR(TO_DATE(H661), """")"),42565.411412037036)</f>
        <v>42565.41141</v>
      </c>
      <c r="J661" s="19" t="s">
        <v>14</v>
      </c>
      <c r="K661" s="22">
        <f t="shared" si="2"/>
        <v>0</v>
      </c>
    </row>
    <row r="662">
      <c r="A662" s="18">
        <v>4718.0</v>
      </c>
      <c r="B662" s="18" t="s">
        <v>32</v>
      </c>
      <c r="C662" s="18">
        <v>69.0</v>
      </c>
      <c r="D662" s="18" t="s">
        <v>31</v>
      </c>
      <c r="E662" s="27">
        <v>42565.57040509259</v>
      </c>
      <c r="F662" s="19">
        <f>IFERROR(__xludf.DUMMYFUNCTION("IFERROR(TO_DATE(E662), """")"),42565.57040509259)</f>
        <v>42565.57041</v>
      </c>
      <c r="G662" s="20">
        <f t="shared" si="1"/>
        <v>13</v>
      </c>
      <c r="H662" s="27">
        <v>42565.59761574074</v>
      </c>
      <c r="I662" s="19">
        <f>IFERROR(__xludf.DUMMYFUNCTION("IFERROR(TO_DATE(H662), """")"),42565.59761574074)</f>
        <v>42565.59762</v>
      </c>
      <c r="J662" s="19" t="s">
        <v>10</v>
      </c>
      <c r="K662" s="22">
        <f t="shared" si="2"/>
        <v>0</v>
      </c>
    </row>
    <row r="663">
      <c r="A663" s="18">
        <v>4908.0</v>
      </c>
      <c r="B663" s="18" t="s">
        <v>30</v>
      </c>
      <c r="C663" s="18">
        <v>69.0</v>
      </c>
      <c r="D663" s="18" t="s">
        <v>31</v>
      </c>
      <c r="E663" s="27">
        <v>42565.75362268519</v>
      </c>
      <c r="F663" s="19">
        <f>IFERROR(__xludf.DUMMYFUNCTION("IFERROR(TO_DATE(E663), """")"),42565.75362268519)</f>
        <v>42565.75362</v>
      </c>
      <c r="G663" s="20">
        <f t="shared" si="1"/>
        <v>18</v>
      </c>
      <c r="H663" s="27">
        <v>42565.7737037037</v>
      </c>
      <c r="I663" s="19">
        <f>IFERROR(__xludf.DUMMYFUNCTION("IFERROR(TO_DATE(H663), """")"),42565.7737037037)</f>
        <v>42565.7737</v>
      </c>
      <c r="J663" s="19" t="s">
        <v>12</v>
      </c>
      <c r="K663" s="22">
        <f t="shared" si="2"/>
        <v>0</v>
      </c>
    </row>
    <row r="664">
      <c r="A664" s="18">
        <v>6278.0</v>
      </c>
      <c r="B664" s="18" t="s">
        <v>30</v>
      </c>
      <c r="C664" s="18">
        <v>69.0</v>
      </c>
      <c r="D664" s="18" t="s">
        <v>31</v>
      </c>
      <c r="E664" s="27">
        <v>42566.75938657407</v>
      </c>
      <c r="F664" s="19">
        <f>IFERROR(__xludf.DUMMYFUNCTION("IFERROR(TO_DATE(E664), """")"),42566.75938657407)</f>
        <v>42566.75939</v>
      </c>
      <c r="G664" s="20">
        <f t="shared" si="1"/>
        <v>18</v>
      </c>
      <c r="H664" s="27">
        <v>42566.788622685184</v>
      </c>
      <c r="I664" s="19">
        <f>IFERROR(__xludf.DUMMYFUNCTION("IFERROR(TO_DATE(H664), """")"),42566.788622685184)</f>
        <v>42566.78862</v>
      </c>
      <c r="J664" s="19" t="s">
        <v>12</v>
      </c>
      <c r="K664" s="22">
        <f t="shared" si="2"/>
        <v>0</v>
      </c>
    </row>
    <row r="665">
      <c r="A665" s="18">
        <v>514.0</v>
      </c>
      <c r="B665" s="18" t="s">
        <v>32</v>
      </c>
      <c r="C665" s="18">
        <v>70.0</v>
      </c>
      <c r="D665" s="18" t="s">
        <v>31</v>
      </c>
      <c r="E665" s="26">
        <v>42562.40625</v>
      </c>
      <c r="F665" s="19">
        <f>IFERROR(__xludf.DUMMYFUNCTION("IFERROR(TO_DATE(E665), """")"),42562.40625)</f>
        <v>42562.40625</v>
      </c>
      <c r="G665" s="20">
        <f t="shared" si="1"/>
        <v>9</v>
      </c>
      <c r="H665" s="26">
        <v>42562.455555555556</v>
      </c>
      <c r="I665" s="19">
        <f>IFERROR(__xludf.DUMMYFUNCTION("IFERROR(TO_DATE(H665), """")"),42562.455555555556)</f>
        <v>42562.45556</v>
      </c>
      <c r="J665" s="19" t="s">
        <v>14</v>
      </c>
      <c r="K665" s="22">
        <f t="shared" si="2"/>
        <v>0</v>
      </c>
    </row>
    <row r="666">
      <c r="A666" s="18">
        <v>703.0</v>
      </c>
      <c r="B666" s="18" t="s">
        <v>32</v>
      </c>
      <c r="C666" s="18">
        <v>70.0</v>
      </c>
      <c r="D666" s="18" t="s">
        <v>31</v>
      </c>
      <c r="E666" s="26">
        <v>42562.59097222222</v>
      </c>
      <c r="F666" s="19">
        <f>IFERROR(__xludf.DUMMYFUNCTION("IFERROR(TO_DATE(E666), """")"),42562.59097222222)</f>
        <v>42562.59097</v>
      </c>
      <c r="G666" s="20">
        <f t="shared" si="1"/>
        <v>14</v>
      </c>
      <c r="H666" s="26">
        <v>42562.61388888889</v>
      </c>
      <c r="I666" s="19">
        <f>IFERROR(__xludf.DUMMYFUNCTION("IFERROR(TO_DATE(H666), """")"),42562.61388888889)</f>
        <v>42562.61389</v>
      </c>
      <c r="J666" s="19" t="s">
        <v>10</v>
      </c>
      <c r="K666" s="22">
        <f t="shared" si="2"/>
        <v>0</v>
      </c>
    </row>
    <row r="667">
      <c r="A667" s="18">
        <v>947.0</v>
      </c>
      <c r="B667" s="18" t="s">
        <v>32</v>
      </c>
      <c r="C667" s="18">
        <v>70.0</v>
      </c>
      <c r="D667" s="18" t="s">
        <v>31</v>
      </c>
      <c r="E667" s="26">
        <v>42562.77569444444</v>
      </c>
      <c r="F667" s="19">
        <f>IFERROR(__xludf.DUMMYFUNCTION("IFERROR(TO_DATE(E667), """")"),42562.77569444444)</f>
        <v>42562.77569</v>
      </c>
      <c r="G667" s="20">
        <f t="shared" si="1"/>
        <v>18</v>
      </c>
      <c r="H667" s="26">
        <v>42562.794444444444</v>
      </c>
      <c r="I667" s="19">
        <f>IFERROR(__xludf.DUMMYFUNCTION("IFERROR(TO_DATE(H667), """")"),42562.794444444444)</f>
        <v>42562.79444</v>
      </c>
      <c r="J667" s="19" t="s">
        <v>12</v>
      </c>
      <c r="K667" s="22">
        <f t="shared" si="2"/>
        <v>0</v>
      </c>
    </row>
    <row r="668">
      <c r="A668" s="18">
        <v>2252.0</v>
      </c>
      <c r="B668" s="18" t="s">
        <v>32</v>
      </c>
      <c r="C668" s="18">
        <v>70.0</v>
      </c>
      <c r="D668" s="18" t="s">
        <v>31</v>
      </c>
      <c r="E668" s="26">
        <v>42563.768055555556</v>
      </c>
      <c r="F668" s="19">
        <f>IFERROR(__xludf.DUMMYFUNCTION("IFERROR(TO_DATE(E668), """")"),42563.768055555556)</f>
        <v>42563.76806</v>
      </c>
      <c r="G668" s="20">
        <f t="shared" si="1"/>
        <v>18</v>
      </c>
      <c r="H668" s="26">
        <v>42563.791666666664</v>
      </c>
      <c r="I668" s="19">
        <f>IFERROR(__xludf.DUMMYFUNCTION("IFERROR(TO_DATE(H668), """")"),42563.791666666664)</f>
        <v>42563.79167</v>
      </c>
      <c r="J668" s="19" t="s">
        <v>12</v>
      </c>
      <c r="K668" s="22">
        <f t="shared" si="2"/>
        <v>0</v>
      </c>
    </row>
    <row r="669">
      <c r="A669" s="18">
        <v>2896.0</v>
      </c>
      <c r="B669" s="18" t="s">
        <v>32</v>
      </c>
      <c r="C669" s="18">
        <v>70.0</v>
      </c>
      <c r="D669" s="18" t="s">
        <v>31</v>
      </c>
      <c r="E669" s="27">
        <v>42564.24989583333</v>
      </c>
      <c r="F669" s="19">
        <f>IFERROR(__xludf.DUMMYFUNCTION("IFERROR(TO_DATE(E669), """")"),42564.24989583333)</f>
        <v>42564.2499</v>
      </c>
      <c r="G669" s="20">
        <f t="shared" si="1"/>
        <v>5</v>
      </c>
      <c r="H669" s="27">
        <v>42564.300983796296</v>
      </c>
      <c r="I669" s="19">
        <f>IFERROR(__xludf.DUMMYFUNCTION("IFERROR(TO_DATE(H669), """")"),42564.300983796296)</f>
        <v>42564.30098</v>
      </c>
      <c r="J669" s="19" t="s">
        <v>11</v>
      </c>
      <c r="K669" s="22">
        <f t="shared" si="2"/>
        <v>0</v>
      </c>
    </row>
    <row r="670">
      <c r="A670" s="18">
        <v>3583.0</v>
      </c>
      <c r="B670" s="18" t="s">
        <v>30</v>
      </c>
      <c r="C670" s="18">
        <v>70.0</v>
      </c>
      <c r="D670" s="18" t="s">
        <v>31</v>
      </c>
      <c r="E670" s="27">
        <v>42564.77197916667</v>
      </c>
      <c r="F670" s="19">
        <f>IFERROR(__xludf.DUMMYFUNCTION("IFERROR(TO_DATE(E670), """")"),42564.77197916667)</f>
        <v>42564.77198</v>
      </c>
      <c r="G670" s="20">
        <f t="shared" si="1"/>
        <v>18</v>
      </c>
      <c r="H670" s="27">
        <v>42564.80931712963</v>
      </c>
      <c r="I670" s="19">
        <f>IFERROR(__xludf.DUMMYFUNCTION("IFERROR(TO_DATE(H670), """")"),42564.80931712963)</f>
        <v>42564.80932</v>
      </c>
      <c r="J670" s="19" t="s">
        <v>12</v>
      </c>
      <c r="K670" s="22">
        <f t="shared" si="2"/>
        <v>0</v>
      </c>
    </row>
    <row r="671">
      <c r="A671" s="18">
        <v>4263.0</v>
      </c>
      <c r="B671" s="18" t="s">
        <v>30</v>
      </c>
      <c r="C671" s="18">
        <v>70.0</v>
      </c>
      <c r="D671" s="18" t="s">
        <v>31</v>
      </c>
      <c r="E671" s="27">
        <v>42565.257314814815</v>
      </c>
      <c r="F671" s="19">
        <f>IFERROR(__xludf.DUMMYFUNCTION("IFERROR(TO_DATE(E671), """")"),42565.257314814815)</f>
        <v>42565.25731</v>
      </c>
      <c r="G671" s="20">
        <f t="shared" si="1"/>
        <v>6</v>
      </c>
      <c r="H671" s="27">
        <v>42565.30971064815</v>
      </c>
      <c r="I671" s="19">
        <f>IFERROR(__xludf.DUMMYFUNCTION("IFERROR(TO_DATE(H671), """")"),42565.30971064815)</f>
        <v>42565.30971</v>
      </c>
      <c r="J671" s="19" t="s">
        <v>11</v>
      </c>
      <c r="K671" s="22">
        <f t="shared" si="2"/>
        <v>0</v>
      </c>
    </row>
    <row r="672">
      <c r="A672" s="18">
        <v>4398.0</v>
      </c>
      <c r="B672" s="18" t="s">
        <v>32</v>
      </c>
      <c r="C672" s="18">
        <v>70.0</v>
      </c>
      <c r="D672" s="18" t="s">
        <v>31</v>
      </c>
      <c r="E672" s="27">
        <v>42565.335706018515</v>
      </c>
      <c r="F672" s="19">
        <f>IFERROR(__xludf.DUMMYFUNCTION("IFERROR(TO_DATE(E672), """")"),42565.335706018515)</f>
        <v>42565.33571</v>
      </c>
      <c r="G672" s="20">
        <f t="shared" si="1"/>
        <v>8</v>
      </c>
      <c r="H672" s="27">
        <v>42565.376238425924</v>
      </c>
      <c r="I672" s="19">
        <f>IFERROR(__xludf.DUMMYFUNCTION("IFERROR(TO_DATE(H672), """")"),42565.376238425924)</f>
        <v>42565.37624</v>
      </c>
      <c r="J672" s="19" t="s">
        <v>14</v>
      </c>
      <c r="K672" s="22">
        <f t="shared" si="2"/>
        <v>0</v>
      </c>
    </row>
    <row r="673">
      <c r="A673" s="18">
        <v>5029.0</v>
      </c>
      <c r="B673" s="18" t="s">
        <v>32</v>
      </c>
      <c r="C673" s="18">
        <v>70.0</v>
      </c>
      <c r="D673" s="18" t="s">
        <v>31</v>
      </c>
      <c r="E673" s="27">
        <v>42565.80322916667</v>
      </c>
      <c r="F673" s="19">
        <f>IFERROR(__xludf.DUMMYFUNCTION("IFERROR(TO_DATE(E673), """")"),42565.80322916667)</f>
        <v>42565.80323</v>
      </c>
      <c r="G673" s="20">
        <f t="shared" si="1"/>
        <v>19</v>
      </c>
      <c r="H673" s="27">
        <v>42565.82571759259</v>
      </c>
      <c r="I673" s="19">
        <f>IFERROR(__xludf.DUMMYFUNCTION("IFERROR(TO_DATE(H673), """")"),42565.82571759259)</f>
        <v>42565.82572</v>
      </c>
      <c r="J673" s="19" t="s">
        <v>12</v>
      </c>
      <c r="K673" s="22">
        <f t="shared" si="2"/>
        <v>0</v>
      </c>
    </row>
    <row r="674">
      <c r="A674" s="18">
        <v>5554.0</v>
      </c>
      <c r="B674" s="18" t="s">
        <v>30</v>
      </c>
      <c r="C674" s="18">
        <v>70.0</v>
      </c>
      <c r="D674" s="18" t="s">
        <v>31</v>
      </c>
      <c r="E674" s="27">
        <v>42566.23449074074</v>
      </c>
      <c r="F674" s="19">
        <f>IFERROR(__xludf.DUMMYFUNCTION("IFERROR(TO_DATE(E674), """")"),42566.23449074074)</f>
        <v>42566.23449</v>
      </c>
      <c r="G674" s="20">
        <f t="shared" si="1"/>
        <v>5</v>
      </c>
      <c r="H674" s="27">
        <v>42566.25711805555</v>
      </c>
      <c r="I674" s="19">
        <f>IFERROR(__xludf.DUMMYFUNCTION("IFERROR(TO_DATE(H674), """")"),42566.25711805555)</f>
        <v>42566.25712</v>
      </c>
      <c r="J674" s="19" t="s">
        <v>11</v>
      </c>
      <c r="K674" s="22">
        <f t="shared" si="2"/>
        <v>0</v>
      </c>
    </row>
    <row r="675">
      <c r="A675" s="18">
        <v>5746.0</v>
      </c>
      <c r="B675" s="18" t="s">
        <v>32</v>
      </c>
      <c r="C675" s="18">
        <v>70.0</v>
      </c>
      <c r="D675" s="18" t="s">
        <v>31</v>
      </c>
      <c r="E675" s="27">
        <v>42566.32797453704</v>
      </c>
      <c r="F675" s="19">
        <f>IFERROR(__xludf.DUMMYFUNCTION("IFERROR(TO_DATE(E675), """")"),42566.32797453704)</f>
        <v>42566.32797</v>
      </c>
      <c r="G675" s="20">
        <f t="shared" si="1"/>
        <v>7</v>
      </c>
      <c r="H675" s="27">
        <v>42566.35668981481</v>
      </c>
      <c r="I675" s="19">
        <f>IFERROR(__xludf.DUMMYFUNCTION("IFERROR(TO_DATE(H675), """")"),42566.35668981481)</f>
        <v>42566.35669</v>
      </c>
      <c r="J675" s="19" t="s">
        <v>11</v>
      </c>
      <c r="K675" s="22">
        <f t="shared" si="2"/>
        <v>0</v>
      </c>
    </row>
    <row r="676">
      <c r="A676" s="18">
        <v>5986.0</v>
      </c>
      <c r="B676" s="18" t="s">
        <v>30</v>
      </c>
      <c r="C676" s="18">
        <v>70.0</v>
      </c>
      <c r="D676" s="18" t="s">
        <v>31</v>
      </c>
      <c r="E676" s="27">
        <v>42566.48268518518</v>
      </c>
      <c r="F676" s="19">
        <f>IFERROR(__xludf.DUMMYFUNCTION("IFERROR(TO_DATE(E676), """")"),42566.48268518518)</f>
        <v>42566.48269</v>
      </c>
      <c r="G676" s="20">
        <f t="shared" si="1"/>
        <v>11</v>
      </c>
      <c r="H676" s="27">
        <v>42566.521099537036</v>
      </c>
      <c r="I676" s="19">
        <f>IFERROR(__xludf.DUMMYFUNCTION("IFERROR(TO_DATE(H676), """")"),42566.521099537036)</f>
        <v>42566.5211</v>
      </c>
      <c r="J676" s="19" t="s">
        <v>14</v>
      </c>
      <c r="K676" s="22">
        <f t="shared" si="2"/>
        <v>0</v>
      </c>
    </row>
    <row r="677">
      <c r="A677" s="18">
        <v>6140.0</v>
      </c>
      <c r="B677" s="18" t="s">
        <v>30</v>
      </c>
      <c r="C677" s="18">
        <v>70.0</v>
      </c>
      <c r="D677" s="18" t="s">
        <v>31</v>
      </c>
      <c r="E677" s="27">
        <v>42566.66310185185</v>
      </c>
      <c r="F677" s="19">
        <f>IFERROR(__xludf.DUMMYFUNCTION("IFERROR(TO_DATE(E677), """")"),42566.66310185185)</f>
        <v>42566.6631</v>
      </c>
      <c r="G677" s="20">
        <f t="shared" si="1"/>
        <v>15</v>
      </c>
      <c r="H677" s="27">
        <v>42566.707708333335</v>
      </c>
      <c r="I677" s="19">
        <f>IFERROR(__xludf.DUMMYFUNCTION("IFERROR(TO_DATE(H677), """")"),42566.707708333335)</f>
        <v>42566.70771</v>
      </c>
      <c r="J677" s="19" t="s">
        <v>10</v>
      </c>
      <c r="K677" s="22">
        <f t="shared" si="2"/>
        <v>0</v>
      </c>
    </row>
    <row r="678">
      <c r="A678" s="18">
        <v>6554.0</v>
      </c>
      <c r="B678" s="18" t="s">
        <v>32</v>
      </c>
      <c r="C678" s="18">
        <v>70.0</v>
      </c>
      <c r="D678" s="18" t="s">
        <v>31</v>
      </c>
      <c r="E678" s="27">
        <v>42566.873715277776</v>
      </c>
      <c r="F678" s="19">
        <f>IFERROR(__xludf.DUMMYFUNCTION("IFERROR(TO_DATE(E678), """")"),42566.873715277776)</f>
        <v>42566.87372</v>
      </c>
      <c r="G678" s="20">
        <f t="shared" si="1"/>
        <v>20</v>
      </c>
      <c r="H678" s="27">
        <v>42566.91400462963</v>
      </c>
      <c r="I678" s="19">
        <f>IFERROR(__xludf.DUMMYFUNCTION("IFERROR(TO_DATE(H678), """")"),42566.91400462963)</f>
        <v>42566.914</v>
      </c>
      <c r="J678" s="19" t="s">
        <v>13</v>
      </c>
      <c r="K678" s="22">
        <f t="shared" si="2"/>
        <v>0</v>
      </c>
    </row>
    <row r="679">
      <c r="A679" s="18">
        <v>467.0</v>
      </c>
      <c r="B679" s="18" t="s">
        <v>32</v>
      </c>
      <c r="C679" s="18">
        <v>71.0</v>
      </c>
      <c r="D679" s="18" t="s">
        <v>31</v>
      </c>
      <c r="E679" s="26">
        <v>42562.38888888889</v>
      </c>
      <c r="F679" s="19">
        <f>IFERROR(__xludf.DUMMYFUNCTION("IFERROR(TO_DATE(E679), """")"),42562.38888888889)</f>
        <v>42562.38889</v>
      </c>
      <c r="G679" s="20">
        <f t="shared" si="1"/>
        <v>9</v>
      </c>
      <c r="H679" s="26">
        <v>42562.42847222222</v>
      </c>
      <c r="I679" s="19">
        <f>IFERROR(__xludf.DUMMYFUNCTION("IFERROR(TO_DATE(H679), """")"),42562.42847222222)</f>
        <v>42562.42847</v>
      </c>
      <c r="J679" s="19" t="s">
        <v>14</v>
      </c>
      <c r="K679" s="22">
        <f t="shared" si="2"/>
        <v>0</v>
      </c>
    </row>
    <row r="680">
      <c r="A680" s="18">
        <v>615.0</v>
      </c>
      <c r="B680" s="18" t="s">
        <v>32</v>
      </c>
      <c r="C680" s="18">
        <v>71.0</v>
      </c>
      <c r="D680" s="18" t="s">
        <v>31</v>
      </c>
      <c r="E680" s="26">
        <v>42562.495833333334</v>
      </c>
      <c r="F680" s="19">
        <f>IFERROR(__xludf.DUMMYFUNCTION("IFERROR(TO_DATE(E680), """")"),42562.495833333334)</f>
        <v>42562.49583</v>
      </c>
      <c r="G680" s="20">
        <f t="shared" si="1"/>
        <v>11</v>
      </c>
      <c r="H680" s="26">
        <v>42562.529861111114</v>
      </c>
      <c r="I680" s="19">
        <f>IFERROR(__xludf.DUMMYFUNCTION("IFERROR(TO_DATE(H680), """")"),42562.529861111114)</f>
        <v>42562.52986</v>
      </c>
      <c r="J680" s="19" t="s">
        <v>14</v>
      </c>
      <c r="K680" s="22">
        <f t="shared" si="2"/>
        <v>0</v>
      </c>
    </row>
    <row r="681">
      <c r="A681" s="18">
        <v>801.0</v>
      </c>
      <c r="B681" s="18" t="s">
        <v>30</v>
      </c>
      <c r="C681" s="18">
        <v>71.0</v>
      </c>
      <c r="D681" s="18" t="s">
        <v>31</v>
      </c>
      <c r="E681" s="26">
        <v>42562.71597222222</v>
      </c>
      <c r="F681" s="19">
        <f>IFERROR(__xludf.DUMMYFUNCTION("IFERROR(TO_DATE(E681), """")"),42562.71597222222)</f>
        <v>42562.71597</v>
      </c>
      <c r="G681" s="20">
        <f t="shared" si="1"/>
        <v>17</v>
      </c>
      <c r="H681" s="26">
        <v>42562.76666666667</v>
      </c>
      <c r="I681" s="19">
        <f>IFERROR(__xludf.DUMMYFUNCTION("IFERROR(TO_DATE(H681), """")"),42562.76666666667)</f>
        <v>42562.76667</v>
      </c>
      <c r="J681" s="19" t="s">
        <v>12</v>
      </c>
      <c r="K681" s="22">
        <f t="shared" si="2"/>
        <v>0</v>
      </c>
    </row>
    <row r="682">
      <c r="A682" s="18">
        <v>1587.0</v>
      </c>
      <c r="B682" s="18" t="s">
        <v>30</v>
      </c>
      <c r="C682" s="18">
        <v>71.0</v>
      </c>
      <c r="D682" s="18" t="s">
        <v>31</v>
      </c>
      <c r="E682" s="26">
        <v>42563.271527777775</v>
      </c>
      <c r="F682" s="19">
        <f>IFERROR(__xludf.DUMMYFUNCTION("IFERROR(TO_DATE(E682), """")"),42563.271527777775)</f>
        <v>42563.27153</v>
      </c>
      <c r="G682" s="20">
        <f t="shared" si="1"/>
        <v>6</v>
      </c>
      <c r="H682" s="26">
        <v>42563.32083333333</v>
      </c>
      <c r="I682" s="19">
        <f>IFERROR(__xludf.DUMMYFUNCTION("IFERROR(TO_DATE(H682), """")"),42563.32083333333)</f>
        <v>42563.32083</v>
      </c>
      <c r="J682" s="19" t="s">
        <v>11</v>
      </c>
      <c r="K682" s="22">
        <f t="shared" si="2"/>
        <v>0</v>
      </c>
    </row>
    <row r="683">
      <c r="A683" s="18">
        <v>1925.0</v>
      </c>
      <c r="B683" s="18" t="s">
        <v>32</v>
      </c>
      <c r="C683" s="18">
        <v>71.0</v>
      </c>
      <c r="D683" s="18" t="s">
        <v>31</v>
      </c>
      <c r="E683" s="26">
        <v>42563.4625</v>
      </c>
      <c r="F683" s="19">
        <f>IFERROR(__xludf.DUMMYFUNCTION("IFERROR(TO_DATE(E683), """")"),42563.4625)</f>
        <v>42563.4625</v>
      </c>
      <c r="G683" s="20">
        <f t="shared" si="1"/>
        <v>11</v>
      </c>
      <c r="H683" s="26">
        <v>42563.49375</v>
      </c>
      <c r="I683" s="19">
        <f>IFERROR(__xludf.DUMMYFUNCTION("IFERROR(TO_DATE(H683), """")"),42563.49375)</f>
        <v>42563.49375</v>
      </c>
      <c r="J683" s="19" t="s">
        <v>14</v>
      </c>
      <c r="K683" s="22">
        <f t="shared" si="2"/>
        <v>0</v>
      </c>
    </row>
    <row r="684">
      <c r="A684" s="18">
        <v>2527.0</v>
      </c>
      <c r="B684" s="18" t="s">
        <v>32</v>
      </c>
      <c r="C684" s="18">
        <v>71.0</v>
      </c>
      <c r="D684" s="18" t="s">
        <v>31</v>
      </c>
      <c r="E684" s="26">
        <v>42563.88263888889</v>
      </c>
      <c r="F684" s="19">
        <f>IFERROR(__xludf.DUMMYFUNCTION("IFERROR(TO_DATE(E684), """")"),42563.88263888889)</f>
        <v>42563.88264</v>
      </c>
      <c r="G684" s="20">
        <f t="shared" si="1"/>
        <v>21</v>
      </c>
      <c r="H684" s="26">
        <v>42563.91180555556</v>
      </c>
      <c r="I684" s="19">
        <f>IFERROR(__xludf.DUMMYFUNCTION("IFERROR(TO_DATE(H684), """")"),42563.91180555556)</f>
        <v>42563.91181</v>
      </c>
      <c r="J684" s="19" t="s">
        <v>13</v>
      </c>
      <c r="K684" s="22">
        <f t="shared" si="2"/>
        <v>0</v>
      </c>
    </row>
    <row r="685">
      <c r="A685" s="18">
        <v>3065.0</v>
      </c>
      <c r="B685" s="18" t="s">
        <v>30</v>
      </c>
      <c r="C685" s="18">
        <v>71.0</v>
      </c>
      <c r="D685" s="18" t="s">
        <v>31</v>
      </c>
      <c r="E685" s="27">
        <v>42564.330416666664</v>
      </c>
      <c r="F685" s="19">
        <f>IFERROR(__xludf.DUMMYFUNCTION("IFERROR(TO_DATE(E685), """")"),42564.330416666664)</f>
        <v>42564.33042</v>
      </c>
      <c r="G685" s="20">
        <f t="shared" si="1"/>
        <v>7</v>
      </c>
      <c r="H685" s="27">
        <v>42564.35207175926</v>
      </c>
      <c r="I685" s="19">
        <f>IFERROR(__xludf.DUMMYFUNCTION("IFERROR(TO_DATE(H685), """")"),42564.35207175926)</f>
        <v>42564.35207</v>
      </c>
      <c r="J685" s="19" t="s">
        <v>11</v>
      </c>
      <c r="K685" s="22">
        <f t="shared" si="2"/>
        <v>0</v>
      </c>
    </row>
    <row r="686">
      <c r="A686" s="18">
        <v>5031.0</v>
      </c>
      <c r="B686" s="18" t="s">
        <v>30</v>
      </c>
      <c r="C686" s="18">
        <v>71.0</v>
      </c>
      <c r="D686" s="18" t="s">
        <v>31</v>
      </c>
      <c r="E686" s="27">
        <v>42565.80060185185</v>
      </c>
      <c r="F686" s="19">
        <f>IFERROR(__xludf.DUMMYFUNCTION("IFERROR(TO_DATE(E686), """")"),42565.80060185185)</f>
        <v>42565.8006</v>
      </c>
      <c r="G686" s="20">
        <f t="shared" si="1"/>
        <v>19</v>
      </c>
      <c r="H686" s="27">
        <v>42565.8302662037</v>
      </c>
      <c r="I686" s="19">
        <f>IFERROR(__xludf.DUMMYFUNCTION("IFERROR(TO_DATE(H686), """")"),42565.8302662037)</f>
        <v>42565.83027</v>
      </c>
      <c r="J686" s="19" t="s">
        <v>12</v>
      </c>
      <c r="K686" s="22">
        <f t="shared" si="2"/>
        <v>0</v>
      </c>
    </row>
    <row r="687">
      <c r="A687" s="18">
        <v>160.0</v>
      </c>
      <c r="B687" s="18" t="s">
        <v>30</v>
      </c>
      <c r="C687" s="18">
        <v>72.0</v>
      </c>
      <c r="D687" s="18" t="s">
        <v>31</v>
      </c>
      <c r="E687" s="26">
        <v>42562.23472222222</v>
      </c>
      <c r="F687" s="19">
        <f>IFERROR(__xludf.DUMMYFUNCTION("IFERROR(TO_DATE(E687), """")"),42562.23472222222)</f>
        <v>42562.23472</v>
      </c>
      <c r="G687" s="20">
        <f t="shared" si="1"/>
        <v>5</v>
      </c>
      <c r="H687" s="26">
        <v>42562.27361111111</v>
      </c>
      <c r="I687" s="19">
        <f>IFERROR(__xludf.DUMMYFUNCTION("IFERROR(TO_DATE(H687), """")"),42562.27361111111)</f>
        <v>42562.27361</v>
      </c>
      <c r="J687" s="19" t="s">
        <v>11</v>
      </c>
      <c r="K687" s="22">
        <f t="shared" si="2"/>
        <v>0</v>
      </c>
    </row>
    <row r="688">
      <c r="A688" s="18">
        <v>2029.0</v>
      </c>
      <c r="B688" s="18" t="s">
        <v>32</v>
      </c>
      <c r="C688" s="18">
        <v>72.0</v>
      </c>
      <c r="D688" s="18" t="s">
        <v>31</v>
      </c>
      <c r="E688" s="26">
        <v>42563.59444444445</v>
      </c>
      <c r="F688" s="19">
        <f>IFERROR(__xludf.DUMMYFUNCTION("IFERROR(TO_DATE(E688), """")"),42563.59444444445)</f>
        <v>42563.59444</v>
      </c>
      <c r="G688" s="20">
        <f t="shared" si="1"/>
        <v>14</v>
      </c>
      <c r="H688" s="26">
        <v>42563.63125</v>
      </c>
      <c r="I688" s="19">
        <f>IFERROR(__xludf.DUMMYFUNCTION("IFERROR(TO_DATE(H688), """")"),42563.63125)</f>
        <v>42563.63125</v>
      </c>
      <c r="J688" s="19" t="s">
        <v>10</v>
      </c>
      <c r="K688" s="22">
        <f t="shared" si="2"/>
        <v>0</v>
      </c>
    </row>
    <row r="689">
      <c r="A689" s="18">
        <v>2543.0</v>
      </c>
      <c r="B689" s="18" t="s">
        <v>32</v>
      </c>
      <c r="C689" s="18">
        <v>72.0</v>
      </c>
      <c r="D689" s="18" t="s">
        <v>31</v>
      </c>
      <c r="E689" s="26">
        <v>42563.88611111111</v>
      </c>
      <c r="F689" s="19">
        <f>IFERROR(__xludf.DUMMYFUNCTION("IFERROR(TO_DATE(E689), """")"),42563.88611111111)</f>
        <v>42563.88611</v>
      </c>
      <c r="G689" s="20">
        <f t="shared" si="1"/>
        <v>21</v>
      </c>
      <c r="H689" s="26">
        <v>42563.91180555556</v>
      </c>
      <c r="I689" s="19">
        <f>IFERROR(__xludf.DUMMYFUNCTION("IFERROR(TO_DATE(H689), """")"),42563.91180555556)</f>
        <v>42563.91181</v>
      </c>
      <c r="J689" s="19" t="s">
        <v>13</v>
      </c>
      <c r="K689" s="22">
        <f t="shared" si="2"/>
        <v>0</v>
      </c>
    </row>
    <row r="690">
      <c r="A690" s="18">
        <v>2941.0</v>
      </c>
      <c r="B690" s="18" t="s">
        <v>30</v>
      </c>
      <c r="C690" s="18">
        <v>72.0</v>
      </c>
      <c r="D690" s="18" t="s">
        <v>31</v>
      </c>
      <c r="E690" s="27">
        <v>42564.269479166665</v>
      </c>
      <c r="F690" s="19">
        <f>IFERROR(__xludf.DUMMYFUNCTION("IFERROR(TO_DATE(E690), """")"),42564.269479166665)</f>
        <v>42564.26948</v>
      </c>
      <c r="G690" s="20">
        <f t="shared" si="1"/>
        <v>6</v>
      </c>
      <c r="H690" s="27">
        <v>42564.30537037037</v>
      </c>
      <c r="I690" s="19">
        <f>IFERROR(__xludf.DUMMYFUNCTION("IFERROR(TO_DATE(H690), """")"),42564.30537037037)</f>
        <v>42564.30537</v>
      </c>
      <c r="J690" s="19" t="s">
        <v>11</v>
      </c>
      <c r="K690" s="22">
        <f t="shared" si="2"/>
        <v>0</v>
      </c>
    </row>
    <row r="691">
      <c r="A691" s="18">
        <v>4766.0</v>
      </c>
      <c r="B691" s="18" t="s">
        <v>32</v>
      </c>
      <c r="C691" s="18">
        <v>72.0</v>
      </c>
      <c r="D691" s="18" t="s">
        <v>31</v>
      </c>
      <c r="E691" s="27">
        <v>42565.65336805556</v>
      </c>
      <c r="F691" s="19">
        <f>IFERROR(__xludf.DUMMYFUNCTION("IFERROR(TO_DATE(E691), """")"),42565.65336805556)</f>
        <v>42565.65337</v>
      </c>
      <c r="G691" s="20">
        <f t="shared" si="1"/>
        <v>15</v>
      </c>
      <c r="H691" s="27">
        <v>42565.686273148145</v>
      </c>
      <c r="I691" s="19">
        <f>IFERROR(__xludf.DUMMYFUNCTION("IFERROR(TO_DATE(H691), """")"),42565.686273148145)</f>
        <v>42565.68627</v>
      </c>
      <c r="J691" s="19" t="s">
        <v>10</v>
      </c>
      <c r="K691" s="22">
        <f t="shared" si="2"/>
        <v>0</v>
      </c>
    </row>
    <row r="692">
      <c r="A692" s="18">
        <v>5349.0</v>
      </c>
      <c r="B692" s="18" t="s">
        <v>30</v>
      </c>
      <c r="C692" s="18">
        <v>72.0</v>
      </c>
      <c r="D692" s="18" t="s">
        <v>31</v>
      </c>
      <c r="E692" s="27">
        <v>42565.95527777778</v>
      </c>
      <c r="F692" s="19">
        <f>IFERROR(__xludf.DUMMYFUNCTION("IFERROR(TO_DATE(E692), """")"),42565.95527777778)</f>
        <v>42565.95528</v>
      </c>
      <c r="G692" s="20">
        <f t="shared" si="1"/>
        <v>22</v>
      </c>
      <c r="H692" s="27">
        <v>42565.97398148148</v>
      </c>
      <c r="I692" s="19">
        <f>IFERROR(__xludf.DUMMYFUNCTION("IFERROR(TO_DATE(H692), """")"),42565.97398148148)</f>
        <v>42565.97398</v>
      </c>
      <c r="J692" s="19" t="s">
        <v>13</v>
      </c>
      <c r="K692" s="22">
        <f t="shared" si="2"/>
        <v>0</v>
      </c>
    </row>
    <row r="693">
      <c r="A693" s="18">
        <v>5409.0</v>
      </c>
      <c r="B693" s="18" t="s">
        <v>30</v>
      </c>
      <c r="C693" s="18">
        <v>72.0</v>
      </c>
      <c r="D693" s="18" t="s">
        <v>31</v>
      </c>
      <c r="E693" s="27">
        <v>42566.06699074074</v>
      </c>
      <c r="F693" s="19">
        <f>IFERROR(__xludf.DUMMYFUNCTION("IFERROR(TO_DATE(E693), """")"),42566.06699074074)</f>
        <v>42566.06699</v>
      </c>
      <c r="G693" s="20">
        <f t="shared" si="1"/>
        <v>1</v>
      </c>
      <c r="H693" s="27">
        <v>42566.115798611114</v>
      </c>
      <c r="I693" s="19">
        <f>IFERROR(__xludf.DUMMYFUNCTION("IFERROR(TO_DATE(H693), """")"),42566.115798611114)</f>
        <v>42566.1158</v>
      </c>
      <c r="J693" s="19" t="s">
        <v>15</v>
      </c>
      <c r="K693" s="22">
        <f t="shared" si="2"/>
        <v>0</v>
      </c>
    </row>
    <row r="694">
      <c r="A694" s="18">
        <v>6698.0</v>
      </c>
      <c r="B694" s="18" t="s">
        <v>30</v>
      </c>
      <c r="C694" s="18">
        <v>72.0</v>
      </c>
      <c r="D694" s="18" t="s">
        <v>31</v>
      </c>
      <c r="E694" s="27">
        <v>42566.94980324074</v>
      </c>
      <c r="F694" s="19">
        <f>IFERROR(__xludf.DUMMYFUNCTION("IFERROR(TO_DATE(E694), """")"),42566.94980324074)</f>
        <v>42566.9498</v>
      </c>
      <c r="G694" s="20">
        <f t="shared" si="1"/>
        <v>22</v>
      </c>
      <c r="H694" s="27">
        <v>42566.994421296295</v>
      </c>
      <c r="I694" s="19">
        <f>IFERROR(__xludf.DUMMYFUNCTION("IFERROR(TO_DATE(H694), """")"),42566.994421296295)</f>
        <v>42566.99442</v>
      </c>
      <c r="J694" s="19" t="s">
        <v>13</v>
      </c>
      <c r="K694" s="22">
        <f t="shared" si="2"/>
        <v>0</v>
      </c>
    </row>
    <row r="695">
      <c r="A695" s="18">
        <v>81.0</v>
      </c>
      <c r="B695" s="18" t="s">
        <v>30</v>
      </c>
      <c r="C695" s="18">
        <v>73.0</v>
      </c>
      <c r="D695" s="18" t="s">
        <v>31</v>
      </c>
      <c r="E695" s="26">
        <v>42562.19930555556</v>
      </c>
      <c r="F695" s="19">
        <f>IFERROR(__xludf.DUMMYFUNCTION("IFERROR(TO_DATE(E695), """")"),42562.19930555556)</f>
        <v>42562.19931</v>
      </c>
      <c r="G695" s="20">
        <f t="shared" si="1"/>
        <v>4</v>
      </c>
      <c r="H695" s="26">
        <v>42562.25</v>
      </c>
      <c r="I695" s="19">
        <f>IFERROR(__xludf.DUMMYFUNCTION("IFERROR(TO_DATE(H695), """")"),42562.25)</f>
        <v>42562.25</v>
      </c>
      <c r="J695" s="19" t="s">
        <v>11</v>
      </c>
      <c r="K695" s="22">
        <f t="shared" si="2"/>
        <v>0</v>
      </c>
    </row>
    <row r="696">
      <c r="A696" s="18">
        <v>370.0</v>
      </c>
      <c r="B696" s="18" t="s">
        <v>32</v>
      </c>
      <c r="C696" s="18">
        <v>73.0</v>
      </c>
      <c r="D696" s="18" t="s">
        <v>31</v>
      </c>
      <c r="E696" s="26">
        <v>42562.3375</v>
      </c>
      <c r="F696" s="19">
        <f>IFERROR(__xludf.DUMMYFUNCTION("IFERROR(TO_DATE(E696), """")"),42562.3375)</f>
        <v>42562.3375</v>
      </c>
      <c r="G696" s="20">
        <f t="shared" si="1"/>
        <v>8</v>
      </c>
      <c r="H696" s="26">
        <v>42562.35555555556</v>
      </c>
      <c r="I696" s="19">
        <f>IFERROR(__xludf.DUMMYFUNCTION("IFERROR(TO_DATE(H696), """")"),42562.35555555556)</f>
        <v>42562.35556</v>
      </c>
      <c r="J696" s="19" t="s">
        <v>14</v>
      </c>
      <c r="K696" s="22">
        <f t="shared" si="2"/>
        <v>0</v>
      </c>
    </row>
    <row r="697">
      <c r="A697" s="18">
        <v>799.0</v>
      </c>
      <c r="B697" s="18" t="s">
        <v>30</v>
      </c>
      <c r="C697" s="18">
        <v>73.0</v>
      </c>
      <c r="D697" s="18" t="s">
        <v>31</v>
      </c>
      <c r="E697" s="26">
        <v>42562.71319444444</v>
      </c>
      <c r="F697" s="19">
        <f>IFERROR(__xludf.DUMMYFUNCTION("IFERROR(TO_DATE(E697), """")"),42562.71319444444)</f>
        <v>42562.71319</v>
      </c>
      <c r="G697" s="20">
        <f t="shared" si="1"/>
        <v>17</v>
      </c>
      <c r="H697" s="26">
        <v>42562.74513888889</v>
      </c>
      <c r="I697" s="19">
        <f>IFERROR(__xludf.DUMMYFUNCTION("IFERROR(TO_DATE(H697), """")"),42562.74513888889)</f>
        <v>42562.74514</v>
      </c>
      <c r="J697" s="19" t="s">
        <v>12</v>
      </c>
      <c r="K697" s="22">
        <f t="shared" si="2"/>
        <v>0</v>
      </c>
    </row>
    <row r="698">
      <c r="A698" s="18">
        <v>1300.0</v>
      </c>
      <c r="B698" s="18" t="s">
        <v>32</v>
      </c>
      <c r="C698" s="18">
        <v>73.0</v>
      </c>
      <c r="D698" s="18" t="s">
        <v>31</v>
      </c>
      <c r="E698" s="26">
        <v>42562.93819444445</v>
      </c>
      <c r="F698" s="19">
        <f>IFERROR(__xludf.DUMMYFUNCTION("IFERROR(TO_DATE(E698), """")"),42562.93819444445)</f>
        <v>42562.93819</v>
      </c>
      <c r="G698" s="20">
        <f t="shared" si="1"/>
        <v>22</v>
      </c>
      <c r="H698" s="26">
        <v>42562.955555555556</v>
      </c>
      <c r="I698" s="19">
        <f>IFERROR(__xludf.DUMMYFUNCTION("IFERROR(TO_DATE(H698), """")"),42562.955555555556)</f>
        <v>42562.95556</v>
      </c>
      <c r="J698" s="19" t="s">
        <v>13</v>
      </c>
      <c r="K698" s="22">
        <f t="shared" si="2"/>
        <v>0</v>
      </c>
    </row>
    <row r="699">
      <c r="A699" s="18">
        <v>1805.0</v>
      </c>
      <c r="B699" s="18" t="s">
        <v>30</v>
      </c>
      <c r="C699" s="18">
        <v>73.0</v>
      </c>
      <c r="D699" s="18" t="s">
        <v>31</v>
      </c>
      <c r="E699" s="26">
        <v>42563.38263888889</v>
      </c>
      <c r="F699" s="19">
        <f>IFERROR(__xludf.DUMMYFUNCTION("IFERROR(TO_DATE(E699), """")"),42563.38263888889)</f>
        <v>42563.38264</v>
      </c>
      <c r="G699" s="20">
        <f t="shared" si="1"/>
        <v>9</v>
      </c>
      <c r="H699" s="26">
        <v>42563.41875</v>
      </c>
      <c r="I699" s="19">
        <f>IFERROR(__xludf.DUMMYFUNCTION("IFERROR(TO_DATE(H699), """")"),42563.41875)</f>
        <v>42563.41875</v>
      </c>
      <c r="J699" s="19" t="s">
        <v>14</v>
      </c>
      <c r="K699" s="22">
        <f t="shared" si="2"/>
        <v>0</v>
      </c>
    </row>
    <row r="700">
      <c r="A700" s="18">
        <v>2410.0</v>
      </c>
      <c r="B700" s="18" t="s">
        <v>32</v>
      </c>
      <c r="C700" s="18">
        <v>73.0</v>
      </c>
      <c r="D700" s="18" t="s">
        <v>31</v>
      </c>
      <c r="E700" s="26">
        <v>42563.836805555555</v>
      </c>
      <c r="F700" s="19">
        <f>IFERROR(__xludf.DUMMYFUNCTION("IFERROR(TO_DATE(E700), """")"),42563.836805555555)</f>
        <v>42563.83681</v>
      </c>
      <c r="G700" s="20">
        <f t="shared" si="1"/>
        <v>20</v>
      </c>
      <c r="H700" s="26">
        <v>42563.87430555555</v>
      </c>
      <c r="I700" s="19">
        <f>IFERROR(__xludf.DUMMYFUNCTION("IFERROR(TO_DATE(H700), """")"),42563.87430555555)</f>
        <v>42563.87431</v>
      </c>
      <c r="J700" s="19" t="s">
        <v>13</v>
      </c>
      <c r="K700" s="22">
        <f t="shared" si="2"/>
        <v>0</v>
      </c>
    </row>
    <row r="701">
      <c r="A701" s="18">
        <v>2723.0</v>
      </c>
      <c r="B701" s="18" t="s">
        <v>30</v>
      </c>
      <c r="C701" s="18">
        <v>73.0</v>
      </c>
      <c r="D701" s="18" t="s">
        <v>31</v>
      </c>
      <c r="E701" s="27">
        <v>42564.09649305556</v>
      </c>
      <c r="F701" s="19">
        <f>IFERROR(__xludf.DUMMYFUNCTION("IFERROR(TO_DATE(E701), """")"),42564.09649305556)</f>
        <v>42564.09649</v>
      </c>
      <c r="G701" s="20">
        <f t="shared" si="1"/>
        <v>2</v>
      </c>
      <c r="H701" s="27">
        <v>42564.13211805555</v>
      </c>
      <c r="I701" s="19">
        <f>IFERROR(__xludf.DUMMYFUNCTION("IFERROR(TO_DATE(H701), """")"),42564.13211805555)</f>
        <v>42564.13212</v>
      </c>
      <c r="J701" s="19" t="s">
        <v>15</v>
      </c>
      <c r="K701" s="22">
        <f t="shared" si="2"/>
        <v>0</v>
      </c>
    </row>
    <row r="702">
      <c r="A702" s="18">
        <v>3240.0</v>
      </c>
      <c r="B702" s="18" t="s">
        <v>32</v>
      </c>
      <c r="C702" s="18">
        <v>73.0</v>
      </c>
      <c r="D702" s="18" t="s">
        <v>31</v>
      </c>
      <c r="E702" s="27">
        <v>42564.421111111114</v>
      </c>
      <c r="F702" s="19">
        <f>IFERROR(__xludf.DUMMYFUNCTION("IFERROR(TO_DATE(E702), """")"),42564.421111111114)</f>
        <v>42564.42111</v>
      </c>
      <c r="G702" s="20">
        <f t="shared" si="1"/>
        <v>10</v>
      </c>
      <c r="H702" s="27">
        <v>42564.441608796296</v>
      </c>
      <c r="I702" s="19">
        <f>IFERROR(__xludf.DUMMYFUNCTION("IFERROR(TO_DATE(H702), """")"),42564.441608796296)</f>
        <v>42564.44161</v>
      </c>
      <c r="J702" s="19" t="s">
        <v>14</v>
      </c>
      <c r="K702" s="22">
        <f t="shared" si="2"/>
        <v>0</v>
      </c>
    </row>
    <row r="703">
      <c r="A703" s="18">
        <v>3424.0</v>
      </c>
      <c r="B703" s="18" t="s">
        <v>32</v>
      </c>
      <c r="C703" s="18">
        <v>73.0</v>
      </c>
      <c r="D703" s="18" t="s">
        <v>31</v>
      </c>
      <c r="E703" s="27">
        <v>42564.65859953704</v>
      </c>
      <c r="F703" s="19">
        <f>IFERROR(__xludf.DUMMYFUNCTION("IFERROR(TO_DATE(E703), """")"),42564.65859953704)</f>
        <v>42564.6586</v>
      </c>
      <c r="G703" s="20">
        <f t="shared" si="1"/>
        <v>15</v>
      </c>
      <c r="H703" s="27">
        <v>42564.7040162037</v>
      </c>
      <c r="I703" s="19">
        <f>IFERROR(__xludf.DUMMYFUNCTION("IFERROR(TO_DATE(H703), """")"),42564.7040162037)</f>
        <v>42564.70402</v>
      </c>
      <c r="J703" s="19" t="s">
        <v>10</v>
      </c>
      <c r="K703" s="22">
        <f t="shared" si="2"/>
        <v>0</v>
      </c>
    </row>
    <row r="704">
      <c r="A704" s="18">
        <v>4188.0</v>
      </c>
      <c r="B704" s="18" t="s">
        <v>32</v>
      </c>
      <c r="C704" s="18">
        <v>73.0</v>
      </c>
      <c r="D704" s="18" t="s">
        <v>31</v>
      </c>
      <c r="E704" s="27">
        <v>42565.2290162037</v>
      </c>
      <c r="F704" s="19">
        <f>IFERROR(__xludf.DUMMYFUNCTION("IFERROR(TO_DATE(E704), """")"),42565.2290162037)</f>
        <v>42565.22902</v>
      </c>
      <c r="G704" s="20">
        <f t="shared" si="1"/>
        <v>5</v>
      </c>
      <c r="H704" s="27">
        <v>42565.249930555554</v>
      </c>
      <c r="I704" s="19">
        <f>IFERROR(__xludf.DUMMYFUNCTION("IFERROR(TO_DATE(H704), """")"),42565.249930555554)</f>
        <v>42565.24993</v>
      </c>
      <c r="J704" s="19" t="s">
        <v>11</v>
      </c>
      <c r="K704" s="22">
        <f t="shared" si="2"/>
        <v>0</v>
      </c>
    </row>
    <row r="705">
      <c r="A705" s="18">
        <v>5617.0</v>
      </c>
      <c r="B705" s="18" t="s">
        <v>32</v>
      </c>
      <c r="C705" s="18">
        <v>73.0</v>
      </c>
      <c r="D705" s="18" t="s">
        <v>31</v>
      </c>
      <c r="E705" s="27">
        <v>42566.26793981482</v>
      </c>
      <c r="F705" s="19">
        <f>IFERROR(__xludf.DUMMYFUNCTION("IFERROR(TO_DATE(E705), """")"),42566.26793981482)</f>
        <v>42566.26794</v>
      </c>
      <c r="G705" s="20">
        <f t="shared" si="1"/>
        <v>6</v>
      </c>
      <c r="H705" s="27">
        <v>42566.31699074074</v>
      </c>
      <c r="I705" s="19">
        <f>IFERROR(__xludf.DUMMYFUNCTION("IFERROR(TO_DATE(H705), """")"),42566.31699074074)</f>
        <v>42566.31699</v>
      </c>
      <c r="J705" s="19" t="s">
        <v>11</v>
      </c>
      <c r="K705" s="22">
        <f t="shared" si="2"/>
        <v>0</v>
      </c>
    </row>
    <row r="706">
      <c r="A706" s="18">
        <v>5932.0</v>
      </c>
      <c r="B706" s="18" t="s">
        <v>30</v>
      </c>
      <c r="C706" s="18">
        <v>73.0</v>
      </c>
      <c r="D706" s="18" t="s">
        <v>31</v>
      </c>
      <c r="E706" s="27">
        <v>42566.423159722224</v>
      </c>
      <c r="F706" s="19">
        <f>IFERROR(__xludf.DUMMYFUNCTION("IFERROR(TO_DATE(E706), """")"),42566.423159722224)</f>
        <v>42566.42316</v>
      </c>
      <c r="G706" s="20">
        <f t="shared" si="1"/>
        <v>10</v>
      </c>
      <c r="H706" s="27">
        <v>42566.47320601852</v>
      </c>
      <c r="I706" s="19">
        <f>IFERROR(__xludf.DUMMYFUNCTION("IFERROR(TO_DATE(H706), """")"),42566.47320601852)</f>
        <v>42566.47321</v>
      </c>
      <c r="J706" s="19" t="s">
        <v>14</v>
      </c>
      <c r="K706" s="22">
        <f t="shared" si="2"/>
        <v>0</v>
      </c>
    </row>
    <row r="707">
      <c r="A707" s="18">
        <v>6699.0</v>
      </c>
      <c r="B707" s="18" t="s">
        <v>32</v>
      </c>
      <c r="C707" s="18">
        <v>73.0</v>
      </c>
      <c r="D707" s="18" t="s">
        <v>31</v>
      </c>
      <c r="E707" s="27">
        <v>42566.94938657407</v>
      </c>
      <c r="F707" s="19">
        <f>IFERROR(__xludf.DUMMYFUNCTION("IFERROR(TO_DATE(E707), """")"),42566.94938657407)</f>
        <v>42566.94939</v>
      </c>
      <c r="G707" s="20">
        <f t="shared" si="1"/>
        <v>22</v>
      </c>
      <c r="H707" s="27">
        <v>42566.984375</v>
      </c>
      <c r="I707" s="19">
        <f>IFERROR(__xludf.DUMMYFUNCTION("IFERROR(TO_DATE(H707), """")"),42566.984375)</f>
        <v>42566.98438</v>
      </c>
      <c r="J707" s="19" t="s">
        <v>13</v>
      </c>
      <c r="K707" s="22">
        <f t="shared" si="2"/>
        <v>0</v>
      </c>
    </row>
    <row r="708">
      <c r="A708" s="18">
        <v>285.0</v>
      </c>
      <c r="B708" s="18" t="s">
        <v>32</v>
      </c>
      <c r="C708" s="18">
        <v>74.0</v>
      </c>
      <c r="D708" s="18" t="s">
        <v>31</v>
      </c>
      <c r="E708" s="26">
        <v>42562.29305555556</v>
      </c>
      <c r="F708" s="19">
        <f>IFERROR(__xludf.DUMMYFUNCTION("IFERROR(TO_DATE(E708), """")"),42562.29305555556)</f>
        <v>42562.29306</v>
      </c>
      <c r="G708" s="20">
        <f t="shared" si="1"/>
        <v>7</v>
      </c>
      <c r="H708" s="26">
        <v>42562.319444444445</v>
      </c>
      <c r="I708" s="19">
        <f>IFERROR(__xludf.DUMMYFUNCTION("IFERROR(TO_DATE(H708), """")"),42562.319444444445)</f>
        <v>42562.31944</v>
      </c>
      <c r="J708" s="19" t="s">
        <v>11</v>
      </c>
      <c r="K708" s="22">
        <f t="shared" si="2"/>
        <v>0</v>
      </c>
    </row>
    <row r="709">
      <c r="A709" s="18">
        <v>754.0</v>
      </c>
      <c r="B709" s="18" t="s">
        <v>32</v>
      </c>
      <c r="C709" s="18">
        <v>74.0</v>
      </c>
      <c r="D709" s="18" t="s">
        <v>31</v>
      </c>
      <c r="E709" s="26">
        <v>42562.67083333333</v>
      </c>
      <c r="F709" s="19">
        <f>IFERROR(__xludf.DUMMYFUNCTION("IFERROR(TO_DATE(E709), """")"),42562.67083333333)</f>
        <v>42562.67083</v>
      </c>
      <c r="G709" s="20">
        <f t="shared" si="1"/>
        <v>16</v>
      </c>
      <c r="H709" s="26">
        <v>42562.70347222222</v>
      </c>
      <c r="I709" s="19">
        <f>IFERROR(__xludf.DUMMYFUNCTION("IFERROR(TO_DATE(H709), """")"),42562.70347222222)</f>
        <v>42562.70347</v>
      </c>
      <c r="J709" s="19" t="s">
        <v>12</v>
      </c>
      <c r="K709" s="22">
        <f t="shared" si="2"/>
        <v>0</v>
      </c>
    </row>
    <row r="710">
      <c r="A710" s="18">
        <v>1449.0</v>
      </c>
      <c r="B710" s="18" t="s">
        <v>30</v>
      </c>
      <c r="C710" s="18">
        <v>74.0</v>
      </c>
      <c r="D710" s="18" t="s">
        <v>31</v>
      </c>
      <c r="E710" s="26">
        <v>42563.20347222222</v>
      </c>
      <c r="F710" s="19">
        <f>IFERROR(__xludf.DUMMYFUNCTION("IFERROR(TO_DATE(E710), """")"),42563.20347222222)</f>
        <v>42563.20347</v>
      </c>
      <c r="G710" s="20">
        <f t="shared" si="1"/>
        <v>4</v>
      </c>
      <c r="H710" s="26">
        <v>42563.24791666667</v>
      </c>
      <c r="I710" s="19">
        <f>IFERROR(__xludf.DUMMYFUNCTION("IFERROR(TO_DATE(H710), """")"),42563.24791666667)</f>
        <v>42563.24792</v>
      </c>
      <c r="J710" s="19" t="s">
        <v>11</v>
      </c>
      <c r="K710" s="22">
        <f t="shared" si="2"/>
        <v>0</v>
      </c>
    </row>
    <row r="711">
      <c r="A711" s="18">
        <v>2764.0</v>
      </c>
      <c r="B711" s="18" t="s">
        <v>30</v>
      </c>
      <c r="C711" s="18">
        <v>74.0</v>
      </c>
      <c r="D711" s="18" t="s">
        <v>31</v>
      </c>
      <c r="E711" s="27">
        <v>42564.16546296296</v>
      </c>
      <c r="F711" s="19">
        <f>IFERROR(__xludf.DUMMYFUNCTION("IFERROR(TO_DATE(E711), """")"),42564.16546296296)</f>
        <v>42564.16546</v>
      </c>
      <c r="G711" s="20">
        <f t="shared" si="1"/>
        <v>3</v>
      </c>
      <c r="H711" s="27">
        <v>42564.195914351854</v>
      </c>
      <c r="I711" s="19">
        <f>IFERROR(__xludf.DUMMYFUNCTION("IFERROR(TO_DATE(H711), """")"),42564.195914351854)</f>
        <v>42564.19591</v>
      </c>
      <c r="J711" s="19" t="s">
        <v>15</v>
      </c>
      <c r="K711" s="22">
        <f t="shared" si="2"/>
        <v>0</v>
      </c>
    </row>
    <row r="712">
      <c r="A712" s="18">
        <v>2859.0</v>
      </c>
      <c r="B712" s="18" t="s">
        <v>32</v>
      </c>
      <c r="C712" s="18">
        <v>74.0</v>
      </c>
      <c r="D712" s="18" t="s">
        <v>31</v>
      </c>
      <c r="E712" s="27">
        <v>42564.23553240741</v>
      </c>
      <c r="F712" s="19">
        <f>IFERROR(__xludf.DUMMYFUNCTION("IFERROR(TO_DATE(E712), """")"),42564.23553240741)</f>
        <v>42564.23553</v>
      </c>
      <c r="G712" s="20">
        <f t="shared" si="1"/>
        <v>5</v>
      </c>
      <c r="H712" s="27">
        <v>42564.27611111111</v>
      </c>
      <c r="I712" s="19">
        <f>IFERROR(__xludf.DUMMYFUNCTION("IFERROR(TO_DATE(H712), """")"),42564.27611111111)</f>
        <v>42564.27611</v>
      </c>
      <c r="J712" s="19" t="s">
        <v>11</v>
      </c>
      <c r="K712" s="22">
        <f t="shared" si="2"/>
        <v>0</v>
      </c>
    </row>
    <row r="713">
      <c r="A713" s="18">
        <v>3036.0</v>
      </c>
      <c r="B713" s="18" t="s">
        <v>30</v>
      </c>
      <c r="C713" s="18">
        <v>74.0</v>
      </c>
      <c r="D713" s="18" t="s">
        <v>31</v>
      </c>
      <c r="E713" s="27">
        <v>42564.31711805556</v>
      </c>
      <c r="F713" s="19">
        <f>IFERROR(__xludf.DUMMYFUNCTION("IFERROR(TO_DATE(E713), """")"),42564.31711805556)</f>
        <v>42564.31712</v>
      </c>
      <c r="G713" s="20">
        <f t="shared" si="1"/>
        <v>7</v>
      </c>
      <c r="H713" s="27">
        <v>42564.3650462963</v>
      </c>
      <c r="I713" s="19">
        <f>IFERROR(__xludf.DUMMYFUNCTION("IFERROR(TO_DATE(H713), """")"),42564.3650462963)</f>
        <v>42564.36505</v>
      </c>
      <c r="J713" s="19" t="s">
        <v>11</v>
      </c>
      <c r="K713" s="22">
        <f t="shared" si="2"/>
        <v>0</v>
      </c>
    </row>
    <row r="714">
      <c r="A714" s="18">
        <v>3934.0</v>
      </c>
      <c r="B714" s="18" t="s">
        <v>30</v>
      </c>
      <c r="C714" s="18">
        <v>74.0</v>
      </c>
      <c r="D714" s="18" t="s">
        <v>31</v>
      </c>
      <c r="E714" s="27">
        <v>42564.93105324074</v>
      </c>
      <c r="F714" s="19">
        <f>IFERROR(__xludf.DUMMYFUNCTION("IFERROR(TO_DATE(E714), """")"),42564.93105324074)</f>
        <v>42564.93105</v>
      </c>
      <c r="G714" s="20">
        <f t="shared" si="1"/>
        <v>22</v>
      </c>
      <c r="H714" s="27">
        <v>42564.97613425926</v>
      </c>
      <c r="I714" s="19">
        <f>IFERROR(__xludf.DUMMYFUNCTION("IFERROR(TO_DATE(H714), """")"),42564.97613425926)</f>
        <v>42564.97613</v>
      </c>
      <c r="J714" s="19" t="s">
        <v>13</v>
      </c>
      <c r="K714" s="22">
        <f t="shared" si="2"/>
        <v>0</v>
      </c>
    </row>
    <row r="715">
      <c r="A715" s="18">
        <v>4486.0</v>
      </c>
      <c r="B715" s="18" t="s">
        <v>32</v>
      </c>
      <c r="C715" s="18">
        <v>74.0</v>
      </c>
      <c r="D715" s="18" t="s">
        <v>31</v>
      </c>
      <c r="E715" s="27">
        <v>42565.37513888889</v>
      </c>
      <c r="F715" s="19">
        <f>IFERROR(__xludf.DUMMYFUNCTION("IFERROR(TO_DATE(E715), """")"),42565.37513888889)</f>
        <v>42565.37514</v>
      </c>
      <c r="G715" s="20">
        <f t="shared" si="1"/>
        <v>9</v>
      </c>
      <c r="H715" s="27">
        <v>42565.40216435185</v>
      </c>
      <c r="I715" s="19">
        <f>IFERROR(__xludf.DUMMYFUNCTION("IFERROR(TO_DATE(H715), """")"),42565.40216435185)</f>
        <v>42565.40216</v>
      </c>
      <c r="J715" s="19" t="s">
        <v>14</v>
      </c>
      <c r="K715" s="22">
        <f t="shared" si="2"/>
        <v>0</v>
      </c>
    </row>
    <row r="716">
      <c r="A716" s="18">
        <v>4996.0</v>
      </c>
      <c r="B716" s="18" t="s">
        <v>32</v>
      </c>
      <c r="C716" s="18">
        <v>74.0</v>
      </c>
      <c r="D716" s="18" t="s">
        <v>31</v>
      </c>
      <c r="E716" s="27">
        <v>42565.78616898148</v>
      </c>
      <c r="F716" s="19">
        <f>IFERROR(__xludf.DUMMYFUNCTION("IFERROR(TO_DATE(E716), """")"),42565.78616898148)</f>
        <v>42565.78617</v>
      </c>
      <c r="G716" s="20">
        <f t="shared" si="1"/>
        <v>18</v>
      </c>
      <c r="H716" s="27">
        <v>42565.8225</v>
      </c>
      <c r="I716" s="19">
        <f>IFERROR(__xludf.DUMMYFUNCTION("IFERROR(TO_DATE(H716), """")"),42565.8225)</f>
        <v>42565.8225</v>
      </c>
      <c r="J716" s="19" t="s">
        <v>12</v>
      </c>
      <c r="K716" s="22">
        <f t="shared" si="2"/>
        <v>0</v>
      </c>
    </row>
    <row r="717">
      <c r="A717" s="18">
        <v>5133.0</v>
      </c>
      <c r="B717" s="18" t="s">
        <v>30</v>
      </c>
      <c r="C717" s="18">
        <v>74.0</v>
      </c>
      <c r="D717" s="18" t="s">
        <v>31</v>
      </c>
      <c r="E717" s="27">
        <v>42565.84149305556</v>
      </c>
      <c r="F717" s="19">
        <f>IFERROR(__xludf.DUMMYFUNCTION("IFERROR(TO_DATE(E717), """")"),42565.84149305556)</f>
        <v>42565.84149</v>
      </c>
      <c r="G717" s="20">
        <f t="shared" si="1"/>
        <v>20</v>
      </c>
      <c r="H717" s="27">
        <v>42565.865266203706</v>
      </c>
      <c r="I717" s="19">
        <f>IFERROR(__xludf.DUMMYFUNCTION("IFERROR(TO_DATE(H717), """")"),42565.865266203706)</f>
        <v>42565.86527</v>
      </c>
      <c r="J717" s="19" t="s">
        <v>13</v>
      </c>
      <c r="K717" s="22">
        <f t="shared" si="2"/>
        <v>0</v>
      </c>
    </row>
    <row r="718">
      <c r="A718" s="18">
        <v>5887.0</v>
      </c>
      <c r="B718" s="18" t="s">
        <v>32</v>
      </c>
      <c r="C718" s="18">
        <v>74.0</v>
      </c>
      <c r="D718" s="18" t="s">
        <v>31</v>
      </c>
      <c r="E718" s="27">
        <v>42566.40226851852</v>
      </c>
      <c r="F718" s="19">
        <f>IFERROR(__xludf.DUMMYFUNCTION("IFERROR(TO_DATE(E718), """")"),42566.40226851852)</f>
        <v>42566.40227</v>
      </c>
      <c r="G718" s="20">
        <f t="shared" si="1"/>
        <v>9</v>
      </c>
      <c r="H718" s="27">
        <v>42566.433229166665</v>
      </c>
      <c r="I718" s="19">
        <f>IFERROR(__xludf.DUMMYFUNCTION("IFERROR(TO_DATE(H718), """")"),42566.433229166665)</f>
        <v>42566.43323</v>
      </c>
      <c r="J718" s="19" t="s">
        <v>14</v>
      </c>
      <c r="K718" s="22">
        <f t="shared" si="2"/>
        <v>0</v>
      </c>
    </row>
    <row r="719">
      <c r="A719" s="18">
        <v>6402.0</v>
      </c>
      <c r="B719" s="18" t="s">
        <v>30</v>
      </c>
      <c r="C719" s="18">
        <v>74.0</v>
      </c>
      <c r="D719" s="18" t="s">
        <v>31</v>
      </c>
      <c r="E719" s="27">
        <v>42566.81222222222</v>
      </c>
      <c r="F719" s="19">
        <f>IFERROR(__xludf.DUMMYFUNCTION("IFERROR(TO_DATE(E719), """")"),42566.81222222222)</f>
        <v>42566.81222</v>
      </c>
      <c r="G719" s="20">
        <f t="shared" si="1"/>
        <v>19</v>
      </c>
      <c r="H719" s="27">
        <v>42566.86226851852</v>
      </c>
      <c r="I719" s="19">
        <f>IFERROR(__xludf.DUMMYFUNCTION("IFERROR(TO_DATE(H719), """")"),42566.86226851852)</f>
        <v>42566.86227</v>
      </c>
      <c r="J719" s="19" t="s">
        <v>12</v>
      </c>
      <c r="K719" s="22">
        <f t="shared" si="2"/>
        <v>0</v>
      </c>
    </row>
    <row r="720">
      <c r="A720" s="18">
        <v>462.0</v>
      </c>
      <c r="B720" s="18" t="s">
        <v>32</v>
      </c>
      <c r="C720" s="18">
        <v>75.0</v>
      </c>
      <c r="D720" s="18" t="s">
        <v>31</v>
      </c>
      <c r="E720" s="26">
        <v>42562.384722222225</v>
      </c>
      <c r="F720" s="19">
        <f>IFERROR(__xludf.DUMMYFUNCTION("IFERROR(TO_DATE(E720), """")"),42562.384722222225)</f>
        <v>42562.38472</v>
      </c>
      <c r="G720" s="20">
        <f t="shared" si="1"/>
        <v>9</v>
      </c>
      <c r="H720" s="26">
        <v>42562.4375</v>
      </c>
      <c r="I720" s="19">
        <f>IFERROR(__xludf.DUMMYFUNCTION("IFERROR(TO_DATE(H720), """")"),42562.4375)</f>
        <v>42562.4375</v>
      </c>
      <c r="J720" s="19" t="s">
        <v>14</v>
      </c>
      <c r="K720" s="22">
        <f t="shared" si="2"/>
        <v>0</v>
      </c>
    </row>
    <row r="721">
      <c r="A721" s="18">
        <v>817.0</v>
      </c>
      <c r="B721" s="18" t="s">
        <v>32</v>
      </c>
      <c r="C721" s="18">
        <v>75.0</v>
      </c>
      <c r="D721" s="18" t="s">
        <v>31</v>
      </c>
      <c r="E721" s="26">
        <v>42562.73055555556</v>
      </c>
      <c r="F721" s="19">
        <f>IFERROR(__xludf.DUMMYFUNCTION("IFERROR(TO_DATE(E721), """")"),42562.73055555556)</f>
        <v>42562.73056</v>
      </c>
      <c r="G721" s="20">
        <f t="shared" si="1"/>
        <v>17</v>
      </c>
      <c r="H721" s="26">
        <v>42562.76597222222</v>
      </c>
      <c r="I721" s="19">
        <f>IFERROR(__xludf.DUMMYFUNCTION("IFERROR(TO_DATE(H721), """")"),42562.76597222222)</f>
        <v>42562.76597</v>
      </c>
      <c r="J721" s="19" t="s">
        <v>12</v>
      </c>
      <c r="K721" s="22">
        <f t="shared" si="2"/>
        <v>0</v>
      </c>
    </row>
    <row r="722">
      <c r="A722" s="18">
        <v>1790.0</v>
      </c>
      <c r="B722" s="18" t="s">
        <v>30</v>
      </c>
      <c r="C722" s="18">
        <v>75.0</v>
      </c>
      <c r="D722" s="18" t="s">
        <v>31</v>
      </c>
      <c r="E722" s="26">
        <v>42563.379166666666</v>
      </c>
      <c r="F722" s="19">
        <f>IFERROR(__xludf.DUMMYFUNCTION("IFERROR(TO_DATE(E722), """")"),42563.379166666666)</f>
        <v>42563.37917</v>
      </c>
      <c r="G722" s="20">
        <f t="shared" si="1"/>
        <v>9</v>
      </c>
      <c r="H722" s="26">
        <v>42563.41527777778</v>
      </c>
      <c r="I722" s="19">
        <f>IFERROR(__xludf.DUMMYFUNCTION("IFERROR(TO_DATE(H722), """")"),42563.41527777778)</f>
        <v>42563.41528</v>
      </c>
      <c r="J722" s="19" t="s">
        <v>14</v>
      </c>
      <c r="K722" s="22">
        <f t="shared" si="2"/>
        <v>0</v>
      </c>
    </row>
    <row r="723">
      <c r="A723" s="18">
        <v>2014.0</v>
      </c>
      <c r="B723" s="18" t="s">
        <v>32</v>
      </c>
      <c r="C723" s="18">
        <v>75.0</v>
      </c>
      <c r="D723" s="18" t="s">
        <v>31</v>
      </c>
      <c r="E723" s="26">
        <v>42563.566666666666</v>
      </c>
      <c r="F723" s="19">
        <f>IFERROR(__xludf.DUMMYFUNCTION("IFERROR(TO_DATE(E723), """")"),42563.566666666666)</f>
        <v>42563.56667</v>
      </c>
      <c r="G723" s="20">
        <f t="shared" si="1"/>
        <v>13</v>
      </c>
      <c r="H723" s="26">
        <v>42563.589583333334</v>
      </c>
      <c r="I723" s="19">
        <f>IFERROR(__xludf.DUMMYFUNCTION("IFERROR(TO_DATE(H723), """")"),42563.589583333334)</f>
        <v>42563.58958</v>
      </c>
      <c r="J723" s="19" t="s">
        <v>10</v>
      </c>
      <c r="K723" s="22">
        <f t="shared" si="2"/>
        <v>0</v>
      </c>
    </row>
    <row r="724">
      <c r="A724" s="18">
        <v>2165.0</v>
      </c>
      <c r="B724" s="18" t="s">
        <v>32</v>
      </c>
      <c r="C724" s="18">
        <v>75.0</v>
      </c>
      <c r="D724" s="18" t="s">
        <v>31</v>
      </c>
      <c r="E724" s="26">
        <v>42563.72986111111</v>
      </c>
      <c r="F724" s="19">
        <f>IFERROR(__xludf.DUMMYFUNCTION("IFERROR(TO_DATE(E724), """")"),42563.72986111111)</f>
        <v>42563.72986</v>
      </c>
      <c r="G724" s="20">
        <f t="shared" si="1"/>
        <v>17</v>
      </c>
      <c r="H724" s="26">
        <v>42563.76666666667</v>
      </c>
      <c r="I724" s="19">
        <f>IFERROR(__xludf.DUMMYFUNCTION("IFERROR(TO_DATE(H724), """")"),42563.76666666667)</f>
        <v>42563.76667</v>
      </c>
      <c r="J724" s="19" t="s">
        <v>12</v>
      </c>
      <c r="K724" s="22">
        <f t="shared" si="2"/>
        <v>0</v>
      </c>
    </row>
    <row r="725">
      <c r="A725" s="18">
        <v>2627.0</v>
      </c>
      <c r="B725" s="18" t="s">
        <v>32</v>
      </c>
      <c r="C725" s="18">
        <v>75.0</v>
      </c>
      <c r="D725" s="18" t="s">
        <v>31</v>
      </c>
      <c r="E725" s="26">
        <v>42563.92222222222</v>
      </c>
      <c r="F725" s="19">
        <f>IFERROR(__xludf.DUMMYFUNCTION("IFERROR(TO_DATE(E725), """")"),42563.92222222222)</f>
        <v>42563.92222</v>
      </c>
      <c r="G725" s="20">
        <f t="shared" si="1"/>
        <v>22</v>
      </c>
      <c r="H725" s="26">
        <v>42563.955555555556</v>
      </c>
      <c r="I725" s="19">
        <f>IFERROR(__xludf.DUMMYFUNCTION("IFERROR(TO_DATE(H725), """")"),42563.955555555556)</f>
        <v>42563.95556</v>
      </c>
      <c r="J725" s="19" t="s">
        <v>13</v>
      </c>
      <c r="K725" s="22">
        <f t="shared" si="2"/>
        <v>0</v>
      </c>
    </row>
    <row r="726">
      <c r="A726" s="18">
        <v>2968.0</v>
      </c>
      <c r="B726" s="18" t="s">
        <v>32</v>
      </c>
      <c r="C726" s="18">
        <v>75.0</v>
      </c>
      <c r="D726" s="18" t="s">
        <v>31</v>
      </c>
      <c r="E726" s="27">
        <v>42564.287939814814</v>
      </c>
      <c r="F726" s="19">
        <f>IFERROR(__xludf.DUMMYFUNCTION("IFERROR(TO_DATE(E726), """")"),42564.287939814814)</f>
        <v>42564.28794</v>
      </c>
      <c r="G726" s="20">
        <f t="shared" si="1"/>
        <v>6</v>
      </c>
      <c r="H726" s="27">
        <v>42564.31150462963</v>
      </c>
      <c r="I726" s="19">
        <f>IFERROR(__xludf.DUMMYFUNCTION("IFERROR(TO_DATE(H726), """")"),42564.31150462963)</f>
        <v>42564.3115</v>
      </c>
      <c r="J726" s="19" t="s">
        <v>11</v>
      </c>
      <c r="K726" s="22">
        <f t="shared" si="2"/>
        <v>0</v>
      </c>
    </row>
    <row r="727">
      <c r="A727" s="18">
        <v>3282.0</v>
      </c>
      <c r="B727" s="18" t="s">
        <v>30</v>
      </c>
      <c r="C727" s="18">
        <v>75.0</v>
      </c>
      <c r="D727" s="18" t="s">
        <v>31</v>
      </c>
      <c r="E727" s="27">
        <v>42564.44951388889</v>
      </c>
      <c r="F727" s="19">
        <f>IFERROR(__xludf.DUMMYFUNCTION("IFERROR(TO_DATE(E727), """")"),42564.44951388889)</f>
        <v>42564.44951</v>
      </c>
      <c r="G727" s="20">
        <f t="shared" si="1"/>
        <v>10</v>
      </c>
      <c r="H727" s="27">
        <v>42564.475069444445</v>
      </c>
      <c r="I727" s="19">
        <f>IFERROR(__xludf.DUMMYFUNCTION("IFERROR(TO_DATE(H727), """")"),42564.475069444445)</f>
        <v>42564.47507</v>
      </c>
      <c r="J727" s="19" t="s">
        <v>14</v>
      </c>
      <c r="K727" s="22">
        <f t="shared" si="2"/>
        <v>0</v>
      </c>
    </row>
    <row r="728">
      <c r="A728" s="18">
        <v>3544.0</v>
      </c>
      <c r="B728" s="18" t="s">
        <v>32</v>
      </c>
      <c r="C728" s="18">
        <v>75.0</v>
      </c>
      <c r="D728" s="18" t="s">
        <v>31</v>
      </c>
      <c r="E728" s="27">
        <v>42564.74607638889</v>
      </c>
      <c r="F728" s="19">
        <f>IFERROR(__xludf.DUMMYFUNCTION("IFERROR(TO_DATE(E728), """")"),42564.74607638889)</f>
        <v>42564.74608</v>
      </c>
      <c r="G728" s="20">
        <f t="shared" si="1"/>
        <v>17</v>
      </c>
      <c r="H728" s="27">
        <v>42564.7925</v>
      </c>
      <c r="I728" s="19">
        <f>IFERROR(__xludf.DUMMYFUNCTION("IFERROR(TO_DATE(H728), """")"),42564.7925)</f>
        <v>42564.7925</v>
      </c>
      <c r="J728" s="19" t="s">
        <v>12</v>
      </c>
      <c r="K728" s="22">
        <f t="shared" si="2"/>
        <v>0</v>
      </c>
    </row>
    <row r="729">
      <c r="A729" s="18">
        <v>5552.0</v>
      </c>
      <c r="B729" s="18" t="s">
        <v>30</v>
      </c>
      <c r="C729" s="18">
        <v>75.0</v>
      </c>
      <c r="D729" s="18" t="s">
        <v>31</v>
      </c>
      <c r="E729" s="27">
        <v>42566.23149305556</v>
      </c>
      <c r="F729" s="19">
        <f>IFERROR(__xludf.DUMMYFUNCTION("IFERROR(TO_DATE(E729), """")"),42566.23149305556)</f>
        <v>42566.23149</v>
      </c>
      <c r="G729" s="20">
        <f t="shared" si="1"/>
        <v>5</v>
      </c>
      <c r="H729" s="27">
        <v>42566.26991898148</v>
      </c>
      <c r="I729" s="19">
        <f>IFERROR(__xludf.DUMMYFUNCTION("IFERROR(TO_DATE(H729), """")"),42566.26991898148)</f>
        <v>42566.26992</v>
      </c>
      <c r="J729" s="19" t="s">
        <v>11</v>
      </c>
      <c r="K729" s="22">
        <f t="shared" si="2"/>
        <v>0</v>
      </c>
    </row>
    <row r="730">
      <c r="A730" s="18">
        <v>6657.0</v>
      </c>
      <c r="B730" s="18" t="s">
        <v>30</v>
      </c>
      <c r="C730" s="18">
        <v>75.0</v>
      </c>
      <c r="D730" s="18" t="s">
        <v>31</v>
      </c>
      <c r="E730" s="27">
        <v>42566.92491898148</v>
      </c>
      <c r="F730" s="19">
        <f>IFERROR(__xludf.DUMMYFUNCTION("IFERROR(TO_DATE(E730), """")"),42566.92491898148)</f>
        <v>42566.92492</v>
      </c>
      <c r="G730" s="20">
        <f t="shared" si="1"/>
        <v>22</v>
      </c>
      <c r="H730" s="27">
        <v>42566.96759259259</v>
      </c>
      <c r="I730" s="19">
        <f>IFERROR(__xludf.DUMMYFUNCTION("IFERROR(TO_DATE(H730), """")"),42566.96759259259)</f>
        <v>42566.96759</v>
      </c>
      <c r="J730" s="19" t="s">
        <v>13</v>
      </c>
      <c r="K730" s="22">
        <f t="shared" si="2"/>
        <v>0</v>
      </c>
    </row>
    <row r="731">
      <c r="A731" s="18">
        <v>88.0</v>
      </c>
      <c r="B731" s="18" t="s">
        <v>30</v>
      </c>
      <c r="C731" s="18">
        <v>76.0</v>
      </c>
      <c r="D731" s="18" t="s">
        <v>31</v>
      </c>
      <c r="E731" s="26">
        <v>42562.20416666667</v>
      </c>
      <c r="F731" s="19">
        <f>IFERROR(__xludf.DUMMYFUNCTION("IFERROR(TO_DATE(E731), """")"),42562.20416666667)</f>
        <v>42562.20417</v>
      </c>
      <c r="G731" s="20">
        <f t="shared" si="1"/>
        <v>4</v>
      </c>
      <c r="H731" s="26">
        <v>42562.25486111111</v>
      </c>
      <c r="I731" s="19">
        <f>IFERROR(__xludf.DUMMYFUNCTION("IFERROR(TO_DATE(H731), """")"),42562.25486111111)</f>
        <v>42562.25486</v>
      </c>
      <c r="J731" s="19" t="s">
        <v>11</v>
      </c>
      <c r="K731" s="22">
        <f t="shared" si="2"/>
        <v>0</v>
      </c>
    </row>
    <row r="732">
      <c r="A732" s="18">
        <v>201.0</v>
      </c>
      <c r="B732" s="18" t="s">
        <v>32</v>
      </c>
      <c r="C732" s="18">
        <v>76.0</v>
      </c>
      <c r="D732" s="18" t="s">
        <v>31</v>
      </c>
      <c r="E732" s="26">
        <v>42562.25625</v>
      </c>
      <c r="F732" s="19">
        <f>IFERROR(__xludf.DUMMYFUNCTION("IFERROR(TO_DATE(E732), """")"),42562.25625)</f>
        <v>42562.25625</v>
      </c>
      <c r="G732" s="20">
        <f t="shared" si="1"/>
        <v>6</v>
      </c>
      <c r="H732" s="26">
        <v>42562.305555555555</v>
      </c>
      <c r="I732" s="19">
        <f>IFERROR(__xludf.DUMMYFUNCTION("IFERROR(TO_DATE(H732), """")"),42562.305555555555)</f>
        <v>42562.30556</v>
      </c>
      <c r="J732" s="19" t="s">
        <v>11</v>
      </c>
      <c r="K732" s="22">
        <f t="shared" si="2"/>
        <v>0</v>
      </c>
    </row>
    <row r="733">
      <c r="A733" s="18">
        <v>847.0</v>
      </c>
      <c r="B733" s="18" t="s">
        <v>30</v>
      </c>
      <c r="C733" s="18">
        <v>76.0</v>
      </c>
      <c r="D733" s="18" t="s">
        <v>31</v>
      </c>
      <c r="E733" s="26">
        <v>42562.74236111111</v>
      </c>
      <c r="F733" s="19">
        <f>IFERROR(__xludf.DUMMYFUNCTION("IFERROR(TO_DATE(E733), """")"),42562.74236111111)</f>
        <v>42562.74236</v>
      </c>
      <c r="G733" s="20">
        <f t="shared" si="1"/>
        <v>17</v>
      </c>
      <c r="H733" s="26">
        <v>42562.78333333333</v>
      </c>
      <c r="I733" s="19">
        <f>IFERROR(__xludf.DUMMYFUNCTION("IFERROR(TO_DATE(H733), """")"),42562.78333333333)</f>
        <v>42562.78333</v>
      </c>
      <c r="J733" s="19" t="s">
        <v>12</v>
      </c>
      <c r="K733" s="22">
        <f t="shared" si="2"/>
        <v>0</v>
      </c>
    </row>
    <row r="734">
      <c r="A734" s="18">
        <v>1585.0</v>
      </c>
      <c r="B734" s="18" t="s">
        <v>30</v>
      </c>
      <c r="C734" s="18">
        <v>76.0</v>
      </c>
      <c r="D734" s="18" t="s">
        <v>31</v>
      </c>
      <c r="E734" s="26">
        <v>42563.270833333336</v>
      </c>
      <c r="F734" s="19">
        <f>IFERROR(__xludf.DUMMYFUNCTION("IFERROR(TO_DATE(E734), """")"),42563.270833333336)</f>
        <v>42563.27083</v>
      </c>
      <c r="G734" s="20">
        <f t="shared" si="1"/>
        <v>6</v>
      </c>
      <c r="H734" s="26">
        <v>42563.31041666667</v>
      </c>
      <c r="I734" s="19">
        <f>IFERROR(__xludf.DUMMYFUNCTION("IFERROR(TO_DATE(H734), """")"),42563.31041666667)</f>
        <v>42563.31042</v>
      </c>
      <c r="J734" s="19" t="s">
        <v>11</v>
      </c>
      <c r="K734" s="22">
        <f t="shared" si="2"/>
        <v>0</v>
      </c>
    </row>
    <row r="735">
      <c r="A735" s="18">
        <v>2116.0</v>
      </c>
      <c r="B735" s="18" t="s">
        <v>32</v>
      </c>
      <c r="C735" s="18">
        <v>76.0</v>
      </c>
      <c r="D735" s="18" t="s">
        <v>31</v>
      </c>
      <c r="E735" s="26">
        <v>42563.68958333333</v>
      </c>
      <c r="F735" s="19">
        <f>IFERROR(__xludf.DUMMYFUNCTION("IFERROR(TO_DATE(E735), """")"),42563.68958333333)</f>
        <v>42563.68958</v>
      </c>
      <c r="G735" s="20">
        <f t="shared" si="1"/>
        <v>16</v>
      </c>
      <c r="H735" s="26">
        <v>42563.714583333334</v>
      </c>
      <c r="I735" s="19">
        <f>IFERROR(__xludf.DUMMYFUNCTION("IFERROR(TO_DATE(H735), """")"),42563.714583333334)</f>
        <v>42563.71458</v>
      </c>
      <c r="J735" s="19" t="s">
        <v>12</v>
      </c>
      <c r="K735" s="22">
        <f t="shared" si="2"/>
        <v>0</v>
      </c>
    </row>
    <row r="736">
      <c r="A736" s="18">
        <v>2800.0</v>
      </c>
      <c r="B736" s="18" t="s">
        <v>30</v>
      </c>
      <c r="C736" s="18">
        <v>76.0</v>
      </c>
      <c r="D736" s="18" t="s">
        <v>31</v>
      </c>
      <c r="E736" s="27">
        <v>42564.20724537037</v>
      </c>
      <c r="F736" s="19">
        <f>IFERROR(__xludf.DUMMYFUNCTION("IFERROR(TO_DATE(E736), """")"),42564.20724537037)</f>
        <v>42564.20725</v>
      </c>
      <c r="G736" s="20">
        <f t="shared" si="1"/>
        <v>4</v>
      </c>
      <c r="H736" s="27">
        <v>42564.22723379629</v>
      </c>
      <c r="I736" s="19">
        <f>IFERROR(__xludf.DUMMYFUNCTION("IFERROR(TO_DATE(H736), """")"),42564.22723379629)</f>
        <v>42564.22723</v>
      </c>
      <c r="J736" s="19" t="s">
        <v>11</v>
      </c>
      <c r="K736" s="22">
        <f t="shared" si="2"/>
        <v>0</v>
      </c>
    </row>
    <row r="737">
      <c r="A737" s="18">
        <v>3066.0</v>
      </c>
      <c r="B737" s="18" t="s">
        <v>32</v>
      </c>
      <c r="C737" s="18">
        <v>76.0</v>
      </c>
      <c r="D737" s="18" t="s">
        <v>31</v>
      </c>
      <c r="E737" s="27">
        <v>42564.33128472222</v>
      </c>
      <c r="F737" s="19">
        <f>IFERROR(__xludf.DUMMYFUNCTION("IFERROR(TO_DATE(E737), """")"),42564.33128472222)</f>
        <v>42564.33128</v>
      </c>
      <c r="G737" s="20">
        <f t="shared" si="1"/>
        <v>7</v>
      </c>
      <c r="H737" s="27">
        <v>42564.364340277774</v>
      </c>
      <c r="I737" s="19">
        <f>IFERROR(__xludf.DUMMYFUNCTION("IFERROR(TO_DATE(H737), """")"),42564.364340277774)</f>
        <v>42564.36434</v>
      </c>
      <c r="J737" s="19" t="s">
        <v>11</v>
      </c>
      <c r="K737" s="22">
        <f t="shared" si="2"/>
        <v>0</v>
      </c>
    </row>
    <row r="738">
      <c r="A738" s="18">
        <v>3640.0</v>
      </c>
      <c r="B738" s="18" t="s">
        <v>32</v>
      </c>
      <c r="C738" s="18">
        <v>76.0</v>
      </c>
      <c r="D738" s="18" t="s">
        <v>31</v>
      </c>
      <c r="E738" s="27">
        <v>42564.795335648145</v>
      </c>
      <c r="F738" s="19">
        <f>IFERROR(__xludf.DUMMYFUNCTION("IFERROR(TO_DATE(E738), """")"),42564.795335648145)</f>
        <v>42564.79534</v>
      </c>
      <c r="G738" s="20">
        <f t="shared" si="1"/>
        <v>19</v>
      </c>
      <c r="H738" s="27">
        <v>42564.824016203704</v>
      </c>
      <c r="I738" s="19">
        <f>IFERROR(__xludf.DUMMYFUNCTION("IFERROR(TO_DATE(H738), """")"),42564.824016203704)</f>
        <v>42564.82402</v>
      </c>
      <c r="J738" s="19" t="s">
        <v>12</v>
      </c>
      <c r="K738" s="22">
        <f t="shared" si="2"/>
        <v>0</v>
      </c>
    </row>
    <row r="739">
      <c r="A739" s="18">
        <v>4162.0</v>
      </c>
      <c r="B739" s="18" t="s">
        <v>32</v>
      </c>
      <c r="C739" s="18">
        <v>76.0</v>
      </c>
      <c r="D739" s="18" t="s">
        <v>31</v>
      </c>
      <c r="E739" s="27">
        <v>42565.21302083333</v>
      </c>
      <c r="F739" s="19">
        <f>IFERROR(__xludf.DUMMYFUNCTION("IFERROR(TO_DATE(E739), """")"),42565.21302083333)</f>
        <v>42565.21302</v>
      </c>
      <c r="G739" s="20">
        <f t="shared" si="1"/>
        <v>5</v>
      </c>
      <c r="H739" s="27">
        <v>42565.261770833335</v>
      </c>
      <c r="I739" s="19">
        <f>IFERROR(__xludf.DUMMYFUNCTION("IFERROR(TO_DATE(H739), """")"),42565.261770833335)</f>
        <v>42565.26177</v>
      </c>
      <c r="J739" s="19" t="s">
        <v>11</v>
      </c>
      <c r="K739" s="22">
        <f t="shared" si="2"/>
        <v>0</v>
      </c>
    </row>
    <row r="740">
      <c r="A740" s="18">
        <v>4892.0</v>
      </c>
      <c r="B740" s="18" t="s">
        <v>30</v>
      </c>
      <c r="C740" s="18">
        <v>76.0</v>
      </c>
      <c r="D740" s="18" t="s">
        <v>31</v>
      </c>
      <c r="E740" s="27">
        <v>42565.749768518515</v>
      </c>
      <c r="F740" s="19">
        <f>IFERROR(__xludf.DUMMYFUNCTION("IFERROR(TO_DATE(E740), """")"),42565.749768518515)</f>
        <v>42565.74977</v>
      </c>
      <c r="G740" s="20">
        <f t="shared" si="1"/>
        <v>17</v>
      </c>
      <c r="H740" s="27">
        <v>42565.79770833333</v>
      </c>
      <c r="I740" s="19">
        <f>IFERROR(__xludf.DUMMYFUNCTION("IFERROR(TO_DATE(H740), """")"),42565.79770833333)</f>
        <v>42565.79771</v>
      </c>
      <c r="J740" s="19" t="s">
        <v>12</v>
      </c>
      <c r="K740" s="22">
        <f t="shared" si="2"/>
        <v>0</v>
      </c>
    </row>
    <row r="741">
      <c r="A741" s="18">
        <v>5038.0</v>
      </c>
      <c r="B741" s="18" t="s">
        <v>32</v>
      </c>
      <c r="C741" s="18">
        <v>76.0</v>
      </c>
      <c r="D741" s="18" t="s">
        <v>31</v>
      </c>
      <c r="E741" s="27">
        <v>42565.80570601852</v>
      </c>
      <c r="F741" s="19">
        <f>IFERROR(__xludf.DUMMYFUNCTION("IFERROR(TO_DATE(E741), """")"),42565.80570601852)</f>
        <v>42565.80571</v>
      </c>
      <c r="G741" s="20">
        <f t="shared" si="1"/>
        <v>19</v>
      </c>
      <c r="H741" s="27">
        <v>42565.82476851852</v>
      </c>
      <c r="I741" s="19">
        <f>IFERROR(__xludf.DUMMYFUNCTION("IFERROR(TO_DATE(H741), """")"),42565.82476851852)</f>
        <v>42565.82477</v>
      </c>
      <c r="J741" s="19" t="s">
        <v>12</v>
      </c>
      <c r="K741" s="22">
        <f t="shared" si="2"/>
        <v>0</v>
      </c>
    </row>
    <row r="742">
      <c r="A742" s="18">
        <v>6417.0</v>
      </c>
      <c r="B742" s="18" t="s">
        <v>32</v>
      </c>
      <c r="C742" s="18">
        <v>76.0</v>
      </c>
      <c r="D742" s="18" t="s">
        <v>31</v>
      </c>
      <c r="E742" s="27">
        <v>42566.8224537037</v>
      </c>
      <c r="F742" s="19">
        <f>IFERROR(__xludf.DUMMYFUNCTION("IFERROR(TO_DATE(E742), """")"),42566.8224537037)</f>
        <v>42566.82245</v>
      </c>
      <c r="G742" s="20">
        <f t="shared" si="1"/>
        <v>19</v>
      </c>
      <c r="H742" s="27">
        <v>42566.86454861111</v>
      </c>
      <c r="I742" s="19">
        <f>IFERROR(__xludf.DUMMYFUNCTION("IFERROR(TO_DATE(H742), """")"),42566.86454861111)</f>
        <v>42566.86455</v>
      </c>
      <c r="J742" s="19" t="s">
        <v>12</v>
      </c>
      <c r="K742" s="22">
        <f t="shared" si="2"/>
        <v>0</v>
      </c>
    </row>
    <row r="743">
      <c r="A743" s="18">
        <v>376.0</v>
      </c>
      <c r="B743" s="18" t="s">
        <v>32</v>
      </c>
      <c r="C743" s="18">
        <v>77.0</v>
      </c>
      <c r="D743" s="18" t="s">
        <v>31</v>
      </c>
      <c r="E743" s="26">
        <v>42562.34097222222</v>
      </c>
      <c r="F743" s="19">
        <f>IFERROR(__xludf.DUMMYFUNCTION("IFERROR(TO_DATE(E743), """")"),42562.34097222222)</f>
        <v>42562.34097</v>
      </c>
      <c r="G743" s="20">
        <f t="shared" si="1"/>
        <v>8</v>
      </c>
      <c r="H743" s="26">
        <v>42562.36736111111</v>
      </c>
      <c r="I743" s="19">
        <f>IFERROR(__xludf.DUMMYFUNCTION("IFERROR(TO_DATE(H743), """")"),42562.36736111111)</f>
        <v>42562.36736</v>
      </c>
      <c r="J743" s="19" t="s">
        <v>14</v>
      </c>
      <c r="K743" s="22">
        <f t="shared" si="2"/>
        <v>0</v>
      </c>
    </row>
    <row r="744">
      <c r="A744" s="18">
        <v>899.0</v>
      </c>
      <c r="B744" s="18" t="s">
        <v>32</v>
      </c>
      <c r="C744" s="18">
        <v>77.0</v>
      </c>
      <c r="D744" s="18" t="s">
        <v>31</v>
      </c>
      <c r="E744" s="26">
        <v>42562.75625</v>
      </c>
      <c r="F744" s="19">
        <f>IFERROR(__xludf.DUMMYFUNCTION("IFERROR(TO_DATE(E744), """")"),42562.75625)</f>
        <v>42562.75625</v>
      </c>
      <c r="G744" s="20">
        <f t="shared" si="1"/>
        <v>18</v>
      </c>
      <c r="H744" s="26">
        <v>42562.802777777775</v>
      </c>
      <c r="I744" s="19">
        <f>IFERROR(__xludf.DUMMYFUNCTION("IFERROR(TO_DATE(H744), """")"),42562.802777777775)</f>
        <v>42562.80278</v>
      </c>
      <c r="J744" s="19" t="s">
        <v>12</v>
      </c>
      <c r="K744" s="22">
        <f t="shared" si="2"/>
        <v>0</v>
      </c>
    </row>
    <row r="745">
      <c r="A745" s="18">
        <v>1112.0</v>
      </c>
      <c r="B745" s="18" t="s">
        <v>30</v>
      </c>
      <c r="C745" s="18">
        <v>77.0</v>
      </c>
      <c r="D745" s="18" t="s">
        <v>31</v>
      </c>
      <c r="E745" s="26">
        <v>42562.84375</v>
      </c>
      <c r="F745" s="19">
        <f>IFERROR(__xludf.DUMMYFUNCTION("IFERROR(TO_DATE(E745), """")"),42562.84375)</f>
        <v>42562.84375</v>
      </c>
      <c r="G745" s="20">
        <f t="shared" si="1"/>
        <v>20</v>
      </c>
      <c r="H745" s="26">
        <v>42562.87986111111</v>
      </c>
      <c r="I745" s="19">
        <f>IFERROR(__xludf.DUMMYFUNCTION("IFERROR(TO_DATE(H745), """")"),42562.87986111111)</f>
        <v>42562.87986</v>
      </c>
      <c r="J745" s="19" t="s">
        <v>13</v>
      </c>
      <c r="K745" s="22">
        <f t="shared" si="2"/>
        <v>0</v>
      </c>
    </row>
    <row r="746">
      <c r="A746" s="18">
        <v>1444.0</v>
      </c>
      <c r="B746" s="18" t="s">
        <v>32</v>
      </c>
      <c r="C746" s="18">
        <v>77.0</v>
      </c>
      <c r="D746" s="18" t="s">
        <v>31</v>
      </c>
      <c r="E746" s="26">
        <v>42563.19652777778</v>
      </c>
      <c r="F746" s="19">
        <f>IFERROR(__xludf.DUMMYFUNCTION("IFERROR(TO_DATE(E746), """")"),42563.19652777778)</f>
        <v>42563.19653</v>
      </c>
      <c r="G746" s="20">
        <f t="shared" si="1"/>
        <v>4</v>
      </c>
      <c r="H746" s="26">
        <v>42563.24722222222</v>
      </c>
      <c r="I746" s="19">
        <f>IFERROR(__xludf.DUMMYFUNCTION("IFERROR(TO_DATE(H746), """")"),42563.24722222222)</f>
        <v>42563.24722</v>
      </c>
      <c r="J746" s="19" t="s">
        <v>11</v>
      </c>
      <c r="K746" s="22">
        <f t="shared" si="2"/>
        <v>0</v>
      </c>
    </row>
    <row r="747">
      <c r="A747" s="18">
        <v>1993.0</v>
      </c>
      <c r="B747" s="18" t="s">
        <v>32</v>
      </c>
      <c r="C747" s="18">
        <v>77.0</v>
      </c>
      <c r="D747" s="18" t="s">
        <v>31</v>
      </c>
      <c r="E747" s="26">
        <v>42563.53472222222</v>
      </c>
      <c r="F747" s="19">
        <f>IFERROR(__xludf.DUMMYFUNCTION("IFERROR(TO_DATE(E747), """")"),42563.53472222222)</f>
        <v>42563.53472</v>
      </c>
      <c r="G747" s="20">
        <f t="shared" si="1"/>
        <v>12</v>
      </c>
      <c r="H747" s="26">
        <v>42563.57083333333</v>
      </c>
      <c r="I747" s="19">
        <f>IFERROR(__xludf.DUMMYFUNCTION("IFERROR(TO_DATE(H747), """")"),42563.57083333333)</f>
        <v>42563.57083</v>
      </c>
      <c r="J747" s="19" t="s">
        <v>10</v>
      </c>
      <c r="K747" s="22">
        <f t="shared" si="2"/>
        <v>0</v>
      </c>
    </row>
    <row r="748">
      <c r="A748" s="18">
        <v>2417.0</v>
      </c>
      <c r="B748" s="18" t="s">
        <v>32</v>
      </c>
      <c r="C748" s="18">
        <v>77.0</v>
      </c>
      <c r="D748" s="18" t="s">
        <v>31</v>
      </c>
      <c r="E748" s="26">
        <v>42563.83263888889</v>
      </c>
      <c r="F748" s="19">
        <f>IFERROR(__xludf.DUMMYFUNCTION("IFERROR(TO_DATE(E748), """")"),42563.83263888889)</f>
        <v>42563.83264</v>
      </c>
      <c r="G748" s="20">
        <f t="shared" si="1"/>
        <v>19</v>
      </c>
      <c r="H748" s="26">
        <v>42563.89027777778</v>
      </c>
      <c r="I748" s="19">
        <f>IFERROR(__xludf.DUMMYFUNCTION("IFERROR(TO_DATE(H748), """")"),42563.89027777778)</f>
        <v>42563.89028</v>
      </c>
      <c r="J748" s="19" t="s">
        <v>12</v>
      </c>
      <c r="K748" s="22">
        <f t="shared" si="2"/>
        <v>0</v>
      </c>
    </row>
    <row r="749">
      <c r="A749" s="18">
        <v>3318.0</v>
      </c>
      <c r="B749" s="18" t="s">
        <v>32</v>
      </c>
      <c r="C749" s="18">
        <v>77.0</v>
      </c>
      <c r="D749" s="18" t="s">
        <v>31</v>
      </c>
      <c r="E749" s="27">
        <v>42564.51768518519</v>
      </c>
      <c r="F749" s="19">
        <f>IFERROR(__xludf.DUMMYFUNCTION("IFERROR(TO_DATE(E749), """")"),42564.51768518519)</f>
        <v>42564.51769</v>
      </c>
      <c r="G749" s="20">
        <f t="shared" si="1"/>
        <v>12</v>
      </c>
      <c r="H749" s="27">
        <v>42564.54681712963</v>
      </c>
      <c r="I749" s="19">
        <f>IFERROR(__xludf.DUMMYFUNCTION("IFERROR(TO_DATE(H749), """")"),42564.54681712963)</f>
        <v>42564.54682</v>
      </c>
      <c r="J749" s="19" t="s">
        <v>10</v>
      </c>
      <c r="K749" s="22">
        <f t="shared" si="2"/>
        <v>0</v>
      </c>
    </row>
    <row r="750">
      <c r="A750" s="18">
        <v>3529.0</v>
      </c>
      <c r="B750" s="18" t="s">
        <v>30</v>
      </c>
      <c r="C750" s="18">
        <v>77.0</v>
      </c>
      <c r="D750" s="18" t="s">
        <v>31</v>
      </c>
      <c r="E750" s="27">
        <v>42564.74533564815</v>
      </c>
      <c r="F750" s="19">
        <f>IFERROR(__xludf.DUMMYFUNCTION("IFERROR(TO_DATE(E750), """")"),42564.74533564815)</f>
        <v>42564.74534</v>
      </c>
      <c r="G750" s="20">
        <f t="shared" si="1"/>
        <v>17</v>
      </c>
      <c r="H750" s="27">
        <v>42564.77511574074</v>
      </c>
      <c r="I750" s="19">
        <f>IFERROR(__xludf.DUMMYFUNCTION("IFERROR(TO_DATE(H750), """")"),42564.77511574074)</f>
        <v>42564.77512</v>
      </c>
      <c r="J750" s="19" t="s">
        <v>12</v>
      </c>
      <c r="K750" s="22">
        <f t="shared" si="2"/>
        <v>0</v>
      </c>
    </row>
    <row r="751">
      <c r="A751" s="18">
        <v>4322.0</v>
      </c>
      <c r="B751" s="18" t="s">
        <v>30</v>
      </c>
      <c r="C751" s="18">
        <v>77.0</v>
      </c>
      <c r="D751" s="18" t="s">
        <v>31</v>
      </c>
      <c r="E751" s="27">
        <v>42565.29481481481</v>
      </c>
      <c r="F751" s="19">
        <f>IFERROR(__xludf.DUMMYFUNCTION("IFERROR(TO_DATE(E751), """")"),42565.29481481481)</f>
        <v>42565.29481</v>
      </c>
      <c r="G751" s="20">
        <f t="shared" si="1"/>
        <v>7</v>
      </c>
      <c r="H751" s="27">
        <v>42565.313043981485</v>
      </c>
      <c r="I751" s="19">
        <f>IFERROR(__xludf.DUMMYFUNCTION("IFERROR(TO_DATE(H751), """")"),42565.313043981485)</f>
        <v>42565.31304</v>
      </c>
      <c r="J751" s="19" t="s">
        <v>11</v>
      </c>
      <c r="K751" s="22">
        <f t="shared" si="2"/>
        <v>0</v>
      </c>
    </row>
    <row r="752">
      <c r="A752" s="18">
        <v>5861.0</v>
      </c>
      <c r="B752" s="18" t="s">
        <v>30</v>
      </c>
      <c r="C752" s="18">
        <v>77.0</v>
      </c>
      <c r="D752" s="18" t="s">
        <v>31</v>
      </c>
      <c r="E752" s="27">
        <v>42566.383043981485</v>
      </c>
      <c r="F752" s="19">
        <f>IFERROR(__xludf.DUMMYFUNCTION("IFERROR(TO_DATE(E752), """")"),42566.383043981485)</f>
        <v>42566.38304</v>
      </c>
      <c r="G752" s="20">
        <f t="shared" si="1"/>
        <v>9</v>
      </c>
      <c r="H752" s="27">
        <v>42566.43509259259</v>
      </c>
      <c r="I752" s="19">
        <f>IFERROR(__xludf.DUMMYFUNCTION("IFERROR(TO_DATE(H752), """")"),42566.43509259259)</f>
        <v>42566.43509</v>
      </c>
      <c r="J752" s="19" t="s">
        <v>14</v>
      </c>
      <c r="K752" s="22">
        <f t="shared" si="2"/>
        <v>0</v>
      </c>
    </row>
    <row r="753">
      <c r="A753" s="18">
        <v>6519.0</v>
      </c>
      <c r="B753" s="18" t="s">
        <v>32</v>
      </c>
      <c r="C753" s="18">
        <v>77.0</v>
      </c>
      <c r="D753" s="18" t="s">
        <v>31</v>
      </c>
      <c r="E753" s="27">
        <v>42566.86408564815</v>
      </c>
      <c r="F753" s="19">
        <f>IFERROR(__xludf.DUMMYFUNCTION("IFERROR(TO_DATE(E753), """")"),42566.86408564815)</f>
        <v>42566.86409</v>
      </c>
      <c r="G753" s="20">
        <f t="shared" si="1"/>
        <v>20</v>
      </c>
      <c r="H753" s="27">
        <v>42566.897627314815</v>
      </c>
      <c r="I753" s="19">
        <f>IFERROR(__xludf.DUMMYFUNCTION("IFERROR(TO_DATE(H753), """")"),42566.897627314815)</f>
        <v>42566.89763</v>
      </c>
      <c r="J753" s="19" t="s">
        <v>13</v>
      </c>
      <c r="K753" s="22">
        <f t="shared" si="2"/>
        <v>0</v>
      </c>
    </row>
    <row r="754">
      <c r="A754" s="18">
        <v>34.0</v>
      </c>
      <c r="B754" s="18" t="s">
        <v>32</v>
      </c>
      <c r="C754" s="18">
        <v>78.0</v>
      </c>
      <c r="D754" s="18" t="s">
        <v>31</v>
      </c>
      <c r="E754" s="26">
        <v>42562.09722222222</v>
      </c>
      <c r="F754" s="19">
        <f>IFERROR(__xludf.DUMMYFUNCTION("IFERROR(TO_DATE(E754), """")"),42562.09722222222)</f>
        <v>42562.09722</v>
      </c>
      <c r="G754" s="20">
        <f t="shared" si="1"/>
        <v>2</v>
      </c>
      <c r="H754" s="26">
        <v>42562.14861111111</v>
      </c>
      <c r="I754" s="19">
        <f>IFERROR(__xludf.DUMMYFUNCTION("IFERROR(TO_DATE(H754), """")"),42562.14861111111)</f>
        <v>42562.14861</v>
      </c>
      <c r="J754" s="19" t="s">
        <v>15</v>
      </c>
      <c r="K754" s="22">
        <f t="shared" si="2"/>
        <v>0</v>
      </c>
    </row>
    <row r="755">
      <c r="A755" s="18">
        <v>637.0</v>
      </c>
      <c r="B755" s="18" t="s">
        <v>30</v>
      </c>
      <c r="C755" s="18">
        <v>78.0</v>
      </c>
      <c r="D755" s="18" t="s">
        <v>31</v>
      </c>
      <c r="E755" s="26">
        <v>42562.51666666667</v>
      </c>
      <c r="F755" s="19">
        <f>IFERROR(__xludf.DUMMYFUNCTION("IFERROR(TO_DATE(E755), """")"),42562.51666666667)</f>
        <v>42562.51667</v>
      </c>
      <c r="G755" s="20">
        <f t="shared" si="1"/>
        <v>12</v>
      </c>
      <c r="H755" s="26">
        <v>42562.56319444445</v>
      </c>
      <c r="I755" s="19">
        <f>IFERROR(__xludf.DUMMYFUNCTION("IFERROR(TO_DATE(H755), """")"),42562.56319444445)</f>
        <v>42562.56319</v>
      </c>
      <c r="J755" s="19" t="s">
        <v>10</v>
      </c>
      <c r="K755" s="22">
        <f t="shared" si="2"/>
        <v>0</v>
      </c>
    </row>
    <row r="756">
      <c r="A756" s="18">
        <v>1005.0</v>
      </c>
      <c r="B756" s="18" t="s">
        <v>32</v>
      </c>
      <c r="C756" s="18">
        <v>78.0</v>
      </c>
      <c r="D756" s="18" t="s">
        <v>31</v>
      </c>
      <c r="E756" s="26">
        <v>42562.79652777778</v>
      </c>
      <c r="F756" s="19">
        <f>IFERROR(__xludf.DUMMYFUNCTION("IFERROR(TO_DATE(E756), """")"),42562.79652777778)</f>
        <v>42562.79653</v>
      </c>
      <c r="G756" s="20">
        <f t="shared" si="1"/>
        <v>19</v>
      </c>
      <c r="H756" s="26">
        <v>42562.82847222222</v>
      </c>
      <c r="I756" s="19">
        <f>IFERROR(__xludf.DUMMYFUNCTION("IFERROR(TO_DATE(H756), """")"),42562.82847222222)</f>
        <v>42562.82847</v>
      </c>
      <c r="J756" s="19" t="s">
        <v>12</v>
      </c>
      <c r="K756" s="22">
        <f t="shared" si="2"/>
        <v>0</v>
      </c>
    </row>
    <row r="757">
      <c r="A757" s="18">
        <v>1293.0</v>
      </c>
      <c r="B757" s="18" t="s">
        <v>32</v>
      </c>
      <c r="C757" s="18">
        <v>78.0</v>
      </c>
      <c r="D757" s="18" t="s">
        <v>31</v>
      </c>
      <c r="E757" s="26">
        <v>42562.936111111114</v>
      </c>
      <c r="F757" s="19">
        <f>IFERROR(__xludf.DUMMYFUNCTION("IFERROR(TO_DATE(E757), """")"),42562.936111111114)</f>
        <v>42562.93611</v>
      </c>
      <c r="G757" s="20">
        <f t="shared" si="1"/>
        <v>22</v>
      </c>
      <c r="H757" s="26">
        <v>42562.975</v>
      </c>
      <c r="I757" s="19">
        <f>IFERROR(__xludf.DUMMYFUNCTION("IFERROR(TO_DATE(H757), """")"),42562.975)</f>
        <v>42562.975</v>
      </c>
      <c r="J757" s="19" t="s">
        <v>13</v>
      </c>
      <c r="K757" s="22">
        <f t="shared" si="2"/>
        <v>0</v>
      </c>
    </row>
    <row r="758">
      <c r="A758" s="18">
        <v>1664.0</v>
      </c>
      <c r="B758" s="18" t="s">
        <v>30</v>
      </c>
      <c r="C758" s="18">
        <v>78.0</v>
      </c>
      <c r="D758" s="18" t="s">
        <v>31</v>
      </c>
      <c r="E758" s="26">
        <v>42563.31597222222</v>
      </c>
      <c r="F758" s="19">
        <f>IFERROR(__xludf.DUMMYFUNCTION("IFERROR(TO_DATE(E758), """")"),42563.31597222222)</f>
        <v>42563.31597</v>
      </c>
      <c r="G758" s="20">
        <f t="shared" si="1"/>
        <v>7</v>
      </c>
      <c r="H758" s="26">
        <v>42563.364583333336</v>
      </c>
      <c r="I758" s="19">
        <f>IFERROR(__xludf.DUMMYFUNCTION("IFERROR(TO_DATE(H758), """")"),42563.364583333336)</f>
        <v>42563.36458</v>
      </c>
      <c r="J758" s="19" t="s">
        <v>11</v>
      </c>
      <c r="K758" s="22">
        <f t="shared" si="2"/>
        <v>0</v>
      </c>
    </row>
    <row r="759">
      <c r="A759" s="18">
        <v>1915.0</v>
      </c>
      <c r="B759" s="18" t="s">
        <v>32</v>
      </c>
      <c r="C759" s="18">
        <v>78.0</v>
      </c>
      <c r="D759" s="18" t="s">
        <v>31</v>
      </c>
      <c r="E759" s="26">
        <v>42563.447916666664</v>
      </c>
      <c r="F759" s="19">
        <f>IFERROR(__xludf.DUMMYFUNCTION("IFERROR(TO_DATE(E759), """")"),42563.447916666664)</f>
        <v>42563.44792</v>
      </c>
      <c r="G759" s="20">
        <f t="shared" si="1"/>
        <v>10</v>
      </c>
      <c r="H759" s="26">
        <v>42563.48055555556</v>
      </c>
      <c r="I759" s="19">
        <f>IFERROR(__xludf.DUMMYFUNCTION("IFERROR(TO_DATE(H759), """")"),42563.48055555556)</f>
        <v>42563.48056</v>
      </c>
      <c r="J759" s="19" t="s">
        <v>14</v>
      </c>
      <c r="K759" s="22">
        <f t="shared" si="2"/>
        <v>0</v>
      </c>
    </row>
    <row r="760">
      <c r="A760" s="18">
        <v>3262.0</v>
      </c>
      <c r="B760" s="18" t="s">
        <v>30</v>
      </c>
      <c r="C760" s="18">
        <v>78.0</v>
      </c>
      <c r="D760" s="18" t="s">
        <v>31</v>
      </c>
      <c r="E760" s="27">
        <v>42564.43127314815</v>
      </c>
      <c r="F760" s="19">
        <f>IFERROR(__xludf.DUMMYFUNCTION("IFERROR(TO_DATE(E760), """")"),42564.43127314815)</f>
        <v>42564.43127</v>
      </c>
      <c r="G760" s="20">
        <f t="shared" si="1"/>
        <v>10</v>
      </c>
      <c r="H760" s="27">
        <v>42564.46392361111</v>
      </c>
      <c r="I760" s="19">
        <f>IFERROR(__xludf.DUMMYFUNCTION("IFERROR(TO_DATE(H760), """")"),42564.46392361111)</f>
        <v>42564.46392</v>
      </c>
      <c r="J760" s="19" t="s">
        <v>14</v>
      </c>
      <c r="K760" s="22">
        <f t="shared" si="2"/>
        <v>0</v>
      </c>
    </row>
    <row r="761">
      <c r="A761" s="18">
        <v>3546.0</v>
      </c>
      <c r="B761" s="18" t="s">
        <v>32</v>
      </c>
      <c r="C761" s="18">
        <v>78.0</v>
      </c>
      <c r="D761" s="18" t="s">
        <v>31</v>
      </c>
      <c r="E761" s="27">
        <v>42564.751921296294</v>
      </c>
      <c r="F761" s="19">
        <f>IFERROR(__xludf.DUMMYFUNCTION("IFERROR(TO_DATE(E761), """")"),42564.751921296294)</f>
        <v>42564.75192</v>
      </c>
      <c r="G761" s="20">
        <f t="shared" si="1"/>
        <v>18</v>
      </c>
      <c r="H761" s="27">
        <v>42564.78349537037</v>
      </c>
      <c r="I761" s="19">
        <f>IFERROR(__xludf.DUMMYFUNCTION("IFERROR(TO_DATE(H761), """")"),42564.78349537037)</f>
        <v>42564.7835</v>
      </c>
      <c r="J761" s="19" t="s">
        <v>12</v>
      </c>
      <c r="K761" s="22">
        <f t="shared" si="2"/>
        <v>0</v>
      </c>
    </row>
    <row r="762">
      <c r="A762" s="18">
        <v>3977.0</v>
      </c>
      <c r="B762" s="18" t="s">
        <v>30</v>
      </c>
      <c r="C762" s="18">
        <v>78.0</v>
      </c>
      <c r="D762" s="18" t="s">
        <v>31</v>
      </c>
      <c r="E762" s="27">
        <v>42564.96748842593</v>
      </c>
      <c r="F762" s="19">
        <f>IFERROR(__xludf.DUMMYFUNCTION("IFERROR(TO_DATE(E762), """")"),42564.96748842593)</f>
        <v>42564.96749</v>
      </c>
      <c r="G762" s="20">
        <f t="shared" si="1"/>
        <v>23</v>
      </c>
      <c r="H762" s="27">
        <v>42564.99327546296</v>
      </c>
      <c r="I762" s="19">
        <f>IFERROR(__xludf.DUMMYFUNCTION("IFERROR(TO_DATE(H762), """")"),42564.99327546296)</f>
        <v>42564.99328</v>
      </c>
      <c r="J762" s="19" t="s">
        <v>13</v>
      </c>
      <c r="K762" s="22">
        <f t="shared" si="2"/>
        <v>0</v>
      </c>
    </row>
    <row r="763">
      <c r="A763" s="18">
        <v>4300.0</v>
      </c>
      <c r="B763" s="18" t="s">
        <v>32</v>
      </c>
      <c r="C763" s="18">
        <v>78.0</v>
      </c>
      <c r="D763" s="18" t="s">
        <v>31</v>
      </c>
      <c r="E763" s="27">
        <v>42565.28228009259</v>
      </c>
      <c r="F763" s="19">
        <f>IFERROR(__xludf.DUMMYFUNCTION("IFERROR(TO_DATE(E763), """")"),42565.28228009259)</f>
        <v>42565.28228</v>
      </c>
      <c r="G763" s="20">
        <f t="shared" si="1"/>
        <v>6</v>
      </c>
      <c r="H763" s="27">
        <v>42565.33284722222</v>
      </c>
      <c r="I763" s="19">
        <f>IFERROR(__xludf.DUMMYFUNCTION("IFERROR(TO_DATE(H763), """")"),42565.33284722222)</f>
        <v>42565.33285</v>
      </c>
      <c r="J763" s="19" t="s">
        <v>11</v>
      </c>
      <c r="K763" s="22">
        <f t="shared" si="2"/>
        <v>0</v>
      </c>
    </row>
    <row r="764">
      <c r="A764" s="18">
        <v>4680.0</v>
      </c>
      <c r="B764" s="18" t="s">
        <v>32</v>
      </c>
      <c r="C764" s="18">
        <v>78.0</v>
      </c>
      <c r="D764" s="18" t="s">
        <v>31</v>
      </c>
      <c r="E764" s="27">
        <v>42565.533854166664</v>
      </c>
      <c r="F764" s="19">
        <f>IFERROR(__xludf.DUMMYFUNCTION("IFERROR(TO_DATE(E764), """")"),42565.533854166664)</f>
        <v>42565.53385</v>
      </c>
      <c r="G764" s="20">
        <f t="shared" si="1"/>
        <v>12</v>
      </c>
      <c r="H764" s="27">
        <v>42565.565300925926</v>
      </c>
      <c r="I764" s="19">
        <f>IFERROR(__xludf.DUMMYFUNCTION("IFERROR(TO_DATE(H764), """")"),42565.565300925926)</f>
        <v>42565.5653</v>
      </c>
      <c r="J764" s="19" t="s">
        <v>10</v>
      </c>
      <c r="K764" s="22">
        <f t="shared" si="2"/>
        <v>0</v>
      </c>
    </row>
    <row r="765">
      <c r="A765" s="18">
        <v>4812.0</v>
      </c>
      <c r="B765" s="18" t="s">
        <v>32</v>
      </c>
      <c r="C765" s="18">
        <v>78.0</v>
      </c>
      <c r="D765" s="18" t="s">
        <v>31</v>
      </c>
      <c r="E765" s="27">
        <v>42565.720300925925</v>
      </c>
      <c r="F765" s="19">
        <f>IFERROR(__xludf.DUMMYFUNCTION("IFERROR(TO_DATE(E765), """")"),42565.720300925925)</f>
        <v>42565.7203</v>
      </c>
      <c r="G765" s="20">
        <f t="shared" si="1"/>
        <v>17</v>
      </c>
      <c r="H765" s="27">
        <v>42565.76436342593</v>
      </c>
      <c r="I765" s="19">
        <f>IFERROR(__xludf.DUMMYFUNCTION("IFERROR(TO_DATE(H765), """")"),42565.76436342593)</f>
        <v>42565.76436</v>
      </c>
      <c r="J765" s="19" t="s">
        <v>12</v>
      </c>
      <c r="K765" s="22">
        <f t="shared" si="2"/>
        <v>0</v>
      </c>
    </row>
    <row r="766">
      <c r="A766" s="18">
        <v>5972.0</v>
      </c>
      <c r="B766" s="18" t="s">
        <v>30</v>
      </c>
      <c r="C766" s="18">
        <v>78.0</v>
      </c>
      <c r="D766" s="18" t="s">
        <v>31</v>
      </c>
      <c r="E766" s="27">
        <v>42566.46265046296</v>
      </c>
      <c r="F766" s="19">
        <f>IFERROR(__xludf.DUMMYFUNCTION("IFERROR(TO_DATE(E766), """")"),42566.46265046296)</f>
        <v>42566.46265</v>
      </c>
      <c r="G766" s="20">
        <f t="shared" si="1"/>
        <v>11</v>
      </c>
      <c r="H766" s="27">
        <v>42566.49107638889</v>
      </c>
      <c r="I766" s="19">
        <f>IFERROR(__xludf.DUMMYFUNCTION("IFERROR(TO_DATE(H766), """")"),42566.49107638889)</f>
        <v>42566.49108</v>
      </c>
      <c r="J766" s="19" t="s">
        <v>14</v>
      </c>
      <c r="K766" s="22">
        <f t="shared" si="2"/>
        <v>0</v>
      </c>
    </row>
    <row r="767">
      <c r="A767" s="18">
        <v>645.0</v>
      </c>
      <c r="B767" s="18" t="s">
        <v>32</v>
      </c>
      <c r="C767" s="18">
        <v>79.0</v>
      </c>
      <c r="D767" s="18" t="s">
        <v>31</v>
      </c>
      <c r="E767" s="26">
        <v>42562.527083333334</v>
      </c>
      <c r="F767" s="19">
        <f>IFERROR(__xludf.DUMMYFUNCTION("IFERROR(TO_DATE(E767), """")"),42562.527083333334)</f>
        <v>42562.52708</v>
      </c>
      <c r="G767" s="20">
        <f t="shared" si="1"/>
        <v>12</v>
      </c>
      <c r="H767" s="26">
        <v>42562.57708333333</v>
      </c>
      <c r="I767" s="19">
        <f>IFERROR(__xludf.DUMMYFUNCTION("IFERROR(TO_DATE(H767), """")"),42562.57708333333)</f>
        <v>42562.57708</v>
      </c>
      <c r="J767" s="19" t="s">
        <v>10</v>
      </c>
      <c r="K767" s="22">
        <f t="shared" si="2"/>
        <v>0</v>
      </c>
    </row>
    <row r="768">
      <c r="A768" s="18">
        <v>732.0</v>
      </c>
      <c r="B768" s="18" t="s">
        <v>30</v>
      </c>
      <c r="C768" s="18">
        <v>79.0</v>
      </c>
      <c r="D768" s="18" t="s">
        <v>31</v>
      </c>
      <c r="E768" s="26">
        <v>42562.6375</v>
      </c>
      <c r="F768" s="19">
        <f>IFERROR(__xludf.DUMMYFUNCTION("IFERROR(TO_DATE(E768), """")"),42562.6375)</f>
        <v>42562.6375</v>
      </c>
      <c r="G768" s="20">
        <f t="shared" si="1"/>
        <v>15</v>
      </c>
      <c r="H768" s="26">
        <v>42562.66458333333</v>
      </c>
      <c r="I768" s="19">
        <f>IFERROR(__xludf.DUMMYFUNCTION("IFERROR(TO_DATE(H768), """")"),42562.66458333333)</f>
        <v>42562.66458</v>
      </c>
      <c r="J768" s="19" t="s">
        <v>10</v>
      </c>
      <c r="K768" s="22">
        <f t="shared" si="2"/>
        <v>0</v>
      </c>
    </row>
    <row r="769">
      <c r="A769" s="18">
        <v>1215.0</v>
      </c>
      <c r="B769" s="18" t="s">
        <v>30</v>
      </c>
      <c r="C769" s="18">
        <v>79.0</v>
      </c>
      <c r="D769" s="18" t="s">
        <v>31</v>
      </c>
      <c r="E769" s="26">
        <v>42562.89791666667</v>
      </c>
      <c r="F769" s="19">
        <f>IFERROR(__xludf.DUMMYFUNCTION("IFERROR(TO_DATE(E769), """")"),42562.89791666667)</f>
        <v>42562.89792</v>
      </c>
      <c r="G769" s="20">
        <f t="shared" si="1"/>
        <v>21</v>
      </c>
      <c r="H769" s="26">
        <v>42562.936111111114</v>
      </c>
      <c r="I769" s="19">
        <f>IFERROR(__xludf.DUMMYFUNCTION("IFERROR(TO_DATE(H769), """")"),42562.936111111114)</f>
        <v>42562.93611</v>
      </c>
      <c r="J769" s="19" t="s">
        <v>13</v>
      </c>
      <c r="K769" s="22">
        <f t="shared" si="2"/>
        <v>0</v>
      </c>
    </row>
    <row r="770">
      <c r="A770" s="18">
        <v>1450.0</v>
      </c>
      <c r="B770" s="18" t="s">
        <v>30</v>
      </c>
      <c r="C770" s="18">
        <v>79.0</v>
      </c>
      <c r="D770" s="18" t="s">
        <v>31</v>
      </c>
      <c r="E770" s="26">
        <v>42563.19861111111</v>
      </c>
      <c r="F770" s="19">
        <f>IFERROR(__xludf.DUMMYFUNCTION("IFERROR(TO_DATE(E770), """")"),42563.19861111111)</f>
        <v>42563.19861</v>
      </c>
      <c r="G770" s="20">
        <f t="shared" si="1"/>
        <v>4</v>
      </c>
      <c r="H770" s="26">
        <v>42563.240277777775</v>
      </c>
      <c r="I770" s="19">
        <f>IFERROR(__xludf.DUMMYFUNCTION("IFERROR(TO_DATE(H770), """")"),42563.240277777775)</f>
        <v>42563.24028</v>
      </c>
      <c r="J770" s="19" t="s">
        <v>11</v>
      </c>
      <c r="K770" s="22">
        <f t="shared" si="2"/>
        <v>0</v>
      </c>
    </row>
    <row r="771">
      <c r="A771" s="18">
        <v>2044.0</v>
      </c>
      <c r="B771" s="18" t="s">
        <v>30</v>
      </c>
      <c r="C771" s="18">
        <v>79.0</v>
      </c>
      <c r="D771" s="18" t="s">
        <v>31</v>
      </c>
      <c r="E771" s="26">
        <v>42563.61041666667</v>
      </c>
      <c r="F771" s="19">
        <f>IFERROR(__xludf.DUMMYFUNCTION("IFERROR(TO_DATE(E771), """")"),42563.61041666667)</f>
        <v>42563.61042</v>
      </c>
      <c r="G771" s="20">
        <f t="shared" si="1"/>
        <v>14</v>
      </c>
      <c r="H771" s="26">
        <v>42563.63958333333</v>
      </c>
      <c r="I771" s="19">
        <f>IFERROR(__xludf.DUMMYFUNCTION("IFERROR(TO_DATE(H771), """")"),42563.63958333333)</f>
        <v>42563.63958</v>
      </c>
      <c r="J771" s="19" t="s">
        <v>10</v>
      </c>
      <c r="K771" s="22">
        <f t="shared" si="2"/>
        <v>0</v>
      </c>
    </row>
    <row r="772">
      <c r="A772" s="18">
        <v>2420.0</v>
      </c>
      <c r="B772" s="18" t="s">
        <v>30</v>
      </c>
      <c r="C772" s="18">
        <v>79.0</v>
      </c>
      <c r="D772" s="18" t="s">
        <v>31</v>
      </c>
      <c r="E772" s="26">
        <v>42563.83819444444</v>
      </c>
      <c r="F772" s="19">
        <f>IFERROR(__xludf.DUMMYFUNCTION("IFERROR(TO_DATE(E772), """")"),42563.83819444444)</f>
        <v>42563.83819</v>
      </c>
      <c r="G772" s="20">
        <f t="shared" si="1"/>
        <v>20</v>
      </c>
      <c r="H772" s="26">
        <v>42563.87777777778</v>
      </c>
      <c r="I772" s="19">
        <f>IFERROR(__xludf.DUMMYFUNCTION("IFERROR(TO_DATE(H772), """")"),42563.87777777778)</f>
        <v>42563.87778</v>
      </c>
      <c r="J772" s="19" t="s">
        <v>13</v>
      </c>
      <c r="K772" s="22">
        <f t="shared" si="2"/>
        <v>0</v>
      </c>
    </row>
    <row r="773">
      <c r="A773" s="18">
        <v>3944.0</v>
      </c>
      <c r="B773" s="18" t="s">
        <v>32</v>
      </c>
      <c r="C773" s="18">
        <v>79.0</v>
      </c>
      <c r="D773" s="18" t="s">
        <v>31</v>
      </c>
      <c r="E773" s="27">
        <v>42564.939675925925</v>
      </c>
      <c r="F773" s="19">
        <f>IFERROR(__xludf.DUMMYFUNCTION("IFERROR(TO_DATE(E773), """")"),42564.939675925925)</f>
        <v>42564.93968</v>
      </c>
      <c r="G773" s="20">
        <f t="shared" si="1"/>
        <v>22</v>
      </c>
      <c r="H773" s="27">
        <v>42564.96471064815</v>
      </c>
      <c r="I773" s="19">
        <f>IFERROR(__xludf.DUMMYFUNCTION("IFERROR(TO_DATE(H773), """")"),42564.96471064815)</f>
        <v>42564.96471</v>
      </c>
      <c r="J773" s="19" t="s">
        <v>13</v>
      </c>
      <c r="K773" s="22">
        <f t="shared" si="2"/>
        <v>0</v>
      </c>
    </row>
    <row r="774">
      <c r="A774" s="18">
        <v>4369.0</v>
      </c>
      <c r="B774" s="18" t="s">
        <v>32</v>
      </c>
      <c r="C774" s="18">
        <v>79.0</v>
      </c>
      <c r="D774" s="18" t="s">
        <v>31</v>
      </c>
      <c r="E774" s="27">
        <v>42565.317708333336</v>
      </c>
      <c r="F774" s="19">
        <f>IFERROR(__xludf.DUMMYFUNCTION("IFERROR(TO_DATE(E774), """")"),42565.317708333336)</f>
        <v>42565.31771</v>
      </c>
      <c r="G774" s="20">
        <f t="shared" si="1"/>
        <v>7</v>
      </c>
      <c r="H774" s="27">
        <v>42565.34594907407</v>
      </c>
      <c r="I774" s="19">
        <f>IFERROR(__xludf.DUMMYFUNCTION("IFERROR(TO_DATE(H774), """")"),42565.34594907407)</f>
        <v>42565.34595</v>
      </c>
      <c r="J774" s="19" t="s">
        <v>11</v>
      </c>
      <c r="K774" s="22">
        <f t="shared" si="2"/>
        <v>0</v>
      </c>
    </row>
    <row r="775">
      <c r="A775" s="18">
        <v>5070.0</v>
      </c>
      <c r="B775" s="18" t="s">
        <v>30</v>
      </c>
      <c r="C775" s="18">
        <v>79.0</v>
      </c>
      <c r="D775" s="18" t="s">
        <v>31</v>
      </c>
      <c r="E775" s="27">
        <v>42565.81494212963</v>
      </c>
      <c r="F775" s="19">
        <f>IFERROR(__xludf.DUMMYFUNCTION("IFERROR(TO_DATE(E775), """")"),42565.81494212963)</f>
        <v>42565.81494</v>
      </c>
      <c r="G775" s="20">
        <f t="shared" si="1"/>
        <v>19</v>
      </c>
      <c r="H775" s="27">
        <v>42565.86481481481</v>
      </c>
      <c r="I775" s="19">
        <f>IFERROR(__xludf.DUMMYFUNCTION("IFERROR(TO_DATE(H775), """")"),42565.86481481481)</f>
        <v>42565.86481</v>
      </c>
      <c r="J775" s="19" t="s">
        <v>12</v>
      </c>
      <c r="K775" s="22">
        <f t="shared" si="2"/>
        <v>0</v>
      </c>
    </row>
    <row r="776">
      <c r="A776" s="18">
        <v>5822.0</v>
      </c>
      <c r="B776" s="18" t="s">
        <v>30</v>
      </c>
      <c r="C776" s="18">
        <v>79.0</v>
      </c>
      <c r="D776" s="18" t="s">
        <v>31</v>
      </c>
      <c r="E776" s="27">
        <v>42566.37082175926</v>
      </c>
      <c r="F776" s="19">
        <f>IFERROR(__xludf.DUMMYFUNCTION("IFERROR(TO_DATE(E776), """")"),42566.37082175926)</f>
        <v>42566.37082</v>
      </c>
      <c r="G776" s="20">
        <f t="shared" si="1"/>
        <v>8</v>
      </c>
      <c r="H776" s="27">
        <v>42566.40284722222</v>
      </c>
      <c r="I776" s="19">
        <f>IFERROR(__xludf.DUMMYFUNCTION("IFERROR(TO_DATE(H776), """")"),42566.40284722222)</f>
        <v>42566.40285</v>
      </c>
      <c r="J776" s="19" t="s">
        <v>14</v>
      </c>
      <c r="K776" s="22">
        <f t="shared" si="2"/>
        <v>0</v>
      </c>
    </row>
    <row r="777">
      <c r="A777" s="18">
        <v>6723.0</v>
      </c>
      <c r="B777" s="18" t="s">
        <v>32</v>
      </c>
      <c r="C777" s="18">
        <v>79.0</v>
      </c>
      <c r="D777" s="18" t="s">
        <v>31</v>
      </c>
      <c r="E777" s="27">
        <v>42566.97185185185</v>
      </c>
      <c r="F777" s="19">
        <f>IFERROR(__xludf.DUMMYFUNCTION("IFERROR(TO_DATE(E777), """")"),42566.97185185185)</f>
        <v>42566.97185</v>
      </c>
      <c r="G777" s="20">
        <f t="shared" si="1"/>
        <v>23</v>
      </c>
      <c r="H777" s="27">
        <v>42567.00571759259</v>
      </c>
      <c r="I777" s="19">
        <f>IFERROR(__xludf.DUMMYFUNCTION("IFERROR(TO_DATE(H777), """")"),42567.00571759259)</f>
        <v>42567.00572</v>
      </c>
      <c r="J777" s="19" t="s">
        <v>13</v>
      </c>
      <c r="K777" s="22">
        <f t="shared" si="2"/>
        <v>0</v>
      </c>
    </row>
    <row r="778">
      <c r="A778" s="18">
        <v>3.0</v>
      </c>
      <c r="B778" s="18" t="s">
        <v>30</v>
      </c>
      <c r="C778" s="18">
        <v>80.0</v>
      </c>
      <c r="D778" s="18" t="s">
        <v>31</v>
      </c>
      <c r="E778" s="26">
        <v>42562.01666666667</v>
      </c>
      <c r="F778" s="19">
        <f>IFERROR(__xludf.DUMMYFUNCTION("IFERROR(TO_DATE(E778), """")"),42562.01666666667)</f>
        <v>42562.01667</v>
      </c>
      <c r="G778" s="20">
        <f t="shared" si="1"/>
        <v>0</v>
      </c>
      <c r="H778" s="26">
        <v>42562.06319444445</v>
      </c>
      <c r="I778" s="19">
        <f>IFERROR(__xludf.DUMMYFUNCTION("IFERROR(TO_DATE(H778), """")"),42562.06319444445)</f>
        <v>42562.06319</v>
      </c>
      <c r="J778" s="19" t="s">
        <v>15</v>
      </c>
      <c r="K778" s="22">
        <f t="shared" si="2"/>
        <v>0</v>
      </c>
    </row>
    <row r="779">
      <c r="A779" s="18">
        <v>70.0</v>
      </c>
      <c r="B779" s="18" t="s">
        <v>32</v>
      </c>
      <c r="C779" s="18">
        <v>80.0</v>
      </c>
      <c r="D779" s="18" t="s">
        <v>31</v>
      </c>
      <c r="E779" s="26">
        <v>42562.19027777778</v>
      </c>
      <c r="F779" s="19">
        <f>IFERROR(__xludf.DUMMYFUNCTION("IFERROR(TO_DATE(E779), """")"),42562.19027777778)</f>
        <v>42562.19028</v>
      </c>
      <c r="G779" s="20">
        <f t="shared" si="1"/>
        <v>4</v>
      </c>
      <c r="H779" s="26">
        <v>42562.229166666664</v>
      </c>
      <c r="I779" s="19">
        <f>IFERROR(__xludf.DUMMYFUNCTION("IFERROR(TO_DATE(H779), """")"),42562.229166666664)</f>
        <v>42562.22917</v>
      </c>
      <c r="J779" s="19" t="s">
        <v>11</v>
      </c>
      <c r="K779" s="22">
        <f t="shared" si="2"/>
        <v>0</v>
      </c>
    </row>
    <row r="780">
      <c r="A780" s="18">
        <v>256.0</v>
      </c>
      <c r="B780" s="18" t="s">
        <v>30</v>
      </c>
      <c r="C780" s="18">
        <v>80.0</v>
      </c>
      <c r="D780" s="18" t="s">
        <v>31</v>
      </c>
      <c r="E780" s="26">
        <v>42562.28055555555</v>
      </c>
      <c r="F780" s="19">
        <f>IFERROR(__xludf.DUMMYFUNCTION("IFERROR(TO_DATE(E780), """")"),42562.28055555555)</f>
        <v>42562.28056</v>
      </c>
      <c r="G780" s="20">
        <f t="shared" si="1"/>
        <v>6</v>
      </c>
      <c r="H780" s="26">
        <v>42562.31805555556</v>
      </c>
      <c r="I780" s="19">
        <f>IFERROR(__xludf.DUMMYFUNCTION("IFERROR(TO_DATE(H780), """")"),42562.31805555556)</f>
        <v>42562.31806</v>
      </c>
      <c r="J780" s="19" t="s">
        <v>11</v>
      </c>
      <c r="K780" s="22">
        <f t="shared" si="2"/>
        <v>0</v>
      </c>
    </row>
    <row r="781">
      <c r="A781" s="18">
        <v>702.0</v>
      </c>
      <c r="B781" s="18" t="s">
        <v>30</v>
      </c>
      <c r="C781" s="18">
        <v>80.0</v>
      </c>
      <c r="D781" s="18" t="s">
        <v>31</v>
      </c>
      <c r="E781" s="26">
        <v>42562.58819444444</v>
      </c>
      <c r="F781" s="19">
        <f>IFERROR(__xludf.DUMMYFUNCTION("IFERROR(TO_DATE(E781), """")"),42562.58819444444)</f>
        <v>42562.58819</v>
      </c>
      <c r="G781" s="20">
        <f t="shared" si="1"/>
        <v>14</v>
      </c>
      <c r="H781" s="26">
        <v>42562.618055555555</v>
      </c>
      <c r="I781" s="19">
        <f>IFERROR(__xludf.DUMMYFUNCTION("IFERROR(TO_DATE(H781), """")"),42562.618055555555)</f>
        <v>42562.61806</v>
      </c>
      <c r="J781" s="19" t="s">
        <v>10</v>
      </c>
      <c r="K781" s="22">
        <f t="shared" si="2"/>
        <v>0</v>
      </c>
    </row>
    <row r="782">
      <c r="A782" s="18">
        <v>769.0</v>
      </c>
      <c r="B782" s="18" t="s">
        <v>30</v>
      </c>
      <c r="C782" s="18">
        <v>80.0</v>
      </c>
      <c r="D782" s="18" t="s">
        <v>31</v>
      </c>
      <c r="E782" s="26">
        <v>42562.68125</v>
      </c>
      <c r="F782" s="19">
        <f>IFERROR(__xludf.DUMMYFUNCTION("IFERROR(TO_DATE(E782), """")"),42562.68125)</f>
        <v>42562.68125</v>
      </c>
      <c r="G782" s="20">
        <f t="shared" si="1"/>
        <v>16</v>
      </c>
      <c r="H782" s="26">
        <v>42562.725694444445</v>
      </c>
      <c r="I782" s="19">
        <f>IFERROR(__xludf.DUMMYFUNCTION("IFERROR(TO_DATE(H782), """")"),42562.725694444445)</f>
        <v>42562.72569</v>
      </c>
      <c r="J782" s="19" t="s">
        <v>12</v>
      </c>
      <c r="K782" s="22">
        <f t="shared" si="2"/>
        <v>0</v>
      </c>
    </row>
    <row r="783">
      <c r="A783" s="18">
        <v>1277.0</v>
      </c>
      <c r="B783" s="18" t="s">
        <v>32</v>
      </c>
      <c r="C783" s="18">
        <v>80.0</v>
      </c>
      <c r="D783" s="18" t="s">
        <v>31</v>
      </c>
      <c r="E783" s="26">
        <v>42562.919444444444</v>
      </c>
      <c r="F783" s="19">
        <f>IFERROR(__xludf.DUMMYFUNCTION("IFERROR(TO_DATE(E783), """")"),42562.919444444444)</f>
        <v>42562.91944</v>
      </c>
      <c r="G783" s="20">
        <f t="shared" si="1"/>
        <v>22</v>
      </c>
      <c r="H783" s="26">
        <v>42562.94097222222</v>
      </c>
      <c r="I783" s="19">
        <f>IFERROR(__xludf.DUMMYFUNCTION("IFERROR(TO_DATE(H783), """")"),42562.94097222222)</f>
        <v>42562.94097</v>
      </c>
      <c r="J783" s="19" t="s">
        <v>13</v>
      </c>
      <c r="K783" s="22">
        <f t="shared" si="2"/>
        <v>0</v>
      </c>
    </row>
    <row r="784">
      <c r="A784" s="18">
        <v>2062.0</v>
      </c>
      <c r="B784" s="18" t="s">
        <v>30</v>
      </c>
      <c r="C784" s="18">
        <v>80.0</v>
      </c>
      <c r="D784" s="18" t="s">
        <v>31</v>
      </c>
      <c r="E784" s="26">
        <v>42563.625</v>
      </c>
      <c r="F784" s="19">
        <f>IFERROR(__xludf.DUMMYFUNCTION("IFERROR(TO_DATE(E784), """")"),42563.625)</f>
        <v>42563.625</v>
      </c>
      <c r="G784" s="20">
        <f t="shared" si="1"/>
        <v>15</v>
      </c>
      <c r="H784" s="26">
        <v>42563.6625</v>
      </c>
      <c r="I784" s="19">
        <f>IFERROR(__xludf.DUMMYFUNCTION("IFERROR(TO_DATE(H784), """")"),42563.6625)</f>
        <v>42563.6625</v>
      </c>
      <c r="J784" s="19" t="s">
        <v>10</v>
      </c>
      <c r="K784" s="22">
        <f t="shared" si="2"/>
        <v>0</v>
      </c>
    </row>
    <row r="785">
      <c r="A785" s="18">
        <v>2399.0</v>
      </c>
      <c r="B785" s="18" t="s">
        <v>30</v>
      </c>
      <c r="C785" s="18">
        <v>80.0</v>
      </c>
      <c r="D785" s="18" t="s">
        <v>31</v>
      </c>
      <c r="E785" s="26">
        <v>42563.82708333333</v>
      </c>
      <c r="F785" s="19">
        <f>IFERROR(__xludf.DUMMYFUNCTION("IFERROR(TO_DATE(E785), """")"),42563.82708333333)</f>
        <v>42563.82708</v>
      </c>
      <c r="G785" s="20">
        <f t="shared" si="1"/>
        <v>19</v>
      </c>
      <c r="H785" s="26">
        <v>42563.85763888889</v>
      </c>
      <c r="I785" s="19">
        <f>IFERROR(__xludf.DUMMYFUNCTION("IFERROR(TO_DATE(H785), """")"),42563.85763888889)</f>
        <v>42563.85764</v>
      </c>
      <c r="J785" s="19" t="s">
        <v>12</v>
      </c>
      <c r="K785" s="22">
        <f t="shared" si="2"/>
        <v>0</v>
      </c>
    </row>
    <row r="786">
      <c r="A786" s="18">
        <v>2645.0</v>
      </c>
      <c r="B786" s="18" t="s">
        <v>30</v>
      </c>
      <c r="C786" s="18">
        <v>80.0</v>
      </c>
      <c r="D786" s="18" t="s">
        <v>31</v>
      </c>
      <c r="E786" s="26">
        <v>42563.94861111111</v>
      </c>
      <c r="F786" s="19">
        <f>IFERROR(__xludf.DUMMYFUNCTION("IFERROR(TO_DATE(E786), """")"),42563.94861111111)</f>
        <v>42563.94861</v>
      </c>
      <c r="G786" s="20">
        <f t="shared" si="1"/>
        <v>22</v>
      </c>
      <c r="H786" s="26">
        <v>42563.97361111111</v>
      </c>
      <c r="I786" s="19">
        <f>IFERROR(__xludf.DUMMYFUNCTION("IFERROR(TO_DATE(H786), """")"),42563.97361111111)</f>
        <v>42563.97361</v>
      </c>
      <c r="J786" s="19" t="s">
        <v>13</v>
      </c>
      <c r="K786" s="22">
        <f t="shared" si="2"/>
        <v>0</v>
      </c>
    </row>
    <row r="787">
      <c r="A787" s="18">
        <v>3468.0</v>
      </c>
      <c r="B787" s="18" t="s">
        <v>32</v>
      </c>
      <c r="C787" s="18">
        <v>80.0</v>
      </c>
      <c r="D787" s="18" t="s">
        <v>31</v>
      </c>
      <c r="E787" s="27">
        <v>42564.71408564815</v>
      </c>
      <c r="F787" s="19">
        <f>IFERROR(__xludf.DUMMYFUNCTION("IFERROR(TO_DATE(E787), """")"),42564.71408564815)</f>
        <v>42564.71409</v>
      </c>
      <c r="G787" s="20">
        <f t="shared" si="1"/>
        <v>17</v>
      </c>
      <c r="H787" s="27">
        <v>42564.74045138889</v>
      </c>
      <c r="I787" s="19">
        <f>IFERROR(__xludf.DUMMYFUNCTION("IFERROR(TO_DATE(H787), """")"),42564.74045138889)</f>
        <v>42564.74045</v>
      </c>
      <c r="J787" s="19" t="s">
        <v>12</v>
      </c>
      <c r="K787" s="22">
        <f t="shared" si="2"/>
        <v>0</v>
      </c>
    </row>
    <row r="788">
      <c r="A788" s="18">
        <v>3826.0</v>
      </c>
      <c r="B788" s="18" t="s">
        <v>30</v>
      </c>
      <c r="C788" s="18">
        <v>80.0</v>
      </c>
      <c r="D788" s="18" t="s">
        <v>31</v>
      </c>
      <c r="E788" s="27">
        <v>42564.886458333334</v>
      </c>
      <c r="F788" s="19">
        <f>IFERROR(__xludf.DUMMYFUNCTION("IFERROR(TO_DATE(E788), """")"),42564.886458333334)</f>
        <v>42564.88646</v>
      </c>
      <c r="G788" s="20">
        <f t="shared" si="1"/>
        <v>21</v>
      </c>
      <c r="H788" s="27">
        <v>42564.910833333335</v>
      </c>
      <c r="I788" s="19">
        <f>IFERROR(__xludf.DUMMYFUNCTION("IFERROR(TO_DATE(H788), """")"),42564.910833333335)</f>
        <v>42564.91083</v>
      </c>
      <c r="J788" s="19" t="s">
        <v>13</v>
      </c>
      <c r="K788" s="22">
        <f t="shared" si="2"/>
        <v>0</v>
      </c>
    </row>
    <row r="789">
      <c r="A789" s="18">
        <v>5384.0</v>
      </c>
      <c r="B789" s="18" t="s">
        <v>30</v>
      </c>
      <c r="C789" s="18">
        <v>80.0</v>
      </c>
      <c r="D789" s="18" t="s">
        <v>31</v>
      </c>
      <c r="E789" s="27">
        <v>42565.002546296295</v>
      </c>
      <c r="F789" s="19">
        <f>IFERROR(__xludf.DUMMYFUNCTION("IFERROR(TO_DATE(E789), """")"),42565.002546296295)</f>
        <v>42565.00255</v>
      </c>
      <c r="G789" s="20">
        <f t="shared" si="1"/>
        <v>0</v>
      </c>
      <c r="H789" s="27">
        <v>42565.04443287037</v>
      </c>
      <c r="I789" s="19">
        <f>IFERROR(__xludf.DUMMYFUNCTION("IFERROR(TO_DATE(H789), """")"),42565.04443287037)</f>
        <v>42565.04443</v>
      </c>
      <c r="J789" s="19" t="s">
        <v>15</v>
      </c>
      <c r="K789" s="22">
        <f t="shared" si="2"/>
        <v>0</v>
      </c>
    </row>
    <row r="790">
      <c r="A790" s="18">
        <v>6460.0</v>
      </c>
      <c r="B790" s="18" t="s">
        <v>32</v>
      </c>
      <c r="C790" s="18">
        <v>80.0</v>
      </c>
      <c r="D790" s="18" t="s">
        <v>31</v>
      </c>
      <c r="E790" s="27">
        <v>42566.83998842593</v>
      </c>
      <c r="F790" s="19">
        <f>IFERROR(__xludf.DUMMYFUNCTION("IFERROR(TO_DATE(E790), """")"),42566.83998842593)</f>
        <v>42566.83999</v>
      </c>
      <c r="G790" s="20">
        <f t="shared" si="1"/>
        <v>20</v>
      </c>
      <c r="H790" s="27">
        <v>42566.870034722226</v>
      </c>
      <c r="I790" s="19">
        <f>IFERROR(__xludf.DUMMYFUNCTION("IFERROR(TO_DATE(H790), """")"),42566.870034722226)</f>
        <v>42566.87003</v>
      </c>
      <c r="J790" s="19" t="s">
        <v>13</v>
      </c>
      <c r="K790" s="22">
        <f t="shared" si="2"/>
        <v>0</v>
      </c>
    </row>
    <row r="791">
      <c r="A791" s="18">
        <v>269.0</v>
      </c>
      <c r="B791" s="18" t="s">
        <v>32</v>
      </c>
      <c r="C791" s="18">
        <v>81.0</v>
      </c>
      <c r="D791" s="18" t="s">
        <v>31</v>
      </c>
      <c r="E791" s="26">
        <v>42562.28055555555</v>
      </c>
      <c r="F791" s="19">
        <f>IFERROR(__xludf.DUMMYFUNCTION("IFERROR(TO_DATE(E791), """")"),42562.28055555555)</f>
        <v>42562.28056</v>
      </c>
      <c r="G791" s="20">
        <f t="shared" si="1"/>
        <v>6</v>
      </c>
      <c r="H791" s="26">
        <v>42562.32152777778</v>
      </c>
      <c r="I791" s="19">
        <f>IFERROR(__xludf.DUMMYFUNCTION("IFERROR(TO_DATE(H791), """")"),42562.32152777778)</f>
        <v>42562.32153</v>
      </c>
      <c r="J791" s="19" t="s">
        <v>11</v>
      </c>
      <c r="K791" s="22">
        <f t="shared" si="2"/>
        <v>0</v>
      </c>
    </row>
    <row r="792">
      <c r="A792" s="18">
        <v>336.0</v>
      </c>
      <c r="B792" s="18" t="s">
        <v>30</v>
      </c>
      <c r="C792" s="18">
        <v>81.0</v>
      </c>
      <c r="D792" s="18" t="s">
        <v>31</v>
      </c>
      <c r="E792" s="26">
        <v>42562.32638888889</v>
      </c>
      <c r="F792" s="19">
        <f>IFERROR(__xludf.DUMMYFUNCTION("IFERROR(TO_DATE(E792), """")"),42562.32638888889)</f>
        <v>42562.32639</v>
      </c>
      <c r="G792" s="20">
        <f t="shared" si="1"/>
        <v>7</v>
      </c>
      <c r="H792" s="26">
        <v>42562.36388888889</v>
      </c>
      <c r="I792" s="19">
        <f>IFERROR(__xludf.DUMMYFUNCTION("IFERROR(TO_DATE(H792), """")"),42562.36388888889)</f>
        <v>42562.36389</v>
      </c>
      <c r="J792" s="19" t="s">
        <v>11</v>
      </c>
      <c r="K792" s="22">
        <f t="shared" si="2"/>
        <v>0</v>
      </c>
    </row>
    <row r="793">
      <c r="A793" s="18">
        <v>1241.0</v>
      </c>
      <c r="B793" s="18" t="s">
        <v>30</v>
      </c>
      <c r="C793" s="18">
        <v>81.0</v>
      </c>
      <c r="D793" s="18" t="s">
        <v>31</v>
      </c>
      <c r="E793" s="26">
        <v>42562.90138888889</v>
      </c>
      <c r="F793" s="19">
        <f>IFERROR(__xludf.DUMMYFUNCTION("IFERROR(TO_DATE(E793), """")"),42562.90138888889)</f>
        <v>42562.90139</v>
      </c>
      <c r="G793" s="20">
        <f t="shared" si="1"/>
        <v>21</v>
      </c>
      <c r="H793" s="26">
        <v>42562.94583333333</v>
      </c>
      <c r="I793" s="19">
        <f>IFERROR(__xludf.DUMMYFUNCTION("IFERROR(TO_DATE(H793), """")"),42562.94583333333)</f>
        <v>42562.94583</v>
      </c>
      <c r="J793" s="19" t="s">
        <v>13</v>
      </c>
      <c r="K793" s="22">
        <f t="shared" si="2"/>
        <v>0</v>
      </c>
    </row>
    <row r="794">
      <c r="A794" s="18">
        <v>1651.0</v>
      </c>
      <c r="B794" s="18" t="s">
        <v>30</v>
      </c>
      <c r="C794" s="18">
        <v>81.0</v>
      </c>
      <c r="D794" s="18" t="s">
        <v>31</v>
      </c>
      <c r="E794" s="26">
        <v>42563.30625</v>
      </c>
      <c r="F794" s="19">
        <f>IFERROR(__xludf.DUMMYFUNCTION("IFERROR(TO_DATE(E794), """")"),42563.30625)</f>
        <v>42563.30625</v>
      </c>
      <c r="G794" s="20">
        <f t="shared" si="1"/>
        <v>7</v>
      </c>
      <c r="H794" s="26">
        <v>42563.33263888889</v>
      </c>
      <c r="I794" s="19">
        <f>IFERROR(__xludf.DUMMYFUNCTION("IFERROR(TO_DATE(H794), """")"),42563.33263888889)</f>
        <v>42563.33264</v>
      </c>
      <c r="J794" s="19" t="s">
        <v>11</v>
      </c>
      <c r="K794" s="22">
        <f t="shared" si="2"/>
        <v>0</v>
      </c>
    </row>
    <row r="795">
      <c r="A795" s="18">
        <v>1963.0</v>
      </c>
      <c r="B795" s="18" t="s">
        <v>32</v>
      </c>
      <c r="C795" s="18">
        <v>81.0</v>
      </c>
      <c r="D795" s="18" t="s">
        <v>31</v>
      </c>
      <c r="E795" s="26">
        <v>42563.498611111114</v>
      </c>
      <c r="F795" s="19">
        <f>IFERROR(__xludf.DUMMYFUNCTION("IFERROR(TO_DATE(E795), """")"),42563.498611111114)</f>
        <v>42563.49861</v>
      </c>
      <c r="G795" s="20">
        <f t="shared" si="1"/>
        <v>11</v>
      </c>
      <c r="H795" s="26">
        <v>42563.54236111111</v>
      </c>
      <c r="I795" s="19">
        <f>IFERROR(__xludf.DUMMYFUNCTION("IFERROR(TO_DATE(H795), """")"),42563.54236111111)</f>
        <v>42563.54236</v>
      </c>
      <c r="J795" s="19" t="s">
        <v>14</v>
      </c>
      <c r="K795" s="22">
        <f t="shared" si="2"/>
        <v>0</v>
      </c>
    </row>
    <row r="796">
      <c r="A796" s="18">
        <v>2368.0</v>
      </c>
      <c r="B796" s="18" t="s">
        <v>32</v>
      </c>
      <c r="C796" s="18">
        <v>81.0</v>
      </c>
      <c r="D796" s="18" t="s">
        <v>31</v>
      </c>
      <c r="E796" s="26">
        <v>42563.813888888886</v>
      </c>
      <c r="F796" s="19">
        <f>IFERROR(__xludf.DUMMYFUNCTION("IFERROR(TO_DATE(E796), """")"),42563.813888888886)</f>
        <v>42563.81389</v>
      </c>
      <c r="G796" s="20">
        <f t="shared" si="1"/>
        <v>19</v>
      </c>
      <c r="H796" s="26">
        <v>42563.84930555556</v>
      </c>
      <c r="I796" s="19">
        <f>IFERROR(__xludf.DUMMYFUNCTION("IFERROR(TO_DATE(H796), """")"),42563.84930555556)</f>
        <v>42563.84931</v>
      </c>
      <c r="J796" s="19" t="s">
        <v>12</v>
      </c>
      <c r="K796" s="22">
        <f t="shared" si="2"/>
        <v>0</v>
      </c>
    </row>
    <row r="797">
      <c r="A797" s="18">
        <v>3004.0</v>
      </c>
      <c r="B797" s="18" t="s">
        <v>30</v>
      </c>
      <c r="C797" s="18">
        <v>81.0</v>
      </c>
      <c r="D797" s="18" t="s">
        <v>31</v>
      </c>
      <c r="E797" s="27">
        <v>42564.30385416667</v>
      </c>
      <c r="F797" s="19">
        <f>IFERROR(__xludf.DUMMYFUNCTION("IFERROR(TO_DATE(E797), """")"),42564.30385416667)</f>
        <v>42564.30385</v>
      </c>
      <c r="G797" s="20">
        <f t="shared" si="1"/>
        <v>7</v>
      </c>
      <c r="H797" s="27">
        <v>42564.35186342592</v>
      </c>
      <c r="I797" s="19">
        <f>IFERROR(__xludf.DUMMYFUNCTION("IFERROR(TO_DATE(H797), """")"),42564.35186342592)</f>
        <v>42564.35186</v>
      </c>
      <c r="J797" s="19" t="s">
        <v>11</v>
      </c>
      <c r="K797" s="22">
        <f t="shared" si="2"/>
        <v>0</v>
      </c>
    </row>
    <row r="798">
      <c r="A798" s="18">
        <v>3310.0</v>
      </c>
      <c r="B798" s="18" t="s">
        <v>32</v>
      </c>
      <c r="C798" s="18">
        <v>81.0</v>
      </c>
      <c r="D798" s="18" t="s">
        <v>31</v>
      </c>
      <c r="E798" s="27">
        <v>42564.49686342593</v>
      </c>
      <c r="F798" s="19">
        <f>IFERROR(__xludf.DUMMYFUNCTION("IFERROR(TO_DATE(E798), """")"),42564.49686342593)</f>
        <v>42564.49686</v>
      </c>
      <c r="G798" s="20">
        <f t="shared" si="1"/>
        <v>11</v>
      </c>
      <c r="H798" s="27">
        <v>42564.53962962963</v>
      </c>
      <c r="I798" s="19">
        <f>IFERROR(__xludf.DUMMYFUNCTION("IFERROR(TO_DATE(H798), """")"),42564.53962962963)</f>
        <v>42564.53963</v>
      </c>
      <c r="J798" s="19" t="s">
        <v>14</v>
      </c>
      <c r="K798" s="22">
        <f t="shared" si="2"/>
        <v>0</v>
      </c>
    </row>
    <row r="799">
      <c r="A799" s="18">
        <v>3391.0</v>
      </c>
      <c r="B799" s="18" t="s">
        <v>32</v>
      </c>
      <c r="C799" s="18">
        <v>81.0</v>
      </c>
      <c r="D799" s="18" t="s">
        <v>31</v>
      </c>
      <c r="E799" s="27">
        <v>42564.607627314814</v>
      </c>
      <c r="F799" s="19">
        <f>IFERROR(__xludf.DUMMYFUNCTION("IFERROR(TO_DATE(E799), """")"),42564.607627314814)</f>
        <v>42564.60763</v>
      </c>
      <c r="G799" s="20">
        <f t="shared" si="1"/>
        <v>14</v>
      </c>
      <c r="H799" s="27">
        <v>42564.66038194444</v>
      </c>
      <c r="I799" s="19">
        <f>IFERROR(__xludf.DUMMYFUNCTION("IFERROR(TO_DATE(H799), """")"),42564.66038194444)</f>
        <v>42564.66038</v>
      </c>
      <c r="J799" s="19" t="s">
        <v>10</v>
      </c>
      <c r="K799" s="22">
        <f t="shared" si="2"/>
        <v>0</v>
      </c>
    </row>
    <row r="800">
      <c r="A800" s="18">
        <v>4194.0</v>
      </c>
      <c r="B800" s="18" t="s">
        <v>30</v>
      </c>
      <c r="C800" s="18">
        <v>81.0</v>
      </c>
      <c r="D800" s="18" t="s">
        <v>31</v>
      </c>
      <c r="E800" s="27">
        <v>42565.227118055554</v>
      </c>
      <c r="F800" s="19">
        <f>IFERROR(__xludf.DUMMYFUNCTION("IFERROR(TO_DATE(E800), """")"),42565.227118055554)</f>
        <v>42565.22712</v>
      </c>
      <c r="G800" s="20">
        <f t="shared" si="1"/>
        <v>5</v>
      </c>
      <c r="H800" s="27">
        <v>42565.25928240741</v>
      </c>
      <c r="I800" s="19">
        <f>IFERROR(__xludf.DUMMYFUNCTION("IFERROR(TO_DATE(H800), """")"),42565.25928240741)</f>
        <v>42565.25928</v>
      </c>
      <c r="J800" s="19" t="s">
        <v>11</v>
      </c>
      <c r="K800" s="22">
        <f t="shared" si="2"/>
        <v>0</v>
      </c>
    </row>
    <row r="801">
      <c r="A801" s="18">
        <v>5728.0</v>
      </c>
      <c r="B801" s="18" t="s">
        <v>32</v>
      </c>
      <c r="C801" s="18">
        <v>81.0</v>
      </c>
      <c r="D801" s="18" t="s">
        <v>31</v>
      </c>
      <c r="E801" s="27">
        <v>42566.32090277778</v>
      </c>
      <c r="F801" s="19">
        <f>IFERROR(__xludf.DUMMYFUNCTION("IFERROR(TO_DATE(E801), """")"),42566.32090277778)</f>
        <v>42566.3209</v>
      </c>
      <c r="G801" s="20">
        <f t="shared" si="1"/>
        <v>7</v>
      </c>
      <c r="H801" s="27">
        <v>42566.36466435185</v>
      </c>
      <c r="I801" s="19">
        <f>IFERROR(__xludf.DUMMYFUNCTION("IFERROR(TO_DATE(H801), """")"),42566.36466435185)</f>
        <v>42566.36466</v>
      </c>
      <c r="J801" s="19" t="s">
        <v>11</v>
      </c>
      <c r="K801" s="22">
        <f t="shared" si="2"/>
        <v>0</v>
      </c>
    </row>
    <row r="802">
      <c r="A802" s="18">
        <v>6091.0</v>
      </c>
      <c r="B802" s="18" t="s">
        <v>32</v>
      </c>
      <c r="C802" s="18">
        <v>81.0</v>
      </c>
      <c r="D802" s="18" t="s">
        <v>31</v>
      </c>
      <c r="E802" s="27">
        <v>42566.60925925926</v>
      </c>
      <c r="F802" s="19">
        <f>IFERROR(__xludf.DUMMYFUNCTION("IFERROR(TO_DATE(E802), """")"),42566.60925925926)</f>
        <v>42566.60926</v>
      </c>
      <c r="G802" s="20">
        <f t="shared" si="1"/>
        <v>14</v>
      </c>
      <c r="H802" s="27">
        <v>42566.63686342593</v>
      </c>
      <c r="I802" s="19">
        <f>IFERROR(__xludf.DUMMYFUNCTION("IFERROR(TO_DATE(H802), """")"),42566.63686342593)</f>
        <v>42566.63686</v>
      </c>
      <c r="J802" s="19" t="s">
        <v>10</v>
      </c>
      <c r="K802" s="22">
        <f t="shared" si="2"/>
        <v>0</v>
      </c>
    </row>
    <row r="803">
      <c r="A803" s="18">
        <v>6748.0</v>
      </c>
      <c r="B803" s="18" t="s">
        <v>30</v>
      </c>
      <c r="C803" s="18">
        <v>81.0</v>
      </c>
      <c r="D803" s="18" t="s">
        <v>31</v>
      </c>
      <c r="E803" s="27">
        <v>42566.98986111111</v>
      </c>
      <c r="F803" s="19">
        <f>IFERROR(__xludf.DUMMYFUNCTION("IFERROR(TO_DATE(E803), """")"),42566.98986111111)</f>
        <v>42566.98986</v>
      </c>
      <c r="G803" s="20">
        <f t="shared" si="1"/>
        <v>23</v>
      </c>
      <c r="H803" s="27">
        <v>42567.03585648148</v>
      </c>
      <c r="I803" s="19">
        <f>IFERROR(__xludf.DUMMYFUNCTION("IFERROR(TO_DATE(H803), """")"),42567.03585648148)</f>
        <v>42567.03586</v>
      </c>
      <c r="J803" s="19" t="s">
        <v>13</v>
      </c>
      <c r="K803" s="22">
        <f t="shared" si="2"/>
        <v>0</v>
      </c>
    </row>
    <row r="804">
      <c r="A804" s="18">
        <v>286.0</v>
      </c>
      <c r="B804" s="18" t="s">
        <v>32</v>
      </c>
      <c r="C804" s="18">
        <v>82.0</v>
      </c>
      <c r="D804" s="18" t="s">
        <v>31</v>
      </c>
      <c r="E804" s="26">
        <v>42562.29027777778</v>
      </c>
      <c r="F804" s="19">
        <f>IFERROR(__xludf.DUMMYFUNCTION("IFERROR(TO_DATE(E804), """")"),42562.29027777778)</f>
        <v>42562.29028</v>
      </c>
      <c r="G804" s="20">
        <f t="shared" si="1"/>
        <v>6</v>
      </c>
      <c r="H804" s="26">
        <v>42562.32916666667</v>
      </c>
      <c r="I804" s="19">
        <f>IFERROR(__xludf.DUMMYFUNCTION("IFERROR(TO_DATE(H804), """")"),42562.32916666667)</f>
        <v>42562.32917</v>
      </c>
      <c r="J804" s="19" t="s">
        <v>11</v>
      </c>
      <c r="K804" s="22">
        <f t="shared" si="2"/>
        <v>0</v>
      </c>
    </row>
    <row r="805">
      <c r="A805" s="18">
        <v>547.0</v>
      </c>
      <c r="B805" s="18" t="s">
        <v>30</v>
      </c>
      <c r="C805" s="18">
        <v>82.0</v>
      </c>
      <c r="D805" s="18" t="s">
        <v>31</v>
      </c>
      <c r="E805" s="26">
        <v>42562.41736111111</v>
      </c>
      <c r="F805" s="19">
        <f>IFERROR(__xludf.DUMMYFUNCTION("IFERROR(TO_DATE(E805), """")"),42562.41736111111)</f>
        <v>42562.41736</v>
      </c>
      <c r="G805" s="20">
        <f t="shared" si="1"/>
        <v>10</v>
      </c>
      <c r="H805" s="26">
        <v>42562.44930555556</v>
      </c>
      <c r="I805" s="19">
        <f>IFERROR(__xludf.DUMMYFUNCTION("IFERROR(TO_DATE(H805), """")"),42562.44930555556)</f>
        <v>42562.44931</v>
      </c>
      <c r="J805" s="19" t="s">
        <v>14</v>
      </c>
      <c r="K805" s="22">
        <f t="shared" si="2"/>
        <v>0</v>
      </c>
    </row>
    <row r="806">
      <c r="A806" s="18">
        <v>574.0</v>
      </c>
      <c r="B806" s="18" t="s">
        <v>32</v>
      </c>
      <c r="C806" s="18">
        <v>82.0</v>
      </c>
      <c r="D806" s="18" t="s">
        <v>31</v>
      </c>
      <c r="E806" s="26">
        <v>42562.45694444444</v>
      </c>
      <c r="F806" s="19">
        <f>IFERROR(__xludf.DUMMYFUNCTION("IFERROR(TO_DATE(E806), """")"),42562.45694444444)</f>
        <v>42562.45694</v>
      </c>
      <c r="G806" s="20">
        <f t="shared" si="1"/>
        <v>10</v>
      </c>
      <c r="H806" s="26">
        <v>42562.48541666667</v>
      </c>
      <c r="I806" s="19">
        <f>IFERROR(__xludf.DUMMYFUNCTION("IFERROR(TO_DATE(H806), """")"),42562.48541666667)</f>
        <v>42562.48542</v>
      </c>
      <c r="J806" s="19" t="s">
        <v>14</v>
      </c>
      <c r="K806" s="22">
        <f t="shared" si="2"/>
        <v>0</v>
      </c>
    </row>
    <row r="807">
      <c r="A807" s="18">
        <v>936.0</v>
      </c>
      <c r="B807" s="18" t="s">
        <v>30</v>
      </c>
      <c r="C807" s="18">
        <v>82.0</v>
      </c>
      <c r="D807" s="18" t="s">
        <v>31</v>
      </c>
      <c r="E807" s="26">
        <v>42562.76944444444</v>
      </c>
      <c r="F807" s="19">
        <f>IFERROR(__xludf.DUMMYFUNCTION("IFERROR(TO_DATE(E807), """")"),42562.76944444444)</f>
        <v>42562.76944</v>
      </c>
      <c r="G807" s="20">
        <f t="shared" si="1"/>
        <v>18</v>
      </c>
      <c r="H807" s="26">
        <v>42562.80902777778</v>
      </c>
      <c r="I807" s="19">
        <f>IFERROR(__xludf.DUMMYFUNCTION("IFERROR(TO_DATE(H807), """")"),42562.80902777778)</f>
        <v>42562.80903</v>
      </c>
      <c r="J807" s="19" t="s">
        <v>12</v>
      </c>
      <c r="K807" s="22">
        <f t="shared" si="2"/>
        <v>0</v>
      </c>
    </row>
    <row r="808">
      <c r="A808" s="18">
        <v>1514.0</v>
      </c>
      <c r="B808" s="18" t="s">
        <v>30</v>
      </c>
      <c r="C808" s="18">
        <v>82.0</v>
      </c>
      <c r="D808" s="18" t="s">
        <v>31</v>
      </c>
      <c r="E808" s="26">
        <v>42563.236805555556</v>
      </c>
      <c r="F808" s="19">
        <f>IFERROR(__xludf.DUMMYFUNCTION("IFERROR(TO_DATE(E808), """")"),42563.236805555556)</f>
        <v>42563.23681</v>
      </c>
      <c r="G808" s="20">
        <f t="shared" si="1"/>
        <v>5</v>
      </c>
      <c r="H808" s="26">
        <v>42563.2625</v>
      </c>
      <c r="I808" s="19">
        <f>IFERROR(__xludf.DUMMYFUNCTION("IFERROR(TO_DATE(H808), """")"),42563.2625)</f>
        <v>42563.2625</v>
      </c>
      <c r="J808" s="19" t="s">
        <v>11</v>
      </c>
      <c r="K808" s="22">
        <f t="shared" si="2"/>
        <v>0</v>
      </c>
    </row>
    <row r="809">
      <c r="A809" s="18">
        <v>1656.0</v>
      </c>
      <c r="B809" s="18" t="s">
        <v>32</v>
      </c>
      <c r="C809" s="18">
        <v>82.0</v>
      </c>
      <c r="D809" s="18" t="s">
        <v>31</v>
      </c>
      <c r="E809" s="26">
        <v>42563.30972222222</v>
      </c>
      <c r="F809" s="19">
        <f>IFERROR(__xludf.DUMMYFUNCTION("IFERROR(TO_DATE(E809), """")"),42563.30972222222)</f>
        <v>42563.30972</v>
      </c>
      <c r="G809" s="20">
        <f t="shared" si="1"/>
        <v>7</v>
      </c>
      <c r="H809" s="26">
        <v>42563.35763888889</v>
      </c>
      <c r="I809" s="19">
        <f>IFERROR(__xludf.DUMMYFUNCTION("IFERROR(TO_DATE(H809), """")"),42563.35763888889)</f>
        <v>42563.35764</v>
      </c>
      <c r="J809" s="19" t="s">
        <v>11</v>
      </c>
      <c r="K809" s="22">
        <f t="shared" si="2"/>
        <v>0</v>
      </c>
    </row>
    <row r="810">
      <c r="A810" s="18">
        <v>2405.0</v>
      </c>
      <c r="B810" s="18" t="s">
        <v>30</v>
      </c>
      <c r="C810" s="18">
        <v>82.0</v>
      </c>
      <c r="D810" s="18" t="s">
        <v>31</v>
      </c>
      <c r="E810" s="26">
        <v>42563.834027777775</v>
      </c>
      <c r="F810" s="19">
        <f>IFERROR(__xludf.DUMMYFUNCTION("IFERROR(TO_DATE(E810), """")"),42563.834027777775)</f>
        <v>42563.83403</v>
      </c>
      <c r="G810" s="20">
        <f t="shared" si="1"/>
        <v>20</v>
      </c>
      <c r="H810" s="26">
        <v>42563.87013888889</v>
      </c>
      <c r="I810" s="19">
        <f>IFERROR(__xludf.DUMMYFUNCTION("IFERROR(TO_DATE(H810), """")"),42563.87013888889)</f>
        <v>42563.87014</v>
      </c>
      <c r="J810" s="19" t="s">
        <v>13</v>
      </c>
      <c r="K810" s="22">
        <f t="shared" si="2"/>
        <v>0</v>
      </c>
    </row>
    <row r="811">
      <c r="A811" s="18">
        <v>3372.0</v>
      </c>
      <c r="B811" s="18" t="s">
        <v>30</v>
      </c>
      <c r="C811" s="18">
        <v>82.0</v>
      </c>
      <c r="D811" s="18" t="s">
        <v>31</v>
      </c>
      <c r="E811" s="27">
        <v>42564.585625</v>
      </c>
      <c r="F811" s="19">
        <f>IFERROR(__xludf.DUMMYFUNCTION("IFERROR(TO_DATE(E811), """")"),42564.585625)</f>
        <v>42564.58563</v>
      </c>
      <c r="G811" s="20">
        <f t="shared" si="1"/>
        <v>14</v>
      </c>
      <c r="H811" s="27">
        <v>42564.60967592592</v>
      </c>
      <c r="I811" s="19">
        <f>IFERROR(__xludf.DUMMYFUNCTION("IFERROR(TO_DATE(H811), """")"),42564.60967592592)</f>
        <v>42564.60968</v>
      </c>
      <c r="J811" s="19" t="s">
        <v>10</v>
      </c>
      <c r="K811" s="22">
        <f t="shared" si="2"/>
        <v>0</v>
      </c>
    </row>
    <row r="812">
      <c r="A812" s="18">
        <v>4215.0</v>
      </c>
      <c r="B812" s="18" t="s">
        <v>30</v>
      </c>
      <c r="C812" s="18">
        <v>82.0</v>
      </c>
      <c r="D812" s="18" t="s">
        <v>31</v>
      </c>
      <c r="E812" s="27">
        <v>42565.23667824074</v>
      </c>
      <c r="F812" s="19">
        <f>IFERROR(__xludf.DUMMYFUNCTION("IFERROR(TO_DATE(E812), """")"),42565.23667824074)</f>
        <v>42565.23668</v>
      </c>
      <c r="G812" s="20">
        <f t="shared" si="1"/>
        <v>5</v>
      </c>
      <c r="H812" s="27">
        <v>42565.27690972222</v>
      </c>
      <c r="I812" s="19">
        <f>IFERROR(__xludf.DUMMYFUNCTION("IFERROR(TO_DATE(H812), """")"),42565.27690972222)</f>
        <v>42565.27691</v>
      </c>
      <c r="J812" s="19" t="s">
        <v>11</v>
      </c>
      <c r="K812" s="22">
        <f t="shared" si="2"/>
        <v>0</v>
      </c>
    </row>
    <row r="813">
      <c r="A813" s="18">
        <v>6486.0</v>
      </c>
      <c r="B813" s="18" t="s">
        <v>32</v>
      </c>
      <c r="C813" s="18">
        <v>82.0</v>
      </c>
      <c r="D813" s="18" t="s">
        <v>31</v>
      </c>
      <c r="E813" s="27">
        <v>42566.85157407408</v>
      </c>
      <c r="F813" s="19">
        <f>IFERROR(__xludf.DUMMYFUNCTION("IFERROR(TO_DATE(E813), """")"),42566.85157407408)</f>
        <v>42566.85157</v>
      </c>
      <c r="G813" s="20">
        <f t="shared" si="1"/>
        <v>20</v>
      </c>
      <c r="H813" s="27">
        <v>42566.880949074075</v>
      </c>
      <c r="I813" s="19">
        <f>IFERROR(__xludf.DUMMYFUNCTION("IFERROR(TO_DATE(H813), """")"),42566.880949074075)</f>
        <v>42566.88095</v>
      </c>
      <c r="J813" s="19" t="s">
        <v>13</v>
      </c>
      <c r="K813" s="22">
        <f t="shared" si="2"/>
        <v>0</v>
      </c>
    </row>
    <row r="814">
      <c r="A814" s="18">
        <v>520.0</v>
      </c>
      <c r="B814" s="18" t="s">
        <v>32</v>
      </c>
      <c r="C814" s="18">
        <v>83.0</v>
      </c>
      <c r="D814" s="18" t="s">
        <v>31</v>
      </c>
      <c r="E814" s="26">
        <v>42562.407638888886</v>
      </c>
      <c r="F814" s="19">
        <f>IFERROR(__xludf.DUMMYFUNCTION("IFERROR(TO_DATE(E814), """")"),42562.407638888886)</f>
        <v>42562.40764</v>
      </c>
      <c r="G814" s="20">
        <f t="shared" si="1"/>
        <v>9</v>
      </c>
      <c r="H814" s="26">
        <v>42562.44652777778</v>
      </c>
      <c r="I814" s="19">
        <f>IFERROR(__xludf.DUMMYFUNCTION("IFERROR(TO_DATE(H814), """")"),42562.44652777778)</f>
        <v>42562.44653</v>
      </c>
      <c r="J814" s="19" t="s">
        <v>14</v>
      </c>
      <c r="K814" s="22">
        <f t="shared" si="2"/>
        <v>0</v>
      </c>
    </row>
    <row r="815">
      <c r="A815" s="18">
        <v>1285.0</v>
      </c>
      <c r="B815" s="18" t="s">
        <v>32</v>
      </c>
      <c r="C815" s="18">
        <v>83.0</v>
      </c>
      <c r="D815" s="18" t="s">
        <v>31</v>
      </c>
      <c r="E815" s="26">
        <v>42562.92569444444</v>
      </c>
      <c r="F815" s="19">
        <f>IFERROR(__xludf.DUMMYFUNCTION("IFERROR(TO_DATE(E815), """")"),42562.92569444444)</f>
        <v>42562.92569</v>
      </c>
      <c r="G815" s="20">
        <f t="shared" si="1"/>
        <v>22</v>
      </c>
      <c r="H815" s="26">
        <v>42562.970138888886</v>
      </c>
      <c r="I815" s="19">
        <f>IFERROR(__xludf.DUMMYFUNCTION("IFERROR(TO_DATE(H815), """")"),42562.970138888886)</f>
        <v>42562.97014</v>
      </c>
      <c r="J815" s="19" t="s">
        <v>13</v>
      </c>
      <c r="K815" s="22">
        <f t="shared" si="2"/>
        <v>0</v>
      </c>
    </row>
    <row r="816">
      <c r="A816" s="18">
        <v>3394.0</v>
      </c>
      <c r="B816" s="18" t="s">
        <v>32</v>
      </c>
      <c r="C816" s="18">
        <v>83.0</v>
      </c>
      <c r="D816" s="18" t="s">
        <v>31</v>
      </c>
      <c r="E816" s="27">
        <v>42564.619305555556</v>
      </c>
      <c r="F816" s="19">
        <f>IFERROR(__xludf.DUMMYFUNCTION("IFERROR(TO_DATE(E816), """")"),42564.619305555556)</f>
        <v>42564.61931</v>
      </c>
      <c r="G816" s="20">
        <f t="shared" si="1"/>
        <v>14</v>
      </c>
      <c r="H816" s="27">
        <v>42564.647361111114</v>
      </c>
      <c r="I816" s="19">
        <f>IFERROR(__xludf.DUMMYFUNCTION("IFERROR(TO_DATE(H816), """")"),42564.647361111114)</f>
        <v>42564.64736</v>
      </c>
      <c r="J816" s="19" t="s">
        <v>10</v>
      </c>
      <c r="K816" s="22">
        <f t="shared" si="2"/>
        <v>0</v>
      </c>
    </row>
    <row r="817">
      <c r="A817" s="18">
        <v>3520.0</v>
      </c>
      <c r="B817" s="18" t="s">
        <v>32</v>
      </c>
      <c r="C817" s="18">
        <v>83.0</v>
      </c>
      <c r="D817" s="18" t="s">
        <v>31</v>
      </c>
      <c r="E817" s="27">
        <v>42564.73835648148</v>
      </c>
      <c r="F817" s="19">
        <f>IFERROR(__xludf.DUMMYFUNCTION("IFERROR(TO_DATE(E817), """")"),42564.73835648148)</f>
        <v>42564.73836</v>
      </c>
      <c r="G817" s="20">
        <f t="shared" si="1"/>
        <v>17</v>
      </c>
      <c r="H817" s="27">
        <v>42564.775671296295</v>
      </c>
      <c r="I817" s="19">
        <f>IFERROR(__xludf.DUMMYFUNCTION("IFERROR(TO_DATE(H817), """")"),42564.775671296295)</f>
        <v>42564.77567</v>
      </c>
      <c r="J817" s="19" t="s">
        <v>12</v>
      </c>
      <c r="K817" s="22">
        <f t="shared" si="2"/>
        <v>0</v>
      </c>
    </row>
    <row r="818">
      <c r="A818" s="18">
        <v>4998.0</v>
      </c>
      <c r="B818" s="18" t="s">
        <v>32</v>
      </c>
      <c r="C818" s="18">
        <v>83.0</v>
      </c>
      <c r="D818" s="18" t="s">
        <v>31</v>
      </c>
      <c r="E818" s="27">
        <v>42565.78666666667</v>
      </c>
      <c r="F818" s="19">
        <f>IFERROR(__xludf.DUMMYFUNCTION("IFERROR(TO_DATE(E818), """")"),42565.78666666667)</f>
        <v>42565.78667</v>
      </c>
      <c r="G818" s="20">
        <f t="shared" si="1"/>
        <v>18</v>
      </c>
      <c r="H818" s="27">
        <v>42565.83619212963</v>
      </c>
      <c r="I818" s="19">
        <f>IFERROR(__xludf.DUMMYFUNCTION("IFERROR(TO_DATE(H818), """")"),42565.83619212963)</f>
        <v>42565.83619</v>
      </c>
      <c r="J818" s="19" t="s">
        <v>12</v>
      </c>
      <c r="K818" s="22">
        <f t="shared" si="2"/>
        <v>0</v>
      </c>
    </row>
    <row r="819">
      <c r="A819" s="18">
        <v>5377.0</v>
      </c>
      <c r="B819" s="18" t="s">
        <v>32</v>
      </c>
      <c r="C819" s="18">
        <v>83.0</v>
      </c>
      <c r="D819" s="18" t="s">
        <v>31</v>
      </c>
      <c r="E819" s="27">
        <v>42565.98752314815</v>
      </c>
      <c r="F819" s="19">
        <f>IFERROR(__xludf.DUMMYFUNCTION("IFERROR(TO_DATE(E819), """")"),42565.98752314815)</f>
        <v>42565.98752</v>
      </c>
      <c r="G819" s="20">
        <f t="shared" si="1"/>
        <v>23</v>
      </c>
      <c r="H819" s="27">
        <v>42566.02752314815</v>
      </c>
      <c r="I819" s="19">
        <f>IFERROR(__xludf.DUMMYFUNCTION("IFERROR(TO_DATE(H819), """")"),42566.02752314815)</f>
        <v>42566.02752</v>
      </c>
      <c r="J819" s="19" t="s">
        <v>13</v>
      </c>
      <c r="K819" s="22">
        <f t="shared" si="2"/>
        <v>0</v>
      </c>
    </row>
    <row r="820">
      <c r="A820" s="18">
        <v>5759.0</v>
      </c>
      <c r="B820" s="18" t="s">
        <v>32</v>
      </c>
      <c r="C820" s="18">
        <v>83.0</v>
      </c>
      <c r="D820" s="18" t="s">
        <v>31</v>
      </c>
      <c r="E820" s="27">
        <v>42566.34484953704</v>
      </c>
      <c r="F820" s="19">
        <f>IFERROR(__xludf.DUMMYFUNCTION("IFERROR(TO_DATE(E820), """")"),42566.34484953704)</f>
        <v>42566.34485</v>
      </c>
      <c r="G820" s="20">
        <f t="shared" si="1"/>
        <v>8</v>
      </c>
      <c r="H820" s="27">
        <v>42566.37130787037</v>
      </c>
      <c r="I820" s="19">
        <f>IFERROR(__xludf.DUMMYFUNCTION("IFERROR(TO_DATE(H820), """")"),42566.37130787037)</f>
        <v>42566.37131</v>
      </c>
      <c r="J820" s="19" t="s">
        <v>14</v>
      </c>
      <c r="K820" s="22">
        <f t="shared" si="2"/>
        <v>0</v>
      </c>
    </row>
    <row r="821">
      <c r="A821" s="18">
        <v>422.0</v>
      </c>
      <c r="B821" s="18" t="s">
        <v>32</v>
      </c>
      <c r="C821" s="18">
        <v>84.0</v>
      </c>
      <c r="D821" s="18" t="s">
        <v>31</v>
      </c>
      <c r="E821" s="26">
        <v>42562.3625</v>
      </c>
      <c r="F821" s="19">
        <f>IFERROR(__xludf.DUMMYFUNCTION("IFERROR(TO_DATE(E821), """")"),42562.3625)</f>
        <v>42562.3625</v>
      </c>
      <c r="G821" s="20">
        <f t="shared" si="1"/>
        <v>8</v>
      </c>
      <c r="H821" s="26">
        <v>42562.41388888889</v>
      </c>
      <c r="I821" s="19">
        <f>IFERROR(__xludf.DUMMYFUNCTION("IFERROR(TO_DATE(H821), """")"),42562.41388888889)</f>
        <v>42562.41389</v>
      </c>
      <c r="J821" s="19" t="s">
        <v>14</v>
      </c>
      <c r="K821" s="22">
        <f t="shared" si="2"/>
        <v>0</v>
      </c>
    </row>
    <row r="822">
      <c r="A822" s="18">
        <v>578.0</v>
      </c>
      <c r="B822" s="18" t="s">
        <v>30</v>
      </c>
      <c r="C822" s="18">
        <v>84.0</v>
      </c>
      <c r="D822" s="18" t="s">
        <v>31</v>
      </c>
      <c r="E822" s="26">
        <v>42562.46041666667</v>
      </c>
      <c r="F822" s="19">
        <f>IFERROR(__xludf.DUMMYFUNCTION("IFERROR(TO_DATE(E822), """")"),42562.46041666667)</f>
        <v>42562.46042</v>
      </c>
      <c r="G822" s="20">
        <f t="shared" si="1"/>
        <v>11</v>
      </c>
      <c r="H822" s="26">
        <v>42562.49513888889</v>
      </c>
      <c r="I822" s="19">
        <f>IFERROR(__xludf.DUMMYFUNCTION("IFERROR(TO_DATE(H822), """")"),42562.49513888889)</f>
        <v>42562.49514</v>
      </c>
      <c r="J822" s="19" t="s">
        <v>14</v>
      </c>
      <c r="K822" s="22">
        <f t="shared" si="2"/>
        <v>0</v>
      </c>
    </row>
    <row r="823">
      <c r="A823" s="18">
        <v>3035.0</v>
      </c>
      <c r="B823" s="18" t="s">
        <v>32</v>
      </c>
      <c r="C823" s="18">
        <v>84.0</v>
      </c>
      <c r="D823" s="18" t="s">
        <v>31</v>
      </c>
      <c r="E823" s="27">
        <v>42564.31335648148</v>
      </c>
      <c r="F823" s="19">
        <f>IFERROR(__xludf.DUMMYFUNCTION("IFERROR(TO_DATE(E823), """")"),42564.31335648148)</f>
        <v>42564.31336</v>
      </c>
      <c r="G823" s="20">
        <f t="shared" si="1"/>
        <v>7</v>
      </c>
      <c r="H823" s="27">
        <v>42564.366435185184</v>
      </c>
      <c r="I823" s="19">
        <f>IFERROR(__xludf.DUMMYFUNCTION("IFERROR(TO_DATE(H823), """")"),42564.366435185184)</f>
        <v>42564.36644</v>
      </c>
      <c r="J823" s="19" t="s">
        <v>11</v>
      </c>
      <c r="K823" s="22">
        <f t="shared" si="2"/>
        <v>0</v>
      </c>
    </row>
    <row r="824">
      <c r="A824" s="18">
        <v>3728.0</v>
      </c>
      <c r="B824" s="18" t="s">
        <v>30</v>
      </c>
      <c r="C824" s="18">
        <v>84.0</v>
      </c>
      <c r="D824" s="18" t="s">
        <v>31</v>
      </c>
      <c r="E824" s="27">
        <v>42564.835497685184</v>
      </c>
      <c r="F824" s="19">
        <f>IFERROR(__xludf.DUMMYFUNCTION("IFERROR(TO_DATE(E824), """")"),42564.835497685184)</f>
        <v>42564.8355</v>
      </c>
      <c r="G824" s="20">
        <f t="shared" si="1"/>
        <v>20</v>
      </c>
      <c r="H824" s="27">
        <v>42564.88668981481</v>
      </c>
      <c r="I824" s="19">
        <f>IFERROR(__xludf.DUMMYFUNCTION("IFERROR(TO_DATE(H824), """")"),42564.88668981481)</f>
        <v>42564.88669</v>
      </c>
      <c r="J824" s="19" t="s">
        <v>13</v>
      </c>
      <c r="K824" s="22">
        <f t="shared" si="2"/>
        <v>0</v>
      </c>
    </row>
    <row r="825">
      <c r="A825" s="18">
        <v>4097.0</v>
      </c>
      <c r="B825" s="18" t="s">
        <v>32</v>
      </c>
      <c r="C825" s="18">
        <v>84.0</v>
      </c>
      <c r="D825" s="18" t="s">
        <v>31</v>
      </c>
      <c r="E825" s="27">
        <v>42565.13568287037</v>
      </c>
      <c r="F825" s="19">
        <f>IFERROR(__xludf.DUMMYFUNCTION("IFERROR(TO_DATE(E825), """")"),42565.13568287037)</f>
        <v>42565.13568</v>
      </c>
      <c r="G825" s="20">
        <f t="shared" si="1"/>
        <v>3</v>
      </c>
      <c r="H825" s="27">
        <v>42565.17039351852</v>
      </c>
      <c r="I825" s="19">
        <f>IFERROR(__xludf.DUMMYFUNCTION("IFERROR(TO_DATE(H825), """")"),42565.17039351852)</f>
        <v>42565.17039</v>
      </c>
      <c r="J825" s="19" t="s">
        <v>15</v>
      </c>
      <c r="K825" s="22">
        <f t="shared" si="2"/>
        <v>0</v>
      </c>
    </row>
    <row r="826">
      <c r="A826" s="18">
        <v>5184.0</v>
      </c>
      <c r="B826" s="18" t="s">
        <v>32</v>
      </c>
      <c r="C826" s="18">
        <v>84.0</v>
      </c>
      <c r="D826" s="18" t="s">
        <v>31</v>
      </c>
      <c r="E826" s="27">
        <v>42565.86277777778</v>
      </c>
      <c r="F826" s="19">
        <f>IFERROR(__xludf.DUMMYFUNCTION("IFERROR(TO_DATE(E826), """")"),42565.86277777778)</f>
        <v>42565.86278</v>
      </c>
      <c r="G826" s="20">
        <f t="shared" si="1"/>
        <v>20</v>
      </c>
      <c r="H826" s="27">
        <v>42565.90967592593</v>
      </c>
      <c r="I826" s="19">
        <f>IFERROR(__xludf.DUMMYFUNCTION("IFERROR(TO_DATE(H826), """")"),42565.90967592593)</f>
        <v>42565.90968</v>
      </c>
      <c r="J826" s="19" t="s">
        <v>13</v>
      </c>
      <c r="K826" s="22">
        <f t="shared" si="2"/>
        <v>0</v>
      </c>
    </row>
    <row r="827">
      <c r="A827" s="18">
        <v>5404.0</v>
      </c>
      <c r="B827" s="18" t="s">
        <v>32</v>
      </c>
      <c r="C827" s="18">
        <v>84.0</v>
      </c>
      <c r="D827" s="18" t="s">
        <v>31</v>
      </c>
      <c r="E827" s="27">
        <v>42566.050671296296</v>
      </c>
      <c r="F827" s="19">
        <f>IFERROR(__xludf.DUMMYFUNCTION("IFERROR(TO_DATE(E827), """")"),42566.050671296296)</f>
        <v>42566.05067</v>
      </c>
      <c r="G827" s="20">
        <f t="shared" si="1"/>
        <v>1</v>
      </c>
      <c r="H827" s="27">
        <v>42566.08710648148</v>
      </c>
      <c r="I827" s="19">
        <f>IFERROR(__xludf.DUMMYFUNCTION("IFERROR(TO_DATE(H827), """")"),42566.08710648148)</f>
        <v>42566.08711</v>
      </c>
      <c r="J827" s="19" t="s">
        <v>15</v>
      </c>
      <c r="K827" s="22">
        <f t="shared" si="2"/>
        <v>0</v>
      </c>
    </row>
    <row r="828">
      <c r="A828" s="18">
        <v>5525.0</v>
      </c>
      <c r="B828" s="18" t="s">
        <v>30</v>
      </c>
      <c r="C828" s="18">
        <v>84.0</v>
      </c>
      <c r="D828" s="18" t="s">
        <v>31</v>
      </c>
      <c r="E828" s="27">
        <v>42566.22109953704</v>
      </c>
      <c r="F828" s="19">
        <f>IFERROR(__xludf.DUMMYFUNCTION("IFERROR(TO_DATE(E828), """")"),42566.22109953704)</f>
        <v>42566.2211</v>
      </c>
      <c r="G828" s="20">
        <f t="shared" si="1"/>
        <v>5</v>
      </c>
      <c r="H828" s="27">
        <v>42566.27560185185</v>
      </c>
      <c r="I828" s="19">
        <f>IFERROR(__xludf.DUMMYFUNCTION("IFERROR(TO_DATE(H828), """")"),42566.27560185185)</f>
        <v>42566.2756</v>
      </c>
      <c r="J828" s="19" t="s">
        <v>11</v>
      </c>
      <c r="K828" s="22">
        <f t="shared" si="2"/>
        <v>0</v>
      </c>
    </row>
    <row r="829">
      <c r="A829" s="18">
        <v>6392.0</v>
      </c>
      <c r="B829" s="18" t="s">
        <v>30</v>
      </c>
      <c r="C829" s="18">
        <v>84.0</v>
      </c>
      <c r="D829" s="18" t="s">
        <v>31</v>
      </c>
      <c r="E829" s="27">
        <v>42566.808599537035</v>
      </c>
      <c r="F829" s="19">
        <f>IFERROR(__xludf.DUMMYFUNCTION("IFERROR(TO_DATE(E829), """")"),42566.808599537035)</f>
        <v>42566.8086</v>
      </c>
      <c r="G829" s="20">
        <f t="shared" si="1"/>
        <v>19</v>
      </c>
      <c r="H829" s="27">
        <v>42566.85554398148</v>
      </c>
      <c r="I829" s="19">
        <f>IFERROR(__xludf.DUMMYFUNCTION("IFERROR(TO_DATE(H829), """")"),42566.85554398148)</f>
        <v>42566.85554</v>
      </c>
      <c r="J829" s="19" t="s">
        <v>12</v>
      </c>
      <c r="K829" s="22">
        <f t="shared" si="2"/>
        <v>0</v>
      </c>
    </row>
    <row r="830">
      <c r="A830" s="18">
        <v>603.0</v>
      </c>
      <c r="B830" s="18" t="s">
        <v>30</v>
      </c>
      <c r="C830" s="18">
        <v>85.0</v>
      </c>
      <c r="D830" s="18" t="s">
        <v>31</v>
      </c>
      <c r="E830" s="26">
        <v>42562.48819444444</v>
      </c>
      <c r="F830" s="19">
        <f>IFERROR(__xludf.DUMMYFUNCTION("IFERROR(TO_DATE(E830), """")"),42562.48819444444)</f>
        <v>42562.48819</v>
      </c>
      <c r="G830" s="20">
        <f t="shared" si="1"/>
        <v>11</v>
      </c>
      <c r="H830" s="26">
        <v>42562.53888888889</v>
      </c>
      <c r="I830" s="19">
        <f>IFERROR(__xludf.DUMMYFUNCTION("IFERROR(TO_DATE(H830), """")"),42562.53888888889)</f>
        <v>42562.53889</v>
      </c>
      <c r="J830" s="19" t="s">
        <v>14</v>
      </c>
      <c r="K830" s="22">
        <f t="shared" si="2"/>
        <v>0</v>
      </c>
    </row>
    <row r="831">
      <c r="A831" s="18">
        <v>1956.0</v>
      </c>
      <c r="B831" s="18" t="s">
        <v>32</v>
      </c>
      <c r="C831" s="18">
        <v>85.0</v>
      </c>
      <c r="D831" s="18" t="s">
        <v>31</v>
      </c>
      <c r="E831" s="26">
        <v>42563.489583333336</v>
      </c>
      <c r="F831" s="19">
        <f>IFERROR(__xludf.DUMMYFUNCTION("IFERROR(TO_DATE(E831), """")"),42563.489583333336)</f>
        <v>42563.48958</v>
      </c>
      <c r="G831" s="20">
        <f t="shared" si="1"/>
        <v>11</v>
      </c>
      <c r="H831" s="26">
        <v>42563.52222222222</v>
      </c>
      <c r="I831" s="19">
        <f>IFERROR(__xludf.DUMMYFUNCTION("IFERROR(TO_DATE(H831), """")"),42563.52222222222)</f>
        <v>42563.52222</v>
      </c>
      <c r="J831" s="19" t="s">
        <v>14</v>
      </c>
      <c r="K831" s="22">
        <f t="shared" si="2"/>
        <v>0</v>
      </c>
    </row>
    <row r="832">
      <c r="A832" s="18">
        <v>2914.0</v>
      </c>
      <c r="B832" s="18" t="s">
        <v>30</v>
      </c>
      <c r="C832" s="18">
        <v>85.0</v>
      </c>
      <c r="D832" s="18" t="s">
        <v>31</v>
      </c>
      <c r="E832" s="27">
        <v>42564.26163194444</v>
      </c>
      <c r="F832" s="19">
        <f>IFERROR(__xludf.DUMMYFUNCTION("IFERROR(TO_DATE(E832), """")"),42564.26163194444)</f>
        <v>42564.26163</v>
      </c>
      <c r="G832" s="20">
        <f t="shared" si="1"/>
        <v>6</v>
      </c>
      <c r="H832" s="27">
        <v>42564.28579861111</v>
      </c>
      <c r="I832" s="19">
        <f>IFERROR(__xludf.DUMMYFUNCTION("IFERROR(TO_DATE(H832), """")"),42564.28579861111)</f>
        <v>42564.2858</v>
      </c>
      <c r="J832" s="19" t="s">
        <v>11</v>
      </c>
      <c r="K832" s="22">
        <f t="shared" si="2"/>
        <v>0</v>
      </c>
    </row>
    <row r="833">
      <c r="A833" s="18">
        <v>3434.0</v>
      </c>
      <c r="B833" s="18" t="s">
        <v>30</v>
      </c>
      <c r="C833" s="18">
        <v>85.0</v>
      </c>
      <c r="D833" s="18" t="s">
        <v>31</v>
      </c>
      <c r="E833" s="27">
        <v>42564.671875</v>
      </c>
      <c r="F833" s="19">
        <f>IFERROR(__xludf.DUMMYFUNCTION("IFERROR(TO_DATE(E833), """")"),42564.671875)</f>
        <v>42564.67188</v>
      </c>
      <c r="G833" s="20">
        <f t="shared" si="1"/>
        <v>16</v>
      </c>
      <c r="H833" s="27">
        <v>42564.70054398148</v>
      </c>
      <c r="I833" s="19">
        <f>IFERROR(__xludf.DUMMYFUNCTION("IFERROR(TO_DATE(H833), """")"),42564.70054398148)</f>
        <v>42564.70054</v>
      </c>
      <c r="J833" s="19" t="s">
        <v>12</v>
      </c>
      <c r="K833" s="22">
        <f t="shared" si="2"/>
        <v>0</v>
      </c>
    </row>
    <row r="834">
      <c r="A834" s="18">
        <v>3454.0</v>
      </c>
      <c r="B834" s="18" t="s">
        <v>32</v>
      </c>
      <c r="C834" s="18">
        <v>85.0</v>
      </c>
      <c r="D834" s="18" t="s">
        <v>31</v>
      </c>
      <c r="E834" s="27">
        <v>42564.70653935185</v>
      </c>
      <c r="F834" s="19">
        <f>IFERROR(__xludf.DUMMYFUNCTION("IFERROR(TO_DATE(E834), """")"),42564.70653935185)</f>
        <v>42564.70654</v>
      </c>
      <c r="G834" s="20">
        <f t="shared" si="1"/>
        <v>16</v>
      </c>
      <c r="H834" s="27">
        <v>42564.754953703705</v>
      </c>
      <c r="I834" s="19">
        <f>IFERROR(__xludf.DUMMYFUNCTION("IFERROR(TO_DATE(H834), """")"),42564.754953703705)</f>
        <v>42564.75495</v>
      </c>
      <c r="J834" s="19" t="s">
        <v>12</v>
      </c>
      <c r="K834" s="22">
        <f t="shared" si="2"/>
        <v>0</v>
      </c>
    </row>
    <row r="835">
      <c r="A835" s="18">
        <v>3809.0</v>
      </c>
      <c r="B835" s="18" t="s">
        <v>32</v>
      </c>
      <c r="C835" s="18">
        <v>85.0</v>
      </c>
      <c r="D835" s="18" t="s">
        <v>31</v>
      </c>
      <c r="E835" s="27">
        <v>42564.87395833333</v>
      </c>
      <c r="F835" s="19">
        <f>IFERROR(__xludf.DUMMYFUNCTION("IFERROR(TO_DATE(E835), """")"),42564.87395833333)</f>
        <v>42564.87396</v>
      </c>
      <c r="G835" s="20">
        <f t="shared" si="1"/>
        <v>20</v>
      </c>
      <c r="H835" s="27">
        <v>42564.90509259259</v>
      </c>
      <c r="I835" s="19">
        <f>IFERROR(__xludf.DUMMYFUNCTION("IFERROR(TO_DATE(H835), """")"),42564.90509259259)</f>
        <v>42564.90509</v>
      </c>
      <c r="J835" s="19" t="s">
        <v>13</v>
      </c>
      <c r="K835" s="22">
        <f t="shared" si="2"/>
        <v>0</v>
      </c>
    </row>
    <row r="836">
      <c r="A836" s="18">
        <v>3947.0</v>
      </c>
      <c r="B836" s="18" t="s">
        <v>30</v>
      </c>
      <c r="C836" s="18">
        <v>85.0</v>
      </c>
      <c r="D836" s="18" t="s">
        <v>31</v>
      </c>
      <c r="E836" s="27">
        <v>42564.94409722222</v>
      </c>
      <c r="F836" s="19">
        <f>IFERROR(__xludf.DUMMYFUNCTION("IFERROR(TO_DATE(E836), """")"),42564.94409722222)</f>
        <v>42564.9441</v>
      </c>
      <c r="G836" s="20">
        <f t="shared" si="1"/>
        <v>22</v>
      </c>
      <c r="H836" s="27">
        <v>42564.96910879629</v>
      </c>
      <c r="I836" s="19">
        <f>IFERROR(__xludf.DUMMYFUNCTION("IFERROR(TO_DATE(H836), """")"),42564.96910879629)</f>
        <v>42564.96911</v>
      </c>
      <c r="J836" s="19" t="s">
        <v>13</v>
      </c>
      <c r="K836" s="22">
        <f t="shared" si="2"/>
        <v>0</v>
      </c>
    </row>
    <row r="837">
      <c r="A837" s="18">
        <v>4319.0</v>
      </c>
      <c r="B837" s="18" t="s">
        <v>30</v>
      </c>
      <c r="C837" s="18">
        <v>85.0</v>
      </c>
      <c r="D837" s="18" t="s">
        <v>31</v>
      </c>
      <c r="E837" s="27">
        <v>42565.28804398148</v>
      </c>
      <c r="F837" s="19">
        <f>IFERROR(__xludf.DUMMYFUNCTION("IFERROR(TO_DATE(E837), """")"),42565.28804398148)</f>
        <v>42565.28804</v>
      </c>
      <c r="G837" s="20">
        <f t="shared" si="1"/>
        <v>6</v>
      </c>
      <c r="H837" s="27">
        <v>42565.34019675926</v>
      </c>
      <c r="I837" s="19">
        <f>IFERROR(__xludf.DUMMYFUNCTION("IFERROR(TO_DATE(H837), """")"),42565.34019675926)</f>
        <v>42565.3402</v>
      </c>
      <c r="J837" s="19" t="s">
        <v>11</v>
      </c>
      <c r="K837" s="22">
        <f t="shared" si="2"/>
        <v>0</v>
      </c>
    </row>
    <row r="838">
      <c r="A838" s="18">
        <v>4716.0</v>
      </c>
      <c r="B838" s="18" t="s">
        <v>32</v>
      </c>
      <c r="C838" s="18">
        <v>85.0</v>
      </c>
      <c r="D838" s="18" t="s">
        <v>31</v>
      </c>
      <c r="E838" s="27">
        <v>42565.5671875</v>
      </c>
      <c r="F838" s="19">
        <f>IFERROR(__xludf.DUMMYFUNCTION("IFERROR(TO_DATE(E838), """")"),42565.5671875)</f>
        <v>42565.56719</v>
      </c>
      <c r="G838" s="20">
        <f t="shared" si="1"/>
        <v>13</v>
      </c>
      <c r="H838" s="27">
        <v>42565.58949074074</v>
      </c>
      <c r="I838" s="19">
        <f>IFERROR(__xludf.DUMMYFUNCTION("IFERROR(TO_DATE(H838), """")"),42565.58949074074)</f>
        <v>42565.58949</v>
      </c>
      <c r="J838" s="19" t="s">
        <v>10</v>
      </c>
      <c r="K838" s="22">
        <f t="shared" si="2"/>
        <v>0</v>
      </c>
    </row>
    <row r="839">
      <c r="A839" s="18">
        <v>5790.0</v>
      </c>
      <c r="B839" s="18" t="s">
        <v>30</v>
      </c>
      <c r="C839" s="18">
        <v>85.0</v>
      </c>
      <c r="D839" s="18" t="s">
        <v>31</v>
      </c>
      <c r="E839" s="27">
        <v>42566.35534722222</v>
      </c>
      <c r="F839" s="19">
        <f>IFERROR(__xludf.DUMMYFUNCTION("IFERROR(TO_DATE(E839), """")"),42566.35534722222)</f>
        <v>42566.35535</v>
      </c>
      <c r="G839" s="20">
        <f t="shared" si="1"/>
        <v>8</v>
      </c>
      <c r="H839" s="27">
        <v>42566.40289351852</v>
      </c>
      <c r="I839" s="19">
        <f>IFERROR(__xludf.DUMMYFUNCTION("IFERROR(TO_DATE(H839), """")"),42566.40289351852)</f>
        <v>42566.40289</v>
      </c>
      <c r="J839" s="19" t="s">
        <v>14</v>
      </c>
      <c r="K839" s="22">
        <f t="shared" si="2"/>
        <v>0</v>
      </c>
    </row>
    <row r="840">
      <c r="A840" s="18">
        <v>6205.0</v>
      </c>
      <c r="B840" s="18" t="s">
        <v>30</v>
      </c>
      <c r="C840" s="18">
        <v>85.0</v>
      </c>
      <c r="D840" s="18" t="s">
        <v>31</v>
      </c>
      <c r="E840" s="27">
        <v>42566.72688657408</v>
      </c>
      <c r="F840" s="19">
        <f>IFERROR(__xludf.DUMMYFUNCTION("IFERROR(TO_DATE(E840), """")"),42566.72688657408)</f>
        <v>42566.72689</v>
      </c>
      <c r="G840" s="20">
        <f t="shared" si="1"/>
        <v>17</v>
      </c>
      <c r="H840" s="27">
        <v>42566.777025462965</v>
      </c>
      <c r="I840" s="19">
        <f>IFERROR(__xludf.DUMMYFUNCTION("IFERROR(TO_DATE(H840), """")"),42566.777025462965)</f>
        <v>42566.77703</v>
      </c>
      <c r="J840" s="19" t="s">
        <v>12</v>
      </c>
      <c r="K840" s="22">
        <f t="shared" si="2"/>
        <v>0</v>
      </c>
    </row>
    <row r="841">
      <c r="A841" s="18">
        <v>6727.0</v>
      </c>
      <c r="B841" s="18" t="s">
        <v>30</v>
      </c>
      <c r="C841" s="18">
        <v>85.0</v>
      </c>
      <c r="D841" s="18" t="s">
        <v>31</v>
      </c>
      <c r="E841" s="27">
        <v>42566.97603009259</v>
      </c>
      <c r="F841" s="19">
        <f>IFERROR(__xludf.DUMMYFUNCTION("IFERROR(TO_DATE(E841), """")"),42566.97603009259)</f>
        <v>42566.97603</v>
      </c>
      <c r="G841" s="20">
        <f t="shared" si="1"/>
        <v>23</v>
      </c>
      <c r="H841" s="27">
        <v>42567.01384259259</v>
      </c>
      <c r="I841" s="19">
        <f>IFERROR(__xludf.DUMMYFUNCTION("IFERROR(TO_DATE(H841), """")"),42567.01384259259)</f>
        <v>42567.01384</v>
      </c>
      <c r="J841" s="19" t="s">
        <v>13</v>
      </c>
      <c r="K841" s="22">
        <f t="shared" si="2"/>
        <v>0</v>
      </c>
    </row>
    <row r="842">
      <c r="A842" s="18">
        <v>51.0</v>
      </c>
      <c r="B842" s="18" t="s">
        <v>32</v>
      </c>
      <c r="C842" s="18">
        <v>86.0</v>
      </c>
      <c r="D842" s="18" t="s">
        <v>31</v>
      </c>
      <c r="E842" s="26">
        <v>42562.14861111111</v>
      </c>
      <c r="F842" s="19">
        <f>IFERROR(__xludf.DUMMYFUNCTION("IFERROR(TO_DATE(E842), """")"),42562.14861111111)</f>
        <v>42562.14861</v>
      </c>
      <c r="G842" s="20">
        <f t="shared" si="1"/>
        <v>3</v>
      </c>
      <c r="H842" s="26">
        <v>42562.18958333333</v>
      </c>
      <c r="I842" s="19">
        <f>IFERROR(__xludf.DUMMYFUNCTION("IFERROR(TO_DATE(H842), """")"),42562.18958333333)</f>
        <v>42562.18958</v>
      </c>
      <c r="J842" s="19" t="s">
        <v>15</v>
      </c>
      <c r="K842" s="22">
        <f t="shared" si="2"/>
        <v>0</v>
      </c>
    </row>
    <row r="843">
      <c r="A843" s="18">
        <v>446.0</v>
      </c>
      <c r="B843" s="18" t="s">
        <v>32</v>
      </c>
      <c r="C843" s="18">
        <v>86.0</v>
      </c>
      <c r="D843" s="18" t="s">
        <v>31</v>
      </c>
      <c r="E843" s="26">
        <v>42562.37986111111</v>
      </c>
      <c r="F843" s="19">
        <f>IFERROR(__xludf.DUMMYFUNCTION("IFERROR(TO_DATE(E843), """")"),42562.37986111111)</f>
        <v>42562.37986</v>
      </c>
      <c r="G843" s="20">
        <f t="shared" si="1"/>
        <v>9</v>
      </c>
      <c r="H843" s="26">
        <v>42562.42222222222</v>
      </c>
      <c r="I843" s="19">
        <f>IFERROR(__xludf.DUMMYFUNCTION("IFERROR(TO_DATE(H843), """")"),42562.42222222222)</f>
        <v>42562.42222</v>
      </c>
      <c r="J843" s="19" t="s">
        <v>14</v>
      </c>
      <c r="K843" s="22">
        <f t="shared" si="2"/>
        <v>0</v>
      </c>
    </row>
    <row r="844">
      <c r="A844" s="18">
        <v>1252.0</v>
      </c>
      <c r="B844" s="18" t="s">
        <v>32</v>
      </c>
      <c r="C844" s="18">
        <v>86.0</v>
      </c>
      <c r="D844" s="18" t="s">
        <v>31</v>
      </c>
      <c r="E844" s="26">
        <v>42562.910416666666</v>
      </c>
      <c r="F844" s="19">
        <f>IFERROR(__xludf.DUMMYFUNCTION("IFERROR(TO_DATE(E844), """")"),42562.910416666666)</f>
        <v>42562.91042</v>
      </c>
      <c r="G844" s="20">
        <f t="shared" si="1"/>
        <v>21</v>
      </c>
      <c r="H844" s="26">
        <v>42562.95694444444</v>
      </c>
      <c r="I844" s="19">
        <f>IFERROR(__xludf.DUMMYFUNCTION("IFERROR(TO_DATE(H844), """")"),42562.95694444444)</f>
        <v>42562.95694</v>
      </c>
      <c r="J844" s="19" t="s">
        <v>13</v>
      </c>
      <c r="K844" s="22">
        <f t="shared" si="2"/>
        <v>0</v>
      </c>
    </row>
    <row r="845">
      <c r="A845" s="18">
        <v>1380.0</v>
      </c>
      <c r="B845" s="18" t="s">
        <v>30</v>
      </c>
      <c r="C845" s="18">
        <v>86.0</v>
      </c>
      <c r="D845" s="18" t="s">
        <v>31</v>
      </c>
      <c r="E845" s="26">
        <v>42563.04236111111</v>
      </c>
      <c r="F845" s="19">
        <f>IFERROR(__xludf.DUMMYFUNCTION("IFERROR(TO_DATE(E845), """")"),42563.04236111111)</f>
        <v>42563.04236</v>
      </c>
      <c r="G845" s="20">
        <f t="shared" si="1"/>
        <v>1</v>
      </c>
      <c r="H845" s="26">
        <v>42563.09375</v>
      </c>
      <c r="I845" s="19">
        <f>IFERROR(__xludf.DUMMYFUNCTION("IFERROR(TO_DATE(H845), """")"),42563.09375)</f>
        <v>42563.09375</v>
      </c>
      <c r="J845" s="19" t="s">
        <v>15</v>
      </c>
      <c r="K845" s="22">
        <f t="shared" si="2"/>
        <v>0</v>
      </c>
    </row>
    <row r="846">
      <c r="A846" s="18">
        <v>1638.0</v>
      </c>
      <c r="B846" s="18" t="s">
        <v>32</v>
      </c>
      <c r="C846" s="18">
        <v>86.0</v>
      </c>
      <c r="D846" s="18" t="s">
        <v>31</v>
      </c>
      <c r="E846" s="26">
        <v>42563.302083333336</v>
      </c>
      <c r="F846" s="19">
        <f>IFERROR(__xludf.DUMMYFUNCTION("IFERROR(TO_DATE(E846), """")"),42563.302083333336)</f>
        <v>42563.30208</v>
      </c>
      <c r="G846" s="20">
        <f t="shared" si="1"/>
        <v>7</v>
      </c>
      <c r="H846" s="26">
        <v>42563.32638888889</v>
      </c>
      <c r="I846" s="19">
        <f>IFERROR(__xludf.DUMMYFUNCTION("IFERROR(TO_DATE(H846), """")"),42563.32638888889)</f>
        <v>42563.32639</v>
      </c>
      <c r="J846" s="19" t="s">
        <v>11</v>
      </c>
      <c r="K846" s="22">
        <f t="shared" si="2"/>
        <v>0</v>
      </c>
    </row>
    <row r="847">
      <c r="A847" s="18">
        <v>2152.0</v>
      </c>
      <c r="B847" s="18" t="s">
        <v>30</v>
      </c>
      <c r="C847" s="18">
        <v>86.0</v>
      </c>
      <c r="D847" s="18" t="s">
        <v>31</v>
      </c>
      <c r="E847" s="26">
        <v>42563.725694444445</v>
      </c>
      <c r="F847" s="19">
        <f>IFERROR(__xludf.DUMMYFUNCTION("IFERROR(TO_DATE(E847), """")"),42563.725694444445)</f>
        <v>42563.72569</v>
      </c>
      <c r="G847" s="20">
        <f t="shared" si="1"/>
        <v>17</v>
      </c>
      <c r="H847" s="26">
        <v>42563.74652777778</v>
      </c>
      <c r="I847" s="19">
        <f>IFERROR(__xludf.DUMMYFUNCTION("IFERROR(TO_DATE(H847), """")"),42563.74652777778)</f>
        <v>42563.74653</v>
      </c>
      <c r="J847" s="19" t="s">
        <v>12</v>
      </c>
      <c r="K847" s="22">
        <f t="shared" si="2"/>
        <v>0</v>
      </c>
    </row>
    <row r="848">
      <c r="A848" s="18">
        <v>3125.0</v>
      </c>
      <c r="B848" s="18" t="s">
        <v>32</v>
      </c>
      <c r="C848" s="18">
        <v>86.0</v>
      </c>
      <c r="D848" s="18" t="s">
        <v>31</v>
      </c>
      <c r="E848" s="27">
        <v>42564.36509259259</v>
      </c>
      <c r="F848" s="19">
        <f>IFERROR(__xludf.DUMMYFUNCTION("IFERROR(TO_DATE(E848), """")"),42564.36509259259)</f>
        <v>42564.36509</v>
      </c>
      <c r="G848" s="20">
        <f t="shared" si="1"/>
        <v>8</v>
      </c>
      <c r="H848" s="27">
        <v>42564.388506944444</v>
      </c>
      <c r="I848" s="19">
        <f>IFERROR(__xludf.DUMMYFUNCTION("IFERROR(TO_DATE(H848), """")"),42564.388506944444)</f>
        <v>42564.38851</v>
      </c>
      <c r="J848" s="19" t="s">
        <v>14</v>
      </c>
      <c r="K848" s="22">
        <f t="shared" si="2"/>
        <v>0</v>
      </c>
    </row>
    <row r="849">
      <c r="A849" s="18">
        <v>3366.0</v>
      </c>
      <c r="B849" s="18" t="s">
        <v>32</v>
      </c>
      <c r="C849" s="18">
        <v>86.0</v>
      </c>
      <c r="D849" s="18" t="s">
        <v>31</v>
      </c>
      <c r="E849" s="27">
        <v>42564.57350694444</v>
      </c>
      <c r="F849" s="19">
        <f>IFERROR(__xludf.DUMMYFUNCTION("IFERROR(TO_DATE(E849), """")"),42564.57350694444)</f>
        <v>42564.57351</v>
      </c>
      <c r="G849" s="20">
        <f t="shared" si="1"/>
        <v>13</v>
      </c>
      <c r="H849" s="27">
        <v>42564.60741898148</v>
      </c>
      <c r="I849" s="19">
        <f>IFERROR(__xludf.DUMMYFUNCTION("IFERROR(TO_DATE(H849), """")"),42564.60741898148)</f>
        <v>42564.60742</v>
      </c>
      <c r="J849" s="19" t="s">
        <v>10</v>
      </c>
      <c r="K849" s="22">
        <f t="shared" si="2"/>
        <v>0</v>
      </c>
    </row>
    <row r="850">
      <c r="A850" s="18">
        <v>4632.0</v>
      </c>
      <c r="B850" s="18" t="s">
        <v>30</v>
      </c>
      <c r="C850" s="18">
        <v>86.0</v>
      </c>
      <c r="D850" s="18" t="s">
        <v>31</v>
      </c>
      <c r="E850" s="27">
        <v>42565.47336805556</v>
      </c>
      <c r="F850" s="19">
        <f>IFERROR(__xludf.DUMMYFUNCTION("IFERROR(TO_DATE(E850), """")"),42565.47336805556)</f>
        <v>42565.47337</v>
      </c>
      <c r="G850" s="20">
        <f t="shared" si="1"/>
        <v>11</v>
      </c>
      <c r="H850" s="27">
        <v>42565.514016203706</v>
      </c>
      <c r="I850" s="19">
        <f>IFERROR(__xludf.DUMMYFUNCTION("IFERROR(TO_DATE(H850), """")"),42565.514016203706)</f>
        <v>42565.51402</v>
      </c>
      <c r="J850" s="19" t="s">
        <v>14</v>
      </c>
      <c r="K850" s="22">
        <f t="shared" si="2"/>
        <v>0</v>
      </c>
    </row>
    <row r="851">
      <c r="A851" s="18">
        <v>5924.0</v>
      </c>
      <c r="B851" s="18" t="s">
        <v>32</v>
      </c>
      <c r="C851" s="18">
        <v>86.0</v>
      </c>
      <c r="D851" s="18" t="s">
        <v>31</v>
      </c>
      <c r="E851" s="27">
        <v>42566.42302083333</v>
      </c>
      <c r="F851" s="19">
        <f>IFERROR(__xludf.DUMMYFUNCTION("IFERROR(TO_DATE(E851), """")"),42566.42302083333)</f>
        <v>42566.42302</v>
      </c>
      <c r="G851" s="20">
        <f t="shared" si="1"/>
        <v>10</v>
      </c>
      <c r="H851" s="27">
        <v>42566.449953703705</v>
      </c>
      <c r="I851" s="19">
        <f>IFERROR(__xludf.DUMMYFUNCTION("IFERROR(TO_DATE(H851), """")"),42566.449953703705)</f>
        <v>42566.44995</v>
      </c>
      <c r="J851" s="19" t="s">
        <v>14</v>
      </c>
      <c r="K851" s="22">
        <f t="shared" si="2"/>
        <v>0</v>
      </c>
    </row>
    <row r="852">
      <c r="A852" s="18">
        <v>6133.0</v>
      </c>
      <c r="B852" s="18" t="s">
        <v>30</v>
      </c>
      <c r="C852" s="18">
        <v>86.0</v>
      </c>
      <c r="D852" s="18" t="s">
        <v>31</v>
      </c>
      <c r="E852" s="27">
        <v>42566.654953703706</v>
      </c>
      <c r="F852" s="19">
        <f>IFERROR(__xludf.DUMMYFUNCTION("IFERROR(TO_DATE(E852), """")"),42566.654953703706)</f>
        <v>42566.65495</v>
      </c>
      <c r="G852" s="20">
        <f t="shared" si="1"/>
        <v>15</v>
      </c>
      <c r="H852" s="27">
        <v>42566.67738425926</v>
      </c>
      <c r="I852" s="19">
        <f>IFERROR(__xludf.DUMMYFUNCTION("IFERROR(TO_DATE(H852), """")"),42566.67738425926)</f>
        <v>42566.67738</v>
      </c>
      <c r="J852" s="19" t="s">
        <v>10</v>
      </c>
      <c r="K852" s="22">
        <f t="shared" si="2"/>
        <v>0</v>
      </c>
    </row>
    <row r="853">
      <c r="A853" s="18">
        <v>6316.0</v>
      </c>
      <c r="B853" s="18" t="s">
        <v>30</v>
      </c>
      <c r="C853" s="18">
        <v>86.0</v>
      </c>
      <c r="D853" s="18" t="s">
        <v>31</v>
      </c>
      <c r="E853" s="27">
        <v>42566.77438657408</v>
      </c>
      <c r="F853" s="19">
        <f>IFERROR(__xludf.DUMMYFUNCTION("IFERROR(TO_DATE(E853), """")"),42566.77438657408)</f>
        <v>42566.77439</v>
      </c>
      <c r="G853" s="20">
        <f t="shared" si="1"/>
        <v>18</v>
      </c>
      <c r="H853" s="27">
        <v>42566.796898148146</v>
      </c>
      <c r="I853" s="19">
        <f>IFERROR(__xludf.DUMMYFUNCTION("IFERROR(TO_DATE(H853), """")"),42566.796898148146)</f>
        <v>42566.7969</v>
      </c>
      <c r="J853" s="19" t="s">
        <v>12</v>
      </c>
      <c r="K853" s="22">
        <f t="shared" si="2"/>
        <v>0</v>
      </c>
    </row>
    <row r="854">
      <c r="A854" s="18">
        <v>6609.0</v>
      </c>
      <c r="B854" s="18" t="s">
        <v>32</v>
      </c>
      <c r="C854" s="18">
        <v>86.0</v>
      </c>
      <c r="D854" s="18" t="s">
        <v>31</v>
      </c>
      <c r="E854" s="27">
        <v>42566.90589120371</v>
      </c>
      <c r="F854" s="19">
        <f>IFERROR(__xludf.DUMMYFUNCTION("IFERROR(TO_DATE(E854), """")"),42566.90589120371)</f>
        <v>42566.90589</v>
      </c>
      <c r="G854" s="20">
        <f t="shared" si="1"/>
        <v>21</v>
      </c>
      <c r="H854" s="27">
        <v>42566.95532407407</v>
      </c>
      <c r="I854" s="19">
        <f>IFERROR(__xludf.DUMMYFUNCTION("IFERROR(TO_DATE(H854), """")"),42566.95532407407)</f>
        <v>42566.95532</v>
      </c>
      <c r="J854" s="19" t="s">
        <v>13</v>
      </c>
      <c r="K854" s="22">
        <f t="shared" si="2"/>
        <v>0</v>
      </c>
    </row>
    <row r="855">
      <c r="A855" s="18">
        <v>246.0</v>
      </c>
      <c r="B855" s="18" t="s">
        <v>30</v>
      </c>
      <c r="C855" s="18">
        <v>87.0</v>
      </c>
      <c r="D855" s="18" t="s">
        <v>31</v>
      </c>
      <c r="E855" s="26">
        <v>42562.274305555555</v>
      </c>
      <c r="F855" s="19">
        <f>IFERROR(__xludf.DUMMYFUNCTION("IFERROR(TO_DATE(E855), """")"),42562.274305555555)</f>
        <v>42562.27431</v>
      </c>
      <c r="G855" s="20">
        <f t="shared" si="1"/>
        <v>6</v>
      </c>
      <c r="H855" s="26">
        <v>42562.29861111111</v>
      </c>
      <c r="I855" s="19">
        <f>IFERROR(__xludf.DUMMYFUNCTION("IFERROR(TO_DATE(H855), """")"),42562.29861111111)</f>
        <v>42562.29861</v>
      </c>
      <c r="J855" s="19" t="s">
        <v>11</v>
      </c>
      <c r="K855" s="22">
        <f t="shared" si="2"/>
        <v>0</v>
      </c>
    </row>
    <row r="856">
      <c r="A856" s="18">
        <v>980.0</v>
      </c>
      <c r="B856" s="18" t="s">
        <v>30</v>
      </c>
      <c r="C856" s="18">
        <v>87.0</v>
      </c>
      <c r="D856" s="18" t="s">
        <v>31</v>
      </c>
      <c r="E856" s="26">
        <v>42562.791666666664</v>
      </c>
      <c r="F856" s="19">
        <f>IFERROR(__xludf.DUMMYFUNCTION("IFERROR(TO_DATE(E856), """")"),42562.791666666664)</f>
        <v>42562.79167</v>
      </c>
      <c r="G856" s="20">
        <f t="shared" si="1"/>
        <v>19</v>
      </c>
      <c r="H856" s="26">
        <v>42562.84375</v>
      </c>
      <c r="I856" s="19">
        <f>IFERROR(__xludf.DUMMYFUNCTION("IFERROR(TO_DATE(H856), """")"),42562.84375)</f>
        <v>42562.84375</v>
      </c>
      <c r="J856" s="19" t="s">
        <v>12</v>
      </c>
      <c r="K856" s="22">
        <f t="shared" si="2"/>
        <v>0</v>
      </c>
    </row>
    <row r="857">
      <c r="A857" s="18">
        <v>1677.0</v>
      </c>
      <c r="B857" s="18" t="s">
        <v>32</v>
      </c>
      <c r="C857" s="18">
        <v>87.0</v>
      </c>
      <c r="D857" s="18" t="s">
        <v>31</v>
      </c>
      <c r="E857" s="26">
        <v>42563.31805555556</v>
      </c>
      <c r="F857" s="19">
        <f>IFERROR(__xludf.DUMMYFUNCTION("IFERROR(TO_DATE(E857), """")"),42563.31805555556)</f>
        <v>42563.31806</v>
      </c>
      <c r="G857" s="20">
        <f t="shared" si="1"/>
        <v>7</v>
      </c>
      <c r="H857" s="26">
        <v>42563.34444444445</v>
      </c>
      <c r="I857" s="19">
        <f>IFERROR(__xludf.DUMMYFUNCTION("IFERROR(TO_DATE(H857), """")"),42563.34444444445)</f>
        <v>42563.34444</v>
      </c>
      <c r="J857" s="19" t="s">
        <v>11</v>
      </c>
      <c r="K857" s="22">
        <f t="shared" si="2"/>
        <v>0</v>
      </c>
    </row>
    <row r="858">
      <c r="A858" s="18">
        <v>4620.0</v>
      </c>
      <c r="B858" s="18" t="s">
        <v>32</v>
      </c>
      <c r="C858" s="18">
        <v>87.0</v>
      </c>
      <c r="D858" s="18" t="s">
        <v>31</v>
      </c>
      <c r="E858" s="27">
        <v>42565.4578125</v>
      </c>
      <c r="F858" s="19">
        <f>IFERROR(__xludf.DUMMYFUNCTION("IFERROR(TO_DATE(E858), """")"),42565.4578125)</f>
        <v>42565.45781</v>
      </c>
      <c r="G858" s="20">
        <f t="shared" si="1"/>
        <v>10</v>
      </c>
      <c r="H858" s="27">
        <v>42565.509791666664</v>
      </c>
      <c r="I858" s="19">
        <f>IFERROR(__xludf.DUMMYFUNCTION("IFERROR(TO_DATE(H858), """")"),42565.509791666664)</f>
        <v>42565.50979</v>
      </c>
      <c r="J858" s="19" t="s">
        <v>14</v>
      </c>
      <c r="K858" s="22">
        <f t="shared" si="2"/>
        <v>0</v>
      </c>
    </row>
    <row r="859">
      <c r="A859" s="18">
        <v>4848.0</v>
      </c>
      <c r="B859" s="18" t="s">
        <v>30</v>
      </c>
      <c r="C859" s="18">
        <v>87.0</v>
      </c>
      <c r="D859" s="18" t="s">
        <v>31</v>
      </c>
      <c r="E859" s="27">
        <v>42565.73179398148</v>
      </c>
      <c r="F859" s="19">
        <f>IFERROR(__xludf.DUMMYFUNCTION("IFERROR(TO_DATE(E859), """")"),42565.73179398148)</f>
        <v>42565.73179</v>
      </c>
      <c r="G859" s="20">
        <f t="shared" si="1"/>
        <v>17</v>
      </c>
      <c r="H859" s="27">
        <v>42565.76111111111</v>
      </c>
      <c r="I859" s="19">
        <f>IFERROR(__xludf.DUMMYFUNCTION("IFERROR(TO_DATE(H859), """")"),42565.76111111111)</f>
        <v>42565.76111</v>
      </c>
      <c r="J859" s="19" t="s">
        <v>12</v>
      </c>
      <c r="K859" s="22">
        <f t="shared" si="2"/>
        <v>0</v>
      </c>
    </row>
    <row r="860">
      <c r="A860" s="18">
        <v>5402.0</v>
      </c>
      <c r="B860" s="18" t="s">
        <v>30</v>
      </c>
      <c r="C860" s="18">
        <v>87.0</v>
      </c>
      <c r="D860" s="18" t="s">
        <v>31</v>
      </c>
      <c r="E860" s="27">
        <v>42566.046111111114</v>
      </c>
      <c r="F860" s="19">
        <f>IFERROR(__xludf.DUMMYFUNCTION("IFERROR(TO_DATE(E860), """")"),42566.046111111114)</f>
        <v>42566.04611</v>
      </c>
      <c r="G860" s="20">
        <f t="shared" si="1"/>
        <v>1</v>
      </c>
      <c r="H860" s="27">
        <v>42566.07523148148</v>
      </c>
      <c r="I860" s="19">
        <f>IFERROR(__xludf.DUMMYFUNCTION("IFERROR(TO_DATE(H860), """")"),42566.07523148148)</f>
        <v>42566.07523</v>
      </c>
      <c r="J860" s="19" t="s">
        <v>15</v>
      </c>
      <c r="K860" s="22">
        <f t="shared" si="2"/>
        <v>0</v>
      </c>
    </row>
    <row r="861">
      <c r="A861" s="18">
        <v>5971.0</v>
      </c>
      <c r="B861" s="18" t="s">
        <v>30</v>
      </c>
      <c r="C861" s="18">
        <v>87.0</v>
      </c>
      <c r="D861" s="18" t="s">
        <v>31</v>
      </c>
      <c r="E861" s="27">
        <v>42566.46175925926</v>
      </c>
      <c r="F861" s="19">
        <f>IFERROR(__xludf.DUMMYFUNCTION("IFERROR(TO_DATE(E861), """")"),42566.46175925926)</f>
        <v>42566.46176</v>
      </c>
      <c r="G861" s="20">
        <f t="shared" si="1"/>
        <v>11</v>
      </c>
      <c r="H861" s="27">
        <v>42566.49144675926</v>
      </c>
      <c r="I861" s="19">
        <f>IFERROR(__xludf.DUMMYFUNCTION("IFERROR(TO_DATE(H861), """")"),42566.49144675926)</f>
        <v>42566.49145</v>
      </c>
      <c r="J861" s="19" t="s">
        <v>14</v>
      </c>
      <c r="K861" s="22">
        <f t="shared" si="2"/>
        <v>0</v>
      </c>
    </row>
    <row r="862">
      <c r="A862" s="18">
        <v>6113.0</v>
      </c>
      <c r="B862" s="18" t="s">
        <v>32</v>
      </c>
      <c r="C862" s="18">
        <v>87.0</v>
      </c>
      <c r="D862" s="18" t="s">
        <v>31</v>
      </c>
      <c r="E862" s="27">
        <v>42566.63545138889</v>
      </c>
      <c r="F862" s="19">
        <f>IFERROR(__xludf.DUMMYFUNCTION("IFERROR(TO_DATE(E862), """")"),42566.63545138889)</f>
        <v>42566.63545</v>
      </c>
      <c r="G862" s="20">
        <f t="shared" si="1"/>
        <v>15</v>
      </c>
      <c r="H862" s="27">
        <v>42566.68239583333</v>
      </c>
      <c r="I862" s="19">
        <f>IFERROR(__xludf.DUMMYFUNCTION("IFERROR(TO_DATE(H862), """")"),42566.68239583333)</f>
        <v>42566.6824</v>
      </c>
      <c r="J862" s="19" t="s">
        <v>10</v>
      </c>
      <c r="K862" s="22">
        <f t="shared" si="2"/>
        <v>0</v>
      </c>
    </row>
    <row r="863">
      <c r="A863" s="18">
        <v>6508.0</v>
      </c>
      <c r="B863" s="18" t="s">
        <v>32</v>
      </c>
      <c r="C863" s="18">
        <v>87.0</v>
      </c>
      <c r="D863" s="18" t="s">
        <v>31</v>
      </c>
      <c r="E863" s="27">
        <v>42566.86138888889</v>
      </c>
      <c r="F863" s="19">
        <f>IFERROR(__xludf.DUMMYFUNCTION("IFERROR(TO_DATE(E863), """")"),42566.86138888889)</f>
        <v>42566.86139</v>
      </c>
      <c r="G863" s="20">
        <f t="shared" si="1"/>
        <v>20</v>
      </c>
      <c r="H863" s="27">
        <v>42566.90268518519</v>
      </c>
      <c r="I863" s="19">
        <f>IFERROR(__xludf.DUMMYFUNCTION("IFERROR(TO_DATE(H863), """")"),42566.90268518519)</f>
        <v>42566.90269</v>
      </c>
      <c r="J863" s="19" t="s">
        <v>13</v>
      </c>
      <c r="K863" s="22">
        <f t="shared" si="2"/>
        <v>0</v>
      </c>
    </row>
    <row r="864">
      <c r="A864" s="18">
        <v>746.0</v>
      </c>
      <c r="B864" s="18" t="s">
        <v>30</v>
      </c>
      <c r="C864" s="18">
        <v>88.0</v>
      </c>
      <c r="D864" s="18" t="s">
        <v>31</v>
      </c>
      <c r="E864" s="26">
        <v>42562.657638888886</v>
      </c>
      <c r="F864" s="19">
        <f>IFERROR(__xludf.DUMMYFUNCTION("IFERROR(TO_DATE(E864), """")"),42562.657638888886)</f>
        <v>42562.65764</v>
      </c>
      <c r="G864" s="20">
        <f t="shared" si="1"/>
        <v>15</v>
      </c>
      <c r="H864" s="26">
        <v>42562.69027777778</v>
      </c>
      <c r="I864" s="19">
        <f>IFERROR(__xludf.DUMMYFUNCTION("IFERROR(TO_DATE(H864), """")"),42562.69027777778)</f>
        <v>42562.69028</v>
      </c>
      <c r="J864" s="19" t="s">
        <v>10</v>
      </c>
      <c r="K864" s="22">
        <f t="shared" si="2"/>
        <v>0</v>
      </c>
    </row>
    <row r="865">
      <c r="A865" s="18">
        <v>1488.0</v>
      </c>
      <c r="B865" s="18" t="s">
        <v>30</v>
      </c>
      <c r="C865" s="18">
        <v>88.0</v>
      </c>
      <c r="D865" s="18" t="s">
        <v>31</v>
      </c>
      <c r="E865" s="26">
        <v>42563.22986111111</v>
      </c>
      <c r="F865" s="19">
        <f>IFERROR(__xludf.DUMMYFUNCTION("IFERROR(TO_DATE(E865), """")"),42563.22986111111)</f>
        <v>42563.22986</v>
      </c>
      <c r="G865" s="20">
        <f t="shared" si="1"/>
        <v>5</v>
      </c>
      <c r="H865" s="26">
        <v>42563.27638888889</v>
      </c>
      <c r="I865" s="19">
        <f>IFERROR(__xludf.DUMMYFUNCTION("IFERROR(TO_DATE(H865), """")"),42563.27638888889)</f>
        <v>42563.27639</v>
      </c>
      <c r="J865" s="19" t="s">
        <v>11</v>
      </c>
      <c r="K865" s="22">
        <f t="shared" si="2"/>
        <v>0</v>
      </c>
    </row>
    <row r="866">
      <c r="A866" s="18">
        <v>1838.0</v>
      </c>
      <c r="B866" s="18" t="s">
        <v>32</v>
      </c>
      <c r="C866" s="18">
        <v>88.0</v>
      </c>
      <c r="D866" s="18" t="s">
        <v>31</v>
      </c>
      <c r="E866" s="26">
        <v>42563.40277777778</v>
      </c>
      <c r="F866" s="19">
        <f>IFERROR(__xludf.DUMMYFUNCTION("IFERROR(TO_DATE(E866), """")"),42563.40277777778)</f>
        <v>42563.40278</v>
      </c>
      <c r="G866" s="20">
        <f t="shared" si="1"/>
        <v>9</v>
      </c>
      <c r="H866" s="26">
        <v>42563.42361111111</v>
      </c>
      <c r="I866" s="19">
        <f>IFERROR(__xludf.DUMMYFUNCTION("IFERROR(TO_DATE(H866), """")"),42563.42361111111)</f>
        <v>42563.42361</v>
      </c>
      <c r="J866" s="19" t="s">
        <v>14</v>
      </c>
      <c r="K866" s="22">
        <f t="shared" si="2"/>
        <v>0</v>
      </c>
    </row>
    <row r="867">
      <c r="A867" s="18">
        <v>2839.0</v>
      </c>
      <c r="B867" s="18" t="s">
        <v>30</v>
      </c>
      <c r="C867" s="18">
        <v>88.0</v>
      </c>
      <c r="D867" s="18" t="s">
        <v>31</v>
      </c>
      <c r="E867" s="27">
        <v>42564.222905092596</v>
      </c>
      <c r="F867" s="19">
        <f>IFERROR(__xludf.DUMMYFUNCTION("IFERROR(TO_DATE(E867), """")"),42564.222905092596)</f>
        <v>42564.22291</v>
      </c>
      <c r="G867" s="20">
        <f t="shared" si="1"/>
        <v>5</v>
      </c>
      <c r="H867" s="27">
        <v>42564.25383101852</v>
      </c>
      <c r="I867" s="19">
        <f>IFERROR(__xludf.DUMMYFUNCTION("IFERROR(TO_DATE(H867), """")"),42564.25383101852)</f>
        <v>42564.25383</v>
      </c>
      <c r="J867" s="19" t="s">
        <v>11</v>
      </c>
      <c r="K867" s="22">
        <f t="shared" si="2"/>
        <v>0</v>
      </c>
    </row>
    <row r="868">
      <c r="A868" s="18">
        <v>4391.0</v>
      </c>
      <c r="B868" s="18" t="s">
        <v>32</v>
      </c>
      <c r="C868" s="18">
        <v>88.0</v>
      </c>
      <c r="D868" s="18" t="s">
        <v>31</v>
      </c>
      <c r="E868" s="27">
        <v>42565.32782407408</v>
      </c>
      <c r="F868" s="19">
        <f>IFERROR(__xludf.DUMMYFUNCTION("IFERROR(TO_DATE(E868), """")"),42565.32782407408)</f>
        <v>42565.32782</v>
      </c>
      <c r="G868" s="20">
        <f t="shared" si="1"/>
        <v>7</v>
      </c>
      <c r="H868" s="27">
        <v>42565.376388888886</v>
      </c>
      <c r="I868" s="19">
        <f>IFERROR(__xludf.DUMMYFUNCTION("IFERROR(TO_DATE(H868), """")"),42565.376388888886)</f>
        <v>42565.37639</v>
      </c>
      <c r="J868" s="19" t="s">
        <v>11</v>
      </c>
      <c r="K868" s="22">
        <f t="shared" si="2"/>
        <v>0</v>
      </c>
    </row>
    <row r="869">
      <c r="A869" s="18">
        <v>4701.0</v>
      </c>
      <c r="B869" s="18" t="s">
        <v>32</v>
      </c>
      <c r="C869" s="18">
        <v>88.0</v>
      </c>
      <c r="D869" s="18" t="s">
        <v>31</v>
      </c>
      <c r="E869" s="27">
        <v>42565.54840277778</v>
      </c>
      <c r="F869" s="19">
        <f>IFERROR(__xludf.DUMMYFUNCTION("IFERROR(TO_DATE(E869), """")"),42565.54840277778)</f>
        <v>42565.5484</v>
      </c>
      <c r="G869" s="20">
        <f t="shared" si="1"/>
        <v>13</v>
      </c>
      <c r="H869" s="27">
        <v>42565.57606481481</v>
      </c>
      <c r="I869" s="19">
        <f>IFERROR(__xludf.DUMMYFUNCTION("IFERROR(TO_DATE(H869), """")"),42565.57606481481)</f>
        <v>42565.57606</v>
      </c>
      <c r="J869" s="19" t="s">
        <v>10</v>
      </c>
      <c r="K869" s="22">
        <f t="shared" si="2"/>
        <v>0</v>
      </c>
    </row>
    <row r="870">
      <c r="A870" s="18">
        <v>5171.0</v>
      </c>
      <c r="B870" s="18" t="s">
        <v>30</v>
      </c>
      <c r="C870" s="18">
        <v>88.0</v>
      </c>
      <c r="D870" s="18" t="s">
        <v>31</v>
      </c>
      <c r="E870" s="27">
        <v>42565.8540625</v>
      </c>
      <c r="F870" s="19">
        <f>IFERROR(__xludf.DUMMYFUNCTION("IFERROR(TO_DATE(E870), """")"),42565.8540625)</f>
        <v>42565.85406</v>
      </c>
      <c r="G870" s="20">
        <f t="shared" si="1"/>
        <v>20</v>
      </c>
      <c r="H870" s="27">
        <v>42565.89944444445</v>
      </c>
      <c r="I870" s="19">
        <f>IFERROR(__xludf.DUMMYFUNCTION("IFERROR(TO_DATE(H870), """")"),42565.89944444445)</f>
        <v>42565.89944</v>
      </c>
      <c r="J870" s="19" t="s">
        <v>13</v>
      </c>
      <c r="K870" s="22">
        <f t="shared" si="2"/>
        <v>0</v>
      </c>
    </row>
    <row r="871">
      <c r="A871" s="18">
        <v>5962.0</v>
      </c>
      <c r="B871" s="18" t="s">
        <v>32</v>
      </c>
      <c r="C871" s="18">
        <v>88.0</v>
      </c>
      <c r="D871" s="18" t="s">
        <v>31</v>
      </c>
      <c r="E871" s="27">
        <v>42566.45043981481</v>
      </c>
      <c r="F871" s="19">
        <f>IFERROR(__xludf.DUMMYFUNCTION("IFERROR(TO_DATE(E871), """")"),42566.45043981481)</f>
        <v>42566.45044</v>
      </c>
      <c r="G871" s="20">
        <f t="shared" si="1"/>
        <v>10</v>
      </c>
      <c r="H871" s="27">
        <v>42566.49694444444</v>
      </c>
      <c r="I871" s="19">
        <f>IFERROR(__xludf.DUMMYFUNCTION("IFERROR(TO_DATE(H871), """")"),42566.49694444444)</f>
        <v>42566.49694</v>
      </c>
      <c r="J871" s="19" t="s">
        <v>14</v>
      </c>
      <c r="K871" s="22">
        <f t="shared" si="2"/>
        <v>0</v>
      </c>
    </row>
    <row r="872">
      <c r="A872" s="18">
        <v>6118.0</v>
      </c>
      <c r="B872" s="18" t="s">
        <v>32</v>
      </c>
      <c r="C872" s="18">
        <v>88.0</v>
      </c>
      <c r="D872" s="18" t="s">
        <v>31</v>
      </c>
      <c r="E872" s="27">
        <v>42566.63694444444</v>
      </c>
      <c r="F872" s="19">
        <f>IFERROR(__xludf.DUMMYFUNCTION("IFERROR(TO_DATE(E872), """")"),42566.63694444444)</f>
        <v>42566.63694</v>
      </c>
      <c r="G872" s="20">
        <f t="shared" si="1"/>
        <v>15</v>
      </c>
      <c r="H872" s="27">
        <v>42566.680138888885</v>
      </c>
      <c r="I872" s="19">
        <f>IFERROR(__xludf.DUMMYFUNCTION("IFERROR(TO_DATE(H872), """")"),42566.680138888885)</f>
        <v>42566.68014</v>
      </c>
      <c r="J872" s="19" t="s">
        <v>10</v>
      </c>
      <c r="K872" s="22">
        <f t="shared" si="2"/>
        <v>0</v>
      </c>
    </row>
    <row r="873">
      <c r="A873" s="18">
        <v>6450.0</v>
      </c>
      <c r="B873" s="18" t="s">
        <v>32</v>
      </c>
      <c r="C873" s="18">
        <v>88.0</v>
      </c>
      <c r="D873" s="18" t="s">
        <v>31</v>
      </c>
      <c r="E873" s="27">
        <v>42566.834131944444</v>
      </c>
      <c r="F873" s="19">
        <f>IFERROR(__xludf.DUMMYFUNCTION("IFERROR(TO_DATE(E873), """")"),42566.834131944444)</f>
        <v>42566.83413</v>
      </c>
      <c r="G873" s="20">
        <f t="shared" si="1"/>
        <v>20</v>
      </c>
      <c r="H873" s="27">
        <v>42566.87483796296</v>
      </c>
      <c r="I873" s="19">
        <f>IFERROR(__xludf.DUMMYFUNCTION("IFERROR(TO_DATE(H873), """")"),42566.87483796296)</f>
        <v>42566.87484</v>
      </c>
      <c r="J873" s="19" t="s">
        <v>13</v>
      </c>
      <c r="K873" s="22">
        <f t="shared" si="2"/>
        <v>0</v>
      </c>
    </row>
    <row r="874">
      <c r="A874" s="18">
        <v>257.0</v>
      </c>
      <c r="B874" s="18" t="s">
        <v>30</v>
      </c>
      <c r="C874" s="18">
        <v>89.0</v>
      </c>
      <c r="D874" s="18" t="s">
        <v>31</v>
      </c>
      <c r="E874" s="26">
        <v>42562.27638888889</v>
      </c>
      <c r="F874" s="19">
        <f>IFERROR(__xludf.DUMMYFUNCTION("IFERROR(TO_DATE(E874), """")"),42562.27638888889)</f>
        <v>42562.27639</v>
      </c>
      <c r="G874" s="20">
        <f t="shared" si="1"/>
        <v>6</v>
      </c>
      <c r="H874" s="26">
        <v>42562.32638888889</v>
      </c>
      <c r="I874" s="19">
        <f>IFERROR(__xludf.DUMMYFUNCTION("IFERROR(TO_DATE(H874), """")"),42562.32638888889)</f>
        <v>42562.32639</v>
      </c>
      <c r="J874" s="19" t="s">
        <v>11</v>
      </c>
      <c r="K874" s="22">
        <f t="shared" si="2"/>
        <v>0</v>
      </c>
    </row>
    <row r="875">
      <c r="A875" s="18">
        <v>708.0</v>
      </c>
      <c r="B875" s="18" t="s">
        <v>30</v>
      </c>
      <c r="C875" s="18">
        <v>89.0</v>
      </c>
      <c r="D875" s="18" t="s">
        <v>31</v>
      </c>
      <c r="E875" s="26">
        <v>42562.59444444445</v>
      </c>
      <c r="F875" s="19">
        <f>IFERROR(__xludf.DUMMYFUNCTION("IFERROR(TO_DATE(E875), """")"),42562.59444444445)</f>
        <v>42562.59444</v>
      </c>
      <c r="G875" s="20">
        <f t="shared" si="1"/>
        <v>14</v>
      </c>
      <c r="H875" s="26">
        <v>42562.61666666667</v>
      </c>
      <c r="I875" s="19">
        <f>IFERROR(__xludf.DUMMYFUNCTION("IFERROR(TO_DATE(H875), """")"),42562.61666666667)</f>
        <v>42562.61667</v>
      </c>
      <c r="J875" s="19" t="s">
        <v>10</v>
      </c>
      <c r="K875" s="22">
        <f t="shared" si="2"/>
        <v>0</v>
      </c>
    </row>
    <row r="876">
      <c r="A876" s="18">
        <v>891.0</v>
      </c>
      <c r="B876" s="18" t="s">
        <v>30</v>
      </c>
      <c r="C876" s="18">
        <v>89.0</v>
      </c>
      <c r="D876" s="18" t="s">
        <v>31</v>
      </c>
      <c r="E876" s="26">
        <v>42562.756944444445</v>
      </c>
      <c r="F876" s="19">
        <f>IFERROR(__xludf.DUMMYFUNCTION("IFERROR(TO_DATE(E876), """")"),42562.756944444445)</f>
        <v>42562.75694</v>
      </c>
      <c r="G876" s="20">
        <f t="shared" si="1"/>
        <v>18</v>
      </c>
      <c r="H876" s="26">
        <v>42562.80138888889</v>
      </c>
      <c r="I876" s="19">
        <f>IFERROR(__xludf.DUMMYFUNCTION("IFERROR(TO_DATE(H876), """")"),42562.80138888889)</f>
        <v>42562.80139</v>
      </c>
      <c r="J876" s="19" t="s">
        <v>12</v>
      </c>
      <c r="K876" s="22">
        <f t="shared" si="2"/>
        <v>0</v>
      </c>
    </row>
    <row r="877">
      <c r="A877" s="18">
        <v>1748.0</v>
      </c>
      <c r="B877" s="18" t="s">
        <v>32</v>
      </c>
      <c r="C877" s="18">
        <v>89.0</v>
      </c>
      <c r="D877" s="18" t="s">
        <v>31</v>
      </c>
      <c r="E877" s="26">
        <v>42563.35625</v>
      </c>
      <c r="F877" s="19">
        <f>IFERROR(__xludf.DUMMYFUNCTION("IFERROR(TO_DATE(E877), """")"),42563.35625)</f>
        <v>42563.35625</v>
      </c>
      <c r="G877" s="20">
        <f t="shared" si="1"/>
        <v>8</v>
      </c>
      <c r="H877" s="26">
        <v>42563.384722222225</v>
      </c>
      <c r="I877" s="19">
        <f>IFERROR(__xludf.DUMMYFUNCTION("IFERROR(TO_DATE(H877), """")"),42563.384722222225)</f>
        <v>42563.38472</v>
      </c>
      <c r="J877" s="19" t="s">
        <v>14</v>
      </c>
      <c r="K877" s="22">
        <f t="shared" si="2"/>
        <v>0</v>
      </c>
    </row>
    <row r="878">
      <c r="A878" s="18">
        <v>2625.0</v>
      </c>
      <c r="B878" s="18" t="s">
        <v>32</v>
      </c>
      <c r="C878" s="18">
        <v>89.0</v>
      </c>
      <c r="D878" s="18" t="s">
        <v>31</v>
      </c>
      <c r="E878" s="26">
        <v>42563.92291666667</v>
      </c>
      <c r="F878" s="19">
        <f>IFERROR(__xludf.DUMMYFUNCTION("IFERROR(TO_DATE(E878), """")"),42563.92291666667)</f>
        <v>42563.92292</v>
      </c>
      <c r="G878" s="20">
        <f t="shared" si="1"/>
        <v>22</v>
      </c>
      <c r="H878" s="26">
        <v>42563.97083333333</v>
      </c>
      <c r="I878" s="19">
        <f>IFERROR(__xludf.DUMMYFUNCTION("IFERROR(TO_DATE(H878), """")"),42563.97083333333)</f>
        <v>42563.97083</v>
      </c>
      <c r="J878" s="19" t="s">
        <v>13</v>
      </c>
      <c r="K878" s="22">
        <f t="shared" si="2"/>
        <v>0</v>
      </c>
    </row>
    <row r="879">
      <c r="A879" s="18">
        <v>3989.0</v>
      </c>
      <c r="B879" s="18" t="s">
        <v>32</v>
      </c>
      <c r="C879" s="18">
        <v>89.0</v>
      </c>
      <c r="D879" s="18" t="s">
        <v>31</v>
      </c>
      <c r="E879" s="27">
        <v>42564.97309027778</v>
      </c>
      <c r="F879" s="19">
        <f>IFERROR(__xludf.DUMMYFUNCTION("IFERROR(TO_DATE(E879), """")"),42564.97309027778)</f>
        <v>42564.97309</v>
      </c>
      <c r="G879" s="20">
        <f t="shared" si="1"/>
        <v>23</v>
      </c>
      <c r="H879" s="27">
        <v>42565.02165509259</v>
      </c>
      <c r="I879" s="19">
        <f>IFERROR(__xludf.DUMMYFUNCTION("IFERROR(TO_DATE(H879), """")"),42565.02165509259)</f>
        <v>42565.02166</v>
      </c>
      <c r="J879" s="19" t="s">
        <v>13</v>
      </c>
      <c r="K879" s="22">
        <f t="shared" si="2"/>
        <v>0</v>
      </c>
    </row>
    <row r="880">
      <c r="A880" s="18">
        <v>5285.0</v>
      </c>
      <c r="B880" s="18" t="s">
        <v>30</v>
      </c>
      <c r="C880" s="18">
        <v>89.0</v>
      </c>
      <c r="D880" s="18" t="s">
        <v>31</v>
      </c>
      <c r="E880" s="27">
        <v>42565.904652777775</v>
      </c>
      <c r="F880" s="19">
        <f>IFERROR(__xludf.DUMMYFUNCTION("IFERROR(TO_DATE(E880), """")"),42565.904652777775)</f>
        <v>42565.90465</v>
      </c>
      <c r="G880" s="20">
        <f t="shared" si="1"/>
        <v>21</v>
      </c>
      <c r="H880" s="27">
        <v>42565.92532407407</v>
      </c>
      <c r="I880" s="19">
        <f>IFERROR(__xludf.DUMMYFUNCTION("IFERROR(TO_DATE(H880), """")"),42565.92532407407)</f>
        <v>42565.92532</v>
      </c>
      <c r="J880" s="19" t="s">
        <v>13</v>
      </c>
      <c r="K880" s="22">
        <f t="shared" si="2"/>
        <v>0</v>
      </c>
    </row>
    <row r="881">
      <c r="A881" s="18">
        <v>6461.0</v>
      </c>
      <c r="B881" s="18" t="s">
        <v>32</v>
      </c>
      <c r="C881" s="18">
        <v>89.0</v>
      </c>
      <c r="D881" s="18" t="s">
        <v>31</v>
      </c>
      <c r="E881" s="27">
        <v>42566.841875</v>
      </c>
      <c r="F881" s="19">
        <f>IFERROR(__xludf.DUMMYFUNCTION("IFERROR(TO_DATE(E881), """")"),42566.841875)</f>
        <v>42566.84188</v>
      </c>
      <c r="G881" s="20">
        <f t="shared" si="1"/>
        <v>20</v>
      </c>
      <c r="H881" s="27">
        <v>42566.883564814816</v>
      </c>
      <c r="I881" s="19">
        <f>IFERROR(__xludf.DUMMYFUNCTION("IFERROR(TO_DATE(H881), """")"),42566.883564814816)</f>
        <v>42566.88356</v>
      </c>
      <c r="J881" s="19" t="s">
        <v>13</v>
      </c>
      <c r="K881" s="22">
        <f t="shared" si="2"/>
        <v>0</v>
      </c>
    </row>
    <row r="882">
      <c r="A882" s="18">
        <v>1563.0</v>
      </c>
      <c r="B882" s="18" t="s">
        <v>30</v>
      </c>
      <c r="C882" s="18">
        <v>90.0</v>
      </c>
      <c r="D882" s="18" t="s">
        <v>31</v>
      </c>
      <c r="E882" s="26">
        <v>42563.26111111111</v>
      </c>
      <c r="F882" s="19">
        <f>IFERROR(__xludf.DUMMYFUNCTION("IFERROR(TO_DATE(E882), """")"),42563.26111111111)</f>
        <v>42563.26111</v>
      </c>
      <c r="G882" s="20">
        <f t="shared" si="1"/>
        <v>6</v>
      </c>
      <c r="H882" s="26">
        <v>42563.313888888886</v>
      </c>
      <c r="I882" s="19">
        <f>IFERROR(__xludf.DUMMYFUNCTION("IFERROR(TO_DATE(H882), """")"),42563.313888888886)</f>
        <v>42563.31389</v>
      </c>
      <c r="J882" s="19" t="s">
        <v>11</v>
      </c>
      <c r="K882" s="22">
        <f t="shared" si="2"/>
        <v>0</v>
      </c>
    </row>
    <row r="883">
      <c r="A883" s="18">
        <v>2207.0</v>
      </c>
      <c r="B883" s="18" t="s">
        <v>30</v>
      </c>
      <c r="C883" s="18">
        <v>90.0</v>
      </c>
      <c r="D883" s="18" t="s">
        <v>31</v>
      </c>
      <c r="E883" s="26">
        <v>42563.74722222222</v>
      </c>
      <c r="F883" s="19">
        <f>IFERROR(__xludf.DUMMYFUNCTION("IFERROR(TO_DATE(E883), """")"),42563.74722222222)</f>
        <v>42563.74722</v>
      </c>
      <c r="G883" s="20">
        <f t="shared" si="1"/>
        <v>17</v>
      </c>
      <c r="H883" s="26">
        <v>42563.80138888889</v>
      </c>
      <c r="I883" s="19">
        <f>IFERROR(__xludf.DUMMYFUNCTION("IFERROR(TO_DATE(H883), """")"),42563.80138888889)</f>
        <v>42563.80139</v>
      </c>
      <c r="J883" s="19" t="s">
        <v>12</v>
      </c>
      <c r="K883" s="22">
        <f t="shared" si="2"/>
        <v>0</v>
      </c>
    </row>
    <row r="884">
      <c r="A884" s="18">
        <v>2879.0</v>
      </c>
      <c r="B884" s="18" t="s">
        <v>32</v>
      </c>
      <c r="C884" s="18">
        <v>90.0</v>
      </c>
      <c r="D884" s="18" t="s">
        <v>31</v>
      </c>
      <c r="E884" s="27">
        <v>42564.24989583333</v>
      </c>
      <c r="F884" s="19">
        <f>IFERROR(__xludf.DUMMYFUNCTION("IFERROR(TO_DATE(E884), """")"),42564.24989583333)</f>
        <v>42564.2499</v>
      </c>
      <c r="G884" s="20">
        <f t="shared" si="1"/>
        <v>5</v>
      </c>
      <c r="H884" s="27">
        <v>42564.284895833334</v>
      </c>
      <c r="I884" s="19">
        <f>IFERROR(__xludf.DUMMYFUNCTION("IFERROR(TO_DATE(H884), """")"),42564.284895833334)</f>
        <v>42564.2849</v>
      </c>
      <c r="J884" s="19" t="s">
        <v>11</v>
      </c>
      <c r="K884" s="22">
        <f t="shared" si="2"/>
        <v>0</v>
      </c>
    </row>
    <row r="885">
      <c r="A885" s="18">
        <v>3644.0</v>
      </c>
      <c r="B885" s="18" t="s">
        <v>30</v>
      </c>
      <c r="C885" s="18">
        <v>90.0</v>
      </c>
      <c r="D885" s="18" t="s">
        <v>31</v>
      </c>
      <c r="E885" s="27">
        <v>42564.79790509259</v>
      </c>
      <c r="F885" s="19">
        <f>IFERROR(__xludf.DUMMYFUNCTION("IFERROR(TO_DATE(E885), """")"),42564.79790509259)</f>
        <v>42564.79791</v>
      </c>
      <c r="G885" s="20">
        <f t="shared" si="1"/>
        <v>19</v>
      </c>
      <c r="H885" s="27">
        <v>42564.829722222225</v>
      </c>
      <c r="I885" s="19">
        <f>IFERROR(__xludf.DUMMYFUNCTION("IFERROR(TO_DATE(H885), """")"),42564.829722222225)</f>
        <v>42564.82972</v>
      </c>
      <c r="J885" s="19" t="s">
        <v>12</v>
      </c>
      <c r="K885" s="22">
        <f t="shared" si="2"/>
        <v>0</v>
      </c>
    </row>
    <row r="886">
      <c r="A886" s="18">
        <v>3996.0</v>
      </c>
      <c r="B886" s="18" t="s">
        <v>30</v>
      </c>
      <c r="C886" s="18">
        <v>90.0</v>
      </c>
      <c r="D886" s="18" t="s">
        <v>31</v>
      </c>
      <c r="E886" s="27">
        <v>42564.98372685185</v>
      </c>
      <c r="F886" s="19">
        <f>IFERROR(__xludf.DUMMYFUNCTION("IFERROR(TO_DATE(E886), """")"),42564.98372685185)</f>
        <v>42564.98373</v>
      </c>
      <c r="G886" s="20">
        <f t="shared" si="1"/>
        <v>23</v>
      </c>
      <c r="H886" s="27">
        <v>42565.02494212963</v>
      </c>
      <c r="I886" s="19">
        <f>IFERROR(__xludf.DUMMYFUNCTION("IFERROR(TO_DATE(H886), """")"),42565.02494212963)</f>
        <v>42565.02494</v>
      </c>
      <c r="J886" s="19" t="s">
        <v>13</v>
      </c>
      <c r="K886" s="22">
        <f t="shared" si="2"/>
        <v>0</v>
      </c>
    </row>
    <row r="887">
      <c r="A887" s="18">
        <v>4355.0</v>
      </c>
      <c r="B887" s="18" t="s">
        <v>32</v>
      </c>
      <c r="C887" s="18">
        <v>90.0</v>
      </c>
      <c r="D887" s="18" t="s">
        <v>31</v>
      </c>
      <c r="E887" s="27">
        <v>42565.30494212963</v>
      </c>
      <c r="F887" s="19">
        <f>IFERROR(__xludf.DUMMYFUNCTION("IFERROR(TO_DATE(E887), """")"),42565.30494212963)</f>
        <v>42565.30494</v>
      </c>
      <c r="G887" s="20">
        <f t="shared" si="1"/>
        <v>7</v>
      </c>
      <c r="H887" s="27">
        <v>42565.333032407405</v>
      </c>
      <c r="I887" s="19">
        <f>IFERROR(__xludf.DUMMYFUNCTION("IFERROR(TO_DATE(H887), """")"),42565.333032407405)</f>
        <v>42565.33303</v>
      </c>
      <c r="J887" s="19" t="s">
        <v>11</v>
      </c>
      <c r="K887" s="22">
        <f t="shared" si="2"/>
        <v>0</v>
      </c>
    </row>
    <row r="888">
      <c r="A888" s="18">
        <v>4758.0</v>
      </c>
      <c r="B888" s="18" t="s">
        <v>32</v>
      </c>
      <c r="C888" s="18">
        <v>90.0</v>
      </c>
      <c r="D888" s="18" t="s">
        <v>31</v>
      </c>
      <c r="E888" s="27">
        <v>42565.643425925926</v>
      </c>
      <c r="F888" s="19">
        <f>IFERROR(__xludf.DUMMYFUNCTION("IFERROR(TO_DATE(E888), """")"),42565.643425925926)</f>
        <v>42565.64343</v>
      </c>
      <c r="G888" s="20">
        <f t="shared" si="1"/>
        <v>15</v>
      </c>
      <c r="H888" s="27">
        <v>42565.67188657408</v>
      </c>
      <c r="I888" s="19">
        <f>IFERROR(__xludf.DUMMYFUNCTION("IFERROR(TO_DATE(H888), """")"),42565.67188657408)</f>
        <v>42565.67189</v>
      </c>
      <c r="J888" s="19" t="s">
        <v>10</v>
      </c>
      <c r="K888" s="22">
        <f t="shared" si="2"/>
        <v>0</v>
      </c>
    </row>
    <row r="889">
      <c r="A889" s="18">
        <v>6001.0</v>
      </c>
      <c r="B889" s="18" t="s">
        <v>30</v>
      </c>
      <c r="C889" s="18">
        <v>90.0</v>
      </c>
      <c r="D889" s="18" t="s">
        <v>31</v>
      </c>
      <c r="E889" s="27">
        <v>42566.50548611111</v>
      </c>
      <c r="F889" s="19">
        <f>IFERROR(__xludf.DUMMYFUNCTION("IFERROR(TO_DATE(E889), """")"),42566.50548611111)</f>
        <v>42566.50549</v>
      </c>
      <c r="G889" s="20">
        <f t="shared" si="1"/>
        <v>12</v>
      </c>
      <c r="H889" s="27">
        <v>42566.55428240741</v>
      </c>
      <c r="I889" s="19">
        <f>IFERROR(__xludf.DUMMYFUNCTION("IFERROR(TO_DATE(H889), """")"),42566.55428240741)</f>
        <v>42566.55428</v>
      </c>
      <c r="J889" s="19" t="s">
        <v>10</v>
      </c>
      <c r="K889" s="22">
        <f t="shared" si="2"/>
        <v>0</v>
      </c>
    </row>
    <row r="890">
      <c r="A890" s="18">
        <v>1181.0</v>
      </c>
      <c r="B890" s="18" t="s">
        <v>30</v>
      </c>
      <c r="C890" s="18">
        <v>91.0</v>
      </c>
      <c r="D890" s="18" t="s">
        <v>31</v>
      </c>
      <c r="E890" s="26">
        <v>42562.87777777778</v>
      </c>
      <c r="F890" s="19">
        <f>IFERROR(__xludf.DUMMYFUNCTION("IFERROR(TO_DATE(E890), """")"),42562.87777777778)</f>
        <v>42562.87778</v>
      </c>
      <c r="G890" s="20">
        <f t="shared" si="1"/>
        <v>21</v>
      </c>
      <c r="H890" s="26">
        <v>42562.92083333333</v>
      </c>
      <c r="I890" s="19">
        <f>IFERROR(__xludf.DUMMYFUNCTION("IFERROR(TO_DATE(H890), """")"),42562.92083333333)</f>
        <v>42562.92083</v>
      </c>
      <c r="J890" s="19" t="s">
        <v>13</v>
      </c>
      <c r="K890" s="22">
        <f t="shared" si="2"/>
        <v>0</v>
      </c>
    </row>
    <row r="891">
      <c r="A891" s="18">
        <v>1297.0</v>
      </c>
      <c r="B891" s="18" t="s">
        <v>32</v>
      </c>
      <c r="C891" s="18">
        <v>91.0</v>
      </c>
      <c r="D891" s="18" t="s">
        <v>31</v>
      </c>
      <c r="E891" s="26">
        <v>42562.93194444444</v>
      </c>
      <c r="F891" s="19">
        <f>IFERROR(__xludf.DUMMYFUNCTION("IFERROR(TO_DATE(E891), """")"),42562.93194444444)</f>
        <v>42562.93194</v>
      </c>
      <c r="G891" s="20">
        <f t="shared" si="1"/>
        <v>22</v>
      </c>
      <c r="H891" s="26">
        <v>42562.96041666667</v>
      </c>
      <c r="I891" s="19">
        <f>IFERROR(__xludf.DUMMYFUNCTION("IFERROR(TO_DATE(H891), """")"),42562.96041666667)</f>
        <v>42562.96042</v>
      </c>
      <c r="J891" s="19" t="s">
        <v>13</v>
      </c>
      <c r="K891" s="22">
        <f t="shared" si="2"/>
        <v>0</v>
      </c>
    </row>
    <row r="892">
      <c r="A892" s="18">
        <v>1429.0</v>
      </c>
      <c r="B892" s="18" t="s">
        <v>32</v>
      </c>
      <c r="C892" s="18">
        <v>91.0</v>
      </c>
      <c r="D892" s="18" t="s">
        <v>31</v>
      </c>
      <c r="E892" s="26">
        <v>42563.19513888889</v>
      </c>
      <c r="F892" s="19">
        <f>IFERROR(__xludf.DUMMYFUNCTION("IFERROR(TO_DATE(E892), """")"),42563.19513888889)</f>
        <v>42563.19514</v>
      </c>
      <c r="G892" s="20">
        <f t="shared" si="1"/>
        <v>4</v>
      </c>
      <c r="H892" s="26">
        <v>42563.22361111111</v>
      </c>
      <c r="I892" s="19">
        <f>IFERROR(__xludf.DUMMYFUNCTION("IFERROR(TO_DATE(H892), """")"),42563.22361111111)</f>
        <v>42563.22361</v>
      </c>
      <c r="J892" s="19" t="s">
        <v>11</v>
      </c>
      <c r="K892" s="22">
        <f t="shared" si="2"/>
        <v>0</v>
      </c>
    </row>
    <row r="893">
      <c r="A893" s="18">
        <v>2104.0</v>
      </c>
      <c r="B893" s="18" t="s">
        <v>32</v>
      </c>
      <c r="C893" s="18">
        <v>91.0</v>
      </c>
      <c r="D893" s="18" t="s">
        <v>31</v>
      </c>
      <c r="E893" s="26">
        <v>42563.67152777778</v>
      </c>
      <c r="F893" s="19">
        <f>IFERROR(__xludf.DUMMYFUNCTION("IFERROR(TO_DATE(E893), """")"),42563.67152777778)</f>
        <v>42563.67153</v>
      </c>
      <c r="G893" s="20">
        <f t="shared" si="1"/>
        <v>16</v>
      </c>
      <c r="H893" s="26">
        <v>42563.71111111111</v>
      </c>
      <c r="I893" s="19">
        <f>IFERROR(__xludf.DUMMYFUNCTION("IFERROR(TO_DATE(H893), """")"),42563.71111111111)</f>
        <v>42563.71111</v>
      </c>
      <c r="J893" s="19" t="s">
        <v>12</v>
      </c>
      <c r="K893" s="22">
        <f t="shared" si="2"/>
        <v>0</v>
      </c>
    </row>
    <row r="894">
      <c r="A894" s="18">
        <v>2736.0</v>
      </c>
      <c r="B894" s="18" t="s">
        <v>32</v>
      </c>
      <c r="C894" s="18">
        <v>91.0</v>
      </c>
      <c r="D894" s="18" t="s">
        <v>31</v>
      </c>
      <c r="E894" s="27">
        <v>42564.11331018519</v>
      </c>
      <c r="F894" s="19">
        <f>IFERROR(__xludf.DUMMYFUNCTION("IFERROR(TO_DATE(E894), """")"),42564.11331018519)</f>
        <v>42564.11331</v>
      </c>
      <c r="G894" s="20">
        <f t="shared" si="1"/>
        <v>2</v>
      </c>
      <c r="H894" s="27">
        <v>42564.16315972222</v>
      </c>
      <c r="I894" s="19">
        <f>IFERROR(__xludf.DUMMYFUNCTION("IFERROR(TO_DATE(H894), """")"),42564.16315972222)</f>
        <v>42564.16316</v>
      </c>
      <c r="J894" s="19" t="s">
        <v>15</v>
      </c>
      <c r="K894" s="22">
        <f t="shared" si="2"/>
        <v>0</v>
      </c>
    </row>
    <row r="895">
      <c r="A895" s="18">
        <v>3615.0</v>
      </c>
      <c r="B895" s="18" t="s">
        <v>32</v>
      </c>
      <c r="C895" s="18">
        <v>91.0</v>
      </c>
      <c r="D895" s="18" t="s">
        <v>31</v>
      </c>
      <c r="E895" s="27">
        <v>42564.78915509259</v>
      </c>
      <c r="F895" s="19">
        <f>IFERROR(__xludf.DUMMYFUNCTION("IFERROR(TO_DATE(E895), """")"),42564.78915509259)</f>
        <v>42564.78916</v>
      </c>
      <c r="G895" s="20">
        <f t="shared" si="1"/>
        <v>18</v>
      </c>
      <c r="H895" s="27">
        <v>42564.821851851855</v>
      </c>
      <c r="I895" s="19">
        <f>IFERROR(__xludf.DUMMYFUNCTION("IFERROR(TO_DATE(H895), """")"),42564.821851851855)</f>
        <v>42564.82185</v>
      </c>
      <c r="J895" s="19" t="s">
        <v>12</v>
      </c>
      <c r="K895" s="22">
        <f t="shared" si="2"/>
        <v>0</v>
      </c>
    </row>
    <row r="896">
      <c r="A896" s="18">
        <v>4719.0</v>
      </c>
      <c r="B896" s="18" t="s">
        <v>30</v>
      </c>
      <c r="C896" s="18">
        <v>91.0</v>
      </c>
      <c r="D896" s="18" t="s">
        <v>31</v>
      </c>
      <c r="E896" s="27">
        <v>42565.571851851855</v>
      </c>
      <c r="F896" s="19">
        <f>IFERROR(__xludf.DUMMYFUNCTION("IFERROR(TO_DATE(E896), """")"),42565.571851851855)</f>
        <v>42565.57185</v>
      </c>
      <c r="G896" s="20">
        <f t="shared" si="1"/>
        <v>13</v>
      </c>
      <c r="H896" s="27">
        <v>42565.61534722222</v>
      </c>
      <c r="I896" s="19">
        <f>IFERROR(__xludf.DUMMYFUNCTION("IFERROR(TO_DATE(H896), """")"),42565.61534722222)</f>
        <v>42565.61535</v>
      </c>
      <c r="J896" s="19" t="s">
        <v>10</v>
      </c>
      <c r="K896" s="22">
        <f t="shared" si="2"/>
        <v>0</v>
      </c>
    </row>
    <row r="897">
      <c r="A897" s="18">
        <v>4748.0</v>
      </c>
      <c r="B897" s="18" t="s">
        <v>32</v>
      </c>
      <c r="C897" s="18">
        <v>91.0</v>
      </c>
      <c r="D897" s="18" t="s">
        <v>31</v>
      </c>
      <c r="E897" s="27">
        <v>42565.62734953704</v>
      </c>
      <c r="F897" s="19">
        <f>IFERROR(__xludf.DUMMYFUNCTION("IFERROR(TO_DATE(E897), """")"),42565.62734953704)</f>
        <v>42565.62735</v>
      </c>
      <c r="G897" s="20">
        <f t="shared" si="1"/>
        <v>15</v>
      </c>
      <c r="H897" s="27">
        <v>42565.68199074074</v>
      </c>
      <c r="I897" s="19">
        <f>IFERROR(__xludf.DUMMYFUNCTION("IFERROR(TO_DATE(H897), """")"),42565.68199074074)</f>
        <v>42565.68199</v>
      </c>
      <c r="J897" s="19" t="s">
        <v>10</v>
      </c>
      <c r="K897" s="22">
        <f t="shared" si="2"/>
        <v>0</v>
      </c>
    </row>
    <row r="898">
      <c r="A898" s="18">
        <v>870.0</v>
      </c>
      <c r="B898" s="18" t="s">
        <v>32</v>
      </c>
      <c r="C898" s="18">
        <v>92.0</v>
      </c>
      <c r="D898" s="18" t="s">
        <v>31</v>
      </c>
      <c r="E898" s="26">
        <v>42562.74791666667</v>
      </c>
      <c r="F898" s="19">
        <f>IFERROR(__xludf.DUMMYFUNCTION("IFERROR(TO_DATE(E898), """")"),42562.74791666667)</f>
        <v>42562.74792</v>
      </c>
      <c r="G898" s="20">
        <f t="shared" si="1"/>
        <v>17</v>
      </c>
      <c r="H898" s="26">
        <v>42562.77847222222</v>
      </c>
      <c r="I898" s="19">
        <f>IFERROR(__xludf.DUMMYFUNCTION("IFERROR(TO_DATE(H898), """")"),42562.77847222222)</f>
        <v>42562.77847</v>
      </c>
      <c r="J898" s="19" t="s">
        <v>12</v>
      </c>
      <c r="K898" s="22">
        <f t="shared" si="2"/>
        <v>0</v>
      </c>
    </row>
    <row r="899">
      <c r="A899" s="18">
        <v>2124.0</v>
      </c>
      <c r="B899" s="18" t="s">
        <v>30</v>
      </c>
      <c r="C899" s="18">
        <v>92.0</v>
      </c>
      <c r="D899" s="18" t="s">
        <v>31</v>
      </c>
      <c r="E899" s="26">
        <v>42563.70347222222</v>
      </c>
      <c r="F899" s="19">
        <f>IFERROR(__xludf.DUMMYFUNCTION("IFERROR(TO_DATE(E899), """")"),42563.70347222222)</f>
        <v>42563.70347</v>
      </c>
      <c r="G899" s="20">
        <f t="shared" si="1"/>
        <v>16</v>
      </c>
      <c r="H899" s="26">
        <v>42563.72986111111</v>
      </c>
      <c r="I899" s="19">
        <f>IFERROR(__xludf.DUMMYFUNCTION("IFERROR(TO_DATE(H899), """")"),42563.72986111111)</f>
        <v>42563.72986</v>
      </c>
      <c r="J899" s="19" t="s">
        <v>12</v>
      </c>
      <c r="K899" s="22">
        <f t="shared" si="2"/>
        <v>0</v>
      </c>
    </row>
    <row r="900">
      <c r="A900" s="18">
        <v>2457.0</v>
      </c>
      <c r="B900" s="18" t="s">
        <v>30</v>
      </c>
      <c r="C900" s="18">
        <v>92.0</v>
      </c>
      <c r="D900" s="18" t="s">
        <v>31</v>
      </c>
      <c r="E900" s="26">
        <v>42563.85486111111</v>
      </c>
      <c r="F900" s="19">
        <f>IFERROR(__xludf.DUMMYFUNCTION("IFERROR(TO_DATE(E900), """")"),42563.85486111111)</f>
        <v>42563.85486</v>
      </c>
      <c r="G900" s="20">
        <f t="shared" si="1"/>
        <v>20</v>
      </c>
      <c r="H900" s="26">
        <v>42563.902083333334</v>
      </c>
      <c r="I900" s="19">
        <f>IFERROR(__xludf.DUMMYFUNCTION("IFERROR(TO_DATE(H900), """")"),42563.902083333334)</f>
        <v>42563.90208</v>
      </c>
      <c r="J900" s="19" t="s">
        <v>13</v>
      </c>
      <c r="K900" s="22">
        <f t="shared" si="2"/>
        <v>0</v>
      </c>
    </row>
    <row r="901">
      <c r="A901" s="18">
        <v>2621.0</v>
      </c>
      <c r="B901" s="18" t="s">
        <v>32</v>
      </c>
      <c r="C901" s="18">
        <v>92.0</v>
      </c>
      <c r="D901" s="18" t="s">
        <v>31</v>
      </c>
      <c r="E901" s="26">
        <v>42563.92013888889</v>
      </c>
      <c r="F901" s="19">
        <f>IFERROR(__xludf.DUMMYFUNCTION("IFERROR(TO_DATE(E901), """")"),42563.92013888889)</f>
        <v>42563.92014</v>
      </c>
      <c r="G901" s="20">
        <f t="shared" si="1"/>
        <v>22</v>
      </c>
      <c r="H901" s="26">
        <v>42563.95694444444</v>
      </c>
      <c r="I901" s="19">
        <f>IFERROR(__xludf.DUMMYFUNCTION("IFERROR(TO_DATE(H901), """")"),42563.95694444444)</f>
        <v>42563.95694</v>
      </c>
      <c r="J901" s="19" t="s">
        <v>13</v>
      </c>
      <c r="K901" s="22">
        <f t="shared" si="2"/>
        <v>0</v>
      </c>
    </row>
    <row r="902">
      <c r="A902" s="18">
        <v>3168.0</v>
      </c>
      <c r="B902" s="18" t="s">
        <v>32</v>
      </c>
      <c r="C902" s="18">
        <v>92.0</v>
      </c>
      <c r="D902" s="18" t="s">
        <v>31</v>
      </c>
      <c r="E902" s="27">
        <v>42564.38337962963</v>
      </c>
      <c r="F902" s="19">
        <f>IFERROR(__xludf.DUMMYFUNCTION("IFERROR(TO_DATE(E902), """")"),42564.38337962963)</f>
        <v>42564.38338</v>
      </c>
      <c r="G902" s="20">
        <f t="shared" si="1"/>
        <v>9</v>
      </c>
      <c r="H902" s="27">
        <v>42564.42277777778</v>
      </c>
      <c r="I902" s="19">
        <f>IFERROR(__xludf.DUMMYFUNCTION("IFERROR(TO_DATE(H902), """")"),42564.42277777778)</f>
        <v>42564.42278</v>
      </c>
      <c r="J902" s="19" t="s">
        <v>14</v>
      </c>
      <c r="K902" s="22">
        <f t="shared" si="2"/>
        <v>0</v>
      </c>
    </row>
    <row r="903">
      <c r="A903" s="18">
        <v>3285.0</v>
      </c>
      <c r="B903" s="18" t="s">
        <v>30</v>
      </c>
      <c r="C903" s="18">
        <v>92.0</v>
      </c>
      <c r="D903" s="18" t="s">
        <v>31</v>
      </c>
      <c r="E903" s="27">
        <v>42564.45777777778</v>
      </c>
      <c r="F903" s="19">
        <f>IFERROR(__xludf.DUMMYFUNCTION("IFERROR(TO_DATE(E903), """")"),42564.45777777778)</f>
        <v>42564.45778</v>
      </c>
      <c r="G903" s="20">
        <f t="shared" si="1"/>
        <v>10</v>
      </c>
      <c r="H903" s="27">
        <v>42564.5005787037</v>
      </c>
      <c r="I903" s="19">
        <f>IFERROR(__xludf.DUMMYFUNCTION("IFERROR(TO_DATE(H903), """")"),42564.5005787037)</f>
        <v>42564.50058</v>
      </c>
      <c r="J903" s="19" t="s">
        <v>14</v>
      </c>
      <c r="K903" s="22">
        <f t="shared" si="2"/>
        <v>0</v>
      </c>
    </row>
    <row r="904">
      <c r="A904" s="18">
        <v>3315.0</v>
      </c>
      <c r="B904" s="18" t="s">
        <v>32</v>
      </c>
      <c r="C904" s="18">
        <v>92.0</v>
      </c>
      <c r="D904" s="18" t="s">
        <v>31</v>
      </c>
      <c r="E904" s="27">
        <v>42564.506574074076</v>
      </c>
      <c r="F904" s="19">
        <f>IFERROR(__xludf.DUMMYFUNCTION("IFERROR(TO_DATE(E904), """")"),42564.506574074076)</f>
        <v>42564.50657</v>
      </c>
      <c r="G904" s="20">
        <f t="shared" si="1"/>
        <v>12</v>
      </c>
      <c r="H904" s="27">
        <v>42564.55490740741</v>
      </c>
      <c r="I904" s="19">
        <f>IFERROR(__xludf.DUMMYFUNCTION("IFERROR(TO_DATE(H904), """")"),42564.55490740741)</f>
        <v>42564.55491</v>
      </c>
      <c r="J904" s="19" t="s">
        <v>10</v>
      </c>
      <c r="K904" s="22">
        <f t="shared" si="2"/>
        <v>0</v>
      </c>
    </row>
    <row r="905">
      <c r="A905" s="18">
        <v>5585.0</v>
      </c>
      <c r="B905" s="18" t="s">
        <v>32</v>
      </c>
      <c r="C905" s="18">
        <v>92.0</v>
      </c>
      <c r="D905" s="18" t="s">
        <v>31</v>
      </c>
      <c r="E905" s="27">
        <v>42566.2491087963</v>
      </c>
      <c r="F905" s="19">
        <f>IFERROR(__xludf.DUMMYFUNCTION("IFERROR(TO_DATE(E905), """")"),42566.2491087963)</f>
        <v>42566.24911</v>
      </c>
      <c r="G905" s="20">
        <f t="shared" si="1"/>
        <v>5</v>
      </c>
      <c r="H905" s="27">
        <v>42566.29902777778</v>
      </c>
      <c r="I905" s="19">
        <f>IFERROR(__xludf.DUMMYFUNCTION("IFERROR(TO_DATE(H905), """")"),42566.29902777778)</f>
        <v>42566.29903</v>
      </c>
      <c r="J905" s="19" t="s">
        <v>11</v>
      </c>
      <c r="K905" s="22">
        <f t="shared" si="2"/>
        <v>0</v>
      </c>
    </row>
    <row r="906">
      <c r="A906" s="18">
        <v>6235.0</v>
      </c>
      <c r="B906" s="18" t="s">
        <v>32</v>
      </c>
      <c r="C906" s="18">
        <v>92.0</v>
      </c>
      <c r="D906" s="18" t="s">
        <v>31</v>
      </c>
      <c r="E906" s="27">
        <v>42566.74103009259</v>
      </c>
      <c r="F906" s="19">
        <f>IFERROR(__xludf.DUMMYFUNCTION("IFERROR(TO_DATE(E906), """")"),42566.74103009259)</f>
        <v>42566.74103</v>
      </c>
      <c r="G906" s="20">
        <f t="shared" si="1"/>
        <v>17</v>
      </c>
      <c r="H906" s="27">
        <v>42566.76403935185</v>
      </c>
      <c r="I906" s="19">
        <f>IFERROR(__xludf.DUMMYFUNCTION("IFERROR(TO_DATE(H906), """")"),42566.76403935185)</f>
        <v>42566.76404</v>
      </c>
      <c r="J906" s="19" t="s">
        <v>12</v>
      </c>
      <c r="K906" s="22">
        <f t="shared" si="2"/>
        <v>0</v>
      </c>
    </row>
    <row r="907">
      <c r="A907" s="18">
        <v>913.0</v>
      </c>
      <c r="B907" s="18" t="s">
        <v>30</v>
      </c>
      <c r="C907" s="18">
        <v>93.0</v>
      </c>
      <c r="D907" s="18" t="s">
        <v>31</v>
      </c>
      <c r="E907" s="26">
        <v>42562.7625</v>
      </c>
      <c r="F907" s="19">
        <f>IFERROR(__xludf.DUMMYFUNCTION("IFERROR(TO_DATE(E907), """")"),42562.7625)</f>
        <v>42562.7625</v>
      </c>
      <c r="G907" s="20">
        <f t="shared" si="1"/>
        <v>18</v>
      </c>
      <c r="H907" s="26">
        <v>42562.802083333336</v>
      </c>
      <c r="I907" s="19">
        <f>IFERROR(__xludf.DUMMYFUNCTION("IFERROR(TO_DATE(H907), """")"),42562.802083333336)</f>
        <v>42562.80208</v>
      </c>
      <c r="J907" s="19" t="s">
        <v>12</v>
      </c>
      <c r="K907" s="22">
        <f t="shared" si="2"/>
        <v>0</v>
      </c>
    </row>
    <row r="908">
      <c r="A908" s="18">
        <v>1852.0</v>
      </c>
      <c r="B908" s="18" t="s">
        <v>32</v>
      </c>
      <c r="C908" s="18">
        <v>93.0</v>
      </c>
      <c r="D908" s="18" t="s">
        <v>31</v>
      </c>
      <c r="E908" s="26">
        <v>42563.404861111114</v>
      </c>
      <c r="F908" s="19">
        <f>IFERROR(__xludf.DUMMYFUNCTION("IFERROR(TO_DATE(E908), """")"),42563.404861111114)</f>
        <v>42563.40486</v>
      </c>
      <c r="G908" s="20">
        <f t="shared" si="1"/>
        <v>9</v>
      </c>
      <c r="H908" s="26">
        <v>42563.45694444444</v>
      </c>
      <c r="I908" s="19">
        <f>IFERROR(__xludf.DUMMYFUNCTION("IFERROR(TO_DATE(H908), """")"),42563.45694444444)</f>
        <v>42563.45694</v>
      </c>
      <c r="J908" s="19" t="s">
        <v>14</v>
      </c>
      <c r="K908" s="22">
        <f t="shared" si="2"/>
        <v>0</v>
      </c>
    </row>
    <row r="909">
      <c r="A909" s="18">
        <v>3117.0</v>
      </c>
      <c r="B909" s="18" t="s">
        <v>30</v>
      </c>
      <c r="C909" s="18">
        <v>93.0</v>
      </c>
      <c r="D909" s="18" t="s">
        <v>31</v>
      </c>
      <c r="E909" s="27">
        <v>42564.35755787037</v>
      </c>
      <c r="F909" s="19">
        <f>IFERROR(__xludf.DUMMYFUNCTION("IFERROR(TO_DATE(E909), """")"),42564.35755787037)</f>
        <v>42564.35756</v>
      </c>
      <c r="G909" s="20">
        <f t="shared" si="1"/>
        <v>8</v>
      </c>
      <c r="H909" s="27">
        <v>42564.380428240744</v>
      </c>
      <c r="I909" s="19">
        <f>IFERROR(__xludf.DUMMYFUNCTION("IFERROR(TO_DATE(H909), """")"),42564.380428240744)</f>
        <v>42564.38043</v>
      </c>
      <c r="J909" s="19" t="s">
        <v>14</v>
      </c>
      <c r="K909" s="22">
        <f t="shared" si="2"/>
        <v>0</v>
      </c>
    </row>
    <row r="910">
      <c r="A910" s="18">
        <v>3392.0</v>
      </c>
      <c r="B910" s="18" t="s">
        <v>30</v>
      </c>
      <c r="C910" s="18">
        <v>93.0</v>
      </c>
      <c r="D910" s="18" t="s">
        <v>31</v>
      </c>
      <c r="E910" s="27">
        <v>42564.615428240744</v>
      </c>
      <c r="F910" s="19">
        <f>IFERROR(__xludf.DUMMYFUNCTION("IFERROR(TO_DATE(E910), """")"),42564.615428240744)</f>
        <v>42564.61543</v>
      </c>
      <c r="G910" s="20">
        <f t="shared" si="1"/>
        <v>14</v>
      </c>
      <c r="H910" s="27">
        <v>42564.63699074074</v>
      </c>
      <c r="I910" s="19">
        <f>IFERROR(__xludf.DUMMYFUNCTION("IFERROR(TO_DATE(H910), """")"),42564.63699074074)</f>
        <v>42564.63699</v>
      </c>
      <c r="J910" s="19" t="s">
        <v>10</v>
      </c>
      <c r="K910" s="22">
        <f t="shared" si="2"/>
        <v>0</v>
      </c>
    </row>
    <row r="911">
      <c r="A911" s="18">
        <v>4722.0</v>
      </c>
      <c r="B911" s="18" t="s">
        <v>32</v>
      </c>
      <c r="C911" s="18">
        <v>93.0</v>
      </c>
      <c r="D911" s="18" t="s">
        <v>31</v>
      </c>
      <c r="E911" s="27">
        <v>42565.57675925926</v>
      </c>
      <c r="F911" s="19">
        <f>IFERROR(__xludf.DUMMYFUNCTION("IFERROR(TO_DATE(E911), """")"),42565.57675925926)</f>
        <v>42565.57676</v>
      </c>
      <c r="G911" s="20">
        <f t="shared" si="1"/>
        <v>13</v>
      </c>
      <c r="H911" s="27">
        <v>42565.62467592592</v>
      </c>
      <c r="I911" s="19">
        <f>IFERROR(__xludf.DUMMYFUNCTION("IFERROR(TO_DATE(H911), """")"),42565.62467592592)</f>
        <v>42565.62468</v>
      </c>
      <c r="J911" s="19" t="s">
        <v>10</v>
      </c>
      <c r="K911" s="22">
        <f t="shared" si="2"/>
        <v>0</v>
      </c>
    </row>
    <row r="912">
      <c r="A912" s="18">
        <v>692.0</v>
      </c>
      <c r="B912" s="18" t="s">
        <v>30</v>
      </c>
      <c r="C912" s="18">
        <v>94.0</v>
      </c>
      <c r="D912" s="18" t="s">
        <v>31</v>
      </c>
      <c r="E912" s="26">
        <v>42562.575694444444</v>
      </c>
      <c r="F912" s="19">
        <f>IFERROR(__xludf.DUMMYFUNCTION("IFERROR(TO_DATE(E912), """")"),42562.575694444444)</f>
        <v>42562.57569</v>
      </c>
      <c r="G912" s="20">
        <f t="shared" si="1"/>
        <v>13</v>
      </c>
      <c r="H912" s="26">
        <v>42562.603472222225</v>
      </c>
      <c r="I912" s="19">
        <f>IFERROR(__xludf.DUMMYFUNCTION("IFERROR(TO_DATE(H912), """")"),42562.603472222225)</f>
        <v>42562.60347</v>
      </c>
      <c r="J912" s="19" t="s">
        <v>10</v>
      </c>
      <c r="K912" s="22">
        <f t="shared" si="2"/>
        <v>0</v>
      </c>
    </row>
    <row r="913">
      <c r="A913" s="18">
        <v>1351.0</v>
      </c>
      <c r="B913" s="18" t="s">
        <v>30</v>
      </c>
      <c r="C913" s="18">
        <v>94.0</v>
      </c>
      <c r="D913" s="18" t="s">
        <v>31</v>
      </c>
      <c r="E913" s="26">
        <v>42562.98888888889</v>
      </c>
      <c r="F913" s="19">
        <f>IFERROR(__xludf.DUMMYFUNCTION("IFERROR(TO_DATE(E913), """")"),42562.98888888889)</f>
        <v>42562.98889</v>
      </c>
      <c r="G913" s="20">
        <f t="shared" si="1"/>
        <v>23</v>
      </c>
      <c r="H913" s="26">
        <v>42563.03402777778</v>
      </c>
      <c r="I913" s="19">
        <f>IFERROR(__xludf.DUMMYFUNCTION("IFERROR(TO_DATE(H913), """")"),42563.03402777778)</f>
        <v>42563.03403</v>
      </c>
      <c r="J913" s="19" t="s">
        <v>13</v>
      </c>
      <c r="K913" s="22">
        <f t="shared" si="2"/>
        <v>0</v>
      </c>
    </row>
    <row r="914">
      <c r="A914" s="18">
        <v>1800.0</v>
      </c>
      <c r="B914" s="18" t="s">
        <v>32</v>
      </c>
      <c r="C914" s="18">
        <v>94.0</v>
      </c>
      <c r="D914" s="18" t="s">
        <v>31</v>
      </c>
      <c r="E914" s="26">
        <v>42563.38125</v>
      </c>
      <c r="F914" s="19">
        <f>IFERROR(__xludf.DUMMYFUNCTION("IFERROR(TO_DATE(E914), """")"),42563.38125)</f>
        <v>42563.38125</v>
      </c>
      <c r="G914" s="20">
        <f t="shared" si="1"/>
        <v>9</v>
      </c>
      <c r="H914" s="26">
        <v>42563.42013888889</v>
      </c>
      <c r="I914" s="19">
        <f>IFERROR(__xludf.DUMMYFUNCTION("IFERROR(TO_DATE(H914), """")"),42563.42013888889)</f>
        <v>42563.42014</v>
      </c>
      <c r="J914" s="19" t="s">
        <v>14</v>
      </c>
      <c r="K914" s="22">
        <f t="shared" si="2"/>
        <v>0</v>
      </c>
    </row>
    <row r="915">
      <c r="A915" s="18">
        <v>2434.0</v>
      </c>
      <c r="B915" s="18" t="s">
        <v>32</v>
      </c>
      <c r="C915" s="18">
        <v>94.0</v>
      </c>
      <c r="D915" s="18" t="s">
        <v>31</v>
      </c>
      <c r="E915" s="26">
        <v>42563.84444444445</v>
      </c>
      <c r="F915" s="19">
        <f>IFERROR(__xludf.DUMMYFUNCTION("IFERROR(TO_DATE(E915), """")"),42563.84444444445)</f>
        <v>42563.84444</v>
      </c>
      <c r="G915" s="20">
        <f t="shared" si="1"/>
        <v>20</v>
      </c>
      <c r="H915" s="26">
        <v>42563.885416666664</v>
      </c>
      <c r="I915" s="19">
        <f>IFERROR(__xludf.DUMMYFUNCTION("IFERROR(TO_DATE(H915), """")"),42563.885416666664)</f>
        <v>42563.88542</v>
      </c>
      <c r="J915" s="19" t="s">
        <v>13</v>
      </c>
      <c r="K915" s="22">
        <f t="shared" si="2"/>
        <v>0</v>
      </c>
    </row>
    <row r="916">
      <c r="A916" s="18">
        <v>3212.0</v>
      </c>
      <c r="B916" s="18" t="s">
        <v>32</v>
      </c>
      <c r="C916" s="18">
        <v>94.0</v>
      </c>
      <c r="D916" s="18" t="s">
        <v>31</v>
      </c>
      <c r="E916" s="27">
        <v>42564.40865740741</v>
      </c>
      <c r="F916" s="19">
        <f>IFERROR(__xludf.DUMMYFUNCTION("IFERROR(TO_DATE(E916), """")"),42564.40865740741)</f>
        <v>42564.40866</v>
      </c>
      <c r="G916" s="20">
        <f t="shared" si="1"/>
        <v>9</v>
      </c>
      <c r="H916" s="27">
        <v>42564.44846064815</v>
      </c>
      <c r="I916" s="19">
        <f>IFERROR(__xludf.DUMMYFUNCTION("IFERROR(TO_DATE(H916), """")"),42564.44846064815)</f>
        <v>42564.44846</v>
      </c>
      <c r="J916" s="19" t="s">
        <v>14</v>
      </c>
      <c r="K916" s="22">
        <f t="shared" si="2"/>
        <v>0</v>
      </c>
    </row>
    <row r="917">
      <c r="A917" s="18">
        <v>3340.0</v>
      </c>
      <c r="B917" s="18" t="s">
        <v>32</v>
      </c>
      <c r="C917" s="18">
        <v>94.0</v>
      </c>
      <c r="D917" s="18" t="s">
        <v>31</v>
      </c>
      <c r="E917" s="27">
        <v>42564.53145833333</v>
      </c>
      <c r="F917" s="19">
        <f>IFERROR(__xludf.DUMMYFUNCTION("IFERROR(TO_DATE(E917), """")"),42564.53145833333)</f>
        <v>42564.53146</v>
      </c>
      <c r="G917" s="20">
        <f t="shared" si="1"/>
        <v>12</v>
      </c>
      <c r="H917" s="27">
        <v>42564.56795138889</v>
      </c>
      <c r="I917" s="19">
        <f>IFERROR(__xludf.DUMMYFUNCTION("IFERROR(TO_DATE(H917), """")"),42564.56795138889)</f>
        <v>42564.56795</v>
      </c>
      <c r="J917" s="19" t="s">
        <v>10</v>
      </c>
      <c r="K917" s="22">
        <f t="shared" si="2"/>
        <v>0</v>
      </c>
    </row>
    <row r="918">
      <c r="A918" s="18">
        <v>3598.0</v>
      </c>
      <c r="B918" s="18" t="s">
        <v>30</v>
      </c>
      <c r="C918" s="18">
        <v>94.0</v>
      </c>
      <c r="D918" s="18" t="s">
        <v>31</v>
      </c>
      <c r="E918" s="27">
        <v>42564.77695601852</v>
      </c>
      <c r="F918" s="19">
        <f>IFERROR(__xludf.DUMMYFUNCTION("IFERROR(TO_DATE(E918), """")"),42564.77695601852)</f>
        <v>42564.77696</v>
      </c>
      <c r="G918" s="20">
        <f t="shared" si="1"/>
        <v>18</v>
      </c>
      <c r="H918" s="27">
        <v>42564.81953703704</v>
      </c>
      <c r="I918" s="19">
        <f>IFERROR(__xludf.DUMMYFUNCTION("IFERROR(TO_DATE(H918), """")"),42564.81953703704)</f>
        <v>42564.81954</v>
      </c>
      <c r="J918" s="19" t="s">
        <v>12</v>
      </c>
      <c r="K918" s="22">
        <f t="shared" si="2"/>
        <v>0</v>
      </c>
    </row>
    <row r="919">
      <c r="A919" s="18">
        <v>53.0</v>
      </c>
      <c r="B919" s="18" t="s">
        <v>30</v>
      </c>
      <c r="C919" s="18">
        <v>95.0</v>
      </c>
      <c r="D919" s="18" t="s">
        <v>31</v>
      </c>
      <c r="E919" s="26">
        <v>42562.145833333336</v>
      </c>
      <c r="F919" s="19">
        <f>IFERROR(__xludf.DUMMYFUNCTION("IFERROR(TO_DATE(E919), """")"),42562.145833333336)</f>
        <v>42562.14583</v>
      </c>
      <c r="G919" s="20">
        <f t="shared" si="1"/>
        <v>3</v>
      </c>
      <c r="H919" s="26">
        <v>42562.18194444444</v>
      </c>
      <c r="I919" s="19">
        <f>IFERROR(__xludf.DUMMYFUNCTION("IFERROR(TO_DATE(H919), """")"),42562.18194444444)</f>
        <v>42562.18194</v>
      </c>
      <c r="J919" s="19" t="s">
        <v>15</v>
      </c>
      <c r="K919" s="22">
        <f t="shared" si="2"/>
        <v>0</v>
      </c>
    </row>
    <row r="920">
      <c r="A920" s="18">
        <v>3558.0</v>
      </c>
      <c r="B920" s="18" t="s">
        <v>30</v>
      </c>
      <c r="C920" s="18">
        <v>95.0</v>
      </c>
      <c r="D920" s="18" t="s">
        <v>31</v>
      </c>
      <c r="E920" s="27">
        <v>42564.76037037037</v>
      </c>
      <c r="F920" s="19">
        <f>IFERROR(__xludf.DUMMYFUNCTION("IFERROR(TO_DATE(E920), """")"),42564.76037037037)</f>
        <v>42564.76037</v>
      </c>
      <c r="G920" s="20">
        <f t="shared" si="1"/>
        <v>18</v>
      </c>
      <c r="H920" s="27">
        <v>42564.78545138889</v>
      </c>
      <c r="I920" s="19">
        <f>IFERROR(__xludf.DUMMYFUNCTION("IFERROR(TO_DATE(H920), """")"),42564.78545138889)</f>
        <v>42564.78545</v>
      </c>
      <c r="J920" s="19" t="s">
        <v>12</v>
      </c>
      <c r="K920" s="22">
        <f t="shared" si="2"/>
        <v>0</v>
      </c>
    </row>
    <row r="921">
      <c r="A921" s="18">
        <v>4257.0</v>
      </c>
      <c r="B921" s="18" t="s">
        <v>32</v>
      </c>
      <c r="C921" s="18">
        <v>95.0</v>
      </c>
      <c r="D921" s="18" t="s">
        <v>31</v>
      </c>
      <c r="E921" s="27">
        <v>42565.25745370371</v>
      </c>
      <c r="F921" s="19">
        <f>IFERROR(__xludf.DUMMYFUNCTION("IFERROR(TO_DATE(E921), """")"),42565.25745370371)</f>
        <v>42565.25745</v>
      </c>
      <c r="G921" s="20">
        <f t="shared" si="1"/>
        <v>6</v>
      </c>
      <c r="H921" s="27">
        <v>42565.297326388885</v>
      </c>
      <c r="I921" s="19">
        <f>IFERROR(__xludf.DUMMYFUNCTION("IFERROR(TO_DATE(H921), """")"),42565.297326388885)</f>
        <v>42565.29733</v>
      </c>
      <c r="J921" s="19" t="s">
        <v>11</v>
      </c>
      <c r="K921" s="22">
        <f t="shared" si="2"/>
        <v>0</v>
      </c>
    </row>
    <row r="922">
      <c r="A922" s="18">
        <v>4869.0</v>
      </c>
      <c r="B922" s="18" t="s">
        <v>32</v>
      </c>
      <c r="C922" s="18">
        <v>95.0</v>
      </c>
      <c r="D922" s="18" t="s">
        <v>31</v>
      </c>
      <c r="E922" s="27">
        <v>42565.74287037037</v>
      </c>
      <c r="F922" s="19">
        <f>IFERROR(__xludf.DUMMYFUNCTION("IFERROR(TO_DATE(E922), """")"),42565.74287037037)</f>
        <v>42565.74287</v>
      </c>
      <c r="G922" s="20">
        <f t="shared" si="1"/>
        <v>17</v>
      </c>
      <c r="H922" s="27">
        <v>42565.76425925926</v>
      </c>
      <c r="I922" s="19">
        <f>IFERROR(__xludf.DUMMYFUNCTION("IFERROR(TO_DATE(H922), """")"),42565.76425925926)</f>
        <v>42565.76426</v>
      </c>
      <c r="J922" s="19" t="s">
        <v>12</v>
      </c>
      <c r="K922" s="22">
        <f t="shared" si="2"/>
        <v>0</v>
      </c>
    </row>
    <row r="923">
      <c r="A923" s="18">
        <v>5548.0</v>
      </c>
      <c r="B923" s="18" t="s">
        <v>32</v>
      </c>
      <c r="C923" s="18">
        <v>95.0</v>
      </c>
      <c r="D923" s="18" t="s">
        <v>31</v>
      </c>
      <c r="E923" s="27">
        <v>42566.22525462963</v>
      </c>
      <c r="F923" s="19">
        <f>IFERROR(__xludf.DUMMYFUNCTION("IFERROR(TO_DATE(E923), """")"),42566.22525462963)</f>
        <v>42566.22525</v>
      </c>
      <c r="G923" s="20">
        <f t="shared" si="1"/>
        <v>5</v>
      </c>
      <c r="H923" s="27">
        <v>42566.25462962963</v>
      </c>
      <c r="I923" s="19">
        <f>IFERROR(__xludf.DUMMYFUNCTION("IFERROR(TO_DATE(H923), """")"),42566.25462962963)</f>
        <v>42566.25463</v>
      </c>
      <c r="J923" s="19" t="s">
        <v>11</v>
      </c>
      <c r="K923" s="22">
        <f t="shared" si="2"/>
        <v>0</v>
      </c>
    </row>
    <row r="924">
      <c r="A924" s="18">
        <v>5630.0</v>
      </c>
      <c r="B924" s="18" t="s">
        <v>30</v>
      </c>
      <c r="C924" s="18">
        <v>95.0</v>
      </c>
      <c r="D924" s="18" t="s">
        <v>31</v>
      </c>
      <c r="E924" s="27">
        <v>42566.272627314815</v>
      </c>
      <c r="F924" s="19">
        <f>IFERROR(__xludf.DUMMYFUNCTION("IFERROR(TO_DATE(E924), """")"),42566.272627314815)</f>
        <v>42566.27263</v>
      </c>
      <c r="G924" s="20">
        <f t="shared" si="1"/>
        <v>6</v>
      </c>
      <c r="H924" s="27">
        <v>42566.30185185185</v>
      </c>
      <c r="I924" s="19">
        <f>IFERROR(__xludf.DUMMYFUNCTION("IFERROR(TO_DATE(H924), """")"),42566.30185185185)</f>
        <v>42566.30185</v>
      </c>
      <c r="J924" s="19" t="s">
        <v>11</v>
      </c>
      <c r="K924" s="22">
        <f t="shared" si="2"/>
        <v>0</v>
      </c>
    </row>
    <row r="925">
      <c r="A925" s="18">
        <v>6645.0</v>
      </c>
      <c r="B925" s="18" t="s">
        <v>32</v>
      </c>
      <c r="C925" s="18">
        <v>95.0</v>
      </c>
      <c r="D925" s="18" t="s">
        <v>31</v>
      </c>
      <c r="E925" s="27">
        <v>42566.923854166664</v>
      </c>
      <c r="F925" s="19">
        <f>IFERROR(__xludf.DUMMYFUNCTION("IFERROR(TO_DATE(E925), """")"),42566.923854166664)</f>
        <v>42566.92385</v>
      </c>
      <c r="G925" s="20">
        <f t="shared" si="1"/>
        <v>22</v>
      </c>
      <c r="H925" s="27">
        <v>42566.95885416667</v>
      </c>
      <c r="I925" s="19">
        <f>IFERROR(__xludf.DUMMYFUNCTION("IFERROR(TO_DATE(H925), """")"),42566.95885416667)</f>
        <v>42566.95885</v>
      </c>
      <c r="J925" s="19" t="s">
        <v>13</v>
      </c>
      <c r="K925" s="22">
        <f t="shared" si="2"/>
        <v>0</v>
      </c>
    </row>
    <row r="926">
      <c r="A926" s="18">
        <v>156.0</v>
      </c>
      <c r="B926" s="18" t="s">
        <v>30</v>
      </c>
      <c r="C926" s="18">
        <v>96.0</v>
      </c>
      <c r="D926" s="18" t="s">
        <v>31</v>
      </c>
      <c r="E926" s="26">
        <v>42562.23263888889</v>
      </c>
      <c r="F926" s="19">
        <f>IFERROR(__xludf.DUMMYFUNCTION("IFERROR(TO_DATE(E926), """")"),42562.23263888889)</f>
        <v>42562.23264</v>
      </c>
      <c r="G926" s="20">
        <f t="shared" si="1"/>
        <v>5</v>
      </c>
      <c r="H926" s="26">
        <v>42562.27777777778</v>
      </c>
      <c r="I926" s="19">
        <f>IFERROR(__xludf.DUMMYFUNCTION("IFERROR(TO_DATE(H926), """")"),42562.27777777778)</f>
        <v>42562.27778</v>
      </c>
      <c r="J926" s="19" t="s">
        <v>11</v>
      </c>
      <c r="K926" s="22">
        <f t="shared" si="2"/>
        <v>0</v>
      </c>
    </row>
    <row r="927">
      <c r="A927" s="18">
        <v>350.0</v>
      </c>
      <c r="B927" s="18" t="s">
        <v>32</v>
      </c>
      <c r="C927" s="18">
        <v>96.0</v>
      </c>
      <c r="D927" s="18" t="s">
        <v>31</v>
      </c>
      <c r="E927" s="26">
        <v>42562.32847222222</v>
      </c>
      <c r="F927" s="19">
        <f>IFERROR(__xludf.DUMMYFUNCTION("IFERROR(TO_DATE(E927), """")"),42562.32847222222)</f>
        <v>42562.32847</v>
      </c>
      <c r="G927" s="20">
        <f t="shared" si="1"/>
        <v>7</v>
      </c>
      <c r="H927" s="26">
        <v>42562.36111111111</v>
      </c>
      <c r="I927" s="19">
        <f>IFERROR(__xludf.DUMMYFUNCTION("IFERROR(TO_DATE(H927), """")"),42562.36111111111)</f>
        <v>42562.36111</v>
      </c>
      <c r="J927" s="19" t="s">
        <v>11</v>
      </c>
      <c r="K927" s="22">
        <f t="shared" si="2"/>
        <v>0</v>
      </c>
    </row>
    <row r="928">
      <c r="A928" s="18">
        <v>976.0</v>
      </c>
      <c r="B928" s="18" t="s">
        <v>30</v>
      </c>
      <c r="C928" s="18">
        <v>96.0</v>
      </c>
      <c r="D928" s="18" t="s">
        <v>31</v>
      </c>
      <c r="E928" s="26">
        <v>42562.7875</v>
      </c>
      <c r="F928" s="19">
        <f>IFERROR(__xludf.DUMMYFUNCTION("IFERROR(TO_DATE(E928), """")"),42562.7875)</f>
        <v>42562.7875</v>
      </c>
      <c r="G928" s="20">
        <f t="shared" si="1"/>
        <v>18</v>
      </c>
      <c r="H928" s="26">
        <v>42562.825</v>
      </c>
      <c r="I928" s="19">
        <f>IFERROR(__xludf.DUMMYFUNCTION("IFERROR(TO_DATE(H928), """")"),42562.825)</f>
        <v>42562.825</v>
      </c>
      <c r="J928" s="19" t="s">
        <v>12</v>
      </c>
      <c r="K928" s="22">
        <f t="shared" si="2"/>
        <v>0</v>
      </c>
    </row>
    <row r="929">
      <c r="A929" s="18">
        <v>1344.0</v>
      </c>
      <c r="B929" s="18" t="s">
        <v>32</v>
      </c>
      <c r="C929" s="18">
        <v>96.0</v>
      </c>
      <c r="D929" s="18" t="s">
        <v>31</v>
      </c>
      <c r="E929" s="26">
        <v>42562.98263888889</v>
      </c>
      <c r="F929" s="19">
        <f>IFERROR(__xludf.DUMMYFUNCTION("IFERROR(TO_DATE(E929), """")"),42562.98263888889)</f>
        <v>42562.98264</v>
      </c>
      <c r="G929" s="20">
        <f t="shared" si="1"/>
        <v>23</v>
      </c>
      <c r="H929" s="26">
        <v>42563.027083333334</v>
      </c>
      <c r="I929" s="19">
        <f>IFERROR(__xludf.DUMMYFUNCTION("IFERROR(TO_DATE(H929), """")"),42563.027083333334)</f>
        <v>42563.02708</v>
      </c>
      <c r="J929" s="19" t="s">
        <v>13</v>
      </c>
      <c r="K929" s="22">
        <f t="shared" si="2"/>
        <v>0</v>
      </c>
    </row>
    <row r="930">
      <c r="A930" s="18">
        <v>1524.0</v>
      </c>
      <c r="B930" s="18" t="s">
        <v>32</v>
      </c>
      <c r="C930" s="18">
        <v>96.0</v>
      </c>
      <c r="D930" s="18" t="s">
        <v>31</v>
      </c>
      <c r="E930" s="26">
        <v>42563.243055555555</v>
      </c>
      <c r="F930" s="19">
        <f>IFERROR(__xludf.DUMMYFUNCTION("IFERROR(TO_DATE(E930), """")"),42563.243055555555)</f>
        <v>42563.24306</v>
      </c>
      <c r="G930" s="20">
        <f t="shared" si="1"/>
        <v>5</v>
      </c>
      <c r="H930" s="26">
        <v>42563.290972222225</v>
      </c>
      <c r="I930" s="19">
        <f>IFERROR(__xludf.DUMMYFUNCTION("IFERROR(TO_DATE(H930), """")"),42563.290972222225)</f>
        <v>42563.29097</v>
      </c>
      <c r="J930" s="19" t="s">
        <v>11</v>
      </c>
      <c r="K930" s="22">
        <f t="shared" si="2"/>
        <v>0</v>
      </c>
    </row>
    <row r="931">
      <c r="A931" s="18">
        <v>2143.0</v>
      </c>
      <c r="B931" s="18" t="s">
        <v>30</v>
      </c>
      <c r="C931" s="18">
        <v>96.0</v>
      </c>
      <c r="D931" s="18" t="s">
        <v>31</v>
      </c>
      <c r="E931" s="26">
        <v>42563.71875</v>
      </c>
      <c r="F931" s="19">
        <f>IFERROR(__xludf.DUMMYFUNCTION("IFERROR(TO_DATE(E931), """")"),42563.71875)</f>
        <v>42563.71875</v>
      </c>
      <c r="G931" s="20">
        <f t="shared" si="1"/>
        <v>17</v>
      </c>
      <c r="H931" s="26">
        <v>42563.74722222222</v>
      </c>
      <c r="I931" s="19">
        <f>IFERROR(__xludf.DUMMYFUNCTION("IFERROR(TO_DATE(H931), """")"),42563.74722222222)</f>
        <v>42563.74722</v>
      </c>
      <c r="J931" s="19" t="s">
        <v>12</v>
      </c>
      <c r="K931" s="22">
        <f t="shared" si="2"/>
        <v>0</v>
      </c>
    </row>
    <row r="932">
      <c r="A932" s="18">
        <v>2353.0</v>
      </c>
      <c r="B932" s="18" t="s">
        <v>32</v>
      </c>
      <c r="C932" s="18">
        <v>96.0</v>
      </c>
      <c r="D932" s="18" t="s">
        <v>31</v>
      </c>
      <c r="E932" s="26">
        <v>42563.81319444445</v>
      </c>
      <c r="F932" s="19">
        <f>IFERROR(__xludf.DUMMYFUNCTION("IFERROR(TO_DATE(E932), """")"),42563.81319444445)</f>
        <v>42563.81319</v>
      </c>
      <c r="G932" s="20">
        <f t="shared" si="1"/>
        <v>19</v>
      </c>
      <c r="H932" s="26">
        <v>42563.84930555556</v>
      </c>
      <c r="I932" s="19">
        <f>IFERROR(__xludf.DUMMYFUNCTION("IFERROR(TO_DATE(H932), """")"),42563.84930555556)</f>
        <v>42563.84931</v>
      </c>
      <c r="J932" s="19" t="s">
        <v>12</v>
      </c>
      <c r="K932" s="22">
        <f t="shared" si="2"/>
        <v>0</v>
      </c>
    </row>
    <row r="933">
      <c r="A933" s="18">
        <v>3028.0</v>
      </c>
      <c r="B933" s="18" t="s">
        <v>30</v>
      </c>
      <c r="C933" s="18">
        <v>96.0</v>
      </c>
      <c r="D933" s="18" t="s">
        <v>31</v>
      </c>
      <c r="E933" s="27">
        <v>42564.311631944445</v>
      </c>
      <c r="F933" s="19">
        <f>IFERROR(__xludf.DUMMYFUNCTION("IFERROR(TO_DATE(E933), """")"),42564.311631944445)</f>
        <v>42564.31163</v>
      </c>
      <c r="G933" s="20">
        <f t="shared" si="1"/>
        <v>7</v>
      </c>
      <c r="H933" s="27">
        <v>42564.34332175926</v>
      </c>
      <c r="I933" s="19">
        <f>IFERROR(__xludf.DUMMYFUNCTION("IFERROR(TO_DATE(H933), """")"),42564.34332175926)</f>
        <v>42564.34332</v>
      </c>
      <c r="J933" s="19" t="s">
        <v>11</v>
      </c>
      <c r="K933" s="22">
        <f t="shared" si="2"/>
        <v>0</v>
      </c>
    </row>
    <row r="934">
      <c r="A934" s="18">
        <v>3913.0</v>
      </c>
      <c r="B934" s="18" t="s">
        <v>30</v>
      </c>
      <c r="C934" s="18">
        <v>96.0</v>
      </c>
      <c r="D934" s="18" t="s">
        <v>31</v>
      </c>
      <c r="E934" s="27">
        <v>42564.926666666666</v>
      </c>
      <c r="F934" s="19">
        <f>IFERROR(__xludf.DUMMYFUNCTION("IFERROR(TO_DATE(E934), """")"),42564.926666666666)</f>
        <v>42564.92667</v>
      </c>
      <c r="G934" s="20">
        <f t="shared" si="1"/>
        <v>22</v>
      </c>
      <c r="H934" s="27">
        <v>42564.955925925926</v>
      </c>
      <c r="I934" s="19">
        <f>IFERROR(__xludf.DUMMYFUNCTION("IFERROR(TO_DATE(H934), """")"),42564.955925925926)</f>
        <v>42564.95593</v>
      </c>
      <c r="J934" s="19" t="s">
        <v>13</v>
      </c>
      <c r="K934" s="22">
        <f t="shared" si="2"/>
        <v>0</v>
      </c>
    </row>
    <row r="935">
      <c r="A935" s="18">
        <v>4274.0</v>
      </c>
      <c r="B935" s="18" t="s">
        <v>32</v>
      </c>
      <c r="C935" s="18">
        <v>96.0</v>
      </c>
      <c r="D935" s="18" t="s">
        <v>31</v>
      </c>
      <c r="E935" s="27">
        <v>42565.26318287037</v>
      </c>
      <c r="F935" s="19">
        <f>IFERROR(__xludf.DUMMYFUNCTION("IFERROR(TO_DATE(E935), """")"),42565.26318287037)</f>
        <v>42565.26318</v>
      </c>
      <c r="G935" s="20">
        <f t="shared" si="1"/>
        <v>6</v>
      </c>
      <c r="H935" s="27">
        <v>42565.310648148145</v>
      </c>
      <c r="I935" s="19">
        <f>IFERROR(__xludf.DUMMYFUNCTION("IFERROR(TO_DATE(H935), """")"),42565.310648148145)</f>
        <v>42565.31065</v>
      </c>
      <c r="J935" s="19" t="s">
        <v>11</v>
      </c>
      <c r="K935" s="22">
        <f t="shared" si="2"/>
        <v>0</v>
      </c>
    </row>
    <row r="936">
      <c r="A936" s="18">
        <v>4673.0</v>
      </c>
      <c r="B936" s="18" t="s">
        <v>32</v>
      </c>
      <c r="C936" s="18">
        <v>96.0</v>
      </c>
      <c r="D936" s="18" t="s">
        <v>31</v>
      </c>
      <c r="E936" s="27">
        <v>42565.5246412037</v>
      </c>
      <c r="F936" s="19">
        <f>IFERROR(__xludf.DUMMYFUNCTION("IFERROR(TO_DATE(E936), """")"),42565.5246412037)</f>
        <v>42565.52464</v>
      </c>
      <c r="G936" s="20">
        <f t="shared" si="1"/>
        <v>12</v>
      </c>
      <c r="H936" s="27">
        <v>42565.57231481482</v>
      </c>
      <c r="I936" s="19">
        <f>IFERROR(__xludf.DUMMYFUNCTION("IFERROR(TO_DATE(H936), """")"),42565.57231481482)</f>
        <v>42565.57231</v>
      </c>
      <c r="J936" s="19" t="s">
        <v>10</v>
      </c>
      <c r="K936" s="22">
        <f t="shared" si="2"/>
        <v>0</v>
      </c>
    </row>
    <row r="937">
      <c r="A937" s="18">
        <v>6198.0</v>
      </c>
      <c r="B937" s="18" t="s">
        <v>30</v>
      </c>
      <c r="C937" s="18">
        <v>96.0</v>
      </c>
      <c r="D937" s="18" t="s">
        <v>31</v>
      </c>
      <c r="E937" s="27">
        <v>42566.72431712963</v>
      </c>
      <c r="F937" s="19">
        <f>IFERROR(__xludf.DUMMYFUNCTION("IFERROR(TO_DATE(E937), """")"),42566.72431712963)</f>
        <v>42566.72432</v>
      </c>
      <c r="G937" s="20">
        <f t="shared" si="1"/>
        <v>17</v>
      </c>
      <c r="H937" s="27">
        <v>42566.75815972222</v>
      </c>
      <c r="I937" s="19">
        <f>IFERROR(__xludf.DUMMYFUNCTION("IFERROR(TO_DATE(H937), """")"),42566.75815972222)</f>
        <v>42566.75816</v>
      </c>
      <c r="J937" s="19" t="s">
        <v>12</v>
      </c>
      <c r="K937" s="22">
        <f t="shared" si="2"/>
        <v>0</v>
      </c>
    </row>
    <row r="938">
      <c r="A938" s="18">
        <v>569.0</v>
      </c>
      <c r="B938" s="18" t="s">
        <v>30</v>
      </c>
      <c r="C938" s="18">
        <v>97.0</v>
      </c>
      <c r="D938" s="18" t="s">
        <v>31</v>
      </c>
      <c r="E938" s="26">
        <v>42562.44236111111</v>
      </c>
      <c r="F938" s="19">
        <f>IFERROR(__xludf.DUMMYFUNCTION("IFERROR(TO_DATE(E938), """")"),42562.44236111111)</f>
        <v>42562.44236</v>
      </c>
      <c r="G938" s="20">
        <f t="shared" si="1"/>
        <v>10</v>
      </c>
      <c r="H938" s="26">
        <v>42562.48888888889</v>
      </c>
      <c r="I938" s="19">
        <f>IFERROR(__xludf.DUMMYFUNCTION("IFERROR(TO_DATE(H938), """")"),42562.48888888889)</f>
        <v>42562.48889</v>
      </c>
      <c r="J938" s="19" t="s">
        <v>14</v>
      </c>
      <c r="K938" s="22">
        <f t="shared" si="2"/>
        <v>0</v>
      </c>
    </row>
    <row r="939">
      <c r="A939" s="18">
        <v>1626.0</v>
      </c>
      <c r="B939" s="18" t="s">
        <v>30</v>
      </c>
      <c r="C939" s="18">
        <v>97.0</v>
      </c>
      <c r="D939" s="18" t="s">
        <v>31</v>
      </c>
      <c r="E939" s="26">
        <v>42563.29027777778</v>
      </c>
      <c r="F939" s="19">
        <f>IFERROR(__xludf.DUMMYFUNCTION("IFERROR(TO_DATE(E939), """")"),42563.29027777778)</f>
        <v>42563.29028</v>
      </c>
      <c r="G939" s="20">
        <f t="shared" si="1"/>
        <v>6</v>
      </c>
      <c r="H939" s="26">
        <v>42563.325694444444</v>
      </c>
      <c r="I939" s="19">
        <f>IFERROR(__xludf.DUMMYFUNCTION("IFERROR(TO_DATE(H939), """")"),42563.325694444444)</f>
        <v>42563.32569</v>
      </c>
      <c r="J939" s="19" t="s">
        <v>11</v>
      </c>
      <c r="K939" s="22">
        <f t="shared" si="2"/>
        <v>0</v>
      </c>
    </row>
    <row r="940">
      <c r="A940" s="18">
        <v>3505.0</v>
      </c>
      <c r="B940" s="18" t="s">
        <v>32</v>
      </c>
      <c r="C940" s="18">
        <v>97.0</v>
      </c>
      <c r="D940" s="18" t="s">
        <v>31</v>
      </c>
      <c r="E940" s="27">
        <v>42564.73449074074</v>
      </c>
      <c r="F940" s="19">
        <f>IFERROR(__xludf.DUMMYFUNCTION("IFERROR(TO_DATE(E940), """")"),42564.73449074074)</f>
        <v>42564.73449</v>
      </c>
      <c r="G940" s="20">
        <f t="shared" si="1"/>
        <v>17</v>
      </c>
      <c r="H940" s="27">
        <v>42564.7656712963</v>
      </c>
      <c r="I940" s="19">
        <f>IFERROR(__xludf.DUMMYFUNCTION("IFERROR(TO_DATE(H940), """")"),42564.7656712963)</f>
        <v>42564.76567</v>
      </c>
      <c r="J940" s="19" t="s">
        <v>12</v>
      </c>
      <c r="K940" s="22">
        <f t="shared" si="2"/>
        <v>0</v>
      </c>
    </row>
    <row r="941">
      <c r="A941" s="18">
        <v>3758.0</v>
      </c>
      <c r="B941" s="18" t="s">
        <v>32</v>
      </c>
      <c r="C941" s="18">
        <v>97.0</v>
      </c>
      <c r="D941" s="18" t="s">
        <v>31</v>
      </c>
      <c r="E941" s="27">
        <v>42564.85967592592</v>
      </c>
      <c r="F941" s="19">
        <f>IFERROR(__xludf.DUMMYFUNCTION("IFERROR(TO_DATE(E941), """")"),42564.85967592592)</f>
        <v>42564.85968</v>
      </c>
      <c r="G941" s="20">
        <f t="shared" si="1"/>
        <v>20</v>
      </c>
      <c r="H941" s="27">
        <v>42564.88637731481</v>
      </c>
      <c r="I941" s="19">
        <f>IFERROR(__xludf.DUMMYFUNCTION("IFERROR(TO_DATE(H941), """")"),42564.88637731481)</f>
        <v>42564.88638</v>
      </c>
      <c r="J941" s="19" t="s">
        <v>13</v>
      </c>
      <c r="K941" s="22">
        <f t="shared" si="2"/>
        <v>0</v>
      </c>
    </row>
    <row r="942">
      <c r="A942" s="18">
        <v>4649.0</v>
      </c>
      <c r="B942" s="18" t="s">
        <v>32</v>
      </c>
      <c r="C942" s="18">
        <v>97.0</v>
      </c>
      <c r="D942" s="18" t="s">
        <v>31</v>
      </c>
      <c r="E942" s="27">
        <v>42565.493368055555</v>
      </c>
      <c r="F942" s="19">
        <f>IFERROR(__xludf.DUMMYFUNCTION("IFERROR(TO_DATE(E942), """")"),42565.493368055555)</f>
        <v>42565.49337</v>
      </c>
      <c r="G942" s="20">
        <f t="shared" si="1"/>
        <v>11</v>
      </c>
      <c r="H942" s="27">
        <v>42565.531180555554</v>
      </c>
      <c r="I942" s="19">
        <f>IFERROR(__xludf.DUMMYFUNCTION("IFERROR(TO_DATE(H942), """")"),42565.531180555554)</f>
        <v>42565.53118</v>
      </c>
      <c r="J942" s="19" t="s">
        <v>14</v>
      </c>
      <c r="K942" s="22">
        <f t="shared" si="2"/>
        <v>0</v>
      </c>
    </row>
    <row r="943">
      <c r="A943" s="18">
        <v>4745.0</v>
      </c>
      <c r="B943" s="18" t="s">
        <v>30</v>
      </c>
      <c r="C943" s="18">
        <v>97.0</v>
      </c>
      <c r="D943" s="18" t="s">
        <v>31</v>
      </c>
      <c r="E943" s="27">
        <v>42565.62917824074</v>
      </c>
      <c r="F943" s="19">
        <f>IFERROR(__xludf.DUMMYFUNCTION("IFERROR(TO_DATE(E943), """")"),42565.62917824074)</f>
        <v>42565.62918</v>
      </c>
      <c r="G943" s="20">
        <f t="shared" si="1"/>
        <v>15</v>
      </c>
      <c r="H943" s="27">
        <v>42565.67056712963</v>
      </c>
      <c r="I943" s="19">
        <f>IFERROR(__xludf.DUMMYFUNCTION("IFERROR(TO_DATE(H943), """")"),42565.67056712963)</f>
        <v>42565.67057</v>
      </c>
      <c r="J943" s="19" t="s">
        <v>10</v>
      </c>
      <c r="K943" s="22">
        <f t="shared" si="2"/>
        <v>0</v>
      </c>
    </row>
    <row r="944">
      <c r="A944" s="18">
        <v>5354.0</v>
      </c>
      <c r="B944" s="18" t="s">
        <v>30</v>
      </c>
      <c r="C944" s="18">
        <v>97.0</v>
      </c>
      <c r="D944" s="18" t="s">
        <v>31</v>
      </c>
      <c r="E944" s="27">
        <v>42565.96356481482</v>
      </c>
      <c r="F944" s="19">
        <f>IFERROR(__xludf.DUMMYFUNCTION("IFERROR(TO_DATE(E944), """")"),42565.96356481482)</f>
        <v>42565.96356</v>
      </c>
      <c r="G944" s="20">
        <f t="shared" si="1"/>
        <v>23</v>
      </c>
      <c r="H944" s="27">
        <v>42566.001064814816</v>
      </c>
      <c r="I944" s="19">
        <f>IFERROR(__xludf.DUMMYFUNCTION("IFERROR(TO_DATE(H944), """")"),42566.001064814816)</f>
        <v>42566.00106</v>
      </c>
      <c r="J944" s="19" t="s">
        <v>13</v>
      </c>
      <c r="K944" s="22">
        <f t="shared" si="2"/>
        <v>0</v>
      </c>
    </row>
    <row r="945">
      <c r="A945" s="18">
        <v>5953.0</v>
      </c>
      <c r="B945" s="18" t="s">
        <v>32</v>
      </c>
      <c r="C945" s="18">
        <v>97.0</v>
      </c>
      <c r="D945" s="18" t="s">
        <v>31</v>
      </c>
      <c r="E945" s="27">
        <v>42566.4459375</v>
      </c>
      <c r="F945" s="19">
        <f>IFERROR(__xludf.DUMMYFUNCTION("IFERROR(TO_DATE(E945), """")"),42566.4459375)</f>
        <v>42566.44594</v>
      </c>
      <c r="G945" s="20">
        <f t="shared" si="1"/>
        <v>10</v>
      </c>
      <c r="H945" s="27">
        <v>42566.48523148148</v>
      </c>
      <c r="I945" s="19">
        <f>IFERROR(__xludf.DUMMYFUNCTION("IFERROR(TO_DATE(H945), """")"),42566.48523148148)</f>
        <v>42566.48523</v>
      </c>
      <c r="J945" s="19" t="s">
        <v>14</v>
      </c>
      <c r="K945" s="22">
        <f t="shared" si="2"/>
        <v>0</v>
      </c>
    </row>
    <row r="946">
      <c r="A946" s="18">
        <v>6577.0</v>
      </c>
      <c r="B946" s="18" t="s">
        <v>32</v>
      </c>
      <c r="C946" s="18">
        <v>97.0</v>
      </c>
      <c r="D946" s="18" t="s">
        <v>31</v>
      </c>
      <c r="E946" s="27">
        <v>42566.88822916667</v>
      </c>
      <c r="F946" s="19">
        <f>IFERROR(__xludf.DUMMYFUNCTION("IFERROR(TO_DATE(E946), """")"),42566.88822916667)</f>
        <v>42566.88823</v>
      </c>
      <c r="G946" s="20">
        <f t="shared" si="1"/>
        <v>21</v>
      </c>
      <c r="H946" s="27">
        <v>42566.90895833333</v>
      </c>
      <c r="I946" s="19">
        <f>IFERROR(__xludf.DUMMYFUNCTION("IFERROR(TO_DATE(H946), """")"),42566.90895833333)</f>
        <v>42566.90896</v>
      </c>
      <c r="J946" s="19" t="s">
        <v>13</v>
      </c>
      <c r="K946" s="22">
        <f t="shared" si="2"/>
        <v>0</v>
      </c>
    </row>
    <row r="947">
      <c r="A947" s="18">
        <v>1565.0</v>
      </c>
      <c r="B947" s="18" t="s">
        <v>30</v>
      </c>
      <c r="C947" s="18">
        <v>98.0</v>
      </c>
      <c r="D947" s="18" t="s">
        <v>31</v>
      </c>
      <c r="E947" s="26">
        <v>42563.26458333333</v>
      </c>
      <c r="F947" s="19">
        <f>IFERROR(__xludf.DUMMYFUNCTION("IFERROR(TO_DATE(E947), """")"),42563.26458333333)</f>
        <v>42563.26458</v>
      </c>
      <c r="G947" s="20">
        <f t="shared" si="1"/>
        <v>6</v>
      </c>
      <c r="H947" s="26">
        <v>42563.313888888886</v>
      </c>
      <c r="I947" s="19">
        <f>IFERROR(__xludf.DUMMYFUNCTION("IFERROR(TO_DATE(H947), """")"),42563.313888888886)</f>
        <v>42563.31389</v>
      </c>
      <c r="J947" s="19" t="s">
        <v>11</v>
      </c>
      <c r="K947" s="22">
        <f t="shared" si="2"/>
        <v>0</v>
      </c>
    </row>
    <row r="948">
      <c r="A948" s="18">
        <v>1973.0</v>
      </c>
      <c r="B948" s="18" t="s">
        <v>30</v>
      </c>
      <c r="C948" s="18">
        <v>98.0</v>
      </c>
      <c r="D948" s="18" t="s">
        <v>31</v>
      </c>
      <c r="E948" s="26">
        <v>42563.51180555556</v>
      </c>
      <c r="F948" s="19">
        <f>IFERROR(__xludf.DUMMYFUNCTION("IFERROR(TO_DATE(E948), """")"),42563.51180555556)</f>
        <v>42563.51181</v>
      </c>
      <c r="G948" s="20">
        <f t="shared" si="1"/>
        <v>12</v>
      </c>
      <c r="H948" s="26">
        <v>42563.532638888886</v>
      </c>
      <c r="I948" s="19">
        <f>IFERROR(__xludf.DUMMYFUNCTION("IFERROR(TO_DATE(H948), """")"),42563.532638888886)</f>
        <v>42563.53264</v>
      </c>
      <c r="J948" s="19" t="s">
        <v>10</v>
      </c>
      <c r="K948" s="22">
        <f t="shared" si="2"/>
        <v>0</v>
      </c>
    </row>
    <row r="949">
      <c r="A949" s="18">
        <v>2363.0</v>
      </c>
      <c r="B949" s="18" t="s">
        <v>30</v>
      </c>
      <c r="C949" s="18">
        <v>98.0</v>
      </c>
      <c r="D949" s="18" t="s">
        <v>31</v>
      </c>
      <c r="E949" s="26">
        <v>42563.81319444445</v>
      </c>
      <c r="F949" s="19">
        <f>IFERROR(__xludf.DUMMYFUNCTION("IFERROR(TO_DATE(E949), """")"),42563.81319444445)</f>
        <v>42563.81319</v>
      </c>
      <c r="G949" s="20">
        <f t="shared" si="1"/>
        <v>19</v>
      </c>
      <c r="H949" s="26">
        <v>42563.85555555556</v>
      </c>
      <c r="I949" s="19">
        <f>IFERROR(__xludf.DUMMYFUNCTION("IFERROR(TO_DATE(H949), """")"),42563.85555555556)</f>
        <v>42563.85556</v>
      </c>
      <c r="J949" s="19" t="s">
        <v>12</v>
      </c>
      <c r="K949" s="22">
        <f t="shared" si="2"/>
        <v>0</v>
      </c>
    </row>
    <row r="950">
      <c r="A950" s="18">
        <v>2994.0</v>
      </c>
      <c r="B950" s="18" t="s">
        <v>32</v>
      </c>
      <c r="C950" s="18">
        <v>98.0</v>
      </c>
      <c r="D950" s="18" t="s">
        <v>31</v>
      </c>
      <c r="E950" s="27">
        <v>42564.302395833336</v>
      </c>
      <c r="F950" s="19">
        <f>IFERROR(__xludf.DUMMYFUNCTION("IFERROR(TO_DATE(E950), """")"),42564.302395833336)</f>
        <v>42564.3024</v>
      </c>
      <c r="G950" s="20">
        <f t="shared" si="1"/>
        <v>7</v>
      </c>
      <c r="H950" s="27">
        <v>42564.34222222222</v>
      </c>
      <c r="I950" s="19">
        <f>IFERROR(__xludf.DUMMYFUNCTION("IFERROR(TO_DATE(H950), """")"),42564.34222222222)</f>
        <v>42564.34222</v>
      </c>
      <c r="J950" s="19" t="s">
        <v>11</v>
      </c>
      <c r="K950" s="22">
        <f t="shared" si="2"/>
        <v>0</v>
      </c>
    </row>
    <row r="951">
      <c r="A951" s="18">
        <v>3201.0</v>
      </c>
      <c r="B951" s="18" t="s">
        <v>30</v>
      </c>
      <c r="C951" s="18">
        <v>98.0</v>
      </c>
      <c r="D951" s="18" t="s">
        <v>31</v>
      </c>
      <c r="E951" s="27">
        <v>42564.39821759259</v>
      </c>
      <c r="F951" s="19">
        <f>IFERROR(__xludf.DUMMYFUNCTION("IFERROR(TO_DATE(E951), """")"),42564.39821759259)</f>
        <v>42564.39822</v>
      </c>
      <c r="G951" s="20">
        <f t="shared" si="1"/>
        <v>9</v>
      </c>
      <c r="H951" s="27">
        <v>42564.428923611114</v>
      </c>
      <c r="I951" s="19">
        <f>IFERROR(__xludf.DUMMYFUNCTION("IFERROR(TO_DATE(H951), """")"),42564.428923611114)</f>
        <v>42564.42892</v>
      </c>
      <c r="J951" s="19" t="s">
        <v>14</v>
      </c>
      <c r="K951" s="22">
        <f t="shared" si="2"/>
        <v>0</v>
      </c>
    </row>
    <row r="952">
      <c r="A952" s="18">
        <v>3511.0</v>
      </c>
      <c r="B952" s="18" t="s">
        <v>32</v>
      </c>
      <c r="C952" s="18">
        <v>98.0</v>
      </c>
      <c r="D952" s="18" t="s">
        <v>31</v>
      </c>
      <c r="E952" s="27">
        <v>42564.734918981485</v>
      </c>
      <c r="F952" s="19">
        <f>IFERROR(__xludf.DUMMYFUNCTION("IFERROR(TO_DATE(E952), """")"),42564.734918981485)</f>
        <v>42564.73492</v>
      </c>
      <c r="G952" s="20">
        <f t="shared" si="1"/>
        <v>17</v>
      </c>
      <c r="H952" s="27">
        <v>42564.78795138889</v>
      </c>
      <c r="I952" s="19">
        <f>IFERROR(__xludf.DUMMYFUNCTION("IFERROR(TO_DATE(H952), """")"),42564.78795138889)</f>
        <v>42564.78795</v>
      </c>
      <c r="J952" s="19" t="s">
        <v>12</v>
      </c>
      <c r="K952" s="22">
        <f t="shared" si="2"/>
        <v>0</v>
      </c>
    </row>
    <row r="953">
      <c r="A953" s="18">
        <v>3956.0</v>
      </c>
      <c r="B953" s="18" t="s">
        <v>30</v>
      </c>
      <c r="C953" s="18">
        <v>98.0</v>
      </c>
      <c r="D953" s="18" t="s">
        <v>31</v>
      </c>
      <c r="E953" s="27">
        <v>42564.94994212963</v>
      </c>
      <c r="F953" s="19">
        <f>IFERROR(__xludf.DUMMYFUNCTION("IFERROR(TO_DATE(E953), """")"),42564.94994212963)</f>
        <v>42564.94994</v>
      </c>
      <c r="G953" s="20">
        <f t="shared" si="1"/>
        <v>22</v>
      </c>
      <c r="H953" s="27">
        <v>42564.98747685185</v>
      </c>
      <c r="I953" s="19">
        <f>IFERROR(__xludf.DUMMYFUNCTION("IFERROR(TO_DATE(H953), """")"),42564.98747685185)</f>
        <v>42564.98748</v>
      </c>
      <c r="J953" s="19" t="s">
        <v>13</v>
      </c>
      <c r="K953" s="22">
        <f t="shared" si="2"/>
        <v>0</v>
      </c>
    </row>
    <row r="954">
      <c r="A954" s="18">
        <v>4359.0</v>
      </c>
      <c r="B954" s="18" t="s">
        <v>32</v>
      </c>
      <c r="C954" s="18">
        <v>98.0</v>
      </c>
      <c r="D954" s="18" t="s">
        <v>31</v>
      </c>
      <c r="E954" s="27">
        <v>42565.31047453704</v>
      </c>
      <c r="F954" s="19">
        <f>IFERROR(__xludf.DUMMYFUNCTION("IFERROR(TO_DATE(E954), """")"),42565.31047453704)</f>
        <v>42565.31047</v>
      </c>
      <c r="G954" s="20">
        <f t="shared" si="1"/>
        <v>7</v>
      </c>
      <c r="H954" s="27">
        <v>42565.33607638889</v>
      </c>
      <c r="I954" s="19">
        <f>IFERROR(__xludf.DUMMYFUNCTION("IFERROR(TO_DATE(H954), """")"),42565.33607638889)</f>
        <v>42565.33608</v>
      </c>
      <c r="J954" s="19" t="s">
        <v>11</v>
      </c>
      <c r="K954" s="22">
        <f t="shared" si="2"/>
        <v>0</v>
      </c>
    </row>
    <row r="955">
      <c r="A955" s="18">
        <v>4798.0</v>
      </c>
      <c r="B955" s="18" t="s">
        <v>32</v>
      </c>
      <c r="C955" s="18">
        <v>98.0</v>
      </c>
      <c r="D955" s="18" t="s">
        <v>31</v>
      </c>
      <c r="E955" s="27">
        <v>42565.7030787037</v>
      </c>
      <c r="F955" s="19">
        <f>IFERROR(__xludf.DUMMYFUNCTION("IFERROR(TO_DATE(E955), """")"),42565.7030787037)</f>
        <v>42565.70308</v>
      </c>
      <c r="G955" s="20">
        <f t="shared" si="1"/>
        <v>16</v>
      </c>
      <c r="H955" s="27">
        <v>42565.73568287037</v>
      </c>
      <c r="I955" s="19">
        <f>IFERROR(__xludf.DUMMYFUNCTION("IFERROR(TO_DATE(H955), """")"),42565.73568287037)</f>
        <v>42565.73568</v>
      </c>
      <c r="J955" s="19" t="s">
        <v>12</v>
      </c>
      <c r="K955" s="22">
        <f t="shared" si="2"/>
        <v>0</v>
      </c>
    </row>
    <row r="956">
      <c r="A956" s="18">
        <v>5955.0</v>
      </c>
      <c r="B956" s="18" t="s">
        <v>30</v>
      </c>
      <c r="C956" s="18">
        <v>98.0</v>
      </c>
      <c r="D956" s="18" t="s">
        <v>31</v>
      </c>
      <c r="E956" s="27">
        <v>42566.44856481482</v>
      </c>
      <c r="F956" s="19">
        <f>IFERROR(__xludf.DUMMYFUNCTION("IFERROR(TO_DATE(E956), """")"),42566.44856481482)</f>
        <v>42566.44856</v>
      </c>
      <c r="G956" s="20">
        <f t="shared" si="1"/>
        <v>10</v>
      </c>
      <c r="H956" s="27">
        <v>42566.491956018515</v>
      </c>
      <c r="I956" s="19">
        <f>IFERROR(__xludf.DUMMYFUNCTION("IFERROR(TO_DATE(H956), """")"),42566.491956018515)</f>
        <v>42566.49196</v>
      </c>
      <c r="J956" s="19" t="s">
        <v>14</v>
      </c>
      <c r="K956" s="22">
        <f t="shared" si="2"/>
        <v>0</v>
      </c>
    </row>
    <row r="957">
      <c r="A957" s="18">
        <v>6117.0</v>
      </c>
      <c r="B957" s="18" t="s">
        <v>30</v>
      </c>
      <c r="C957" s="18">
        <v>98.0</v>
      </c>
      <c r="D957" s="18" t="s">
        <v>31</v>
      </c>
      <c r="E957" s="27">
        <v>42566.63695601852</v>
      </c>
      <c r="F957" s="19">
        <f>IFERROR(__xludf.DUMMYFUNCTION("IFERROR(TO_DATE(E957), """")"),42566.63695601852)</f>
        <v>42566.63696</v>
      </c>
      <c r="G957" s="20">
        <f t="shared" si="1"/>
        <v>15</v>
      </c>
      <c r="H957" s="27">
        <v>42566.67145833333</v>
      </c>
      <c r="I957" s="19">
        <f>IFERROR(__xludf.DUMMYFUNCTION("IFERROR(TO_DATE(H957), """")"),42566.67145833333)</f>
        <v>42566.67146</v>
      </c>
      <c r="J957" s="19" t="s">
        <v>10</v>
      </c>
      <c r="K957" s="22">
        <f t="shared" si="2"/>
        <v>0</v>
      </c>
    </row>
    <row r="958">
      <c r="A958" s="18">
        <v>6252.0</v>
      </c>
      <c r="B958" s="18" t="s">
        <v>32</v>
      </c>
      <c r="C958" s="18">
        <v>98.0</v>
      </c>
      <c r="D958" s="18" t="s">
        <v>31</v>
      </c>
      <c r="E958" s="27">
        <v>42566.75046296296</v>
      </c>
      <c r="F958" s="19">
        <f>IFERROR(__xludf.DUMMYFUNCTION("IFERROR(TO_DATE(E958), """")"),42566.75046296296)</f>
        <v>42566.75046</v>
      </c>
      <c r="G958" s="20">
        <f t="shared" si="1"/>
        <v>18</v>
      </c>
      <c r="H958" s="27">
        <v>42566.78197916667</v>
      </c>
      <c r="I958" s="19">
        <f>IFERROR(__xludf.DUMMYFUNCTION("IFERROR(TO_DATE(H958), """")"),42566.78197916667)</f>
        <v>42566.78198</v>
      </c>
      <c r="J958" s="19" t="s">
        <v>12</v>
      </c>
      <c r="K958" s="22">
        <f t="shared" si="2"/>
        <v>0</v>
      </c>
    </row>
    <row r="959">
      <c r="A959" s="18">
        <v>101.0</v>
      </c>
      <c r="B959" s="18" t="s">
        <v>30</v>
      </c>
      <c r="C959" s="18">
        <v>99.0</v>
      </c>
      <c r="D959" s="18" t="s">
        <v>31</v>
      </c>
      <c r="E959" s="26">
        <v>42562.21388888889</v>
      </c>
      <c r="F959" s="19">
        <f>IFERROR(__xludf.DUMMYFUNCTION("IFERROR(TO_DATE(E959), """")"),42562.21388888889)</f>
        <v>42562.21389</v>
      </c>
      <c r="G959" s="20">
        <f t="shared" si="1"/>
        <v>5</v>
      </c>
      <c r="H959" s="26">
        <v>42562.25625</v>
      </c>
      <c r="I959" s="19">
        <f>IFERROR(__xludf.DUMMYFUNCTION("IFERROR(TO_DATE(H959), """")"),42562.25625)</f>
        <v>42562.25625</v>
      </c>
      <c r="J959" s="19" t="s">
        <v>11</v>
      </c>
      <c r="K959" s="22">
        <f t="shared" si="2"/>
        <v>0</v>
      </c>
    </row>
    <row r="960">
      <c r="A960" s="18">
        <v>351.0</v>
      </c>
      <c r="B960" s="18" t="s">
        <v>32</v>
      </c>
      <c r="C960" s="18">
        <v>99.0</v>
      </c>
      <c r="D960" s="18" t="s">
        <v>31</v>
      </c>
      <c r="E960" s="26">
        <v>42562.32847222222</v>
      </c>
      <c r="F960" s="19">
        <f>IFERROR(__xludf.DUMMYFUNCTION("IFERROR(TO_DATE(E960), """")"),42562.32847222222)</f>
        <v>42562.32847</v>
      </c>
      <c r="G960" s="20">
        <f t="shared" si="1"/>
        <v>7</v>
      </c>
      <c r="H960" s="26">
        <v>42562.37152777778</v>
      </c>
      <c r="I960" s="19">
        <f>IFERROR(__xludf.DUMMYFUNCTION("IFERROR(TO_DATE(H960), """")"),42562.37152777778)</f>
        <v>42562.37153</v>
      </c>
      <c r="J960" s="19" t="s">
        <v>11</v>
      </c>
      <c r="K960" s="22">
        <f t="shared" si="2"/>
        <v>0</v>
      </c>
    </row>
    <row r="961">
      <c r="A961" s="18">
        <v>871.0</v>
      </c>
      <c r="B961" s="18" t="s">
        <v>32</v>
      </c>
      <c r="C961" s="18">
        <v>99.0</v>
      </c>
      <c r="D961" s="18" t="s">
        <v>31</v>
      </c>
      <c r="E961" s="26">
        <v>42562.74791666667</v>
      </c>
      <c r="F961" s="19">
        <f>IFERROR(__xludf.DUMMYFUNCTION("IFERROR(TO_DATE(E961), """")"),42562.74791666667)</f>
        <v>42562.74792</v>
      </c>
      <c r="G961" s="20">
        <f t="shared" si="1"/>
        <v>17</v>
      </c>
      <c r="H961" s="26">
        <v>42562.77916666667</v>
      </c>
      <c r="I961" s="19">
        <f>IFERROR(__xludf.DUMMYFUNCTION("IFERROR(TO_DATE(H961), """")"),42562.77916666667)</f>
        <v>42562.77917</v>
      </c>
      <c r="J961" s="19" t="s">
        <v>12</v>
      </c>
      <c r="K961" s="22">
        <f t="shared" si="2"/>
        <v>0</v>
      </c>
    </row>
    <row r="962">
      <c r="A962" s="18">
        <v>1330.0</v>
      </c>
      <c r="B962" s="18" t="s">
        <v>30</v>
      </c>
      <c r="C962" s="18">
        <v>99.0</v>
      </c>
      <c r="D962" s="18" t="s">
        <v>31</v>
      </c>
      <c r="E962" s="26">
        <v>42562.96597222222</v>
      </c>
      <c r="F962" s="19">
        <f>IFERROR(__xludf.DUMMYFUNCTION("IFERROR(TO_DATE(E962), """")"),42562.96597222222)</f>
        <v>42562.96597</v>
      </c>
      <c r="G962" s="20">
        <f t="shared" si="1"/>
        <v>23</v>
      </c>
      <c r="H962" s="26">
        <v>42563.009722222225</v>
      </c>
      <c r="I962" s="19">
        <f>IFERROR(__xludf.DUMMYFUNCTION("IFERROR(TO_DATE(H962), """")"),42563.009722222225)</f>
        <v>42563.00972</v>
      </c>
      <c r="J962" s="19" t="s">
        <v>13</v>
      </c>
      <c r="K962" s="22">
        <f t="shared" si="2"/>
        <v>0</v>
      </c>
    </row>
    <row r="963">
      <c r="A963" s="18">
        <v>3227.0</v>
      </c>
      <c r="B963" s="18" t="s">
        <v>30</v>
      </c>
      <c r="C963" s="18">
        <v>99.0</v>
      </c>
      <c r="D963" s="18" t="s">
        <v>31</v>
      </c>
      <c r="E963" s="27">
        <v>42564.411678240744</v>
      </c>
      <c r="F963" s="19">
        <f>IFERROR(__xludf.DUMMYFUNCTION("IFERROR(TO_DATE(E963), """")"),42564.411678240744)</f>
        <v>42564.41168</v>
      </c>
      <c r="G963" s="20">
        <f t="shared" si="1"/>
        <v>9</v>
      </c>
      <c r="H963" s="27">
        <v>42564.44002314815</v>
      </c>
      <c r="I963" s="19">
        <f>IFERROR(__xludf.DUMMYFUNCTION("IFERROR(TO_DATE(H963), """")"),42564.44002314815)</f>
        <v>42564.44002</v>
      </c>
      <c r="J963" s="19" t="s">
        <v>14</v>
      </c>
      <c r="K963" s="22">
        <f t="shared" si="2"/>
        <v>0</v>
      </c>
    </row>
    <row r="964">
      <c r="A964" s="18">
        <v>4921.0</v>
      </c>
      <c r="B964" s="18" t="s">
        <v>32</v>
      </c>
      <c r="C964" s="18">
        <v>99.0</v>
      </c>
      <c r="D964" s="18" t="s">
        <v>31</v>
      </c>
      <c r="E964" s="27">
        <v>42565.76002314815</v>
      </c>
      <c r="F964" s="19">
        <f>IFERROR(__xludf.DUMMYFUNCTION("IFERROR(TO_DATE(E964), """")"),42565.76002314815)</f>
        <v>42565.76002</v>
      </c>
      <c r="G964" s="20">
        <f t="shared" si="1"/>
        <v>18</v>
      </c>
      <c r="H964" s="27">
        <v>42565.805763888886</v>
      </c>
      <c r="I964" s="19">
        <f>IFERROR(__xludf.DUMMYFUNCTION("IFERROR(TO_DATE(H964), """")"),42565.805763888886)</f>
        <v>42565.80576</v>
      </c>
      <c r="J964" s="19" t="s">
        <v>12</v>
      </c>
      <c r="K964" s="22">
        <f t="shared" si="2"/>
        <v>0</v>
      </c>
    </row>
    <row r="965">
      <c r="A965" s="18">
        <v>5373.0</v>
      </c>
      <c r="B965" s="18" t="s">
        <v>32</v>
      </c>
      <c r="C965" s="18">
        <v>99.0</v>
      </c>
      <c r="D965" s="18" t="s">
        <v>31</v>
      </c>
      <c r="E965" s="27">
        <v>42565.9877662037</v>
      </c>
      <c r="F965" s="19">
        <f>IFERROR(__xludf.DUMMYFUNCTION("IFERROR(TO_DATE(E965), """")"),42565.9877662037)</f>
        <v>42565.98777</v>
      </c>
      <c r="G965" s="20">
        <f t="shared" si="1"/>
        <v>23</v>
      </c>
      <c r="H965" s="27">
        <v>42566.012083333335</v>
      </c>
      <c r="I965" s="19">
        <f>IFERROR(__xludf.DUMMYFUNCTION("IFERROR(TO_DATE(H965), """")"),42566.012083333335)</f>
        <v>42566.01208</v>
      </c>
      <c r="J965" s="19" t="s">
        <v>13</v>
      </c>
      <c r="K965" s="22">
        <f t="shared" si="2"/>
        <v>0</v>
      </c>
    </row>
    <row r="966">
      <c r="A966" s="18">
        <v>6612.0</v>
      </c>
      <c r="B966" s="18" t="s">
        <v>30</v>
      </c>
      <c r="C966" s="18">
        <v>99.0</v>
      </c>
      <c r="D966" s="18" t="s">
        <v>31</v>
      </c>
      <c r="E966" s="27">
        <v>42566.90950231482</v>
      </c>
      <c r="F966" s="19">
        <f>IFERROR(__xludf.DUMMYFUNCTION("IFERROR(TO_DATE(E966), """")"),42566.90950231482)</f>
        <v>42566.9095</v>
      </c>
      <c r="G966" s="20">
        <f t="shared" si="1"/>
        <v>21</v>
      </c>
      <c r="H966" s="27">
        <v>42566.93655092592</v>
      </c>
      <c r="I966" s="19">
        <f>IFERROR(__xludf.DUMMYFUNCTION("IFERROR(TO_DATE(H966), """")"),42566.93655092592)</f>
        <v>42566.93655</v>
      </c>
      <c r="J966" s="19" t="s">
        <v>13</v>
      </c>
      <c r="K966" s="22">
        <f t="shared" si="2"/>
        <v>0</v>
      </c>
    </row>
    <row r="967">
      <c r="A967" s="18">
        <v>50.0</v>
      </c>
      <c r="B967" s="18" t="s">
        <v>32</v>
      </c>
      <c r="C967" s="18">
        <v>100.0</v>
      </c>
      <c r="D967" s="18" t="s">
        <v>31</v>
      </c>
      <c r="E967" s="26">
        <v>42562.14027777778</v>
      </c>
      <c r="F967" s="19">
        <f>IFERROR(__xludf.DUMMYFUNCTION("IFERROR(TO_DATE(E967), """")"),42562.14027777778)</f>
        <v>42562.14028</v>
      </c>
      <c r="G967" s="20">
        <f t="shared" si="1"/>
        <v>3</v>
      </c>
      <c r="H967" s="26">
        <v>42562.16458333333</v>
      </c>
      <c r="I967" s="19">
        <f>IFERROR(__xludf.DUMMYFUNCTION("IFERROR(TO_DATE(H967), """")"),42562.16458333333)</f>
        <v>42562.16458</v>
      </c>
      <c r="J967" s="19" t="s">
        <v>15</v>
      </c>
      <c r="K967" s="22">
        <f t="shared" si="2"/>
        <v>0</v>
      </c>
    </row>
    <row r="968">
      <c r="A968" s="18">
        <v>102.0</v>
      </c>
      <c r="B968" s="18" t="s">
        <v>30</v>
      </c>
      <c r="C968" s="18">
        <v>100.0</v>
      </c>
      <c r="D968" s="18" t="s">
        <v>31</v>
      </c>
      <c r="E968" s="26">
        <v>42562.209027777775</v>
      </c>
      <c r="F968" s="19">
        <f>IFERROR(__xludf.DUMMYFUNCTION("IFERROR(TO_DATE(E968), """")"),42562.209027777775)</f>
        <v>42562.20903</v>
      </c>
      <c r="G968" s="20">
        <f t="shared" si="1"/>
        <v>5</v>
      </c>
      <c r="H968" s="26">
        <v>42562.23472222222</v>
      </c>
      <c r="I968" s="19">
        <f>IFERROR(__xludf.DUMMYFUNCTION("IFERROR(TO_DATE(H968), """")"),42562.23472222222)</f>
        <v>42562.23472</v>
      </c>
      <c r="J968" s="19" t="s">
        <v>11</v>
      </c>
      <c r="K968" s="22">
        <f t="shared" si="2"/>
        <v>0</v>
      </c>
    </row>
    <row r="969">
      <c r="A969" s="18">
        <v>211.0</v>
      </c>
      <c r="B969" s="18" t="s">
        <v>32</v>
      </c>
      <c r="C969" s="18">
        <v>100.0</v>
      </c>
      <c r="D969" s="18" t="s">
        <v>31</v>
      </c>
      <c r="E969" s="26">
        <v>42562.25555555556</v>
      </c>
      <c r="F969" s="19">
        <f>IFERROR(__xludf.DUMMYFUNCTION("IFERROR(TO_DATE(E969), """")"),42562.25555555556)</f>
        <v>42562.25556</v>
      </c>
      <c r="G969" s="20">
        <f t="shared" si="1"/>
        <v>6</v>
      </c>
      <c r="H969" s="26">
        <v>42562.282638888886</v>
      </c>
      <c r="I969" s="19">
        <f>IFERROR(__xludf.DUMMYFUNCTION("IFERROR(TO_DATE(H969), """")"),42562.282638888886)</f>
        <v>42562.28264</v>
      </c>
      <c r="J969" s="19" t="s">
        <v>11</v>
      </c>
      <c r="K969" s="22">
        <f t="shared" si="2"/>
        <v>0</v>
      </c>
    </row>
    <row r="970">
      <c r="A970" s="18">
        <v>510.0</v>
      </c>
      <c r="B970" s="18" t="s">
        <v>32</v>
      </c>
      <c r="C970" s="18">
        <v>100.0</v>
      </c>
      <c r="D970" s="18" t="s">
        <v>31</v>
      </c>
      <c r="E970" s="26">
        <v>42562.40277777778</v>
      </c>
      <c r="F970" s="19">
        <f>IFERROR(__xludf.DUMMYFUNCTION("IFERROR(TO_DATE(E970), """")"),42562.40277777778)</f>
        <v>42562.40278</v>
      </c>
      <c r="G970" s="20">
        <f t="shared" si="1"/>
        <v>9</v>
      </c>
      <c r="H970" s="26">
        <v>42562.459027777775</v>
      </c>
      <c r="I970" s="19">
        <f>IFERROR(__xludf.DUMMYFUNCTION("IFERROR(TO_DATE(H970), """")"),42562.459027777775)</f>
        <v>42562.45903</v>
      </c>
      <c r="J970" s="19" t="s">
        <v>14</v>
      </c>
      <c r="K970" s="22">
        <f t="shared" si="2"/>
        <v>0</v>
      </c>
    </row>
    <row r="971">
      <c r="A971" s="18">
        <v>1548.0</v>
      </c>
      <c r="B971" s="18" t="s">
        <v>30</v>
      </c>
      <c r="C971" s="18">
        <v>100.0</v>
      </c>
      <c r="D971" s="18" t="s">
        <v>31</v>
      </c>
      <c r="E971" s="26">
        <v>42563.256944444445</v>
      </c>
      <c r="F971" s="19">
        <f>IFERROR(__xludf.DUMMYFUNCTION("IFERROR(TO_DATE(E971), """")"),42563.256944444445)</f>
        <v>42563.25694</v>
      </c>
      <c r="G971" s="20">
        <f t="shared" si="1"/>
        <v>6</v>
      </c>
      <c r="H971" s="26">
        <v>42563.3</v>
      </c>
      <c r="I971" s="19">
        <f>IFERROR(__xludf.DUMMYFUNCTION("IFERROR(TO_DATE(H971), """")"),42563.3)</f>
        <v>42563.3</v>
      </c>
      <c r="J971" s="19" t="s">
        <v>11</v>
      </c>
      <c r="K971" s="22">
        <f t="shared" si="2"/>
        <v>0</v>
      </c>
    </row>
    <row r="972">
      <c r="A972" s="18">
        <v>2208.0</v>
      </c>
      <c r="B972" s="18" t="s">
        <v>32</v>
      </c>
      <c r="C972" s="18">
        <v>100.0</v>
      </c>
      <c r="D972" s="18" t="s">
        <v>31</v>
      </c>
      <c r="E972" s="26">
        <v>42563.74930555555</v>
      </c>
      <c r="F972" s="19">
        <f>IFERROR(__xludf.DUMMYFUNCTION("IFERROR(TO_DATE(E972), """")"),42563.74930555555)</f>
        <v>42563.74931</v>
      </c>
      <c r="G972" s="20">
        <f t="shared" si="1"/>
        <v>17</v>
      </c>
      <c r="H972" s="26">
        <v>42563.791666666664</v>
      </c>
      <c r="I972" s="19">
        <f>IFERROR(__xludf.DUMMYFUNCTION("IFERROR(TO_DATE(H972), """")"),42563.791666666664)</f>
        <v>42563.79167</v>
      </c>
      <c r="J972" s="19" t="s">
        <v>12</v>
      </c>
      <c r="K972" s="22">
        <f t="shared" si="2"/>
        <v>0</v>
      </c>
    </row>
    <row r="973">
      <c r="A973" s="18">
        <v>4030.0</v>
      </c>
      <c r="B973" s="18" t="s">
        <v>32</v>
      </c>
      <c r="C973" s="18">
        <v>100.0</v>
      </c>
      <c r="D973" s="18" t="s">
        <v>31</v>
      </c>
      <c r="E973" s="27">
        <v>42565.00952546296</v>
      </c>
      <c r="F973" s="19">
        <f>IFERROR(__xludf.DUMMYFUNCTION("IFERROR(TO_DATE(E973), """")"),42565.00952546296)</f>
        <v>42565.00953</v>
      </c>
      <c r="G973" s="20">
        <f t="shared" si="1"/>
        <v>0</v>
      </c>
      <c r="H973" s="27">
        <v>42565.03327546296</v>
      </c>
      <c r="I973" s="19">
        <f>IFERROR(__xludf.DUMMYFUNCTION("IFERROR(TO_DATE(H973), """")"),42565.03327546296)</f>
        <v>42565.03328</v>
      </c>
      <c r="J973" s="19" t="s">
        <v>15</v>
      </c>
      <c r="K973" s="22">
        <f t="shared" si="2"/>
        <v>0</v>
      </c>
    </row>
    <row r="974">
      <c r="A974" s="18">
        <v>4370.0</v>
      </c>
      <c r="B974" s="18" t="s">
        <v>32</v>
      </c>
      <c r="C974" s="18">
        <v>100.0</v>
      </c>
      <c r="D974" s="18" t="s">
        <v>31</v>
      </c>
      <c r="E974" s="27">
        <v>42565.31728009259</v>
      </c>
      <c r="F974" s="19">
        <f>IFERROR(__xludf.DUMMYFUNCTION("IFERROR(TO_DATE(E974), """")"),42565.31728009259)</f>
        <v>42565.31728</v>
      </c>
      <c r="G974" s="20">
        <f t="shared" si="1"/>
        <v>7</v>
      </c>
      <c r="H974" s="27">
        <v>42565.34478009259</v>
      </c>
      <c r="I974" s="19">
        <f>IFERROR(__xludf.DUMMYFUNCTION("IFERROR(TO_DATE(H974), """")"),42565.34478009259)</f>
        <v>42565.34478</v>
      </c>
      <c r="J974" s="19" t="s">
        <v>11</v>
      </c>
      <c r="K974" s="22">
        <f t="shared" si="2"/>
        <v>0</v>
      </c>
    </row>
    <row r="975">
      <c r="A975" s="18">
        <v>5834.0</v>
      </c>
      <c r="B975" s="18" t="s">
        <v>30</v>
      </c>
      <c r="C975" s="18">
        <v>100.0</v>
      </c>
      <c r="D975" s="18" t="s">
        <v>31</v>
      </c>
      <c r="E975" s="27">
        <v>42566.37086805556</v>
      </c>
      <c r="F975" s="19">
        <f>IFERROR(__xludf.DUMMYFUNCTION("IFERROR(TO_DATE(E975), """")"),42566.37086805556)</f>
        <v>42566.37087</v>
      </c>
      <c r="G975" s="20">
        <f t="shared" si="1"/>
        <v>8</v>
      </c>
      <c r="H975" s="27">
        <v>42566.420752314814</v>
      </c>
      <c r="I975" s="19">
        <f>IFERROR(__xludf.DUMMYFUNCTION("IFERROR(TO_DATE(H975), """")"),42566.420752314814)</f>
        <v>42566.42075</v>
      </c>
      <c r="J975" s="19" t="s">
        <v>14</v>
      </c>
      <c r="K975" s="22">
        <f t="shared" si="2"/>
        <v>0</v>
      </c>
    </row>
    <row r="976">
      <c r="A976" s="18">
        <v>639.0</v>
      </c>
      <c r="B976" s="18" t="s">
        <v>32</v>
      </c>
      <c r="C976" s="18">
        <v>101.0</v>
      </c>
      <c r="D976" s="18" t="s">
        <v>31</v>
      </c>
      <c r="E976" s="26">
        <v>42562.51944444444</v>
      </c>
      <c r="F976" s="19">
        <f>IFERROR(__xludf.DUMMYFUNCTION("IFERROR(TO_DATE(E976), """")"),42562.51944444444)</f>
        <v>42562.51944</v>
      </c>
      <c r="G976" s="20">
        <f t="shared" si="1"/>
        <v>12</v>
      </c>
      <c r="H976" s="26">
        <v>42562.53888888889</v>
      </c>
      <c r="I976" s="19">
        <f>IFERROR(__xludf.DUMMYFUNCTION("IFERROR(TO_DATE(H976), """")"),42562.53888888889)</f>
        <v>42562.53889</v>
      </c>
      <c r="J976" s="19" t="s">
        <v>10</v>
      </c>
      <c r="K976" s="22">
        <f t="shared" si="2"/>
        <v>0</v>
      </c>
    </row>
    <row r="977">
      <c r="A977" s="18">
        <v>1451.0</v>
      </c>
      <c r="B977" s="18" t="s">
        <v>30</v>
      </c>
      <c r="C977" s="18">
        <v>101.0</v>
      </c>
      <c r="D977" s="18" t="s">
        <v>31</v>
      </c>
      <c r="E977" s="26">
        <v>42563.20347222222</v>
      </c>
      <c r="F977" s="19">
        <f>IFERROR(__xludf.DUMMYFUNCTION("IFERROR(TO_DATE(E977), """")"),42563.20347222222)</f>
        <v>42563.20347</v>
      </c>
      <c r="G977" s="20">
        <f t="shared" si="1"/>
        <v>4</v>
      </c>
      <c r="H977" s="26">
        <v>42563.23611111111</v>
      </c>
      <c r="I977" s="19">
        <f>IFERROR(__xludf.DUMMYFUNCTION("IFERROR(TO_DATE(H977), """")"),42563.23611111111)</f>
        <v>42563.23611</v>
      </c>
      <c r="J977" s="19" t="s">
        <v>11</v>
      </c>
      <c r="K977" s="22">
        <f t="shared" si="2"/>
        <v>0</v>
      </c>
    </row>
    <row r="978">
      <c r="A978" s="18">
        <v>2335.0</v>
      </c>
      <c r="B978" s="18" t="s">
        <v>32</v>
      </c>
      <c r="C978" s="18">
        <v>101.0</v>
      </c>
      <c r="D978" s="18" t="s">
        <v>31</v>
      </c>
      <c r="E978" s="26">
        <v>42563.802083333336</v>
      </c>
      <c r="F978" s="19">
        <f>IFERROR(__xludf.DUMMYFUNCTION("IFERROR(TO_DATE(E978), """")"),42563.802083333336)</f>
        <v>42563.80208</v>
      </c>
      <c r="G978" s="20">
        <f t="shared" si="1"/>
        <v>19</v>
      </c>
      <c r="H978" s="26">
        <v>42563.83472222222</v>
      </c>
      <c r="I978" s="19">
        <f>IFERROR(__xludf.DUMMYFUNCTION("IFERROR(TO_DATE(H978), """")"),42563.83472222222)</f>
        <v>42563.83472</v>
      </c>
      <c r="J978" s="19" t="s">
        <v>12</v>
      </c>
      <c r="K978" s="22">
        <f t="shared" si="2"/>
        <v>0</v>
      </c>
    </row>
    <row r="979">
      <c r="A979" s="18">
        <v>2572.0</v>
      </c>
      <c r="B979" s="18" t="s">
        <v>30</v>
      </c>
      <c r="C979" s="18">
        <v>101.0</v>
      </c>
      <c r="D979" s="18" t="s">
        <v>31</v>
      </c>
      <c r="E979" s="26">
        <v>42563.899305555555</v>
      </c>
      <c r="F979" s="19">
        <f>IFERROR(__xludf.DUMMYFUNCTION("IFERROR(TO_DATE(E979), """")"),42563.899305555555)</f>
        <v>42563.89931</v>
      </c>
      <c r="G979" s="20">
        <f t="shared" si="1"/>
        <v>21</v>
      </c>
      <c r="H979" s="26">
        <v>42563.94583333333</v>
      </c>
      <c r="I979" s="19">
        <f>IFERROR(__xludf.DUMMYFUNCTION("IFERROR(TO_DATE(H979), """")"),42563.94583333333)</f>
        <v>42563.94583</v>
      </c>
      <c r="J979" s="19" t="s">
        <v>13</v>
      </c>
      <c r="K979" s="22">
        <f t="shared" si="2"/>
        <v>0</v>
      </c>
    </row>
    <row r="980">
      <c r="A980" s="18">
        <v>3326.0</v>
      </c>
      <c r="B980" s="18" t="s">
        <v>30</v>
      </c>
      <c r="C980" s="18">
        <v>101.0</v>
      </c>
      <c r="D980" s="18" t="s">
        <v>31</v>
      </c>
      <c r="E980" s="27">
        <v>42564.520370370374</v>
      </c>
      <c r="F980" s="19">
        <f>IFERROR(__xludf.DUMMYFUNCTION("IFERROR(TO_DATE(E980), """")"),42564.520370370374)</f>
        <v>42564.52037</v>
      </c>
      <c r="G980" s="20">
        <f t="shared" si="1"/>
        <v>12</v>
      </c>
      <c r="H980" s="27">
        <v>42564.54837962963</v>
      </c>
      <c r="I980" s="19">
        <f>IFERROR(__xludf.DUMMYFUNCTION("IFERROR(TO_DATE(H980), """")"),42564.54837962963)</f>
        <v>42564.54838</v>
      </c>
      <c r="J980" s="19" t="s">
        <v>10</v>
      </c>
      <c r="K980" s="22">
        <f t="shared" si="2"/>
        <v>0</v>
      </c>
    </row>
    <row r="981">
      <c r="A981" s="18">
        <v>3916.0</v>
      </c>
      <c r="B981" s="18" t="s">
        <v>32</v>
      </c>
      <c r="C981" s="18">
        <v>101.0</v>
      </c>
      <c r="D981" s="18" t="s">
        <v>31</v>
      </c>
      <c r="E981" s="27">
        <v>42564.922372685185</v>
      </c>
      <c r="F981" s="19">
        <f>IFERROR(__xludf.DUMMYFUNCTION("IFERROR(TO_DATE(E981), """")"),42564.922372685185)</f>
        <v>42564.92237</v>
      </c>
      <c r="G981" s="20">
        <f t="shared" si="1"/>
        <v>22</v>
      </c>
      <c r="H981" s="27">
        <v>42564.974016203705</v>
      </c>
      <c r="I981" s="19">
        <f>IFERROR(__xludf.DUMMYFUNCTION("IFERROR(TO_DATE(H981), """")"),42564.974016203705)</f>
        <v>42564.97402</v>
      </c>
      <c r="J981" s="19" t="s">
        <v>13</v>
      </c>
      <c r="K981" s="22">
        <f t="shared" si="2"/>
        <v>0</v>
      </c>
    </row>
    <row r="982">
      <c r="A982" s="18">
        <v>4514.0</v>
      </c>
      <c r="B982" s="18" t="s">
        <v>32</v>
      </c>
      <c r="C982" s="18">
        <v>101.0</v>
      </c>
      <c r="D982" s="18" t="s">
        <v>31</v>
      </c>
      <c r="E982" s="27">
        <v>42565.38638888889</v>
      </c>
      <c r="F982" s="19">
        <f>IFERROR(__xludf.DUMMYFUNCTION("IFERROR(TO_DATE(E982), """")"),42565.38638888889)</f>
        <v>42565.38639</v>
      </c>
      <c r="G982" s="20">
        <f t="shared" si="1"/>
        <v>9</v>
      </c>
      <c r="H982" s="27">
        <v>42565.42821759259</v>
      </c>
      <c r="I982" s="19">
        <f>IFERROR(__xludf.DUMMYFUNCTION("IFERROR(TO_DATE(H982), """")"),42565.42821759259)</f>
        <v>42565.42822</v>
      </c>
      <c r="J982" s="19" t="s">
        <v>14</v>
      </c>
      <c r="K982" s="22">
        <f t="shared" si="2"/>
        <v>0</v>
      </c>
    </row>
    <row r="983">
      <c r="A983" s="18">
        <v>6604.0</v>
      </c>
      <c r="B983" s="18" t="s">
        <v>32</v>
      </c>
      <c r="C983" s="18">
        <v>101.0</v>
      </c>
      <c r="D983" s="18" t="s">
        <v>31</v>
      </c>
      <c r="E983" s="27">
        <v>42566.90421296296</v>
      </c>
      <c r="F983" s="19">
        <f>IFERROR(__xludf.DUMMYFUNCTION("IFERROR(TO_DATE(E983), """")"),42566.90421296296)</f>
        <v>42566.90421</v>
      </c>
      <c r="G983" s="20">
        <f t="shared" si="1"/>
        <v>21</v>
      </c>
      <c r="H983" s="27">
        <v>42566.93006944445</v>
      </c>
      <c r="I983" s="19">
        <f>IFERROR(__xludf.DUMMYFUNCTION("IFERROR(TO_DATE(H983), """")"),42566.93006944445)</f>
        <v>42566.93007</v>
      </c>
      <c r="J983" s="19" t="s">
        <v>13</v>
      </c>
      <c r="K983" s="22">
        <f t="shared" si="2"/>
        <v>0</v>
      </c>
    </row>
    <row r="984">
      <c r="A984" s="18">
        <v>373.0</v>
      </c>
      <c r="B984" s="18" t="s">
        <v>30</v>
      </c>
      <c r="C984" s="18">
        <v>102.0</v>
      </c>
      <c r="D984" s="18" t="s">
        <v>31</v>
      </c>
      <c r="E984" s="26">
        <v>42562.339583333334</v>
      </c>
      <c r="F984" s="19">
        <f>IFERROR(__xludf.DUMMYFUNCTION("IFERROR(TO_DATE(E984), """")"),42562.339583333334)</f>
        <v>42562.33958</v>
      </c>
      <c r="G984" s="20">
        <f t="shared" si="1"/>
        <v>8</v>
      </c>
      <c r="H984" s="26">
        <v>42562.38611111111</v>
      </c>
      <c r="I984" s="19">
        <f>IFERROR(__xludf.DUMMYFUNCTION("IFERROR(TO_DATE(H984), """")"),42562.38611111111)</f>
        <v>42562.38611</v>
      </c>
      <c r="J984" s="19" t="s">
        <v>14</v>
      </c>
      <c r="K984" s="22">
        <f t="shared" si="2"/>
        <v>0</v>
      </c>
    </row>
    <row r="985">
      <c r="A985" s="18">
        <v>1338.0</v>
      </c>
      <c r="B985" s="18" t="s">
        <v>30</v>
      </c>
      <c r="C985" s="18">
        <v>102.0</v>
      </c>
      <c r="D985" s="18" t="s">
        <v>31</v>
      </c>
      <c r="E985" s="26">
        <v>42562.97430555556</v>
      </c>
      <c r="F985" s="19">
        <f>IFERROR(__xludf.DUMMYFUNCTION("IFERROR(TO_DATE(E985), """")"),42562.97430555556)</f>
        <v>42562.97431</v>
      </c>
      <c r="G985" s="20">
        <f t="shared" si="1"/>
        <v>23</v>
      </c>
      <c r="H985" s="26">
        <v>42562.998611111114</v>
      </c>
      <c r="I985" s="19">
        <f>IFERROR(__xludf.DUMMYFUNCTION("IFERROR(TO_DATE(H985), """")"),42562.998611111114)</f>
        <v>42562.99861</v>
      </c>
      <c r="J985" s="19" t="s">
        <v>13</v>
      </c>
      <c r="K985" s="22">
        <f t="shared" si="2"/>
        <v>0</v>
      </c>
    </row>
    <row r="986">
      <c r="A986" s="18">
        <v>1830.0</v>
      </c>
      <c r="B986" s="18" t="s">
        <v>32</v>
      </c>
      <c r="C986" s="18">
        <v>102.0</v>
      </c>
      <c r="D986" s="18" t="s">
        <v>31</v>
      </c>
      <c r="E986" s="26">
        <v>42563.39791666667</v>
      </c>
      <c r="F986" s="19">
        <f>IFERROR(__xludf.DUMMYFUNCTION("IFERROR(TO_DATE(E986), """")"),42563.39791666667)</f>
        <v>42563.39792</v>
      </c>
      <c r="G986" s="20">
        <f t="shared" si="1"/>
        <v>9</v>
      </c>
      <c r="H986" s="26">
        <v>42563.44652777778</v>
      </c>
      <c r="I986" s="19">
        <f>IFERROR(__xludf.DUMMYFUNCTION("IFERROR(TO_DATE(H986), """")"),42563.44652777778)</f>
        <v>42563.44653</v>
      </c>
      <c r="J986" s="19" t="s">
        <v>14</v>
      </c>
      <c r="K986" s="22">
        <f t="shared" si="2"/>
        <v>0</v>
      </c>
    </row>
    <row r="987">
      <c r="A987" s="18">
        <v>2274.0</v>
      </c>
      <c r="B987" s="18" t="s">
        <v>32</v>
      </c>
      <c r="C987" s="18">
        <v>102.0</v>
      </c>
      <c r="D987" s="18" t="s">
        <v>31</v>
      </c>
      <c r="E987" s="26">
        <v>42563.77291666667</v>
      </c>
      <c r="F987" s="19">
        <f>IFERROR(__xludf.DUMMYFUNCTION("IFERROR(TO_DATE(E987), """")"),42563.77291666667)</f>
        <v>42563.77292</v>
      </c>
      <c r="G987" s="20">
        <f t="shared" si="1"/>
        <v>18</v>
      </c>
      <c r="H987" s="26">
        <v>42563.80694444444</v>
      </c>
      <c r="I987" s="19">
        <f>IFERROR(__xludf.DUMMYFUNCTION("IFERROR(TO_DATE(H987), """")"),42563.80694444444)</f>
        <v>42563.80694</v>
      </c>
      <c r="J987" s="19" t="s">
        <v>12</v>
      </c>
      <c r="K987" s="22">
        <f t="shared" si="2"/>
        <v>0</v>
      </c>
    </row>
    <row r="988">
      <c r="A988" s="18">
        <v>3224.0</v>
      </c>
      <c r="B988" s="18" t="s">
        <v>30</v>
      </c>
      <c r="C988" s="18">
        <v>102.0</v>
      </c>
      <c r="D988" s="18" t="s">
        <v>31</v>
      </c>
      <c r="E988" s="27">
        <v>42564.41136574074</v>
      </c>
      <c r="F988" s="19">
        <f>IFERROR(__xludf.DUMMYFUNCTION("IFERROR(TO_DATE(E988), """")"),42564.41136574074)</f>
        <v>42564.41137</v>
      </c>
      <c r="G988" s="20">
        <f t="shared" si="1"/>
        <v>9</v>
      </c>
      <c r="H988" s="27">
        <v>42564.43649305555</v>
      </c>
      <c r="I988" s="19">
        <f>IFERROR(__xludf.DUMMYFUNCTION("IFERROR(TO_DATE(H988), """")"),42564.43649305555)</f>
        <v>42564.43649</v>
      </c>
      <c r="J988" s="19" t="s">
        <v>14</v>
      </c>
      <c r="K988" s="22">
        <f t="shared" si="2"/>
        <v>0</v>
      </c>
    </row>
    <row r="989">
      <c r="A989" s="18">
        <v>5321.0</v>
      </c>
      <c r="B989" s="18" t="s">
        <v>32</v>
      </c>
      <c r="C989" s="18">
        <v>102.0</v>
      </c>
      <c r="D989" s="18" t="s">
        <v>31</v>
      </c>
      <c r="E989" s="27">
        <v>42565.92349537037</v>
      </c>
      <c r="F989" s="19">
        <f>IFERROR(__xludf.DUMMYFUNCTION("IFERROR(TO_DATE(E989), """")"),42565.92349537037)</f>
        <v>42565.9235</v>
      </c>
      <c r="G989" s="20">
        <f t="shared" si="1"/>
        <v>22</v>
      </c>
      <c r="H989" s="27">
        <v>42565.94868055556</v>
      </c>
      <c r="I989" s="19">
        <f>IFERROR(__xludf.DUMMYFUNCTION("IFERROR(TO_DATE(H989), """")"),42565.94868055556)</f>
        <v>42565.94868</v>
      </c>
      <c r="J989" s="19" t="s">
        <v>13</v>
      </c>
      <c r="K989" s="22">
        <f t="shared" si="2"/>
        <v>0</v>
      </c>
    </row>
    <row r="990">
      <c r="A990" s="18">
        <v>5520.0</v>
      </c>
      <c r="B990" s="18" t="s">
        <v>32</v>
      </c>
      <c r="C990" s="18">
        <v>102.0</v>
      </c>
      <c r="D990" s="18" t="s">
        <v>31</v>
      </c>
      <c r="E990" s="27">
        <v>42566.220671296294</v>
      </c>
      <c r="F990" s="19">
        <f>IFERROR(__xludf.DUMMYFUNCTION("IFERROR(TO_DATE(E990), """")"),42566.220671296294)</f>
        <v>42566.22067</v>
      </c>
      <c r="G990" s="20">
        <f t="shared" si="1"/>
        <v>5</v>
      </c>
      <c r="H990" s="27">
        <v>42566.25116898148</v>
      </c>
      <c r="I990" s="19">
        <f>IFERROR(__xludf.DUMMYFUNCTION("IFERROR(TO_DATE(H990), """")"),42566.25116898148)</f>
        <v>42566.25117</v>
      </c>
      <c r="J990" s="19" t="s">
        <v>11</v>
      </c>
      <c r="K990" s="22">
        <f t="shared" si="2"/>
        <v>0</v>
      </c>
    </row>
    <row r="991">
      <c r="A991" s="18">
        <v>5842.0</v>
      </c>
      <c r="B991" s="18" t="s">
        <v>32</v>
      </c>
      <c r="C991" s="18">
        <v>102.0</v>
      </c>
      <c r="D991" s="18" t="s">
        <v>31</v>
      </c>
      <c r="E991" s="27">
        <v>42566.378125</v>
      </c>
      <c r="F991" s="19">
        <f>IFERROR(__xludf.DUMMYFUNCTION("IFERROR(TO_DATE(E991), """")"),42566.378125)</f>
        <v>42566.37813</v>
      </c>
      <c r="G991" s="20">
        <f t="shared" si="1"/>
        <v>9</v>
      </c>
      <c r="H991" s="27">
        <v>42566.41181712963</v>
      </c>
      <c r="I991" s="19">
        <f>IFERROR(__xludf.DUMMYFUNCTION("IFERROR(TO_DATE(H991), """")"),42566.41181712963)</f>
        <v>42566.41182</v>
      </c>
      <c r="J991" s="19" t="s">
        <v>14</v>
      </c>
      <c r="K991" s="22">
        <f t="shared" si="2"/>
        <v>0</v>
      </c>
    </row>
    <row r="992">
      <c r="A992" s="18">
        <v>6429.0</v>
      </c>
      <c r="B992" s="18" t="s">
        <v>30</v>
      </c>
      <c r="C992" s="18">
        <v>102.0</v>
      </c>
      <c r="D992" s="18" t="s">
        <v>31</v>
      </c>
      <c r="E992" s="27">
        <v>42566.82581018518</v>
      </c>
      <c r="F992" s="19">
        <f>IFERROR(__xludf.DUMMYFUNCTION("IFERROR(TO_DATE(E992), """")"),42566.82581018518)</f>
        <v>42566.82581</v>
      </c>
      <c r="G992" s="20">
        <f t="shared" si="1"/>
        <v>19</v>
      </c>
      <c r="H992" s="27">
        <v>42566.85695601852</v>
      </c>
      <c r="I992" s="19">
        <f>IFERROR(__xludf.DUMMYFUNCTION("IFERROR(TO_DATE(H992), """")"),42566.85695601852)</f>
        <v>42566.85696</v>
      </c>
      <c r="J992" s="19" t="s">
        <v>12</v>
      </c>
      <c r="K992" s="22">
        <f t="shared" si="2"/>
        <v>0</v>
      </c>
    </row>
    <row r="993">
      <c r="A993" s="18">
        <v>6704.0</v>
      </c>
      <c r="B993" s="18" t="s">
        <v>30</v>
      </c>
      <c r="C993" s="18">
        <v>102.0</v>
      </c>
      <c r="D993" s="18" t="s">
        <v>31</v>
      </c>
      <c r="E993" s="27">
        <v>42566.95695601852</v>
      </c>
      <c r="F993" s="19">
        <f>IFERROR(__xludf.DUMMYFUNCTION("IFERROR(TO_DATE(E993), """")"),42566.95695601852)</f>
        <v>42566.95696</v>
      </c>
      <c r="G993" s="20">
        <f t="shared" si="1"/>
        <v>22</v>
      </c>
      <c r="H993" s="27">
        <v>42566.999710648146</v>
      </c>
      <c r="I993" s="19">
        <f>IFERROR(__xludf.DUMMYFUNCTION("IFERROR(TO_DATE(H993), """")"),42566.999710648146)</f>
        <v>42566.99971</v>
      </c>
      <c r="J993" s="19" t="s">
        <v>13</v>
      </c>
      <c r="K993" s="22">
        <f t="shared" si="2"/>
        <v>0</v>
      </c>
    </row>
    <row r="994">
      <c r="A994" s="18">
        <v>2057.0</v>
      </c>
      <c r="B994" s="18" t="s">
        <v>30</v>
      </c>
      <c r="C994" s="18">
        <v>103.0</v>
      </c>
      <c r="D994" s="18" t="s">
        <v>31</v>
      </c>
      <c r="E994" s="26">
        <v>42563.626388888886</v>
      </c>
      <c r="F994" s="19">
        <f>IFERROR(__xludf.DUMMYFUNCTION("IFERROR(TO_DATE(E994), """")"),42563.626388888886)</f>
        <v>42563.62639</v>
      </c>
      <c r="G994" s="20">
        <f t="shared" si="1"/>
        <v>15</v>
      </c>
      <c r="H994" s="26">
        <v>42563.65</v>
      </c>
      <c r="I994" s="19">
        <f>IFERROR(__xludf.DUMMYFUNCTION("IFERROR(TO_DATE(H994), """")"),42563.65)</f>
        <v>42563.65</v>
      </c>
      <c r="J994" s="19" t="s">
        <v>10</v>
      </c>
      <c r="K994" s="22">
        <f t="shared" si="2"/>
        <v>0</v>
      </c>
    </row>
    <row r="995">
      <c r="A995" s="18">
        <v>3723.0</v>
      </c>
      <c r="B995" s="18" t="s">
        <v>30</v>
      </c>
      <c r="C995" s="18">
        <v>103.0</v>
      </c>
      <c r="D995" s="18" t="s">
        <v>31</v>
      </c>
      <c r="E995" s="27">
        <v>42564.8359375</v>
      </c>
      <c r="F995" s="19">
        <f>IFERROR(__xludf.DUMMYFUNCTION("IFERROR(TO_DATE(E995), """")"),42564.8359375)</f>
        <v>42564.83594</v>
      </c>
      <c r="G995" s="20">
        <f t="shared" si="1"/>
        <v>20</v>
      </c>
      <c r="H995" s="27">
        <v>42564.87300925926</v>
      </c>
      <c r="I995" s="19">
        <f>IFERROR(__xludf.DUMMYFUNCTION("IFERROR(TO_DATE(H995), """")"),42564.87300925926)</f>
        <v>42564.87301</v>
      </c>
      <c r="J995" s="19" t="s">
        <v>13</v>
      </c>
      <c r="K995" s="22">
        <f t="shared" si="2"/>
        <v>0</v>
      </c>
    </row>
    <row r="996">
      <c r="A996" s="18">
        <v>4492.0</v>
      </c>
      <c r="B996" s="18" t="s">
        <v>32</v>
      </c>
      <c r="C996" s="18">
        <v>103.0</v>
      </c>
      <c r="D996" s="18" t="s">
        <v>31</v>
      </c>
      <c r="E996" s="27">
        <v>42565.37626157407</v>
      </c>
      <c r="F996" s="19">
        <f>IFERROR(__xludf.DUMMYFUNCTION("IFERROR(TO_DATE(E996), """")"),42565.37626157407)</f>
        <v>42565.37626</v>
      </c>
      <c r="G996" s="20">
        <f t="shared" si="1"/>
        <v>9</v>
      </c>
      <c r="H996" s="27">
        <v>42565.420266203706</v>
      </c>
      <c r="I996" s="19">
        <f>IFERROR(__xludf.DUMMYFUNCTION("IFERROR(TO_DATE(H996), """")"),42565.420266203706)</f>
        <v>42565.42027</v>
      </c>
      <c r="J996" s="19" t="s">
        <v>14</v>
      </c>
      <c r="K996" s="22">
        <f t="shared" si="2"/>
        <v>0</v>
      </c>
    </row>
    <row r="997">
      <c r="A997" s="18">
        <v>5153.0</v>
      </c>
      <c r="B997" s="18" t="s">
        <v>30</v>
      </c>
      <c r="C997" s="18">
        <v>103.0</v>
      </c>
      <c r="D997" s="18" t="s">
        <v>31</v>
      </c>
      <c r="E997" s="27">
        <v>42565.85369212963</v>
      </c>
      <c r="F997" s="19">
        <f>IFERROR(__xludf.DUMMYFUNCTION("IFERROR(TO_DATE(E997), """")"),42565.85369212963)</f>
        <v>42565.85369</v>
      </c>
      <c r="G997" s="20">
        <f t="shared" si="1"/>
        <v>20</v>
      </c>
      <c r="H997" s="27">
        <v>42565.90162037037</v>
      </c>
      <c r="I997" s="19">
        <f>IFERROR(__xludf.DUMMYFUNCTION("IFERROR(TO_DATE(H997), """")"),42565.90162037037)</f>
        <v>42565.90162</v>
      </c>
      <c r="J997" s="19" t="s">
        <v>13</v>
      </c>
      <c r="K997" s="22">
        <f t="shared" si="2"/>
        <v>0</v>
      </c>
    </row>
    <row r="998">
      <c r="A998" s="18">
        <v>6531.0</v>
      </c>
      <c r="B998" s="18" t="s">
        <v>32</v>
      </c>
      <c r="C998" s="18">
        <v>103.0</v>
      </c>
      <c r="D998" s="18" t="s">
        <v>31</v>
      </c>
      <c r="E998" s="27">
        <v>42566.86765046296</v>
      </c>
      <c r="F998" s="19">
        <f>IFERROR(__xludf.DUMMYFUNCTION("IFERROR(TO_DATE(E998), """")"),42566.86765046296)</f>
        <v>42566.86765</v>
      </c>
      <c r="G998" s="20">
        <f t="shared" si="1"/>
        <v>20</v>
      </c>
      <c r="H998" s="27">
        <v>42566.894166666665</v>
      </c>
      <c r="I998" s="19">
        <f>IFERROR(__xludf.DUMMYFUNCTION("IFERROR(TO_DATE(H998), """")"),42566.894166666665)</f>
        <v>42566.89417</v>
      </c>
      <c r="J998" s="19" t="s">
        <v>13</v>
      </c>
      <c r="K998" s="22">
        <f t="shared" si="2"/>
        <v>0</v>
      </c>
    </row>
    <row r="999">
      <c r="A999" s="18">
        <v>521.0</v>
      </c>
      <c r="B999" s="18" t="s">
        <v>32</v>
      </c>
      <c r="C999" s="18">
        <v>104.0</v>
      </c>
      <c r="D999" s="18" t="s">
        <v>31</v>
      </c>
      <c r="E999" s="26">
        <v>42562.40833333333</v>
      </c>
      <c r="F999" s="19">
        <f>IFERROR(__xludf.DUMMYFUNCTION("IFERROR(TO_DATE(E999), """")"),42562.40833333333)</f>
        <v>42562.40833</v>
      </c>
      <c r="G999" s="20">
        <f t="shared" si="1"/>
        <v>9</v>
      </c>
      <c r="H999" s="26">
        <v>42562.45486111111</v>
      </c>
      <c r="I999" s="19">
        <f>IFERROR(__xludf.DUMMYFUNCTION("IFERROR(TO_DATE(H999), """")"),42562.45486111111)</f>
        <v>42562.45486</v>
      </c>
      <c r="J999" s="19" t="s">
        <v>14</v>
      </c>
      <c r="K999" s="22">
        <f t="shared" si="2"/>
        <v>0</v>
      </c>
    </row>
    <row r="1000">
      <c r="A1000" s="18">
        <v>1850.0</v>
      </c>
      <c r="B1000" s="18" t="s">
        <v>32</v>
      </c>
      <c r="C1000" s="18">
        <v>104.0</v>
      </c>
      <c r="D1000" s="18" t="s">
        <v>31</v>
      </c>
      <c r="E1000" s="26">
        <v>42563.40625</v>
      </c>
      <c r="F1000" s="19">
        <f>IFERROR(__xludf.DUMMYFUNCTION("IFERROR(TO_DATE(E1000), """")"),42563.40625)</f>
        <v>42563.40625</v>
      </c>
      <c r="G1000" s="20">
        <f t="shared" si="1"/>
        <v>9</v>
      </c>
      <c r="H1000" s="26">
        <v>42563.430555555555</v>
      </c>
      <c r="I1000" s="19">
        <f>IFERROR(__xludf.DUMMYFUNCTION("IFERROR(TO_DATE(H1000), """")"),42563.430555555555)</f>
        <v>42563.43056</v>
      </c>
      <c r="J1000" s="19" t="s">
        <v>14</v>
      </c>
      <c r="K1000" s="22">
        <f t="shared" si="2"/>
        <v>0</v>
      </c>
    </row>
    <row r="1001">
      <c r="A1001" s="18">
        <v>2851.0</v>
      </c>
      <c r="B1001" s="18" t="s">
        <v>30</v>
      </c>
      <c r="C1001" s="18">
        <v>104.0</v>
      </c>
      <c r="D1001" s="18" t="s">
        <v>31</v>
      </c>
      <c r="E1001" s="27">
        <v>42564.230474537035</v>
      </c>
      <c r="F1001" s="19">
        <f>IFERROR(__xludf.DUMMYFUNCTION("IFERROR(TO_DATE(E1001), """")"),42564.230474537035)</f>
        <v>42564.23047</v>
      </c>
      <c r="G1001" s="20">
        <f t="shared" si="1"/>
        <v>5</v>
      </c>
      <c r="H1001" s="27">
        <v>42564.27746527778</v>
      </c>
      <c r="I1001" s="19">
        <f>IFERROR(__xludf.DUMMYFUNCTION("IFERROR(TO_DATE(H1001), """")"),42564.27746527778)</f>
        <v>42564.27747</v>
      </c>
      <c r="J1001" s="19" t="s">
        <v>11</v>
      </c>
      <c r="K1001" s="22">
        <f t="shared" si="2"/>
        <v>0</v>
      </c>
    </row>
    <row r="1002">
      <c r="A1002" s="18">
        <v>5380.0</v>
      </c>
      <c r="B1002" s="18" t="s">
        <v>30</v>
      </c>
      <c r="C1002" s="18">
        <v>104.0</v>
      </c>
      <c r="D1002" s="18" t="s">
        <v>31</v>
      </c>
      <c r="E1002" s="27">
        <v>42565.99337962963</v>
      </c>
      <c r="F1002" s="19">
        <f>IFERROR(__xludf.DUMMYFUNCTION("IFERROR(TO_DATE(E1002), """")"),42565.99337962963)</f>
        <v>42565.99338</v>
      </c>
      <c r="G1002" s="20">
        <f t="shared" si="1"/>
        <v>23</v>
      </c>
      <c r="H1002" s="27">
        <v>42566.027719907404</v>
      </c>
      <c r="I1002" s="19">
        <f>IFERROR(__xludf.DUMMYFUNCTION("IFERROR(TO_DATE(H1002), """")"),42566.027719907404)</f>
        <v>42566.02772</v>
      </c>
      <c r="J1002" s="19" t="s">
        <v>13</v>
      </c>
      <c r="K1002" s="22">
        <f t="shared" si="2"/>
        <v>0</v>
      </c>
    </row>
    <row r="1003">
      <c r="A1003" s="18">
        <v>5917.0</v>
      </c>
      <c r="B1003" s="18" t="s">
        <v>30</v>
      </c>
      <c r="C1003" s="18">
        <v>104.0</v>
      </c>
      <c r="D1003" s="18" t="s">
        <v>31</v>
      </c>
      <c r="E1003" s="27">
        <v>42566.41962962963</v>
      </c>
      <c r="F1003" s="19">
        <f>IFERROR(__xludf.DUMMYFUNCTION("IFERROR(TO_DATE(E1003), """")"),42566.41962962963)</f>
        <v>42566.41963</v>
      </c>
      <c r="G1003" s="20">
        <f t="shared" si="1"/>
        <v>10</v>
      </c>
      <c r="H1003" s="27">
        <v>42566.45434027778</v>
      </c>
      <c r="I1003" s="19">
        <f>IFERROR(__xludf.DUMMYFUNCTION("IFERROR(TO_DATE(H1003), """")"),42566.45434027778)</f>
        <v>42566.45434</v>
      </c>
      <c r="J1003" s="19" t="s">
        <v>14</v>
      </c>
      <c r="K1003" s="22">
        <f t="shared" si="2"/>
        <v>0</v>
      </c>
    </row>
    <row r="1004">
      <c r="A1004" s="18">
        <v>148.0</v>
      </c>
      <c r="B1004" s="18" t="s">
        <v>30</v>
      </c>
      <c r="C1004" s="18">
        <v>105.0</v>
      </c>
      <c r="D1004" s="18" t="s">
        <v>31</v>
      </c>
      <c r="E1004" s="26">
        <v>42562.23333333333</v>
      </c>
      <c r="F1004" s="19">
        <f>IFERROR(__xludf.DUMMYFUNCTION("IFERROR(TO_DATE(E1004), """")"),42562.23333333333)</f>
        <v>42562.23333</v>
      </c>
      <c r="G1004" s="20">
        <f t="shared" si="1"/>
        <v>5</v>
      </c>
      <c r="H1004" s="26">
        <v>42562.28194444445</v>
      </c>
      <c r="I1004" s="19">
        <f>IFERROR(__xludf.DUMMYFUNCTION("IFERROR(TO_DATE(H1004), """")"),42562.28194444445)</f>
        <v>42562.28194</v>
      </c>
      <c r="J1004" s="19" t="s">
        <v>11</v>
      </c>
      <c r="K1004" s="22">
        <f t="shared" si="2"/>
        <v>0</v>
      </c>
    </row>
    <row r="1005">
      <c r="A1005" s="18">
        <v>1113.0</v>
      </c>
      <c r="B1005" s="18" t="s">
        <v>32</v>
      </c>
      <c r="C1005" s="18">
        <v>105.0</v>
      </c>
      <c r="D1005" s="18" t="s">
        <v>31</v>
      </c>
      <c r="E1005" s="26">
        <v>42562.84583333333</v>
      </c>
      <c r="F1005" s="19">
        <f>IFERROR(__xludf.DUMMYFUNCTION("IFERROR(TO_DATE(E1005), """")"),42562.84583333333)</f>
        <v>42562.84583</v>
      </c>
      <c r="G1005" s="20">
        <f t="shared" si="1"/>
        <v>20</v>
      </c>
      <c r="H1005" s="26">
        <v>42562.87152777778</v>
      </c>
      <c r="I1005" s="19">
        <f>IFERROR(__xludf.DUMMYFUNCTION("IFERROR(TO_DATE(H1005), """")"),42562.87152777778)</f>
        <v>42562.87153</v>
      </c>
      <c r="J1005" s="19" t="s">
        <v>13</v>
      </c>
      <c r="K1005" s="22">
        <f t="shared" si="2"/>
        <v>0</v>
      </c>
    </row>
    <row r="1006">
      <c r="A1006" s="18">
        <v>1758.0</v>
      </c>
      <c r="B1006" s="18" t="s">
        <v>30</v>
      </c>
      <c r="C1006" s="18">
        <v>105.0</v>
      </c>
      <c r="D1006" s="18" t="s">
        <v>31</v>
      </c>
      <c r="E1006" s="26">
        <v>42563.36388888889</v>
      </c>
      <c r="F1006" s="19">
        <f>IFERROR(__xludf.DUMMYFUNCTION("IFERROR(TO_DATE(E1006), """")"),42563.36388888889)</f>
        <v>42563.36389</v>
      </c>
      <c r="G1006" s="20">
        <f t="shared" si="1"/>
        <v>8</v>
      </c>
      <c r="H1006" s="26">
        <v>42563.388194444444</v>
      </c>
      <c r="I1006" s="19">
        <f>IFERROR(__xludf.DUMMYFUNCTION("IFERROR(TO_DATE(H1006), """")"),42563.388194444444)</f>
        <v>42563.38819</v>
      </c>
      <c r="J1006" s="19" t="s">
        <v>14</v>
      </c>
      <c r="K1006" s="22">
        <f t="shared" si="2"/>
        <v>0</v>
      </c>
    </row>
    <row r="1007">
      <c r="A1007" s="18">
        <v>2395.0</v>
      </c>
      <c r="B1007" s="18" t="s">
        <v>30</v>
      </c>
      <c r="C1007" s="18">
        <v>105.0</v>
      </c>
      <c r="D1007" s="18" t="s">
        <v>31</v>
      </c>
      <c r="E1007" s="26">
        <v>42563.82986111111</v>
      </c>
      <c r="F1007" s="19">
        <f>IFERROR(__xludf.DUMMYFUNCTION("IFERROR(TO_DATE(E1007), """")"),42563.82986111111)</f>
        <v>42563.82986</v>
      </c>
      <c r="G1007" s="20">
        <f t="shared" si="1"/>
        <v>19</v>
      </c>
      <c r="H1007" s="26">
        <v>42563.868055555555</v>
      </c>
      <c r="I1007" s="19">
        <f>IFERROR(__xludf.DUMMYFUNCTION("IFERROR(TO_DATE(H1007), """")"),42563.868055555555)</f>
        <v>42563.86806</v>
      </c>
      <c r="J1007" s="19" t="s">
        <v>12</v>
      </c>
      <c r="K1007" s="22">
        <f t="shared" si="2"/>
        <v>0</v>
      </c>
    </row>
    <row r="1008">
      <c r="A1008" s="18">
        <v>2708.0</v>
      </c>
      <c r="B1008" s="18" t="s">
        <v>30</v>
      </c>
      <c r="C1008" s="18">
        <v>105.0</v>
      </c>
      <c r="D1008" s="18" t="s">
        <v>31</v>
      </c>
      <c r="E1008" s="27">
        <v>42564.05731481482</v>
      </c>
      <c r="F1008" s="19">
        <f>IFERROR(__xludf.DUMMYFUNCTION("IFERROR(TO_DATE(E1008), """")"),42564.05731481482)</f>
        <v>42564.05731</v>
      </c>
      <c r="G1008" s="20">
        <f t="shared" si="1"/>
        <v>1</v>
      </c>
      <c r="H1008" s="27">
        <v>42564.10775462963</v>
      </c>
      <c r="I1008" s="19">
        <f>IFERROR(__xludf.DUMMYFUNCTION("IFERROR(TO_DATE(H1008), """")"),42564.10775462963)</f>
        <v>42564.10775</v>
      </c>
      <c r="J1008" s="19" t="s">
        <v>15</v>
      </c>
      <c r="K1008" s="22">
        <f t="shared" si="2"/>
        <v>0</v>
      </c>
    </row>
    <row r="1009">
      <c r="A1009" s="18">
        <v>2995.0</v>
      </c>
      <c r="B1009" s="18" t="s">
        <v>32</v>
      </c>
      <c r="C1009" s="18">
        <v>105.0</v>
      </c>
      <c r="D1009" s="18" t="s">
        <v>31</v>
      </c>
      <c r="E1009" s="27">
        <v>42564.296898148146</v>
      </c>
      <c r="F1009" s="19">
        <f>IFERROR(__xludf.DUMMYFUNCTION("IFERROR(TO_DATE(E1009), """")"),42564.296898148146)</f>
        <v>42564.2969</v>
      </c>
      <c r="G1009" s="20">
        <f t="shared" si="1"/>
        <v>7</v>
      </c>
      <c r="H1009" s="27">
        <v>42564.33940972222</v>
      </c>
      <c r="I1009" s="19">
        <f>IFERROR(__xludf.DUMMYFUNCTION("IFERROR(TO_DATE(H1009), """")"),42564.33940972222)</f>
        <v>42564.33941</v>
      </c>
      <c r="J1009" s="19" t="s">
        <v>11</v>
      </c>
      <c r="K1009" s="22">
        <f t="shared" si="2"/>
        <v>0</v>
      </c>
    </row>
    <row r="1010">
      <c r="A1010" s="18">
        <v>3993.0</v>
      </c>
      <c r="B1010" s="18" t="s">
        <v>32</v>
      </c>
      <c r="C1010" s="18">
        <v>105.0</v>
      </c>
      <c r="D1010" s="18" t="s">
        <v>31</v>
      </c>
      <c r="E1010" s="27">
        <v>42564.980405092596</v>
      </c>
      <c r="F1010" s="19">
        <f>IFERROR(__xludf.DUMMYFUNCTION("IFERROR(TO_DATE(E1010), """")"),42564.980405092596)</f>
        <v>42564.98041</v>
      </c>
      <c r="G1010" s="20">
        <f t="shared" si="1"/>
        <v>23</v>
      </c>
      <c r="H1010" s="27">
        <v>42565.009884259256</v>
      </c>
      <c r="I1010" s="19">
        <f>IFERROR(__xludf.DUMMYFUNCTION("IFERROR(TO_DATE(H1010), """")"),42565.009884259256)</f>
        <v>42565.00988</v>
      </c>
      <c r="J1010" s="19" t="s">
        <v>13</v>
      </c>
      <c r="K1010" s="22">
        <f t="shared" si="2"/>
        <v>0</v>
      </c>
    </row>
    <row r="1011">
      <c r="A1011" s="18">
        <v>4724.0</v>
      </c>
      <c r="B1011" s="18" t="s">
        <v>32</v>
      </c>
      <c r="C1011" s="18">
        <v>105.0</v>
      </c>
      <c r="D1011" s="18" t="s">
        <v>31</v>
      </c>
      <c r="E1011" s="27">
        <v>42565.578194444446</v>
      </c>
      <c r="F1011" s="19">
        <f>IFERROR(__xludf.DUMMYFUNCTION("IFERROR(TO_DATE(E1011), """")"),42565.578194444446)</f>
        <v>42565.57819</v>
      </c>
      <c r="G1011" s="20">
        <f t="shared" si="1"/>
        <v>13</v>
      </c>
      <c r="H1011" s="27">
        <v>42565.60393518519</v>
      </c>
      <c r="I1011" s="19">
        <f>IFERROR(__xludf.DUMMYFUNCTION("IFERROR(TO_DATE(H1011), """")"),42565.60393518519)</f>
        <v>42565.60394</v>
      </c>
      <c r="J1011" s="19" t="s">
        <v>10</v>
      </c>
      <c r="K1011" s="22">
        <f t="shared" si="2"/>
        <v>0</v>
      </c>
    </row>
    <row r="1012">
      <c r="A1012" s="18">
        <v>5144.0</v>
      </c>
      <c r="B1012" s="18" t="s">
        <v>30</v>
      </c>
      <c r="C1012" s="18">
        <v>105.0</v>
      </c>
      <c r="D1012" s="18" t="s">
        <v>31</v>
      </c>
      <c r="E1012" s="27">
        <v>42565.84793981481</v>
      </c>
      <c r="F1012" s="19">
        <f>IFERROR(__xludf.DUMMYFUNCTION("IFERROR(TO_DATE(E1012), """")"),42565.84793981481)</f>
        <v>42565.84794</v>
      </c>
      <c r="G1012" s="20">
        <f t="shared" si="1"/>
        <v>20</v>
      </c>
      <c r="H1012" s="27">
        <v>42565.88670138889</v>
      </c>
      <c r="I1012" s="19">
        <f>IFERROR(__xludf.DUMMYFUNCTION("IFERROR(TO_DATE(H1012), """")"),42565.88670138889)</f>
        <v>42565.8867</v>
      </c>
      <c r="J1012" s="19" t="s">
        <v>13</v>
      </c>
      <c r="K1012" s="22">
        <f t="shared" si="2"/>
        <v>0</v>
      </c>
    </row>
    <row r="1013">
      <c r="A1013" s="18">
        <v>5572.0</v>
      </c>
      <c r="B1013" s="18" t="s">
        <v>32</v>
      </c>
      <c r="C1013" s="18">
        <v>105.0</v>
      </c>
      <c r="D1013" s="18" t="s">
        <v>31</v>
      </c>
      <c r="E1013" s="27">
        <v>42566.24070601852</v>
      </c>
      <c r="F1013" s="19">
        <f>IFERROR(__xludf.DUMMYFUNCTION("IFERROR(TO_DATE(E1013), """")"),42566.24070601852)</f>
        <v>42566.24071</v>
      </c>
      <c r="G1013" s="20">
        <f t="shared" si="1"/>
        <v>5</v>
      </c>
      <c r="H1013" s="27">
        <v>42566.27778935185</v>
      </c>
      <c r="I1013" s="19">
        <f>IFERROR(__xludf.DUMMYFUNCTION("IFERROR(TO_DATE(H1013), """")"),42566.27778935185)</f>
        <v>42566.27779</v>
      </c>
      <c r="J1013" s="19" t="s">
        <v>11</v>
      </c>
      <c r="K1013" s="22">
        <f t="shared" si="2"/>
        <v>0</v>
      </c>
    </row>
    <row r="1014">
      <c r="A1014" s="18">
        <v>5740.0</v>
      </c>
      <c r="B1014" s="18" t="s">
        <v>30</v>
      </c>
      <c r="C1014" s="18">
        <v>105.0</v>
      </c>
      <c r="D1014" s="18" t="s">
        <v>31</v>
      </c>
      <c r="E1014" s="27">
        <v>42566.32679398148</v>
      </c>
      <c r="F1014" s="19">
        <f>IFERROR(__xludf.DUMMYFUNCTION("IFERROR(TO_DATE(E1014), """")"),42566.32679398148)</f>
        <v>42566.32679</v>
      </c>
      <c r="G1014" s="20">
        <f t="shared" si="1"/>
        <v>7</v>
      </c>
      <c r="H1014" s="27">
        <v>42566.3740625</v>
      </c>
      <c r="I1014" s="19">
        <f>IFERROR(__xludf.DUMMYFUNCTION("IFERROR(TO_DATE(H1014), """")"),42566.3740625)</f>
        <v>42566.37406</v>
      </c>
      <c r="J1014" s="19" t="s">
        <v>11</v>
      </c>
      <c r="K1014" s="22">
        <f t="shared" si="2"/>
        <v>0</v>
      </c>
    </row>
    <row r="1015">
      <c r="A1015" s="18">
        <v>5938.0</v>
      </c>
      <c r="B1015" s="18" t="s">
        <v>32</v>
      </c>
      <c r="C1015" s="18">
        <v>105.0</v>
      </c>
      <c r="D1015" s="18" t="s">
        <v>31</v>
      </c>
      <c r="E1015" s="27">
        <v>42566.42805555555</v>
      </c>
      <c r="F1015" s="19">
        <f>IFERROR(__xludf.DUMMYFUNCTION("IFERROR(TO_DATE(E1015), """")"),42566.42805555555)</f>
        <v>42566.42806</v>
      </c>
      <c r="G1015" s="20">
        <f t="shared" si="1"/>
        <v>10</v>
      </c>
      <c r="H1015" s="27">
        <v>42566.46298611111</v>
      </c>
      <c r="I1015" s="19">
        <f>IFERROR(__xludf.DUMMYFUNCTION("IFERROR(TO_DATE(H1015), """")"),42566.46298611111)</f>
        <v>42566.46299</v>
      </c>
      <c r="J1015" s="19" t="s">
        <v>14</v>
      </c>
      <c r="K1015" s="22">
        <f t="shared" si="2"/>
        <v>0</v>
      </c>
    </row>
    <row r="1016">
      <c r="A1016" s="18">
        <v>6299.0</v>
      </c>
      <c r="B1016" s="18" t="s">
        <v>32</v>
      </c>
      <c r="C1016" s="18">
        <v>105.0</v>
      </c>
      <c r="D1016" s="18" t="s">
        <v>31</v>
      </c>
      <c r="E1016" s="27">
        <v>42566.76798611111</v>
      </c>
      <c r="F1016" s="19">
        <f>IFERROR(__xludf.DUMMYFUNCTION("IFERROR(TO_DATE(E1016), """")"),42566.76798611111)</f>
        <v>42566.76799</v>
      </c>
      <c r="G1016" s="20">
        <f t="shared" si="1"/>
        <v>18</v>
      </c>
      <c r="H1016" s="27">
        <v>42566.796944444446</v>
      </c>
      <c r="I1016" s="19">
        <f>IFERROR(__xludf.DUMMYFUNCTION("IFERROR(TO_DATE(H1016), """")"),42566.796944444446)</f>
        <v>42566.79694</v>
      </c>
      <c r="J1016" s="19" t="s">
        <v>12</v>
      </c>
      <c r="K1016" s="22">
        <f t="shared" si="2"/>
        <v>0</v>
      </c>
    </row>
    <row r="1017">
      <c r="A1017" s="18">
        <v>6695.0</v>
      </c>
      <c r="B1017" s="18" t="s">
        <v>30</v>
      </c>
      <c r="C1017" s="18">
        <v>105.0</v>
      </c>
      <c r="D1017" s="18" t="s">
        <v>31</v>
      </c>
      <c r="E1017" s="27">
        <v>42566.94795138889</v>
      </c>
      <c r="F1017" s="19">
        <f>IFERROR(__xludf.DUMMYFUNCTION("IFERROR(TO_DATE(E1017), """")"),42566.94795138889)</f>
        <v>42566.94795</v>
      </c>
      <c r="G1017" s="20">
        <f t="shared" si="1"/>
        <v>22</v>
      </c>
      <c r="H1017" s="27">
        <v>42567.00145833333</v>
      </c>
      <c r="I1017" s="19">
        <f>IFERROR(__xludf.DUMMYFUNCTION("IFERROR(TO_DATE(H1017), """")"),42567.00145833333)</f>
        <v>42567.00146</v>
      </c>
      <c r="J1017" s="19" t="s">
        <v>13</v>
      </c>
      <c r="K1017" s="22">
        <f t="shared" si="2"/>
        <v>0</v>
      </c>
    </row>
    <row r="1018">
      <c r="A1018" s="18">
        <v>507.0</v>
      </c>
      <c r="B1018" s="18" t="s">
        <v>30</v>
      </c>
      <c r="C1018" s="18">
        <v>106.0</v>
      </c>
      <c r="D1018" s="18" t="s">
        <v>31</v>
      </c>
      <c r="E1018" s="26">
        <v>42562.40277777778</v>
      </c>
      <c r="F1018" s="19">
        <f>IFERROR(__xludf.DUMMYFUNCTION("IFERROR(TO_DATE(E1018), """")"),42562.40277777778)</f>
        <v>42562.40278</v>
      </c>
      <c r="G1018" s="20">
        <f t="shared" si="1"/>
        <v>9</v>
      </c>
      <c r="H1018" s="26">
        <v>42562.44305555556</v>
      </c>
      <c r="I1018" s="19">
        <f>IFERROR(__xludf.DUMMYFUNCTION("IFERROR(TO_DATE(H1018), """")"),42562.44305555556)</f>
        <v>42562.44306</v>
      </c>
      <c r="J1018" s="19" t="s">
        <v>14</v>
      </c>
      <c r="K1018" s="22">
        <f t="shared" si="2"/>
        <v>0</v>
      </c>
    </row>
    <row r="1019">
      <c r="A1019" s="18">
        <v>1135.0</v>
      </c>
      <c r="B1019" s="18" t="s">
        <v>30</v>
      </c>
      <c r="C1019" s="18">
        <v>106.0</v>
      </c>
      <c r="D1019" s="18" t="s">
        <v>31</v>
      </c>
      <c r="E1019" s="26">
        <v>42562.85902777778</v>
      </c>
      <c r="F1019" s="19">
        <f>IFERROR(__xludf.DUMMYFUNCTION("IFERROR(TO_DATE(E1019), """")"),42562.85902777778)</f>
        <v>42562.85903</v>
      </c>
      <c r="G1019" s="20">
        <f t="shared" si="1"/>
        <v>20</v>
      </c>
      <c r="H1019" s="26">
        <v>42562.89513888889</v>
      </c>
      <c r="I1019" s="19">
        <f>IFERROR(__xludf.DUMMYFUNCTION("IFERROR(TO_DATE(H1019), """")"),42562.89513888889)</f>
        <v>42562.89514</v>
      </c>
      <c r="J1019" s="19" t="s">
        <v>13</v>
      </c>
      <c r="K1019" s="22">
        <f t="shared" si="2"/>
        <v>0</v>
      </c>
    </row>
    <row r="1020">
      <c r="A1020" s="18">
        <v>1479.0</v>
      </c>
      <c r="B1020" s="18" t="s">
        <v>32</v>
      </c>
      <c r="C1020" s="18">
        <v>106.0</v>
      </c>
      <c r="D1020" s="18" t="s">
        <v>31</v>
      </c>
      <c r="E1020" s="26">
        <v>42563.21944444445</v>
      </c>
      <c r="F1020" s="19">
        <f>IFERROR(__xludf.DUMMYFUNCTION("IFERROR(TO_DATE(E1020), """")"),42563.21944444445)</f>
        <v>42563.21944</v>
      </c>
      <c r="G1020" s="20">
        <f t="shared" si="1"/>
        <v>5</v>
      </c>
      <c r="H1020" s="26">
        <v>42563.248611111114</v>
      </c>
      <c r="I1020" s="19">
        <f>IFERROR(__xludf.DUMMYFUNCTION("IFERROR(TO_DATE(H1020), """")"),42563.248611111114)</f>
        <v>42563.24861</v>
      </c>
      <c r="J1020" s="19" t="s">
        <v>11</v>
      </c>
      <c r="K1020" s="22">
        <f t="shared" si="2"/>
        <v>0</v>
      </c>
    </row>
    <row r="1021">
      <c r="A1021" s="18">
        <v>3275.0</v>
      </c>
      <c r="B1021" s="18" t="s">
        <v>32</v>
      </c>
      <c r="C1021" s="18">
        <v>106.0</v>
      </c>
      <c r="D1021" s="18" t="s">
        <v>31</v>
      </c>
      <c r="E1021" s="27">
        <v>42564.44412037037</v>
      </c>
      <c r="F1021" s="19">
        <f>IFERROR(__xludf.DUMMYFUNCTION("IFERROR(TO_DATE(E1021), """")"),42564.44412037037)</f>
        <v>42564.44412</v>
      </c>
      <c r="G1021" s="20">
        <f t="shared" si="1"/>
        <v>10</v>
      </c>
      <c r="H1021" s="27">
        <v>42564.485659722224</v>
      </c>
      <c r="I1021" s="19">
        <f>IFERROR(__xludf.DUMMYFUNCTION("IFERROR(TO_DATE(H1021), """")"),42564.485659722224)</f>
        <v>42564.48566</v>
      </c>
      <c r="J1021" s="19" t="s">
        <v>14</v>
      </c>
      <c r="K1021" s="22">
        <f t="shared" si="2"/>
        <v>0</v>
      </c>
    </row>
    <row r="1022">
      <c r="A1022" s="18">
        <v>4078.0</v>
      </c>
      <c r="B1022" s="18" t="s">
        <v>32</v>
      </c>
      <c r="C1022" s="18">
        <v>106.0</v>
      </c>
      <c r="D1022" s="18" t="s">
        <v>31</v>
      </c>
      <c r="E1022" s="27">
        <v>42565.09065972222</v>
      </c>
      <c r="F1022" s="19">
        <f>IFERROR(__xludf.DUMMYFUNCTION("IFERROR(TO_DATE(E1022), """")"),42565.09065972222)</f>
        <v>42565.09066</v>
      </c>
      <c r="G1022" s="20">
        <f t="shared" si="1"/>
        <v>2</v>
      </c>
      <c r="H1022" s="27">
        <v>42565.128842592596</v>
      </c>
      <c r="I1022" s="19">
        <f>IFERROR(__xludf.DUMMYFUNCTION("IFERROR(TO_DATE(H1022), """")"),42565.128842592596)</f>
        <v>42565.12884</v>
      </c>
      <c r="J1022" s="19" t="s">
        <v>15</v>
      </c>
      <c r="K1022" s="22">
        <f t="shared" si="2"/>
        <v>0</v>
      </c>
    </row>
    <row r="1023">
      <c r="A1023" s="18">
        <v>4176.0</v>
      </c>
      <c r="B1023" s="18" t="s">
        <v>30</v>
      </c>
      <c r="C1023" s="18">
        <v>106.0</v>
      </c>
      <c r="D1023" s="18" t="s">
        <v>31</v>
      </c>
      <c r="E1023" s="27">
        <v>42565.22084490741</v>
      </c>
      <c r="F1023" s="19">
        <f>IFERROR(__xludf.DUMMYFUNCTION("IFERROR(TO_DATE(E1023), """")"),42565.22084490741)</f>
        <v>42565.22084</v>
      </c>
      <c r="G1023" s="20">
        <f t="shared" si="1"/>
        <v>5</v>
      </c>
      <c r="H1023" s="27">
        <v>42565.25113425926</v>
      </c>
      <c r="I1023" s="19">
        <f>IFERROR(__xludf.DUMMYFUNCTION("IFERROR(TO_DATE(H1023), """")"),42565.25113425926)</f>
        <v>42565.25113</v>
      </c>
      <c r="J1023" s="19" t="s">
        <v>11</v>
      </c>
      <c r="K1023" s="22">
        <f t="shared" si="2"/>
        <v>0</v>
      </c>
    </row>
    <row r="1024">
      <c r="A1024" s="18">
        <v>4776.0</v>
      </c>
      <c r="B1024" s="18" t="s">
        <v>32</v>
      </c>
      <c r="C1024" s="18">
        <v>106.0</v>
      </c>
      <c r="D1024" s="18" t="s">
        <v>31</v>
      </c>
      <c r="E1024" s="27">
        <v>42565.678125</v>
      </c>
      <c r="F1024" s="19">
        <f>IFERROR(__xludf.DUMMYFUNCTION("IFERROR(TO_DATE(E1024), """")"),42565.678125)</f>
        <v>42565.67813</v>
      </c>
      <c r="G1024" s="20">
        <f t="shared" si="1"/>
        <v>16</v>
      </c>
      <c r="H1024" s="27">
        <v>42565.72997685185</v>
      </c>
      <c r="I1024" s="19">
        <f>IFERROR(__xludf.DUMMYFUNCTION("IFERROR(TO_DATE(H1024), """")"),42565.72997685185)</f>
        <v>42565.72998</v>
      </c>
      <c r="J1024" s="19" t="s">
        <v>12</v>
      </c>
      <c r="K1024" s="22">
        <f t="shared" si="2"/>
        <v>0</v>
      </c>
    </row>
    <row r="1025">
      <c r="A1025" s="18">
        <v>4899.0</v>
      </c>
      <c r="B1025" s="18" t="s">
        <v>30</v>
      </c>
      <c r="C1025" s="18">
        <v>106.0</v>
      </c>
      <c r="D1025" s="18" t="s">
        <v>31</v>
      </c>
      <c r="E1025" s="27">
        <v>42565.751979166664</v>
      </c>
      <c r="F1025" s="19">
        <f>IFERROR(__xludf.DUMMYFUNCTION("IFERROR(TO_DATE(E1025), """")"),42565.751979166664)</f>
        <v>42565.75198</v>
      </c>
      <c r="G1025" s="20">
        <f t="shared" si="1"/>
        <v>18</v>
      </c>
      <c r="H1025" s="27">
        <v>42565.79299768519</v>
      </c>
      <c r="I1025" s="19">
        <f>IFERROR(__xludf.DUMMYFUNCTION("IFERROR(TO_DATE(H1025), """")"),42565.79299768519)</f>
        <v>42565.793</v>
      </c>
      <c r="J1025" s="19" t="s">
        <v>12</v>
      </c>
      <c r="K1025" s="22">
        <f t="shared" si="2"/>
        <v>0</v>
      </c>
    </row>
    <row r="1026">
      <c r="A1026" s="18">
        <v>35.0</v>
      </c>
      <c r="B1026" s="18" t="s">
        <v>32</v>
      </c>
      <c r="C1026" s="18">
        <v>107.0</v>
      </c>
      <c r="D1026" s="18" t="s">
        <v>31</v>
      </c>
      <c r="E1026" s="26">
        <v>42562.10833333333</v>
      </c>
      <c r="F1026" s="19">
        <f>IFERROR(__xludf.DUMMYFUNCTION("IFERROR(TO_DATE(E1026), """")"),42562.10833333333)</f>
        <v>42562.10833</v>
      </c>
      <c r="G1026" s="20">
        <f t="shared" si="1"/>
        <v>2</v>
      </c>
      <c r="H1026" s="26">
        <v>42562.12708333333</v>
      </c>
      <c r="I1026" s="19">
        <f>IFERROR(__xludf.DUMMYFUNCTION("IFERROR(TO_DATE(H1026), """")"),42562.12708333333)</f>
        <v>42562.12708</v>
      </c>
      <c r="J1026" s="19" t="s">
        <v>15</v>
      </c>
      <c r="K1026" s="22">
        <f t="shared" si="2"/>
        <v>0</v>
      </c>
    </row>
    <row r="1027">
      <c r="A1027" s="18">
        <v>161.0</v>
      </c>
      <c r="B1027" s="18" t="s">
        <v>30</v>
      </c>
      <c r="C1027" s="18">
        <v>107.0</v>
      </c>
      <c r="D1027" s="18" t="s">
        <v>31</v>
      </c>
      <c r="E1027" s="26">
        <v>42562.23333333333</v>
      </c>
      <c r="F1027" s="19">
        <f>IFERROR(__xludf.DUMMYFUNCTION("IFERROR(TO_DATE(E1027), """")"),42562.23333333333)</f>
        <v>42562.23333</v>
      </c>
      <c r="G1027" s="20">
        <f t="shared" si="1"/>
        <v>5</v>
      </c>
      <c r="H1027" s="26">
        <v>42562.256944444445</v>
      </c>
      <c r="I1027" s="19">
        <f>IFERROR(__xludf.DUMMYFUNCTION("IFERROR(TO_DATE(H1027), """")"),42562.256944444445)</f>
        <v>42562.25694</v>
      </c>
      <c r="J1027" s="19" t="s">
        <v>11</v>
      </c>
      <c r="K1027" s="22">
        <f t="shared" si="2"/>
        <v>0</v>
      </c>
    </row>
    <row r="1028">
      <c r="A1028" s="18">
        <v>831.0</v>
      </c>
      <c r="B1028" s="18" t="s">
        <v>30</v>
      </c>
      <c r="C1028" s="18">
        <v>107.0</v>
      </c>
      <c r="D1028" s="18" t="s">
        <v>31</v>
      </c>
      <c r="E1028" s="26">
        <v>42562.729166666664</v>
      </c>
      <c r="F1028" s="19">
        <f>IFERROR(__xludf.DUMMYFUNCTION("IFERROR(TO_DATE(E1028), """")"),42562.729166666664)</f>
        <v>42562.72917</v>
      </c>
      <c r="G1028" s="20">
        <f t="shared" si="1"/>
        <v>17</v>
      </c>
      <c r="H1028" s="26">
        <v>42562.763194444444</v>
      </c>
      <c r="I1028" s="19">
        <f>IFERROR(__xludf.DUMMYFUNCTION("IFERROR(TO_DATE(H1028), """")"),42562.763194444444)</f>
        <v>42562.76319</v>
      </c>
      <c r="J1028" s="19" t="s">
        <v>12</v>
      </c>
      <c r="K1028" s="22">
        <f t="shared" si="2"/>
        <v>0</v>
      </c>
    </row>
    <row r="1029">
      <c r="A1029" s="18">
        <v>1080.0</v>
      </c>
      <c r="B1029" s="18" t="s">
        <v>30</v>
      </c>
      <c r="C1029" s="18">
        <v>107.0</v>
      </c>
      <c r="D1029" s="18" t="s">
        <v>31</v>
      </c>
      <c r="E1029" s="26">
        <v>42562.83263888889</v>
      </c>
      <c r="F1029" s="19">
        <f>IFERROR(__xludf.DUMMYFUNCTION("IFERROR(TO_DATE(E1029), """")"),42562.83263888889)</f>
        <v>42562.83264</v>
      </c>
      <c r="G1029" s="20">
        <f t="shared" si="1"/>
        <v>19</v>
      </c>
      <c r="H1029" s="26">
        <v>42562.85972222222</v>
      </c>
      <c r="I1029" s="19">
        <f>IFERROR(__xludf.DUMMYFUNCTION("IFERROR(TO_DATE(H1029), """")"),42562.85972222222)</f>
        <v>42562.85972</v>
      </c>
      <c r="J1029" s="19" t="s">
        <v>12</v>
      </c>
      <c r="K1029" s="22">
        <f t="shared" si="2"/>
        <v>0</v>
      </c>
    </row>
    <row r="1030">
      <c r="A1030" s="18">
        <v>2496.0</v>
      </c>
      <c r="B1030" s="18" t="s">
        <v>32</v>
      </c>
      <c r="C1030" s="18">
        <v>107.0</v>
      </c>
      <c r="D1030" s="18" t="s">
        <v>31</v>
      </c>
      <c r="E1030" s="26">
        <v>42563.87013888889</v>
      </c>
      <c r="F1030" s="19">
        <f>IFERROR(__xludf.DUMMYFUNCTION("IFERROR(TO_DATE(E1030), """")"),42563.87013888889)</f>
        <v>42563.87014</v>
      </c>
      <c r="G1030" s="20">
        <f t="shared" si="1"/>
        <v>20</v>
      </c>
      <c r="H1030" s="26">
        <v>42563.89791666667</v>
      </c>
      <c r="I1030" s="19">
        <f>IFERROR(__xludf.DUMMYFUNCTION("IFERROR(TO_DATE(H1030), """")"),42563.89791666667)</f>
        <v>42563.89792</v>
      </c>
      <c r="J1030" s="19" t="s">
        <v>13</v>
      </c>
      <c r="K1030" s="22">
        <f t="shared" si="2"/>
        <v>0</v>
      </c>
    </row>
    <row r="1031">
      <c r="A1031" s="18">
        <v>3141.0</v>
      </c>
      <c r="B1031" s="18" t="s">
        <v>32</v>
      </c>
      <c r="C1031" s="18">
        <v>107.0</v>
      </c>
      <c r="D1031" s="18" t="s">
        <v>31</v>
      </c>
      <c r="E1031" s="27">
        <v>42564.37415509259</v>
      </c>
      <c r="F1031" s="19">
        <f>IFERROR(__xludf.DUMMYFUNCTION("IFERROR(TO_DATE(E1031), """")"),42564.37415509259)</f>
        <v>42564.37416</v>
      </c>
      <c r="G1031" s="20">
        <f t="shared" si="1"/>
        <v>8</v>
      </c>
      <c r="H1031" s="27">
        <v>42564.39481481481</v>
      </c>
      <c r="I1031" s="19">
        <f>IFERROR(__xludf.DUMMYFUNCTION("IFERROR(TO_DATE(H1031), """")"),42564.39481481481)</f>
        <v>42564.39481</v>
      </c>
      <c r="J1031" s="19" t="s">
        <v>14</v>
      </c>
      <c r="K1031" s="22">
        <f t="shared" si="2"/>
        <v>0</v>
      </c>
    </row>
    <row r="1032">
      <c r="A1032" s="18">
        <v>3297.0</v>
      </c>
      <c r="B1032" s="18" t="s">
        <v>32</v>
      </c>
      <c r="C1032" s="18">
        <v>107.0</v>
      </c>
      <c r="D1032" s="18" t="s">
        <v>31</v>
      </c>
      <c r="E1032" s="27">
        <v>42564.484398148146</v>
      </c>
      <c r="F1032" s="19">
        <f>IFERROR(__xludf.DUMMYFUNCTION("IFERROR(TO_DATE(E1032), """")"),42564.484398148146)</f>
        <v>42564.4844</v>
      </c>
      <c r="G1032" s="20">
        <f t="shared" si="1"/>
        <v>11</v>
      </c>
      <c r="H1032" s="27">
        <v>42564.50980324074</v>
      </c>
      <c r="I1032" s="19">
        <f>IFERROR(__xludf.DUMMYFUNCTION("IFERROR(TO_DATE(H1032), """")"),42564.50980324074)</f>
        <v>42564.5098</v>
      </c>
      <c r="J1032" s="19" t="s">
        <v>14</v>
      </c>
      <c r="K1032" s="22">
        <f t="shared" si="2"/>
        <v>0</v>
      </c>
    </row>
    <row r="1033">
      <c r="A1033" s="18">
        <v>3602.0</v>
      </c>
      <c r="B1033" s="18" t="s">
        <v>30</v>
      </c>
      <c r="C1033" s="18">
        <v>107.0</v>
      </c>
      <c r="D1033" s="18" t="s">
        <v>31</v>
      </c>
      <c r="E1033" s="27">
        <v>42564.77780092593</v>
      </c>
      <c r="F1033" s="19">
        <f>IFERROR(__xludf.DUMMYFUNCTION("IFERROR(TO_DATE(E1033), """")"),42564.77780092593)</f>
        <v>42564.7778</v>
      </c>
      <c r="G1033" s="20">
        <f t="shared" si="1"/>
        <v>18</v>
      </c>
      <c r="H1033" s="27">
        <v>42564.80111111111</v>
      </c>
      <c r="I1033" s="19">
        <f>IFERROR(__xludf.DUMMYFUNCTION("IFERROR(TO_DATE(H1033), """")"),42564.80111111111)</f>
        <v>42564.80111</v>
      </c>
      <c r="J1033" s="19" t="s">
        <v>12</v>
      </c>
      <c r="K1033" s="22">
        <f t="shared" si="2"/>
        <v>0</v>
      </c>
    </row>
    <row r="1034">
      <c r="A1034" s="18">
        <v>4150.0</v>
      </c>
      <c r="B1034" s="18" t="s">
        <v>32</v>
      </c>
      <c r="C1034" s="18">
        <v>107.0</v>
      </c>
      <c r="D1034" s="18" t="s">
        <v>31</v>
      </c>
      <c r="E1034" s="27">
        <v>42565.20211805555</v>
      </c>
      <c r="F1034" s="19">
        <f>IFERROR(__xludf.DUMMYFUNCTION("IFERROR(TO_DATE(E1034), """")"),42565.20211805555)</f>
        <v>42565.20212</v>
      </c>
      <c r="G1034" s="20">
        <f t="shared" si="1"/>
        <v>4</v>
      </c>
      <c r="H1034" s="27">
        <v>42565.24313657408</v>
      </c>
      <c r="I1034" s="19">
        <f>IFERROR(__xludf.DUMMYFUNCTION("IFERROR(TO_DATE(H1034), """")"),42565.24313657408)</f>
        <v>42565.24314</v>
      </c>
      <c r="J1034" s="19" t="s">
        <v>11</v>
      </c>
      <c r="K1034" s="22">
        <f t="shared" si="2"/>
        <v>0</v>
      </c>
    </row>
    <row r="1035">
      <c r="A1035" s="18">
        <v>4361.0</v>
      </c>
      <c r="B1035" s="18" t="s">
        <v>32</v>
      </c>
      <c r="C1035" s="18">
        <v>107.0</v>
      </c>
      <c r="D1035" s="18" t="s">
        <v>31</v>
      </c>
      <c r="E1035" s="27">
        <v>42565.31214120371</v>
      </c>
      <c r="F1035" s="19">
        <f>IFERROR(__xludf.DUMMYFUNCTION("IFERROR(TO_DATE(E1035), """")"),42565.31214120371)</f>
        <v>42565.31214</v>
      </c>
      <c r="G1035" s="20">
        <f t="shared" si="1"/>
        <v>7</v>
      </c>
      <c r="H1035" s="27">
        <v>42565.35318287037</v>
      </c>
      <c r="I1035" s="19">
        <f>IFERROR(__xludf.DUMMYFUNCTION("IFERROR(TO_DATE(H1035), """")"),42565.35318287037)</f>
        <v>42565.35318</v>
      </c>
      <c r="J1035" s="19" t="s">
        <v>11</v>
      </c>
      <c r="K1035" s="22">
        <f t="shared" si="2"/>
        <v>0</v>
      </c>
    </row>
    <row r="1036">
      <c r="A1036" s="18">
        <v>4642.0</v>
      </c>
      <c r="B1036" s="18" t="s">
        <v>32</v>
      </c>
      <c r="C1036" s="18">
        <v>107.0</v>
      </c>
      <c r="D1036" s="18" t="s">
        <v>31</v>
      </c>
      <c r="E1036" s="27">
        <v>42565.48918981481</v>
      </c>
      <c r="F1036" s="19">
        <f>IFERROR(__xludf.DUMMYFUNCTION("IFERROR(TO_DATE(E1036), """")"),42565.48918981481)</f>
        <v>42565.48919</v>
      </c>
      <c r="G1036" s="20">
        <f t="shared" si="1"/>
        <v>11</v>
      </c>
      <c r="H1036" s="27">
        <v>42565.528599537036</v>
      </c>
      <c r="I1036" s="19">
        <f>IFERROR(__xludf.DUMMYFUNCTION("IFERROR(TO_DATE(H1036), """")"),42565.528599537036)</f>
        <v>42565.5286</v>
      </c>
      <c r="J1036" s="19" t="s">
        <v>14</v>
      </c>
      <c r="K1036" s="22">
        <f t="shared" si="2"/>
        <v>0</v>
      </c>
    </row>
    <row r="1037">
      <c r="A1037" s="18">
        <v>4752.0</v>
      </c>
      <c r="B1037" s="18" t="s">
        <v>32</v>
      </c>
      <c r="C1037" s="18">
        <v>107.0</v>
      </c>
      <c r="D1037" s="18" t="s">
        <v>31</v>
      </c>
      <c r="E1037" s="27">
        <v>42565.63859953704</v>
      </c>
      <c r="F1037" s="19">
        <f>IFERROR(__xludf.DUMMYFUNCTION("IFERROR(TO_DATE(E1037), """")"),42565.63859953704)</f>
        <v>42565.6386</v>
      </c>
      <c r="G1037" s="20">
        <f t="shared" si="1"/>
        <v>15</v>
      </c>
      <c r="H1037" s="27">
        <v>42565.674733796295</v>
      </c>
      <c r="I1037" s="19">
        <f>IFERROR(__xludf.DUMMYFUNCTION("IFERROR(TO_DATE(H1037), """")"),42565.674733796295)</f>
        <v>42565.67473</v>
      </c>
      <c r="J1037" s="19" t="s">
        <v>10</v>
      </c>
      <c r="K1037" s="22">
        <f t="shared" si="2"/>
        <v>0</v>
      </c>
    </row>
    <row r="1038">
      <c r="A1038" s="18">
        <v>4849.0</v>
      </c>
      <c r="B1038" s="18" t="s">
        <v>32</v>
      </c>
      <c r="C1038" s="18">
        <v>107.0</v>
      </c>
      <c r="D1038" s="18" t="s">
        <v>31</v>
      </c>
      <c r="E1038" s="27">
        <v>42565.73572916666</v>
      </c>
      <c r="F1038" s="19">
        <f>IFERROR(__xludf.DUMMYFUNCTION("IFERROR(TO_DATE(E1038), """")"),42565.73572916666)</f>
        <v>42565.73573</v>
      </c>
      <c r="G1038" s="20">
        <f t="shared" si="1"/>
        <v>17</v>
      </c>
      <c r="H1038" s="27">
        <v>42565.780856481484</v>
      </c>
      <c r="I1038" s="19">
        <f>IFERROR(__xludf.DUMMYFUNCTION("IFERROR(TO_DATE(H1038), """")"),42565.780856481484)</f>
        <v>42565.78086</v>
      </c>
      <c r="J1038" s="19" t="s">
        <v>12</v>
      </c>
      <c r="K1038" s="22">
        <f t="shared" si="2"/>
        <v>0</v>
      </c>
    </row>
    <row r="1039">
      <c r="A1039" s="18">
        <v>6199.0</v>
      </c>
      <c r="B1039" s="18" t="s">
        <v>32</v>
      </c>
      <c r="C1039" s="18">
        <v>107.0</v>
      </c>
      <c r="D1039" s="18" t="s">
        <v>31</v>
      </c>
      <c r="E1039" s="27">
        <v>42566.725960648146</v>
      </c>
      <c r="F1039" s="19">
        <f>IFERROR(__xludf.DUMMYFUNCTION("IFERROR(TO_DATE(E1039), """")"),42566.725960648146)</f>
        <v>42566.72596</v>
      </c>
      <c r="G1039" s="20">
        <f t="shared" si="1"/>
        <v>17</v>
      </c>
      <c r="H1039" s="27">
        <v>42566.76322916667</v>
      </c>
      <c r="I1039" s="19">
        <f>IFERROR(__xludf.DUMMYFUNCTION("IFERROR(TO_DATE(H1039), """")"),42566.76322916667)</f>
        <v>42566.76323</v>
      </c>
      <c r="J1039" s="19" t="s">
        <v>12</v>
      </c>
      <c r="K1039" s="22">
        <f t="shared" si="2"/>
        <v>0</v>
      </c>
    </row>
    <row r="1040">
      <c r="A1040" s="18">
        <v>241.0</v>
      </c>
      <c r="B1040" s="18" t="s">
        <v>32</v>
      </c>
      <c r="C1040" s="18">
        <v>108.0</v>
      </c>
      <c r="D1040" s="18" t="s">
        <v>31</v>
      </c>
      <c r="E1040" s="26">
        <v>42562.271527777775</v>
      </c>
      <c r="F1040" s="19">
        <f>IFERROR(__xludf.DUMMYFUNCTION("IFERROR(TO_DATE(E1040), """")"),42562.271527777775)</f>
        <v>42562.27153</v>
      </c>
      <c r="G1040" s="20">
        <f t="shared" si="1"/>
        <v>6</v>
      </c>
      <c r="H1040" s="26">
        <v>42562.30347222222</v>
      </c>
      <c r="I1040" s="19">
        <f>IFERROR(__xludf.DUMMYFUNCTION("IFERROR(TO_DATE(H1040), """")"),42562.30347222222)</f>
        <v>42562.30347</v>
      </c>
      <c r="J1040" s="19" t="s">
        <v>11</v>
      </c>
      <c r="K1040" s="22">
        <f t="shared" si="2"/>
        <v>0</v>
      </c>
    </row>
    <row r="1041">
      <c r="A1041" s="18">
        <v>1339.0</v>
      </c>
      <c r="B1041" s="18" t="s">
        <v>30</v>
      </c>
      <c r="C1041" s="18">
        <v>108.0</v>
      </c>
      <c r="D1041" s="18" t="s">
        <v>31</v>
      </c>
      <c r="E1041" s="26">
        <v>42562.975694444445</v>
      </c>
      <c r="F1041" s="19">
        <f>IFERROR(__xludf.DUMMYFUNCTION("IFERROR(TO_DATE(E1041), """")"),42562.975694444445)</f>
        <v>42562.97569</v>
      </c>
      <c r="G1041" s="20">
        <f t="shared" si="1"/>
        <v>23</v>
      </c>
      <c r="H1041" s="26">
        <v>42563.02222222222</v>
      </c>
      <c r="I1041" s="19">
        <f>IFERROR(__xludf.DUMMYFUNCTION("IFERROR(TO_DATE(H1041), """")"),42563.02222222222)</f>
        <v>42563.02222</v>
      </c>
      <c r="J1041" s="19" t="s">
        <v>13</v>
      </c>
      <c r="K1041" s="22">
        <f t="shared" si="2"/>
        <v>0</v>
      </c>
    </row>
    <row r="1042">
      <c r="A1042" s="18">
        <v>1454.0</v>
      </c>
      <c r="B1042" s="18" t="s">
        <v>32</v>
      </c>
      <c r="C1042" s="18">
        <v>108.0</v>
      </c>
      <c r="D1042" s="18" t="s">
        <v>31</v>
      </c>
      <c r="E1042" s="26">
        <v>42563.20416666667</v>
      </c>
      <c r="F1042" s="19">
        <f>IFERROR(__xludf.DUMMYFUNCTION("IFERROR(TO_DATE(E1042), """")"),42563.20416666667)</f>
        <v>42563.20417</v>
      </c>
      <c r="G1042" s="20">
        <f t="shared" si="1"/>
        <v>4</v>
      </c>
      <c r="H1042" s="26">
        <v>42563.25486111111</v>
      </c>
      <c r="I1042" s="19">
        <f>IFERROR(__xludf.DUMMYFUNCTION("IFERROR(TO_DATE(H1042), """")"),42563.25486111111)</f>
        <v>42563.25486</v>
      </c>
      <c r="J1042" s="19" t="s">
        <v>11</v>
      </c>
      <c r="K1042" s="22">
        <f t="shared" si="2"/>
        <v>0</v>
      </c>
    </row>
    <row r="1043">
      <c r="A1043" s="18">
        <v>4342.0</v>
      </c>
      <c r="B1043" s="18" t="s">
        <v>32</v>
      </c>
      <c r="C1043" s="18">
        <v>108.0</v>
      </c>
      <c r="D1043" s="18" t="s">
        <v>31</v>
      </c>
      <c r="E1043" s="27">
        <v>42565.30357638889</v>
      </c>
      <c r="F1043" s="19">
        <f>IFERROR(__xludf.DUMMYFUNCTION("IFERROR(TO_DATE(E1043), """")"),42565.30357638889)</f>
        <v>42565.30358</v>
      </c>
      <c r="G1043" s="20">
        <f t="shared" si="1"/>
        <v>7</v>
      </c>
      <c r="H1043" s="27">
        <v>42565.34427083333</v>
      </c>
      <c r="I1043" s="19">
        <f>IFERROR(__xludf.DUMMYFUNCTION("IFERROR(TO_DATE(H1043), """")"),42565.34427083333)</f>
        <v>42565.34427</v>
      </c>
      <c r="J1043" s="19" t="s">
        <v>11</v>
      </c>
      <c r="K1043" s="22">
        <f t="shared" si="2"/>
        <v>0</v>
      </c>
    </row>
    <row r="1044">
      <c r="A1044" s="18">
        <v>6766.0</v>
      </c>
      <c r="B1044" s="18" t="s">
        <v>32</v>
      </c>
      <c r="C1044" s="18">
        <v>108.0</v>
      </c>
      <c r="D1044" s="18" t="s">
        <v>31</v>
      </c>
      <c r="E1044" s="27">
        <v>42566.00481481481</v>
      </c>
      <c r="F1044" s="19">
        <f>IFERROR(__xludf.DUMMYFUNCTION("IFERROR(TO_DATE(E1044), """")"),42566.00481481481)</f>
        <v>42566.00481</v>
      </c>
      <c r="G1044" s="20">
        <f t="shared" si="1"/>
        <v>0</v>
      </c>
      <c r="H1044" s="27">
        <v>42566.04900462963</v>
      </c>
      <c r="I1044" s="19">
        <f>IFERROR(__xludf.DUMMYFUNCTION("IFERROR(TO_DATE(H1044), """")"),42566.04900462963)</f>
        <v>42566.049</v>
      </c>
      <c r="J1044" s="19" t="s">
        <v>15</v>
      </c>
      <c r="K1044" s="22">
        <f t="shared" si="2"/>
        <v>0</v>
      </c>
    </row>
    <row r="1045">
      <c r="A1045" s="18">
        <v>6213.0</v>
      </c>
      <c r="B1045" s="18" t="s">
        <v>32</v>
      </c>
      <c r="C1045" s="18">
        <v>108.0</v>
      </c>
      <c r="D1045" s="18" t="s">
        <v>31</v>
      </c>
      <c r="E1045" s="27">
        <v>42566.72927083333</v>
      </c>
      <c r="F1045" s="19">
        <f>IFERROR(__xludf.DUMMYFUNCTION("IFERROR(TO_DATE(E1045), """")"),42566.72927083333)</f>
        <v>42566.72927</v>
      </c>
      <c r="G1045" s="20">
        <f t="shared" si="1"/>
        <v>17</v>
      </c>
      <c r="H1045" s="27">
        <v>42566.7728125</v>
      </c>
      <c r="I1045" s="19">
        <f>IFERROR(__xludf.DUMMYFUNCTION("IFERROR(TO_DATE(H1045), """")"),42566.7728125)</f>
        <v>42566.77281</v>
      </c>
      <c r="J1045" s="19" t="s">
        <v>12</v>
      </c>
      <c r="K1045" s="22">
        <f t="shared" si="2"/>
        <v>0</v>
      </c>
    </row>
    <row r="1046">
      <c r="A1046" s="18">
        <v>41.0</v>
      </c>
      <c r="B1046" s="18" t="s">
        <v>32</v>
      </c>
      <c r="C1046" s="18">
        <v>109.0</v>
      </c>
      <c r="D1046" s="18" t="s">
        <v>31</v>
      </c>
      <c r="E1046" s="26">
        <v>42562.11597222222</v>
      </c>
      <c r="F1046" s="19">
        <f>IFERROR(__xludf.DUMMYFUNCTION("IFERROR(TO_DATE(E1046), """")"),42562.11597222222)</f>
        <v>42562.11597</v>
      </c>
      <c r="G1046" s="20">
        <f t="shared" si="1"/>
        <v>2</v>
      </c>
      <c r="H1046" s="26">
        <v>42562.14097222222</v>
      </c>
      <c r="I1046" s="19">
        <f>IFERROR(__xludf.DUMMYFUNCTION("IFERROR(TO_DATE(H1046), """")"),42562.14097222222)</f>
        <v>42562.14097</v>
      </c>
      <c r="J1046" s="19" t="s">
        <v>15</v>
      </c>
      <c r="K1046" s="22">
        <f t="shared" si="2"/>
        <v>0</v>
      </c>
    </row>
    <row r="1047">
      <c r="A1047" s="18">
        <v>279.0</v>
      </c>
      <c r="B1047" s="18" t="s">
        <v>30</v>
      </c>
      <c r="C1047" s="18">
        <v>109.0</v>
      </c>
      <c r="D1047" s="18" t="s">
        <v>31</v>
      </c>
      <c r="E1047" s="26">
        <v>42562.29027777778</v>
      </c>
      <c r="F1047" s="19">
        <f>IFERROR(__xludf.DUMMYFUNCTION("IFERROR(TO_DATE(E1047), """")"),42562.29027777778)</f>
        <v>42562.29028</v>
      </c>
      <c r="G1047" s="20">
        <f t="shared" si="1"/>
        <v>6</v>
      </c>
      <c r="H1047" s="26">
        <v>42562.32430555556</v>
      </c>
      <c r="I1047" s="19">
        <f>IFERROR(__xludf.DUMMYFUNCTION("IFERROR(TO_DATE(H1047), """")"),42562.32430555556)</f>
        <v>42562.32431</v>
      </c>
      <c r="J1047" s="19" t="s">
        <v>11</v>
      </c>
      <c r="K1047" s="22">
        <f t="shared" si="2"/>
        <v>0</v>
      </c>
    </row>
    <row r="1048">
      <c r="A1048" s="18">
        <v>952.0</v>
      </c>
      <c r="B1048" s="18" t="s">
        <v>32</v>
      </c>
      <c r="C1048" s="18">
        <v>109.0</v>
      </c>
      <c r="D1048" s="18" t="s">
        <v>31</v>
      </c>
      <c r="E1048" s="26">
        <v>42562.777083333334</v>
      </c>
      <c r="F1048" s="19">
        <f>IFERROR(__xludf.DUMMYFUNCTION("IFERROR(TO_DATE(E1048), """")"),42562.777083333334)</f>
        <v>42562.77708</v>
      </c>
      <c r="G1048" s="20">
        <f t="shared" si="1"/>
        <v>18</v>
      </c>
      <c r="H1048" s="26">
        <v>42562.80486111111</v>
      </c>
      <c r="I1048" s="19">
        <f>IFERROR(__xludf.DUMMYFUNCTION("IFERROR(TO_DATE(H1048), """")"),42562.80486111111)</f>
        <v>42562.80486</v>
      </c>
      <c r="J1048" s="19" t="s">
        <v>12</v>
      </c>
      <c r="K1048" s="22">
        <f t="shared" si="2"/>
        <v>0</v>
      </c>
    </row>
    <row r="1049">
      <c r="A1049" s="18">
        <v>1200.0</v>
      </c>
      <c r="B1049" s="18" t="s">
        <v>30</v>
      </c>
      <c r="C1049" s="18">
        <v>109.0</v>
      </c>
      <c r="D1049" s="18" t="s">
        <v>31</v>
      </c>
      <c r="E1049" s="26">
        <v>42562.88402777778</v>
      </c>
      <c r="F1049" s="19">
        <f>IFERROR(__xludf.DUMMYFUNCTION("IFERROR(TO_DATE(E1049), """")"),42562.88402777778)</f>
        <v>42562.88403</v>
      </c>
      <c r="G1049" s="20">
        <f t="shared" si="1"/>
        <v>21</v>
      </c>
      <c r="H1049" s="26">
        <v>42562.93680555555</v>
      </c>
      <c r="I1049" s="19">
        <f>IFERROR(__xludf.DUMMYFUNCTION("IFERROR(TO_DATE(H1049), """")"),42562.93680555555)</f>
        <v>42562.93681</v>
      </c>
      <c r="J1049" s="19" t="s">
        <v>13</v>
      </c>
      <c r="K1049" s="22">
        <f t="shared" si="2"/>
        <v>0</v>
      </c>
    </row>
    <row r="1050">
      <c r="A1050" s="18">
        <v>1775.0</v>
      </c>
      <c r="B1050" s="18" t="s">
        <v>32</v>
      </c>
      <c r="C1050" s="18">
        <v>109.0</v>
      </c>
      <c r="D1050" s="18" t="s">
        <v>31</v>
      </c>
      <c r="E1050" s="26">
        <v>42563.37291666667</v>
      </c>
      <c r="F1050" s="19">
        <f>IFERROR(__xludf.DUMMYFUNCTION("IFERROR(TO_DATE(E1050), """")"),42563.37291666667)</f>
        <v>42563.37292</v>
      </c>
      <c r="G1050" s="20">
        <f t="shared" si="1"/>
        <v>8</v>
      </c>
      <c r="H1050" s="26">
        <v>42563.41111111111</v>
      </c>
      <c r="I1050" s="19">
        <f>IFERROR(__xludf.DUMMYFUNCTION("IFERROR(TO_DATE(H1050), """")"),42563.41111111111)</f>
        <v>42563.41111</v>
      </c>
      <c r="J1050" s="19" t="s">
        <v>14</v>
      </c>
      <c r="K1050" s="22">
        <f t="shared" si="2"/>
        <v>0</v>
      </c>
    </row>
    <row r="1051">
      <c r="A1051" s="18">
        <v>1953.0</v>
      </c>
      <c r="B1051" s="18" t="s">
        <v>30</v>
      </c>
      <c r="C1051" s="18">
        <v>109.0</v>
      </c>
      <c r="D1051" s="18" t="s">
        <v>31</v>
      </c>
      <c r="E1051" s="26">
        <v>42563.48472222222</v>
      </c>
      <c r="F1051" s="19">
        <f>IFERROR(__xludf.DUMMYFUNCTION("IFERROR(TO_DATE(E1051), """")"),42563.48472222222)</f>
        <v>42563.48472</v>
      </c>
      <c r="G1051" s="20">
        <f t="shared" si="1"/>
        <v>11</v>
      </c>
      <c r="H1051" s="26">
        <v>42563.52847222222</v>
      </c>
      <c r="I1051" s="19">
        <f>IFERROR(__xludf.DUMMYFUNCTION("IFERROR(TO_DATE(H1051), """")"),42563.52847222222)</f>
        <v>42563.52847</v>
      </c>
      <c r="J1051" s="19" t="s">
        <v>14</v>
      </c>
      <c r="K1051" s="22">
        <f t="shared" si="2"/>
        <v>0</v>
      </c>
    </row>
    <row r="1052">
      <c r="A1052" s="18">
        <v>3270.0</v>
      </c>
      <c r="B1052" s="18" t="s">
        <v>32</v>
      </c>
      <c r="C1052" s="18">
        <v>109.0</v>
      </c>
      <c r="D1052" s="18" t="s">
        <v>31</v>
      </c>
      <c r="E1052" s="27">
        <v>42564.43612268518</v>
      </c>
      <c r="F1052" s="19">
        <f>IFERROR(__xludf.DUMMYFUNCTION("IFERROR(TO_DATE(E1052), """")"),42564.43612268518)</f>
        <v>42564.43612</v>
      </c>
      <c r="G1052" s="20">
        <f t="shared" si="1"/>
        <v>10</v>
      </c>
      <c r="H1052" s="27">
        <v>42564.46179398148</v>
      </c>
      <c r="I1052" s="19">
        <f>IFERROR(__xludf.DUMMYFUNCTION("IFERROR(TO_DATE(H1052), """")"),42564.46179398148)</f>
        <v>42564.46179</v>
      </c>
      <c r="J1052" s="19" t="s">
        <v>14</v>
      </c>
      <c r="K1052" s="22">
        <f t="shared" si="2"/>
        <v>0</v>
      </c>
    </row>
    <row r="1053">
      <c r="A1053" s="18">
        <v>3497.0</v>
      </c>
      <c r="B1053" s="18" t="s">
        <v>30</v>
      </c>
      <c r="C1053" s="18">
        <v>109.0</v>
      </c>
      <c r="D1053" s="18" t="s">
        <v>31</v>
      </c>
      <c r="E1053" s="27">
        <v>42564.730787037035</v>
      </c>
      <c r="F1053" s="19">
        <f>IFERROR(__xludf.DUMMYFUNCTION("IFERROR(TO_DATE(E1053), """")"),42564.730787037035)</f>
        <v>42564.73079</v>
      </c>
      <c r="G1053" s="20">
        <f t="shared" si="1"/>
        <v>17</v>
      </c>
      <c r="H1053" s="27">
        <v>42564.76923611111</v>
      </c>
      <c r="I1053" s="19">
        <f>IFERROR(__xludf.DUMMYFUNCTION("IFERROR(TO_DATE(H1053), """")"),42564.76923611111)</f>
        <v>42564.76924</v>
      </c>
      <c r="J1053" s="19" t="s">
        <v>12</v>
      </c>
      <c r="K1053" s="22">
        <f t="shared" si="2"/>
        <v>0</v>
      </c>
    </row>
    <row r="1054">
      <c r="A1054" s="18">
        <v>3897.0</v>
      </c>
      <c r="B1054" s="18" t="s">
        <v>30</v>
      </c>
      <c r="C1054" s="18">
        <v>109.0</v>
      </c>
      <c r="D1054" s="18" t="s">
        <v>31</v>
      </c>
      <c r="E1054" s="27">
        <v>42564.91724537037</v>
      </c>
      <c r="F1054" s="19">
        <f>IFERROR(__xludf.DUMMYFUNCTION("IFERROR(TO_DATE(E1054), """")"),42564.91724537037)</f>
        <v>42564.91725</v>
      </c>
      <c r="G1054" s="20">
        <f t="shared" si="1"/>
        <v>22</v>
      </c>
      <c r="H1054" s="27">
        <v>42564.94304398148</v>
      </c>
      <c r="I1054" s="19">
        <f>IFERROR(__xludf.DUMMYFUNCTION("IFERROR(TO_DATE(H1054), """")"),42564.94304398148)</f>
        <v>42564.94304</v>
      </c>
      <c r="J1054" s="19" t="s">
        <v>13</v>
      </c>
      <c r="K1054" s="22">
        <f t="shared" si="2"/>
        <v>0</v>
      </c>
    </row>
    <row r="1055">
      <c r="A1055" s="18">
        <v>4601.0</v>
      </c>
      <c r="B1055" s="18" t="s">
        <v>32</v>
      </c>
      <c r="C1055" s="18">
        <v>109.0</v>
      </c>
      <c r="D1055" s="18" t="s">
        <v>31</v>
      </c>
      <c r="E1055" s="27">
        <v>42565.426041666666</v>
      </c>
      <c r="F1055" s="19">
        <f>IFERROR(__xludf.DUMMYFUNCTION("IFERROR(TO_DATE(E1055), """")"),42565.426041666666)</f>
        <v>42565.42604</v>
      </c>
      <c r="G1055" s="20">
        <f t="shared" si="1"/>
        <v>10</v>
      </c>
      <c r="H1055" s="27">
        <v>42565.45296296296</v>
      </c>
      <c r="I1055" s="19">
        <f>IFERROR(__xludf.DUMMYFUNCTION("IFERROR(TO_DATE(H1055), """")"),42565.45296296296)</f>
        <v>42565.45296</v>
      </c>
      <c r="J1055" s="19" t="s">
        <v>14</v>
      </c>
      <c r="K1055" s="22">
        <f t="shared" si="2"/>
        <v>0</v>
      </c>
    </row>
    <row r="1056">
      <c r="A1056" s="18">
        <v>4621.0</v>
      </c>
      <c r="B1056" s="18" t="s">
        <v>30</v>
      </c>
      <c r="C1056" s="18">
        <v>109.0</v>
      </c>
      <c r="D1056" s="18" t="s">
        <v>31</v>
      </c>
      <c r="E1056" s="27">
        <v>42565.459965277776</v>
      </c>
      <c r="F1056" s="19">
        <f>IFERROR(__xludf.DUMMYFUNCTION("IFERROR(TO_DATE(E1056), """")"),42565.459965277776)</f>
        <v>42565.45997</v>
      </c>
      <c r="G1056" s="20">
        <f t="shared" si="1"/>
        <v>11</v>
      </c>
      <c r="H1056" s="27">
        <v>42565.490439814814</v>
      </c>
      <c r="I1056" s="19">
        <f>IFERROR(__xludf.DUMMYFUNCTION("IFERROR(TO_DATE(H1056), """")"),42565.490439814814)</f>
        <v>42565.49044</v>
      </c>
      <c r="J1056" s="19" t="s">
        <v>14</v>
      </c>
      <c r="K1056" s="22">
        <f t="shared" si="2"/>
        <v>0</v>
      </c>
    </row>
    <row r="1057">
      <c r="A1057" s="18">
        <v>5061.0</v>
      </c>
      <c r="B1057" s="18" t="s">
        <v>32</v>
      </c>
      <c r="C1057" s="18">
        <v>109.0</v>
      </c>
      <c r="D1057" s="18" t="s">
        <v>31</v>
      </c>
      <c r="E1057" s="27">
        <v>42565.81199074074</v>
      </c>
      <c r="F1057" s="19">
        <f>IFERROR(__xludf.DUMMYFUNCTION("IFERROR(TO_DATE(E1057), """")"),42565.81199074074)</f>
        <v>42565.81199</v>
      </c>
      <c r="G1057" s="20">
        <f t="shared" si="1"/>
        <v>19</v>
      </c>
      <c r="H1057" s="27">
        <v>42565.842569444445</v>
      </c>
      <c r="I1057" s="19">
        <f>IFERROR(__xludf.DUMMYFUNCTION("IFERROR(TO_DATE(H1057), """")"),42565.842569444445)</f>
        <v>42565.84257</v>
      </c>
      <c r="J1057" s="19" t="s">
        <v>12</v>
      </c>
      <c r="K1057" s="22">
        <f t="shared" si="2"/>
        <v>0</v>
      </c>
    </row>
    <row r="1058">
      <c r="A1058" s="18">
        <v>5359.0</v>
      </c>
      <c r="B1058" s="18" t="s">
        <v>32</v>
      </c>
      <c r="C1058" s="18">
        <v>109.0</v>
      </c>
      <c r="D1058" s="18" t="s">
        <v>31</v>
      </c>
      <c r="E1058" s="27">
        <v>42565.97357638889</v>
      </c>
      <c r="F1058" s="19">
        <f>IFERROR(__xludf.DUMMYFUNCTION("IFERROR(TO_DATE(E1058), """")"),42565.97357638889)</f>
        <v>42565.97358</v>
      </c>
      <c r="G1058" s="20">
        <f t="shared" si="1"/>
        <v>23</v>
      </c>
      <c r="H1058" s="27">
        <v>42566.01666666667</v>
      </c>
      <c r="I1058" s="19">
        <f>IFERROR(__xludf.DUMMYFUNCTION("IFERROR(TO_DATE(H1058), """")"),42566.01666666667)</f>
        <v>42566.01667</v>
      </c>
      <c r="J1058" s="19" t="s">
        <v>13</v>
      </c>
      <c r="K1058" s="22">
        <f t="shared" si="2"/>
        <v>0</v>
      </c>
    </row>
    <row r="1059">
      <c r="A1059" s="18">
        <v>6179.0</v>
      </c>
      <c r="B1059" s="18" t="s">
        <v>30</v>
      </c>
      <c r="C1059" s="18">
        <v>109.0</v>
      </c>
      <c r="D1059" s="18" t="s">
        <v>31</v>
      </c>
      <c r="E1059" s="27">
        <v>42566.703668981485</v>
      </c>
      <c r="F1059" s="19">
        <f>IFERROR(__xludf.DUMMYFUNCTION("IFERROR(TO_DATE(E1059), """")"),42566.703668981485)</f>
        <v>42566.70367</v>
      </c>
      <c r="G1059" s="20">
        <f t="shared" si="1"/>
        <v>16</v>
      </c>
      <c r="H1059" s="27">
        <v>42566.756215277775</v>
      </c>
      <c r="I1059" s="19">
        <f>IFERROR(__xludf.DUMMYFUNCTION("IFERROR(TO_DATE(H1059), """")"),42566.756215277775)</f>
        <v>42566.75622</v>
      </c>
      <c r="J1059" s="19" t="s">
        <v>12</v>
      </c>
      <c r="K1059" s="22">
        <f t="shared" si="2"/>
        <v>0</v>
      </c>
    </row>
    <row r="1060">
      <c r="A1060" s="18">
        <v>469.0</v>
      </c>
      <c r="B1060" s="18" t="s">
        <v>30</v>
      </c>
      <c r="C1060" s="18">
        <v>110.0</v>
      </c>
      <c r="D1060" s="18" t="s">
        <v>31</v>
      </c>
      <c r="E1060" s="26">
        <v>42562.39166666667</v>
      </c>
      <c r="F1060" s="19">
        <f>IFERROR(__xludf.DUMMYFUNCTION("IFERROR(TO_DATE(E1060), """")"),42562.39166666667)</f>
        <v>42562.39167</v>
      </c>
      <c r="G1060" s="20">
        <f t="shared" si="1"/>
        <v>9</v>
      </c>
      <c r="H1060" s="26">
        <v>42562.419444444444</v>
      </c>
      <c r="I1060" s="19">
        <f>IFERROR(__xludf.DUMMYFUNCTION("IFERROR(TO_DATE(H1060), """")"),42562.419444444444)</f>
        <v>42562.41944</v>
      </c>
      <c r="J1060" s="19" t="s">
        <v>14</v>
      </c>
      <c r="K1060" s="22">
        <f t="shared" si="2"/>
        <v>0</v>
      </c>
    </row>
    <row r="1061">
      <c r="A1061" s="18">
        <v>914.0</v>
      </c>
      <c r="B1061" s="18" t="s">
        <v>32</v>
      </c>
      <c r="C1061" s="18">
        <v>110.0</v>
      </c>
      <c r="D1061" s="18" t="s">
        <v>31</v>
      </c>
      <c r="E1061" s="26">
        <v>42562.76180555556</v>
      </c>
      <c r="F1061" s="19">
        <f>IFERROR(__xludf.DUMMYFUNCTION("IFERROR(TO_DATE(E1061), """")"),42562.76180555556)</f>
        <v>42562.76181</v>
      </c>
      <c r="G1061" s="20">
        <f t="shared" si="1"/>
        <v>18</v>
      </c>
      <c r="H1061" s="26">
        <v>42562.79027777778</v>
      </c>
      <c r="I1061" s="19">
        <f>IFERROR(__xludf.DUMMYFUNCTION("IFERROR(TO_DATE(H1061), """")"),42562.79027777778)</f>
        <v>42562.79028</v>
      </c>
      <c r="J1061" s="19" t="s">
        <v>12</v>
      </c>
      <c r="K1061" s="22">
        <f t="shared" si="2"/>
        <v>0</v>
      </c>
    </row>
    <row r="1062">
      <c r="A1062" s="18">
        <v>1386.0</v>
      </c>
      <c r="B1062" s="18" t="s">
        <v>30</v>
      </c>
      <c r="C1062" s="18">
        <v>110.0</v>
      </c>
      <c r="D1062" s="18" t="s">
        <v>31</v>
      </c>
      <c r="E1062" s="26">
        <v>42563.0625</v>
      </c>
      <c r="F1062" s="19">
        <f>IFERROR(__xludf.DUMMYFUNCTION("IFERROR(TO_DATE(E1062), """")"),42563.0625)</f>
        <v>42563.0625</v>
      </c>
      <c r="G1062" s="20">
        <f t="shared" si="1"/>
        <v>1</v>
      </c>
      <c r="H1062" s="26">
        <v>42563.1125</v>
      </c>
      <c r="I1062" s="19">
        <f>IFERROR(__xludf.DUMMYFUNCTION("IFERROR(TO_DATE(H1062), """")"),42563.1125)</f>
        <v>42563.1125</v>
      </c>
      <c r="J1062" s="19" t="s">
        <v>15</v>
      </c>
      <c r="K1062" s="22">
        <f t="shared" si="2"/>
        <v>0</v>
      </c>
    </row>
    <row r="1063">
      <c r="A1063" s="18">
        <v>1935.0</v>
      </c>
      <c r="B1063" s="18" t="s">
        <v>32</v>
      </c>
      <c r="C1063" s="18">
        <v>110.0</v>
      </c>
      <c r="D1063" s="18" t="s">
        <v>31</v>
      </c>
      <c r="E1063" s="26">
        <v>42563.46944444445</v>
      </c>
      <c r="F1063" s="19">
        <f>IFERROR(__xludf.DUMMYFUNCTION("IFERROR(TO_DATE(E1063), """")"),42563.46944444445)</f>
        <v>42563.46944</v>
      </c>
      <c r="G1063" s="20">
        <f t="shared" si="1"/>
        <v>11</v>
      </c>
      <c r="H1063" s="26">
        <v>42563.51180555556</v>
      </c>
      <c r="I1063" s="19">
        <f>IFERROR(__xludf.DUMMYFUNCTION("IFERROR(TO_DATE(H1063), """")"),42563.51180555556)</f>
        <v>42563.51181</v>
      </c>
      <c r="J1063" s="19" t="s">
        <v>14</v>
      </c>
      <c r="K1063" s="22">
        <f t="shared" si="2"/>
        <v>0</v>
      </c>
    </row>
    <row r="1064">
      <c r="A1064" s="18">
        <v>3243.0</v>
      </c>
      <c r="B1064" s="18" t="s">
        <v>30</v>
      </c>
      <c r="C1064" s="18">
        <v>110.0</v>
      </c>
      <c r="D1064" s="18" t="s">
        <v>31</v>
      </c>
      <c r="E1064" s="27">
        <v>42564.4194212963</v>
      </c>
      <c r="F1064" s="19">
        <f>IFERROR(__xludf.DUMMYFUNCTION("IFERROR(TO_DATE(E1064), """")"),42564.4194212963)</f>
        <v>42564.41942</v>
      </c>
      <c r="G1064" s="20">
        <f t="shared" si="1"/>
        <v>10</v>
      </c>
      <c r="H1064" s="27">
        <v>42564.44912037037</v>
      </c>
      <c r="I1064" s="19">
        <f>IFERROR(__xludf.DUMMYFUNCTION("IFERROR(TO_DATE(H1064), """")"),42564.44912037037)</f>
        <v>42564.44912</v>
      </c>
      <c r="J1064" s="19" t="s">
        <v>14</v>
      </c>
      <c r="K1064" s="22">
        <f t="shared" si="2"/>
        <v>0</v>
      </c>
    </row>
    <row r="1065">
      <c r="A1065" s="18">
        <v>3449.0</v>
      </c>
      <c r="B1065" s="18" t="s">
        <v>32</v>
      </c>
      <c r="C1065" s="18">
        <v>110.0</v>
      </c>
      <c r="D1065" s="18" t="s">
        <v>31</v>
      </c>
      <c r="E1065" s="27">
        <v>42564.70311342592</v>
      </c>
      <c r="F1065" s="19">
        <f>IFERROR(__xludf.DUMMYFUNCTION("IFERROR(TO_DATE(E1065), """")"),42564.70311342592)</f>
        <v>42564.70311</v>
      </c>
      <c r="G1065" s="20">
        <f t="shared" si="1"/>
        <v>16</v>
      </c>
      <c r="H1065" s="27">
        <v>42564.723275462966</v>
      </c>
      <c r="I1065" s="19">
        <f>IFERROR(__xludf.DUMMYFUNCTION("IFERROR(TO_DATE(H1065), """")"),42564.723275462966)</f>
        <v>42564.72328</v>
      </c>
      <c r="J1065" s="19" t="s">
        <v>12</v>
      </c>
      <c r="K1065" s="22">
        <f t="shared" si="2"/>
        <v>0</v>
      </c>
    </row>
    <row r="1066">
      <c r="A1066" s="18">
        <v>4500.0</v>
      </c>
      <c r="B1066" s="18" t="s">
        <v>32</v>
      </c>
      <c r="C1066" s="18">
        <v>110.0</v>
      </c>
      <c r="D1066" s="18" t="s">
        <v>31</v>
      </c>
      <c r="E1066" s="27">
        <v>42565.378275462965</v>
      </c>
      <c r="F1066" s="19">
        <f>IFERROR(__xludf.DUMMYFUNCTION("IFERROR(TO_DATE(E1066), """")"),42565.378275462965)</f>
        <v>42565.37828</v>
      </c>
      <c r="G1066" s="20">
        <f t="shared" si="1"/>
        <v>9</v>
      </c>
      <c r="H1066" s="27">
        <v>42565.42304398148</v>
      </c>
      <c r="I1066" s="19">
        <f>IFERROR(__xludf.DUMMYFUNCTION("IFERROR(TO_DATE(H1066), """")"),42565.42304398148)</f>
        <v>42565.42304</v>
      </c>
      <c r="J1066" s="19" t="s">
        <v>14</v>
      </c>
      <c r="K1066" s="22">
        <f t="shared" si="2"/>
        <v>0</v>
      </c>
    </row>
    <row r="1067">
      <c r="A1067" s="18">
        <v>5328.0</v>
      </c>
      <c r="B1067" s="18" t="s">
        <v>30</v>
      </c>
      <c r="C1067" s="18">
        <v>110.0</v>
      </c>
      <c r="D1067" s="18" t="s">
        <v>31</v>
      </c>
      <c r="E1067" s="27">
        <v>42565.92403935185</v>
      </c>
      <c r="F1067" s="19">
        <f>IFERROR(__xludf.DUMMYFUNCTION("IFERROR(TO_DATE(E1067), """")"),42565.92403935185)</f>
        <v>42565.92404</v>
      </c>
      <c r="G1067" s="20">
        <f t="shared" si="1"/>
        <v>22</v>
      </c>
      <c r="H1067" s="27">
        <v>42565.952372685184</v>
      </c>
      <c r="I1067" s="19">
        <f>IFERROR(__xludf.DUMMYFUNCTION("IFERROR(TO_DATE(H1067), """")"),42565.952372685184)</f>
        <v>42565.95237</v>
      </c>
      <c r="J1067" s="19" t="s">
        <v>13</v>
      </c>
      <c r="K1067" s="22">
        <f t="shared" si="2"/>
        <v>0</v>
      </c>
    </row>
    <row r="1068">
      <c r="A1068" s="18">
        <v>5576.0</v>
      </c>
      <c r="B1068" s="18" t="s">
        <v>32</v>
      </c>
      <c r="C1068" s="18">
        <v>110.0</v>
      </c>
      <c r="D1068" s="18" t="s">
        <v>31</v>
      </c>
      <c r="E1068" s="27">
        <v>42566.24537037037</v>
      </c>
      <c r="F1068" s="19">
        <f>IFERROR(__xludf.DUMMYFUNCTION("IFERROR(TO_DATE(E1068), """")"),42566.24537037037)</f>
        <v>42566.24537</v>
      </c>
      <c r="G1068" s="20">
        <f t="shared" si="1"/>
        <v>5</v>
      </c>
      <c r="H1068" s="27">
        <v>42566.267696759256</v>
      </c>
      <c r="I1068" s="19">
        <f>IFERROR(__xludf.DUMMYFUNCTION("IFERROR(TO_DATE(H1068), """")"),42566.267696759256)</f>
        <v>42566.2677</v>
      </c>
      <c r="J1068" s="19" t="s">
        <v>11</v>
      </c>
      <c r="K1068" s="22">
        <f t="shared" si="2"/>
        <v>0</v>
      </c>
    </row>
    <row r="1069">
      <c r="A1069" s="18">
        <v>6112.0</v>
      </c>
      <c r="B1069" s="18" t="s">
        <v>30</v>
      </c>
      <c r="C1069" s="18">
        <v>110.0</v>
      </c>
      <c r="D1069" s="18" t="s">
        <v>31</v>
      </c>
      <c r="E1069" s="27">
        <v>42566.629699074074</v>
      </c>
      <c r="F1069" s="19">
        <f>IFERROR(__xludf.DUMMYFUNCTION("IFERROR(TO_DATE(E1069), """")"),42566.629699074074)</f>
        <v>42566.6297</v>
      </c>
      <c r="G1069" s="20">
        <f t="shared" si="1"/>
        <v>15</v>
      </c>
      <c r="H1069" s="27">
        <v>42566.67525462963</v>
      </c>
      <c r="I1069" s="19">
        <f>IFERROR(__xludf.DUMMYFUNCTION("IFERROR(TO_DATE(H1069), """")"),42566.67525462963)</f>
        <v>42566.67525</v>
      </c>
      <c r="J1069" s="19" t="s">
        <v>10</v>
      </c>
      <c r="K1069" s="22">
        <f t="shared" si="2"/>
        <v>0</v>
      </c>
    </row>
    <row r="1070">
      <c r="A1070" s="18">
        <v>6438.0</v>
      </c>
      <c r="B1070" s="18" t="s">
        <v>30</v>
      </c>
      <c r="C1070" s="18">
        <v>110.0</v>
      </c>
      <c r="D1070" s="18" t="s">
        <v>31</v>
      </c>
      <c r="E1070" s="27">
        <v>42566.82925925926</v>
      </c>
      <c r="F1070" s="19">
        <f>IFERROR(__xludf.DUMMYFUNCTION("IFERROR(TO_DATE(E1070), """")"),42566.82925925926)</f>
        <v>42566.82926</v>
      </c>
      <c r="G1070" s="20">
        <f t="shared" si="1"/>
        <v>19</v>
      </c>
      <c r="H1070" s="27">
        <v>42566.85859953704</v>
      </c>
      <c r="I1070" s="19">
        <f>IFERROR(__xludf.DUMMYFUNCTION("IFERROR(TO_DATE(H1070), """")"),42566.85859953704)</f>
        <v>42566.8586</v>
      </c>
      <c r="J1070" s="19" t="s">
        <v>12</v>
      </c>
      <c r="K1070" s="22">
        <f t="shared" si="2"/>
        <v>0</v>
      </c>
    </row>
    <row r="1071">
      <c r="A1071" s="18">
        <v>707.0</v>
      </c>
      <c r="B1071" s="18" t="s">
        <v>30</v>
      </c>
      <c r="C1071" s="18">
        <v>111.0</v>
      </c>
      <c r="D1071" s="18" t="s">
        <v>31</v>
      </c>
      <c r="E1071" s="26">
        <v>42562.595138888886</v>
      </c>
      <c r="F1071" s="19">
        <f>IFERROR(__xludf.DUMMYFUNCTION("IFERROR(TO_DATE(E1071), """")"),42562.595138888886)</f>
        <v>42562.59514</v>
      </c>
      <c r="G1071" s="20">
        <f t="shared" si="1"/>
        <v>14</v>
      </c>
      <c r="H1071" s="26">
        <v>42562.62152777778</v>
      </c>
      <c r="I1071" s="19">
        <f>IFERROR(__xludf.DUMMYFUNCTION("IFERROR(TO_DATE(H1071), """")"),42562.62152777778)</f>
        <v>42562.62153</v>
      </c>
      <c r="J1071" s="19" t="s">
        <v>10</v>
      </c>
      <c r="K1071" s="22">
        <f t="shared" si="2"/>
        <v>0</v>
      </c>
    </row>
    <row r="1072">
      <c r="A1072" s="18">
        <v>1136.0</v>
      </c>
      <c r="B1072" s="18" t="s">
        <v>30</v>
      </c>
      <c r="C1072" s="18">
        <v>111.0</v>
      </c>
      <c r="D1072" s="18" t="s">
        <v>31</v>
      </c>
      <c r="E1072" s="26">
        <v>42562.85555555556</v>
      </c>
      <c r="F1072" s="19">
        <f>IFERROR(__xludf.DUMMYFUNCTION("IFERROR(TO_DATE(E1072), """")"),42562.85555555556)</f>
        <v>42562.85556</v>
      </c>
      <c r="G1072" s="20">
        <f t="shared" si="1"/>
        <v>20</v>
      </c>
      <c r="H1072" s="26">
        <v>42562.88888888889</v>
      </c>
      <c r="I1072" s="19">
        <f>IFERROR(__xludf.DUMMYFUNCTION("IFERROR(TO_DATE(H1072), """")"),42562.88888888889)</f>
        <v>42562.88889</v>
      </c>
      <c r="J1072" s="19" t="s">
        <v>13</v>
      </c>
      <c r="K1072" s="22">
        <f t="shared" si="2"/>
        <v>0</v>
      </c>
    </row>
    <row r="1073">
      <c r="A1073" s="18">
        <v>2961.0</v>
      </c>
      <c r="B1073" s="18" t="s">
        <v>30</v>
      </c>
      <c r="C1073" s="18">
        <v>111.0</v>
      </c>
      <c r="D1073" s="18" t="s">
        <v>31</v>
      </c>
      <c r="E1073" s="27">
        <v>42564.28399305556</v>
      </c>
      <c r="F1073" s="19">
        <f>IFERROR(__xludf.DUMMYFUNCTION("IFERROR(TO_DATE(E1073), """")"),42564.28399305556)</f>
        <v>42564.28399</v>
      </c>
      <c r="G1073" s="20">
        <f t="shared" si="1"/>
        <v>6</v>
      </c>
      <c r="H1073" s="27">
        <v>42564.32439814815</v>
      </c>
      <c r="I1073" s="19">
        <f>IFERROR(__xludf.DUMMYFUNCTION("IFERROR(TO_DATE(H1073), """")"),42564.32439814815)</f>
        <v>42564.3244</v>
      </c>
      <c r="J1073" s="19" t="s">
        <v>11</v>
      </c>
      <c r="K1073" s="22">
        <f t="shared" si="2"/>
        <v>0</v>
      </c>
    </row>
    <row r="1074">
      <c r="A1074" s="18">
        <v>3428.0</v>
      </c>
      <c r="B1074" s="18" t="s">
        <v>32</v>
      </c>
      <c r="C1074" s="18">
        <v>111.0</v>
      </c>
      <c r="D1074" s="18" t="s">
        <v>31</v>
      </c>
      <c r="E1074" s="27">
        <v>42564.66339120371</v>
      </c>
      <c r="F1074" s="19">
        <f>IFERROR(__xludf.DUMMYFUNCTION("IFERROR(TO_DATE(E1074), """")"),42564.66339120371)</f>
        <v>42564.66339</v>
      </c>
      <c r="G1074" s="20">
        <f t="shared" si="1"/>
        <v>15</v>
      </c>
      <c r="H1074" s="27">
        <v>42564.69813657407</v>
      </c>
      <c r="I1074" s="19">
        <f>IFERROR(__xludf.DUMMYFUNCTION("IFERROR(TO_DATE(H1074), """")"),42564.69813657407)</f>
        <v>42564.69814</v>
      </c>
      <c r="J1074" s="19" t="s">
        <v>10</v>
      </c>
      <c r="K1074" s="22">
        <f t="shared" si="2"/>
        <v>0</v>
      </c>
    </row>
    <row r="1075">
      <c r="A1075" s="18">
        <v>4045.0</v>
      </c>
      <c r="B1075" s="18" t="s">
        <v>30</v>
      </c>
      <c r="C1075" s="18">
        <v>111.0</v>
      </c>
      <c r="D1075" s="18" t="s">
        <v>31</v>
      </c>
      <c r="E1075" s="27">
        <v>42565.039143518516</v>
      </c>
      <c r="F1075" s="19">
        <f>IFERROR(__xludf.DUMMYFUNCTION("IFERROR(TO_DATE(E1075), """")"),42565.039143518516)</f>
        <v>42565.03914</v>
      </c>
      <c r="G1075" s="20">
        <f t="shared" si="1"/>
        <v>0</v>
      </c>
      <c r="H1075" s="27">
        <v>42565.057488425926</v>
      </c>
      <c r="I1075" s="19">
        <f>IFERROR(__xludf.DUMMYFUNCTION("IFERROR(TO_DATE(H1075), """")"),42565.057488425926)</f>
        <v>42565.05749</v>
      </c>
      <c r="J1075" s="19" t="s">
        <v>15</v>
      </c>
      <c r="K1075" s="22">
        <f t="shared" si="2"/>
        <v>0</v>
      </c>
    </row>
    <row r="1076">
      <c r="A1076" s="18">
        <v>5399.0</v>
      </c>
      <c r="B1076" s="18" t="s">
        <v>32</v>
      </c>
      <c r="C1076" s="18">
        <v>111.0</v>
      </c>
      <c r="D1076" s="18" t="s">
        <v>31</v>
      </c>
      <c r="E1076" s="27">
        <v>42566.040497685186</v>
      </c>
      <c r="F1076" s="19">
        <f>IFERROR(__xludf.DUMMYFUNCTION("IFERROR(TO_DATE(E1076), """")"),42566.040497685186)</f>
        <v>42566.0405</v>
      </c>
      <c r="G1076" s="20">
        <f t="shared" si="1"/>
        <v>0</v>
      </c>
      <c r="H1076" s="27">
        <v>42566.09452546296</v>
      </c>
      <c r="I1076" s="19">
        <f>IFERROR(__xludf.DUMMYFUNCTION("IFERROR(TO_DATE(H1076), """")"),42566.09452546296)</f>
        <v>42566.09453</v>
      </c>
      <c r="J1076" s="19" t="s">
        <v>15</v>
      </c>
      <c r="K1076" s="22">
        <f t="shared" si="2"/>
        <v>0</v>
      </c>
    </row>
    <row r="1077">
      <c r="A1077" s="18">
        <v>5730.0</v>
      </c>
      <c r="B1077" s="18" t="s">
        <v>32</v>
      </c>
      <c r="C1077" s="18">
        <v>111.0</v>
      </c>
      <c r="D1077" s="18" t="s">
        <v>31</v>
      </c>
      <c r="E1077" s="27">
        <v>42566.326527777775</v>
      </c>
      <c r="F1077" s="19">
        <f>IFERROR(__xludf.DUMMYFUNCTION("IFERROR(TO_DATE(E1077), """")"),42566.326527777775)</f>
        <v>42566.32653</v>
      </c>
      <c r="G1077" s="20">
        <f t="shared" si="1"/>
        <v>7</v>
      </c>
      <c r="H1077" s="27">
        <v>42566.3646875</v>
      </c>
      <c r="I1077" s="19">
        <f>IFERROR(__xludf.DUMMYFUNCTION("IFERROR(TO_DATE(H1077), """")"),42566.3646875)</f>
        <v>42566.36469</v>
      </c>
      <c r="J1077" s="19" t="s">
        <v>11</v>
      </c>
      <c r="K1077" s="22">
        <f t="shared" si="2"/>
        <v>0</v>
      </c>
    </row>
    <row r="1078">
      <c r="A1078" s="18">
        <v>180.0</v>
      </c>
      <c r="B1078" s="18" t="s">
        <v>30</v>
      </c>
      <c r="C1078" s="18">
        <v>112.0</v>
      </c>
      <c r="D1078" s="18" t="s">
        <v>31</v>
      </c>
      <c r="E1078" s="26">
        <v>42562.24166666667</v>
      </c>
      <c r="F1078" s="19">
        <f>IFERROR(__xludf.DUMMYFUNCTION("IFERROR(TO_DATE(E1078), """")"),42562.24166666667)</f>
        <v>42562.24167</v>
      </c>
      <c r="G1078" s="20">
        <f t="shared" si="1"/>
        <v>5</v>
      </c>
      <c r="H1078" s="26">
        <v>42562.26944444444</v>
      </c>
      <c r="I1078" s="19">
        <f>IFERROR(__xludf.DUMMYFUNCTION("IFERROR(TO_DATE(H1078), """")"),42562.26944444444)</f>
        <v>42562.26944</v>
      </c>
      <c r="J1078" s="19" t="s">
        <v>11</v>
      </c>
      <c r="K1078" s="22">
        <f t="shared" si="2"/>
        <v>0</v>
      </c>
    </row>
    <row r="1079">
      <c r="A1079" s="18">
        <v>1694.0</v>
      </c>
      <c r="B1079" s="18" t="s">
        <v>32</v>
      </c>
      <c r="C1079" s="18">
        <v>112.0</v>
      </c>
      <c r="D1079" s="18" t="s">
        <v>31</v>
      </c>
      <c r="E1079" s="26">
        <v>42563.32916666667</v>
      </c>
      <c r="F1079" s="19">
        <f>IFERROR(__xludf.DUMMYFUNCTION("IFERROR(TO_DATE(E1079), """")"),42563.32916666667)</f>
        <v>42563.32917</v>
      </c>
      <c r="G1079" s="20">
        <f t="shared" si="1"/>
        <v>7</v>
      </c>
      <c r="H1079" s="26">
        <v>42563.36666666667</v>
      </c>
      <c r="I1079" s="19">
        <f>IFERROR(__xludf.DUMMYFUNCTION("IFERROR(TO_DATE(H1079), """")"),42563.36666666667)</f>
        <v>42563.36667</v>
      </c>
      <c r="J1079" s="19" t="s">
        <v>11</v>
      </c>
      <c r="K1079" s="22">
        <f t="shared" si="2"/>
        <v>0</v>
      </c>
    </row>
    <row r="1080">
      <c r="A1080" s="18">
        <v>2294.0</v>
      </c>
      <c r="B1080" s="18" t="s">
        <v>32</v>
      </c>
      <c r="C1080" s="18">
        <v>112.0</v>
      </c>
      <c r="D1080" s="18" t="s">
        <v>31</v>
      </c>
      <c r="E1080" s="26">
        <v>42563.782638888886</v>
      </c>
      <c r="F1080" s="19">
        <f>IFERROR(__xludf.DUMMYFUNCTION("IFERROR(TO_DATE(E1080), """")"),42563.782638888886)</f>
        <v>42563.78264</v>
      </c>
      <c r="G1080" s="20">
        <f t="shared" si="1"/>
        <v>18</v>
      </c>
      <c r="H1080" s="26">
        <v>42563.825694444444</v>
      </c>
      <c r="I1080" s="19">
        <f>IFERROR(__xludf.DUMMYFUNCTION("IFERROR(TO_DATE(H1080), """")"),42563.825694444444)</f>
        <v>42563.82569</v>
      </c>
      <c r="J1080" s="19" t="s">
        <v>12</v>
      </c>
      <c r="K1080" s="22">
        <f t="shared" si="2"/>
        <v>0</v>
      </c>
    </row>
    <row r="1081">
      <c r="A1081" s="18">
        <v>3630.0</v>
      </c>
      <c r="B1081" s="18" t="s">
        <v>32</v>
      </c>
      <c r="C1081" s="18">
        <v>112.0</v>
      </c>
      <c r="D1081" s="18" t="s">
        <v>31</v>
      </c>
      <c r="E1081" s="27">
        <v>42564.79162037037</v>
      </c>
      <c r="F1081" s="19">
        <f>IFERROR(__xludf.DUMMYFUNCTION("IFERROR(TO_DATE(E1081), """")"),42564.79162037037)</f>
        <v>42564.79162</v>
      </c>
      <c r="G1081" s="20">
        <f t="shared" si="1"/>
        <v>18</v>
      </c>
      <c r="H1081" s="27">
        <v>42564.83298611111</v>
      </c>
      <c r="I1081" s="19">
        <f>IFERROR(__xludf.DUMMYFUNCTION("IFERROR(TO_DATE(H1081), """")"),42564.83298611111)</f>
        <v>42564.83299</v>
      </c>
      <c r="J1081" s="19" t="s">
        <v>12</v>
      </c>
      <c r="K1081" s="22">
        <f t="shared" si="2"/>
        <v>0</v>
      </c>
    </row>
    <row r="1082">
      <c r="A1082" s="18">
        <v>3978.0</v>
      </c>
      <c r="B1082" s="18" t="s">
        <v>32</v>
      </c>
      <c r="C1082" s="18">
        <v>112.0</v>
      </c>
      <c r="D1082" s="18" t="s">
        <v>31</v>
      </c>
      <c r="E1082" s="27">
        <v>42564.97099537037</v>
      </c>
      <c r="F1082" s="19">
        <f>IFERROR(__xludf.DUMMYFUNCTION("IFERROR(TO_DATE(E1082), """")"),42564.97099537037)</f>
        <v>42564.971</v>
      </c>
      <c r="G1082" s="20">
        <f t="shared" si="1"/>
        <v>23</v>
      </c>
      <c r="H1082" s="27">
        <v>42564.99048611111</v>
      </c>
      <c r="I1082" s="19">
        <f>IFERROR(__xludf.DUMMYFUNCTION("IFERROR(TO_DATE(H1082), """")"),42564.99048611111)</f>
        <v>42564.99049</v>
      </c>
      <c r="J1082" s="19" t="s">
        <v>13</v>
      </c>
      <c r="K1082" s="22">
        <f t="shared" si="2"/>
        <v>0</v>
      </c>
    </row>
    <row r="1083">
      <c r="A1083" s="18">
        <v>4426.0</v>
      </c>
      <c r="B1083" s="18" t="s">
        <v>32</v>
      </c>
      <c r="C1083" s="18">
        <v>112.0</v>
      </c>
      <c r="D1083" s="18" t="s">
        <v>31</v>
      </c>
      <c r="E1083" s="27">
        <v>42565.3484837963</v>
      </c>
      <c r="F1083" s="19">
        <f>IFERROR(__xludf.DUMMYFUNCTION("IFERROR(TO_DATE(E1083), """")"),42565.3484837963)</f>
        <v>42565.34848</v>
      </c>
      <c r="G1083" s="20">
        <f t="shared" si="1"/>
        <v>8</v>
      </c>
      <c r="H1083" s="27">
        <v>42565.38112268518</v>
      </c>
      <c r="I1083" s="19">
        <f>IFERROR(__xludf.DUMMYFUNCTION("IFERROR(TO_DATE(H1083), """")"),42565.38112268518)</f>
        <v>42565.38112</v>
      </c>
      <c r="J1083" s="19" t="s">
        <v>14</v>
      </c>
      <c r="K1083" s="22">
        <f t="shared" si="2"/>
        <v>0</v>
      </c>
    </row>
    <row r="1084">
      <c r="A1084" s="18">
        <v>5115.0</v>
      </c>
      <c r="B1084" s="18" t="s">
        <v>30</v>
      </c>
      <c r="C1084" s="18">
        <v>112.0</v>
      </c>
      <c r="D1084" s="18" t="s">
        <v>31</v>
      </c>
      <c r="E1084" s="27">
        <v>42565.83594907408</v>
      </c>
      <c r="F1084" s="19">
        <f>IFERROR(__xludf.DUMMYFUNCTION("IFERROR(TO_DATE(E1084), """")"),42565.83594907408)</f>
        <v>42565.83595</v>
      </c>
      <c r="G1084" s="20">
        <f t="shared" si="1"/>
        <v>20</v>
      </c>
      <c r="H1084" s="27">
        <v>42565.880694444444</v>
      </c>
      <c r="I1084" s="19">
        <f>IFERROR(__xludf.DUMMYFUNCTION("IFERROR(TO_DATE(H1084), """")"),42565.880694444444)</f>
        <v>42565.88069</v>
      </c>
      <c r="J1084" s="19" t="s">
        <v>13</v>
      </c>
      <c r="K1084" s="22">
        <f t="shared" si="2"/>
        <v>0</v>
      </c>
    </row>
    <row r="1085">
      <c r="A1085" s="18">
        <v>5558.0</v>
      </c>
      <c r="B1085" s="18" t="s">
        <v>30</v>
      </c>
      <c r="C1085" s="18">
        <v>112.0</v>
      </c>
      <c r="D1085" s="18" t="s">
        <v>31</v>
      </c>
      <c r="E1085" s="27">
        <v>42566.23069444444</v>
      </c>
      <c r="F1085" s="19">
        <f>IFERROR(__xludf.DUMMYFUNCTION("IFERROR(TO_DATE(E1085), """")"),42566.23069444444)</f>
        <v>42566.23069</v>
      </c>
      <c r="G1085" s="20">
        <f t="shared" si="1"/>
        <v>5</v>
      </c>
      <c r="H1085" s="27">
        <v>42566.254108796296</v>
      </c>
      <c r="I1085" s="19">
        <f>IFERROR(__xludf.DUMMYFUNCTION("IFERROR(TO_DATE(H1085), """")"),42566.254108796296)</f>
        <v>42566.25411</v>
      </c>
      <c r="J1085" s="19" t="s">
        <v>11</v>
      </c>
      <c r="K1085" s="22">
        <f t="shared" si="2"/>
        <v>0</v>
      </c>
    </row>
    <row r="1086">
      <c r="A1086" s="18">
        <v>5827.0</v>
      </c>
      <c r="B1086" s="18" t="s">
        <v>30</v>
      </c>
      <c r="C1086" s="18">
        <v>112.0</v>
      </c>
      <c r="D1086" s="18" t="s">
        <v>31</v>
      </c>
      <c r="E1086" s="27">
        <v>42566.37011574074</v>
      </c>
      <c r="F1086" s="19">
        <f>IFERROR(__xludf.DUMMYFUNCTION("IFERROR(TO_DATE(E1086), """")"),42566.37011574074)</f>
        <v>42566.37012</v>
      </c>
      <c r="G1086" s="20">
        <f t="shared" si="1"/>
        <v>8</v>
      </c>
      <c r="H1086" s="27">
        <v>42566.39561342593</v>
      </c>
      <c r="I1086" s="19">
        <f>IFERROR(__xludf.DUMMYFUNCTION("IFERROR(TO_DATE(H1086), """")"),42566.39561342593)</f>
        <v>42566.39561</v>
      </c>
      <c r="J1086" s="19" t="s">
        <v>14</v>
      </c>
      <c r="K1086" s="22">
        <f t="shared" si="2"/>
        <v>0</v>
      </c>
    </row>
    <row r="1087">
      <c r="A1087" s="18">
        <v>6063.0</v>
      </c>
      <c r="B1087" s="18" t="s">
        <v>30</v>
      </c>
      <c r="C1087" s="18">
        <v>112.0</v>
      </c>
      <c r="D1087" s="18" t="s">
        <v>31</v>
      </c>
      <c r="E1087" s="27">
        <v>42566.57561342593</v>
      </c>
      <c r="F1087" s="19">
        <f>IFERROR(__xludf.DUMMYFUNCTION("IFERROR(TO_DATE(E1087), """")"),42566.57561342593)</f>
        <v>42566.57561</v>
      </c>
      <c r="G1087" s="20">
        <f t="shared" si="1"/>
        <v>13</v>
      </c>
      <c r="H1087" s="27">
        <v>42566.596666666665</v>
      </c>
      <c r="I1087" s="19">
        <f>IFERROR(__xludf.DUMMYFUNCTION("IFERROR(TO_DATE(H1087), """")"),42566.596666666665)</f>
        <v>42566.59667</v>
      </c>
      <c r="J1087" s="19" t="s">
        <v>10</v>
      </c>
      <c r="K1087" s="22">
        <f t="shared" si="2"/>
        <v>0</v>
      </c>
    </row>
    <row r="1088">
      <c r="A1088" s="18">
        <v>6691.0</v>
      </c>
      <c r="B1088" s="18" t="s">
        <v>30</v>
      </c>
      <c r="C1088" s="18">
        <v>112.0</v>
      </c>
      <c r="D1088" s="18" t="s">
        <v>31</v>
      </c>
      <c r="E1088" s="27">
        <v>42566.94966435185</v>
      </c>
      <c r="F1088" s="19">
        <f>IFERROR(__xludf.DUMMYFUNCTION("IFERROR(TO_DATE(E1088), """")"),42566.94966435185)</f>
        <v>42566.94966</v>
      </c>
      <c r="G1088" s="20">
        <f t="shared" si="1"/>
        <v>22</v>
      </c>
      <c r="H1088" s="27">
        <v>42567.000752314816</v>
      </c>
      <c r="I1088" s="19">
        <f>IFERROR(__xludf.DUMMYFUNCTION("IFERROR(TO_DATE(H1088), """")"),42567.000752314816)</f>
        <v>42567.00075</v>
      </c>
      <c r="J1088" s="19" t="s">
        <v>13</v>
      </c>
      <c r="K1088" s="22">
        <f t="shared" si="2"/>
        <v>0</v>
      </c>
    </row>
    <row r="1089">
      <c r="A1089" s="18">
        <v>170.0</v>
      </c>
      <c r="B1089" s="18" t="s">
        <v>32</v>
      </c>
      <c r="C1089" s="18">
        <v>113.0</v>
      </c>
      <c r="D1089" s="18" t="s">
        <v>31</v>
      </c>
      <c r="E1089" s="26">
        <v>42562.239583333336</v>
      </c>
      <c r="F1089" s="19">
        <f>IFERROR(__xludf.DUMMYFUNCTION("IFERROR(TO_DATE(E1089), """")"),42562.239583333336)</f>
        <v>42562.23958</v>
      </c>
      <c r="G1089" s="20">
        <f t="shared" si="1"/>
        <v>5</v>
      </c>
      <c r="H1089" s="26">
        <v>42562.277083333334</v>
      </c>
      <c r="I1089" s="19">
        <f>IFERROR(__xludf.DUMMYFUNCTION("IFERROR(TO_DATE(H1089), """")"),42562.277083333334)</f>
        <v>42562.27708</v>
      </c>
      <c r="J1089" s="19" t="s">
        <v>11</v>
      </c>
      <c r="K1089" s="22">
        <f t="shared" si="2"/>
        <v>0</v>
      </c>
    </row>
    <row r="1090">
      <c r="A1090" s="18">
        <v>1326.0</v>
      </c>
      <c r="B1090" s="18" t="s">
        <v>30</v>
      </c>
      <c r="C1090" s="18">
        <v>113.0</v>
      </c>
      <c r="D1090" s="18" t="s">
        <v>31</v>
      </c>
      <c r="E1090" s="26">
        <v>42562.9625</v>
      </c>
      <c r="F1090" s="19">
        <f>IFERROR(__xludf.DUMMYFUNCTION("IFERROR(TO_DATE(E1090), """")"),42562.9625)</f>
        <v>42562.9625</v>
      </c>
      <c r="G1090" s="20">
        <f t="shared" si="1"/>
        <v>23</v>
      </c>
      <c r="H1090" s="26">
        <v>42563.00486111111</v>
      </c>
      <c r="I1090" s="19">
        <f>IFERROR(__xludf.DUMMYFUNCTION("IFERROR(TO_DATE(H1090), """")"),42563.00486111111)</f>
        <v>42563.00486</v>
      </c>
      <c r="J1090" s="19" t="s">
        <v>13</v>
      </c>
      <c r="K1090" s="22">
        <f t="shared" si="2"/>
        <v>0</v>
      </c>
    </row>
    <row r="1091">
      <c r="A1091" s="18">
        <v>1476.0</v>
      </c>
      <c r="B1091" s="18" t="s">
        <v>32</v>
      </c>
      <c r="C1091" s="18">
        <v>113.0</v>
      </c>
      <c r="D1091" s="18" t="s">
        <v>31</v>
      </c>
      <c r="E1091" s="26">
        <v>42563.21944444445</v>
      </c>
      <c r="F1091" s="19">
        <f>IFERROR(__xludf.DUMMYFUNCTION("IFERROR(TO_DATE(E1091), """")"),42563.21944444445)</f>
        <v>42563.21944</v>
      </c>
      <c r="G1091" s="20">
        <f t="shared" si="1"/>
        <v>5</v>
      </c>
      <c r="H1091" s="26">
        <v>42563.25277777778</v>
      </c>
      <c r="I1091" s="19">
        <f>IFERROR(__xludf.DUMMYFUNCTION("IFERROR(TO_DATE(H1091), """")"),42563.25277777778)</f>
        <v>42563.25278</v>
      </c>
      <c r="J1091" s="19" t="s">
        <v>11</v>
      </c>
      <c r="K1091" s="22">
        <f t="shared" si="2"/>
        <v>0</v>
      </c>
    </row>
    <row r="1092">
      <c r="A1092" s="18">
        <v>2937.0</v>
      </c>
      <c r="B1092" s="18" t="s">
        <v>30</v>
      </c>
      <c r="C1092" s="18">
        <v>113.0</v>
      </c>
      <c r="D1092" s="18" t="s">
        <v>31</v>
      </c>
      <c r="E1092" s="27">
        <v>42564.26887731482</v>
      </c>
      <c r="F1092" s="19">
        <f>IFERROR(__xludf.DUMMYFUNCTION("IFERROR(TO_DATE(E1092), """")"),42564.26887731482)</f>
        <v>42564.26888</v>
      </c>
      <c r="G1092" s="20">
        <f t="shared" si="1"/>
        <v>6</v>
      </c>
      <c r="H1092" s="27">
        <v>42564.30236111111</v>
      </c>
      <c r="I1092" s="19">
        <f>IFERROR(__xludf.DUMMYFUNCTION("IFERROR(TO_DATE(H1092), """")"),42564.30236111111)</f>
        <v>42564.30236</v>
      </c>
      <c r="J1092" s="19" t="s">
        <v>11</v>
      </c>
      <c r="K1092" s="22">
        <f t="shared" si="2"/>
        <v>0</v>
      </c>
    </row>
    <row r="1093">
      <c r="A1093" s="18">
        <v>3973.0</v>
      </c>
      <c r="B1093" s="18" t="s">
        <v>32</v>
      </c>
      <c r="C1093" s="18">
        <v>113.0</v>
      </c>
      <c r="D1093" s="18" t="s">
        <v>31</v>
      </c>
      <c r="E1093" s="27">
        <v>42564.95736111111</v>
      </c>
      <c r="F1093" s="19">
        <f>IFERROR(__xludf.DUMMYFUNCTION("IFERROR(TO_DATE(E1093), """")"),42564.95736111111)</f>
        <v>42564.95736</v>
      </c>
      <c r="G1093" s="20">
        <f t="shared" si="1"/>
        <v>22</v>
      </c>
      <c r="H1093" s="27">
        <v>42564.99434027778</v>
      </c>
      <c r="I1093" s="19">
        <f>IFERROR(__xludf.DUMMYFUNCTION("IFERROR(TO_DATE(H1093), """")"),42564.99434027778)</f>
        <v>42564.99434</v>
      </c>
      <c r="J1093" s="19" t="s">
        <v>13</v>
      </c>
      <c r="K1093" s="22">
        <f t="shared" si="2"/>
        <v>0</v>
      </c>
    </row>
    <row r="1094">
      <c r="A1094" s="18">
        <v>4644.0</v>
      </c>
      <c r="B1094" s="18" t="s">
        <v>32</v>
      </c>
      <c r="C1094" s="18">
        <v>113.0</v>
      </c>
      <c r="D1094" s="18" t="s">
        <v>31</v>
      </c>
      <c r="E1094" s="27">
        <v>42565.49134259259</v>
      </c>
      <c r="F1094" s="19">
        <f>IFERROR(__xludf.DUMMYFUNCTION("IFERROR(TO_DATE(E1094), """")"),42565.49134259259)</f>
        <v>42565.49134</v>
      </c>
      <c r="G1094" s="20">
        <f t="shared" si="1"/>
        <v>11</v>
      </c>
      <c r="H1094" s="27">
        <v>42565.51427083334</v>
      </c>
      <c r="I1094" s="19">
        <f>IFERROR(__xludf.DUMMYFUNCTION("IFERROR(TO_DATE(H1094), """")"),42565.51427083334)</f>
        <v>42565.51427</v>
      </c>
      <c r="J1094" s="19" t="s">
        <v>14</v>
      </c>
      <c r="K1094" s="22">
        <f t="shared" si="2"/>
        <v>0</v>
      </c>
    </row>
    <row r="1095">
      <c r="A1095" s="18">
        <v>5086.0</v>
      </c>
      <c r="B1095" s="18" t="s">
        <v>30</v>
      </c>
      <c r="C1095" s="18">
        <v>113.0</v>
      </c>
      <c r="D1095" s="18" t="s">
        <v>31</v>
      </c>
      <c r="E1095" s="27">
        <v>42565.82065972222</v>
      </c>
      <c r="F1095" s="19">
        <f>IFERROR(__xludf.DUMMYFUNCTION("IFERROR(TO_DATE(E1095), """")"),42565.82065972222)</f>
        <v>42565.82066</v>
      </c>
      <c r="G1095" s="20">
        <f t="shared" si="1"/>
        <v>19</v>
      </c>
      <c r="H1095" s="27">
        <v>42565.87699074074</v>
      </c>
      <c r="I1095" s="19">
        <f>IFERROR(__xludf.DUMMYFUNCTION("IFERROR(TO_DATE(H1095), """")"),42565.87699074074)</f>
        <v>42565.87699</v>
      </c>
      <c r="J1095" s="19" t="s">
        <v>12</v>
      </c>
      <c r="K1095" s="22">
        <f t="shared" si="2"/>
        <v>0</v>
      </c>
    </row>
    <row r="1096">
      <c r="A1096" s="18">
        <v>6572.0</v>
      </c>
      <c r="B1096" s="18" t="s">
        <v>30</v>
      </c>
      <c r="C1096" s="18">
        <v>113.0</v>
      </c>
      <c r="D1096" s="18" t="s">
        <v>31</v>
      </c>
      <c r="E1096" s="27">
        <v>42566.88265046296</v>
      </c>
      <c r="F1096" s="19">
        <f>IFERROR(__xludf.DUMMYFUNCTION("IFERROR(TO_DATE(E1096), """")"),42566.88265046296)</f>
        <v>42566.88265</v>
      </c>
      <c r="G1096" s="20">
        <f t="shared" si="1"/>
        <v>21</v>
      </c>
      <c r="H1096" s="27">
        <v>42566.918287037035</v>
      </c>
      <c r="I1096" s="19">
        <f>IFERROR(__xludf.DUMMYFUNCTION("IFERROR(TO_DATE(H1096), """")"),42566.918287037035)</f>
        <v>42566.91829</v>
      </c>
      <c r="J1096" s="19" t="s">
        <v>13</v>
      </c>
      <c r="K1096" s="22">
        <f t="shared" si="2"/>
        <v>0</v>
      </c>
    </row>
    <row r="1097">
      <c r="A1097" s="18">
        <v>6755.0</v>
      </c>
      <c r="B1097" s="18" t="s">
        <v>30</v>
      </c>
      <c r="C1097" s="18">
        <v>113.0</v>
      </c>
      <c r="D1097" s="18" t="s">
        <v>31</v>
      </c>
      <c r="E1097" s="27">
        <v>42566.99828703704</v>
      </c>
      <c r="F1097" s="19">
        <f>IFERROR(__xludf.DUMMYFUNCTION("IFERROR(TO_DATE(E1097), """")"),42566.99828703704)</f>
        <v>42566.99829</v>
      </c>
      <c r="G1097" s="20">
        <f t="shared" si="1"/>
        <v>23</v>
      </c>
      <c r="H1097" s="27">
        <v>42567.04819444445</v>
      </c>
      <c r="I1097" s="19">
        <f>IFERROR(__xludf.DUMMYFUNCTION("IFERROR(TO_DATE(H1097), """")"),42567.04819444445)</f>
        <v>42567.04819</v>
      </c>
      <c r="J1097" s="19" t="s">
        <v>13</v>
      </c>
      <c r="K1097" s="22">
        <f t="shared" si="2"/>
        <v>0</v>
      </c>
    </row>
    <row r="1098">
      <c r="A1098" s="18">
        <v>1483.0</v>
      </c>
      <c r="B1098" s="18" t="s">
        <v>32</v>
      </c>
      <c r="C1098" s="18">
        <v>114.0</v>
      </c>
      <c r="D1098" s="18" t="s">
        <v>31</v>
      </c>
      <c r="E1098" s="26">
        <v>42563.22361111111</v>
      </c>
      <c r="F1098" s="19">
        <f>IFERROR(__xludf.DUMMYFUNCTION("IFERROR(TO_DATE(E1098), """")"),42563.22361111111)</f>
        <v>42563.22361</v>
      </c>
      <c r="G1098" s="20">
        <f t="shared" si="1"/>
        <v>5</v>
      </c>
      <c r="H1098" s="26">
        <v>42563.26527777778</v>
      </c>
      <c r="I1098" s="19">
        <f>IFERROR(__xludf.DUMMYFUNCTION("IFERROR(TO_DATE(H1098), """")"),42563.26527777778)</f>
        <v>42563.26528</v>
      </c>
      <c r="J1098" s="19" t="s">
        <v>11</v>
      </c>
      <c r="K1098" s="22">
        <f t="shared" si="2"/>
        <v>0</v>
      </c>
    </row>
    <row r="1099">
      <c r="A1099" s="18">
        <v>1844.0</v>
      </c>
      <c r="B1099" s="18" t="s">
        <v>32</v>
      </c>
      <c r="C1099" s="18">
        <v>114.0</v>
      </c>
      <c r="D1099" s="18" t="s">
        <v>31</v>
      </c>
      <c r="E1099" s="26">
        <v>42563.40277777778</v>
      </c>
      <c r="F1099" s="19">
        <f>IFERROR(__xludf.DUMMYFUNCTION("IFERROR(TO_DATE(E1099), """")"),42563.40277777778)</f>
        <v>42563.40278</v>
      </c>
      <c r="G1099" s="20">
        <f t="shared" si="1"/>
        <v>9</v>
      </c>
      <c r="H1099" s="26">
        <v>42563.424305555556</v>
      </c>
      <c r="I1099" s="19">
        <f>IFERROR(__xludf.DUMMYFUNCTION("IFERROR(TO_DATE(H1099), """")"),42563.424305555556)</f>
        <v>42563.42431</v>
      </c>
      <c r="J1099" s="19" t="s">
        <v>14</v>
      </c>
      <c r="K1099" s="22">
        <f t="shared" si="2"/>
        <v>0</v>
      </c>
    </row>
    <row r="1100">
      <c r="A1100" s="18">
        <v>2120.0</v>
      </c>
      <c r="B1100" s="18" t="s">
        <v>30</v>
      </c>
      <c r="C1100" s="18">
        <v>114.0</v>
      </c>
      <c r="D1100" s="18" t="s">
        <v>31</v>
      </c>
      <c r="E1100" s="26">
        <v>42563.697222222225</v>
      </c>
      <c r="F1100" s="19">
        <f>IFERROR(__xludf.DUMMYFUNCTION("IFERROR(TO_DATE(E1100), """")"),42563.697222222225)</f>
        <v>42563.69722</v>
      </c>
      <c r="G1100" s="20">
        <f t="shared" si="1"/>
        <v>16</v>
      </c>
      <c r="H1100" s="26">
        <v>42563.73125</v>
      </c>
      <c r="I1100" s="19">
        <f>IFERROR(__xludf.DUMMYFUNCTION("IFERROR(TO_DATE(H1100), """")"),42563.73125)</f>
        <v>42563.73125</v>
      </c>
      <c r="J1100" s="19" t="s">
        <v>12</v>
      </c>
      <c r="K1100" s="22">
        <f t="shared" si="2"/>
        <v>0</v>
      </c>
    </row>
    <row r="1101">
      <c r="A1101" s="18">
        <v>2411.0</v>
      </c>
      <c r="B1101" s="18" t="s">
        <v>32</v>
      </c>
      <c r="C1101" s="18">
        <v>114.0</v>
      </c>
      <c r="D1101" s="18" t="s">
        <v>31</v>
      </c>
      <c r="E1101" s="26">
        <v>42563.83611111111</v>
      </c>
      <c r="F1101" s="19">
        <f>IFERROR(__xludf.DUMMYFUNCTION("IFERROR(TO_DATE(E1101), """")"),42563.83611111111)</f>
        <v>42563.83611</v>
      </c>
      <c r="G1101" s="20">
        <f t="shared" si="1"/>
        <v>20</v>
      </c>
      <c r="H1101" s="26">
        <v>42563.86111111111</v>
      </c>
      <c r="I1101" s="19">
        <f>IFERROR(__xludf.DUMMYFUNCTION("IFERROR(TO_DATE(H1101), """")"),42563.86111111111)</f>
        <v>42563.86111</v>
      </c>
      <c r="J1101" s="19" t="s">
        <v>13</v>
      </c>
      <c r="K1101" s="22">
        <f t="shared" si="2"/>
        <v>0</v>
      </c>
    </row>
    <row r="1102">
      <c r="A1102" s="18">
        <v>2903.0</v>
      </c>
      <c r="B1102" s="18" t="s">
        <v>30</v>
      </c>
      <c r="C1102" s="18">
        <v>114.0</v>
      </c>
      <c r="D1102" s="18" t="s">
        <v>31</v>
      </c>
      <c r="E1102" s="27">
        <v>42564.25021990741</v>
      </c>
      <c r="F1102" s="19">
        <f>IFERROR(__xludf.DUMMYFUNCTION("IFERROR(TO_DATE(E1102), """")"),42564.25021990741)</f>
        <v>42564.25022</v>
      </c>
      <c r="G1102" s="20">
        <f t="shared" si="1"/>
        <v>6</v>
      </c>
      <c r="H1102" s="27">
        <v>42564.27820601852</v>
      </c>
      <c r="I1102" s="19">
        <f>IFERROR(__xludf.DUMMYFUNCTION("IFERROR(TO_DATE(H1102), """")"),42564.27820601852)</f>
        <v>42564.27821</v>
      </c>
      <c r="J1102" s="19" t="s">
        <v>11</v>
      </c>
      <c r="K1102" s="22">
        <f t="shared" si="2"/>
        <v>0</v>
      </c>
    </row>
    <row r="1103">
      <c r="A1103" s="18">
        <v>3289.0</v>
      </c>
      <c r="B1103" s="18" t="s">
        <v>32</v>
      </c>
      <c r="C1103" s="18">
        <v>114.0</v>
      </c>
      <c r="D1103" s="18" t="s">
        <v>31</v>
      </c>
      <c r="E1103" s="27">
        <v>42564.463009259256</v>
      </c>
      <c r="F1103" s="19">
        <f>IFERROR(__xludf.DUMMYFUNCTION("IFERROR(TO_DATE(E1103), """")"),42564.463009259256)</f>
        <v>42564.46301</v>
      </c>
      <c r="G1103" s="20">
        <f t="shared" si="1"/>
        <v>11</v>
      </c>
      <c r="H1103" s="27">
        <v>42564.49385416666</v>
      </c>
      <c r="I1103" s="19">
        <f>IFERROR(__xludf.DUMMYFUNCTION("IFERROR(TO_DATE(H1103), """")"),42564.49385416666)</f>
        <v>42564.49385</v>
      </c>
      <c r="J1103" s="19" t="s">
        <v>14</v>
      </c>
      <c r="K1103" s="22">
        <f t="shared" si="2"/>
        <v>0</v>
      </c>
    </row>
    <row r="1104">
      <c r="A1104" s="18">
        <v>3859.0</v>
      </c>
      <c r="B1104" s="18" t="s">
        <v>30</v>
      </c>
      <c r="C1104" s="18">
        <v>114.0</v>
      </c>
      <c r="D1104" s="18" t="s">
        <v>31</v>
      </c>
      <c r="E1104" s="27">
        <v>42564.90159722222</v>
      </c>
      <c r="F1104" s="19">
        <f>IFERROR(__xludf.DUMMYFUNCTION("IFERROR(TO_DATE(E1104), """")"),42564.90159722222)</f>
        <v>42564.9016</v>
      </c>
      <c r="G1104" s="20">
        <f t="shared" si="1"/>
        <v>21</v>
      </c>
      <c r="H1104" s="27">
        <v>42564.93651620371</v>
      </c>
      <c r="I1104" s="19">
        <f>IFERROR(__xludf.DUMMYFUNCTION("IFERROR(TO_DATE(H1104), """")"),42564.93651620371)</f>
        <v>42564.93652</v>
      </c>
      <c r="J1104" s="19" t="s">
        <v>13</v>
      </c>
      <c r="K1104" s="22">
        <f t="shared" si="2"/>
        <v>0</v>
      </c>
    </row>
    <row r="1105">
      <c r="A1105" s="18">
        <v>4313.0</v>
      </c>
      <c r="B1105" s="18" t="s">
        <v>32</v>
      </c>
      <c r="C1105" s="18">
        <v>114.0</v>
      </c>
      <c r="D1105" s="18" t="s">
        <v>31</v>
      </c>
      <c r="E1105" s="27">
        <v>42565.284525462965</v>
      </c>
      <c r="F1105" s="19">
        <f>IFERROR(__xludf.DUMMYFUNCTION("IFERROR(TO_DATE(E1105), """")"),42565.284525462965)</f>
        <v>42565.28453</v>
      </c>
      <c r="G1105" s="20">
        <f t="shared" si="1"/>
        <v>6</v>
      </c>
      <c r="H1105" s="27">
        <v>42565.32239583333</v>
      </c>
      <c r="I1105" s="19">
        <f>IFERROR(__xludf.DUMMYFUNCTION("IFERROR(TO_DATE(H1105), """")"),42565.32239583333)</f>
        <v>42565.3224</v>
      </c>
      <c r="J1105" s="19" t="s">
        <v>11</v>
      </c>
      <c r="K1105" s="22">
        <f t="shared" si="2"/>
        <v>0</v>
      </c>
    </row>
    <row r="1106">
      <c r="A1106" s="18">
        <v>5325.0</v>
      </c>
      <c r="B1106" s="18" t="s">
        <v>32</v>
      </c>
      <c r="C1106" s="18">
        <v>114.0</v>
      </c>
      <c r="D1106" s="18" t="s">
        <v>31</v>
      </c>
      <c r="E1106" s="27">
        <v>42565.924780092595</v>
      </c>
      <c r="F1106" s="19">
        <f>IFERROR(__xludf.DUMMYFUNCTION("IFERROR(TO_DATE(E1106), """")"),42565.924780092595)</f>
        <v>42565.92478</v>
      </c>
      <c r="G1106" s="20">
        <f t="shared" si="1"/>
        <v>22</v>
      </c>
      <c r="H1106" s="27">
        <v>42565.96708333334</v>
      </c>
      <c r="I1106" s="19">
        <f>IFERROR(__xludf.DUMMYFUNCTION("IFERROR(TO_DATE(H1106), """")"),42565.96708333334)</f>
        <v>42565.96708</v>
      </c>
      <c r="J1106" s="19" t="s">
        <v>13</v>
      </c>
      <c r="K1106" s="22">
        <f t="shared" si="2"/>
        <v>0</v>
      </c>
    </row>
    <row r="1107">
      <c r="A1107" s="18">
        <v>5906.0</v>
      </c>
      <c r="B1107" s="18" t="s">
        <v>32</v>
      </c>
      <c r="C1107" s="18">
        <v>114.0</v>
      </c>
      <c r="D1107" s="18" t="s">
        <v>31</v>
      </c>
      <c r="E1107" s="27">
        <v>42566.41438657408</v>
      </c>
      <c r="F1107" s="19">
        <f>IFERROR(__xludf.DUMMYFUNCTION("IFERROR(TO_DATE(E1107), """")"),42566.41438657408)</f>
        <v>42566.41439</v>
      </c>
      <c r="G1107" s="20">
        <f t="shared" si="1"/>
        <v>9</v>
      </c>
      <c r="H1107" s="27">
        <v>42566.43680555555</v>
      </c>
      <c r="I1107" s="19">
        <f>IFERROR(__xludf.DUMMYFUNCTION("IFERROR(TO_DATE(H1107), """")"),42566.43680555555)</f>
        <v>42566.43681</v>
      </c>
      <c r="J1107" s="19" t="s">
        <v>14</v>
      </c>
      <c r="K1107" s="22">
        <f t="shared" si="2"/>
        <v>0</v>
      </c>
    </row>
    <row r="1108">
      <c r="A1108" s="18">
        <v>6049.0</v>
      </c>
      <c r="B1108" s="18" t="s">
        <v>32</v>
      </c>
      <c r="C1108" s="18">
        <v>114.0</v>
      </c>
      <c r="D1108" s="18" t="s">
        <v>31</v>
      </c>
      <c r="E1108" s="27">
        <v>42566.56079861111</v>
      </c>
      <c r="F1108" s="19">
        <f>IFERROR(__xludf.DUMMYFUNCTION("IFERROR(TO_DATE(E1108), """")"),42566.56079861111)</f>
        <v>42566.5608</v>
      </c>
      <c r="G1108" s="20">
        <f t="shared" si="1"/>
        <v>13</v>
      </c>
      <c r="H1108" s="27">
        <v>42566.605891203704</v>
      </c>
      <c r="I1108" s="19">
        <f>IFERROR(__xludf.DUMMYFUNCTION("IFERROR(TO_DATE(H1108), """")"),42566.605891203704)</f>
        <v>42566.60589</v>
      </c>
      <c r="J1108" s="19" t="s">
        <v>10</v>
      </c>
      <c r="K1108" s="22">
        <f t="shared" si="2"/>
        <v>0</v>
      </c>
    </row>
    <row r="1109">
      <c r="A1109" s="18">
        <v>664.0</v>
      </c>
      <c r="B1109" s="18" t="s">
        <v>30</v>
      </c>
      <c r="C1109" s="18">
        <v>115.0</v>
      </c>
      <c r="D1109" s="18" t="s">
        <v>31</v>
      </c>
      <c r="E1109" s="26">
        <v>42562.54027777778</v>
      </c>
      <c r="F1109" s="19">
        <f>IFERROR(__xludf.DUMMYFUNCTION("IFERROR(TO_DATE(E1109), """")"),42562.54027777778)</f>
        <v>42562.54028</v>
      </c>
      <c r="G1109" s="20">
        <f t="shared" si="1"/>
        <v>12</v>
      </c>
      <c r="H1109" s="26">
        <v>42562.58819444444</v>
      </c>
      <c r="I1109" s="19">
        <f>IFERROR(__xludf.DUMMYFUNCTION("IFERROR(TO_DATE(H1109), """")"),42562.58819444444)</f>
        <v>42562.58819</v>
      </c>
      <c r="J1109" s="19" t="s">
        <v>10</v>
      </c>
      <c r="K1109" s="22">
        <f t="shared" si="2"/>
        <v>0</v>
      </c>
    </row>
    <row r="1110">
      <c r="A1110" s="18">
        <v>750.0</v>
      </c>
      <c r="B1110" s="18" t="s">
        <v>32</v>
      </c>
      <c r="C1110" s="18">
        <v>115.0</v>
      </c>
      <c r="D1110" s="18" t="s">
        <v>31</v>
      </c>
      <c r="E1110" s="26">
        <v>42562.66111111111</v>
      </c>
      <c r="F1110" s="19">
        <f>IFERROR(__xludf.DUMMYFUNCTION("IFERROR(TO_DATE(E1110), """")"),42562.66111111111)</f>
        <v>42562.66111</v>
      </c>
      <c r="G1110" s="20">
        <f t="shared" si="1"/>
        <v>15</v>
      </c>
      <c r="H1110" s="26">
        <v>42562.68541666667</v>
      </c>
      <c r="I1110" s="19">
        <f>IFERROR(__xludf.DUMMYFUNCTION("IFERROR(TO_DATE(H1110), """")"),42562.68541666667)</f>
        <v>42562.68542</v>
      </c>
      <c r="J1110" s="19" t="s">
        <v>10</v>
      </c>
      <c r="K1110" s="22">
        <f t="shared" si="2"/>
        <v>0</v>
      </c>
    </row>
    <row r="1111">
      <c r="A1111" s="18">
        <v>1950.0</v>
      </c>
      <c r="B1111" s="18" t="s">
        <v>32</v>
      </c>
      <c r="C1111" s="18">
        <v>115.0</v>
      </c>
      <c r="D1111" s="18" t="s">
        <v>31</v>
      </c>
      <c r="E1111" s="26">
        <v>42563.48125</v>
      </c>
      <c r="F1111" s="19">
        <f>IFERROR(__xludf.DUMMYFUNCTION("IFERROR(TO_DATE(E1111), """")"),42563.48125)</f>
        <v>42563.48125</v>
      </c>
      <c r="G1111" s="20">
        <f t="shared" si="1"/>
        <v>11</v>
      </c>
      <c r="H1111" s="26">
        <v>42563.50277777778</v>
      </c>
      <c r="I1111" s="19">
        <f>IFERROR(__xludf.DUMMYFUNCTION("IFERROR(TO_DATE(H1111), """")"),42563.50277777778)</f>
        <v>42563.50278</v>
      </c>
      <c r="J1111" s="19" t="s">
        <v>14</v>
      </c>
      <c r="K1111" s="22">
        <f t="shared" si="2"/>
        <v>0</v>
      </c>
    </row>
    <row r="1112">
      <c r="A1112" s="18">
        <v>2989.0</v>
      </c>
      <c r="B1112" s="18" t="s">
        <v>30</v>
      </c>
      <c r="C1112" s="18">
        <v>115.0</v>
      </c>
      <c r="D1112" s="18" t="s">
        <v>31</v>
      </c>
      <c r="E1112" s="27">
        <v>42564.29740740741</v>
      </c>
      <c r="F1112" s="19">
        <f>IFERROR(__xludf.DUMMYFUNCTION("IFERROR(TO_DATE(E1112), """")"),42564.29740740741)</f>
        <v>42564.29741</v>
      </c>
      <c r="G1112" s="20">
        <f t="shared" si="1"/>
        <v>7</v>
      </c>
      <c r="H1112" s="27">
        <v>42564.32096064815</v>
      </c>
      <c r="I1112" s="19">
        <f>IFERROR(__xludf.DUMMYFUNCTION("IFERROR(TO_DATE(H1112), """")"),42564.32096064815)</f>
        <v>42564.32096</v>
      </c>
      <c r="J1112" s="19" t="s">
        <v>11</v>
      </c>
      <c r="K1112" s="22">
        <f t="shared" si="2"/>
        <v>0</v>
      </c>
    </row>
    <row r="1113">
      <c r="A1113" s="18">
        <v>3266.0</v>
      </c>
      <c r="B1113" s="18" t="s">
        <v>30</v>
      </c>
      <c r="C1113" s="18">
        <v>115.0</v>
      </c>
      <c r="D1113" s="18" t="s">
        <v>31</v>
      </c>
      <c r="E1113" s="27">
        <v>42564.435960648145</v>
      </c>
      <c r="F1113" s="19">
        <f>IFERROR(__xludf.DUMMYFUNCTION("IFERROR(TO_DATE(E1113), """")"),42564.435960648145)</f>
        <v>42564.43596</v>
      </c>
      <c r="G1113" s="20">
        <f t="shared" si="1"/>
        <v>10</v>
      </c>
      <c r="H1113" s="27">
        <v>42564.471875</v>
      </c>
      <c r="I1113" s="19">
        <f>IFERROR(__xludf.DUMMYFUNCTION("IFERROR(TO_DATE(H1113), """")"),42564.471875)</f>
        <v>42564.47188</v>
      </c>
      <c r="J1113" s="19" t="s">
        <v>14</v>
      </c>
      <c r="K1113" s="22">
        <f t="shared" si="2"/>
        <v>0</v>
      </c>
    </row>
    <row r="1114">
      <c r="A1114" s="18">
        <v>4358.0</v>
      </c>
      <c r="B1114" s="18" t="s">
        <v>30</v>
      </c>
      <c r="C1114" s="18">
        <v>115.0</v>
      </c>
      <c r="D1114" s="18" t="s">
        <v>31</v>
      </c>
      <c r="E1114" s="27">
        <v>42565.309166666666</v>
      </c>
      <c r="F1114" s="19">
        <f>IFERROR(__xludf.DUMMYFUNCTION("IFERROR(TO_DATE(E1114), """")"),42565.309166666666)</f>
        <v>42565.30917</v>
      </c>
      <c r="G1114" s="20">
        <f t="shared" si="1"/>
        <v>7</v>
      </c>
      <c r="H1114" s="27">
        <v>42565.33935185185</v>
      </c>
      <c r="I1114" s="19">
        <f>IFERROR(__xludf.DUMMYFUNCTION("IFERROR(TO_DATE(H1114), """")"),42565.33935185185)</f>
        <v>42565.33935</v>
      </c>
      <c r="J1114" s="19" t="s">
        <v>11</v>
      </c>
      <c r="K1114" s="22">
        <f t="shared" si="2"/>
        <v>0</v>
      </c>
    </row>
    <row r="1115">
      <c r="A1115" s="18">
        <v>4720.0</v>
      </c>
      <c r="B1115" s="18" t="s">
        <v>30</v>
      </c>
      <c r="C1115" s="18">
        <v>115.0</v>
      </c>
      <c r="D1115" s="18" t="s">
        <v>31</v>
      </c>
      <c r="E1115" s="27">
        <v>42565.57555555556</v>
      </c>
      <c r="F1115" s="19">
        <f>IFERROR(__xludf.DUMMYFUNCTION("IFERROR(TO_DATE(E1115), """")"),42565.57555555556)</f>
        <v>42565.57556</v>
      </c>
      <c r="G1115" s="20">
        <f t="shared" si="1"/>
        <v>13</v>
      </c>
      <c r="H1115" s="27">
        <v>42565.611909722225</v>
      </c>
      <c r="I1115" s="19">
        <f>IFERROR(__xludf.DUMMYFUNCTION("IFERROR(TO_DATE(H1115), """")"),42565.611909722225)</f>
        <v>42565.61191</v>
      </c>
      <c r="J1115" s="19" t="s">
        <v>10</v>
      </c>
      <c r="K1115" s="22">
        <f t="shared" si="2"/>
        <v>0</v>
      </c>
    </row>
    <row r="1116">
      <c r="A1116" s="18">
        <v>5019.0</v>
      </c>
      <c r="B1116" s="18" t="s">
        <v>32</v>
      </c>
      <c r="C1116" s="18">
        <v>115.0</v>
      </c>
      <c r="D1116" s="18" t="s">
        <v>31</v>
      </c>
      <c r="E1116" s="27">
        <v>42565.79690972222</v>
      </c>
      <c r="F1116" s="19">
        <f>IFERROR(__xludf.DUMMYFUNCTION("IFERROR(TO_DATE(E1116), """")"),42565.79690972222)</f>
        <v>42565.79691</v>
      </c>
      <c r="G1116" s="20">
        <f t="shared" si="1"/>
        <v>19</v>
      </c>
      <c r="H1116" s="27">
        <v>42565.83326388889</v>
      </c>
      <c r="I1116" s="19">
        <f>IFERROR(__xludf.DUMMYFUNCTION("IFERROR(TO_DATE(H1116), """")"),42565.83326388889)</f>
        <v>42565.83326</v>
      </c>
      <c r="J1116" s="19" t="s">
        <v>12</v>
      </c>
      <c r="K1116" s="22">
        <f t="shared" si="2"/>
        <v>0</v>
      </c>
    </row>
    <row r="1117">
      <c r="A1117" s="18">
        <v>5925.0</v>
      </c>
      <c r="B1117" s="18" t="s">
        <v>32</v>
      </c>
      <c r="C1117" s="18">
        <v>115.0</v>
      </c>
      <c r="D1117" s="18" t="s">
        <v>31</v>
      </c>
      <c r="E1117" s="27">
        <v>42566.422268518516</v>
      </c>
      <c r="F1117" s="19">
        <f>IFERROR(__xludf.DUMMYFUNCTION("IFERROR(TO_DATE(E1117), """")"),42566.422268518516)</f>
        <v>42566.42227</v>
      </c>
      <c r="G1117" s="20">
        <f t="shared" si="1"/>
        <v>10</v>
      </c>
      <c r="H1117" s="27">
        <v>42566.43934027778</v>
      </c>
      <c r="I1117" s="19">
        <f>IFERROR(__xludf.DUMMYFUNCTION("IFERROR(TO_DATE(H1117), """")"),42566.43934027778)</f>
        <v>42566.43934</v>
      </c>
      <c r="J1117" s="19" t="s">
        <v>14</v>
      </c>
      <c r="K1117" s="22">
        <f t="shared" si="2"/>
        <v>0</v>
      </c>
    </row>
    <row r="1118">
      <c r="A1118" s="18">
        <v>112.0</v>
      </c>
      <c r="B1118" s="18" t="s">
        <v>30</v>
      </c>
      <c r="C1118" s="18">
        <v>116.0</v>
      </c>
      <c r="D1118" s="18" t="s">
        <v>31</v>
      </c>
      <c r="E1118" s="26">
        <v>42562.209027777775</v>
      </c>
      <c r="F1118" s="19">
        <f>IFERROR(__xludf.DUMMYFUNCTION("IFERROR(TO_DATE(E1118), """")"),42562.209027777775)</f>
        <v>42562.20903</v>
      </c>
      <c r="G1118" s="20">
        <f t="shared" si="1"/>
        <v>5</v>
      </c>
      <c r="H1118" s="26">
        <v>42562.25277777778</v>
      </c>
      <c r="I1118" s="19">
        <f>IFERROR(__xludf.DUMMYFUNCTION("IFERROR(TO_DATE(H1118), """")"),42562.25277777778)</f>
        <v>42562.25278</v>
      </c>
      <c r="J1118" s="19" t="s">
        <v>11</v>
      </c>
      <c r="K1118" s="22">
        <f t="shared" si="2"/>
        <v>0</v>
      </c>
    </row>
    <row r="1119">
      <c r="A1119" s="18">
        <v>213.0</v>
      </c>
      <c r="B1119" s="18" t="s">
        <v>32</v>
      </c>
      <c r="C1119" s="18">
        <v>116.0</v>
      </c>
      <c r="D1119" s="18" t="s">
        <v>31</v>
      </c>
      <c r="E1119" s="26">
        <v>42562.260416666664</v>
      </c>
      <c r="F1119" s="19">
        <f>IFERROR(__xludf.DUMMYFUNCTION("IFERROR(TO_DATE(E1119), """")"),42562.260416666664)</f>
        <v>42562.26042</v>
      </c>
      <c r="G1119" s="20">
        <f t="shared" si="1"/>
        <v>6</v>
      </c>
      <c r="H1119" s="26">
        <v>42562.28958333333</v>
      </c>
      <c r="I1119" s="19">
        <f>IFERROR(__xludf.DUMMYFUNCTION("IFERROR(TO_DATE(H1119), """")"),42562.28958333333)</f>
        <v>42562.28958</v>
      </c>
      <c r="J1119" s="19" t="s">
        <v>11</v>
      </c>
      <c r="K1119" s="22">
        <f t="shared" si="2"/>
        <v>0</v>
      </c>
    </row>
    <row r="1120">
      <c r="A1120" s="18">
        <v>1818.0</v>
      </c>
      <c r="B1120" s="18" t="s">
        <v>30</v>
      </c>
      <c r="C1120" s="18">
        <v>116.0</v>
      </c>
      <c r="D1120" s="18" t="s">
        <v>31</v>
      </c>
      <c r="E1120" s="26">
        <v>42563.39513888889</v>
      </c>
      <c r="F1120" s="19">
        <f>IFERROR(__xludf.DUMMYFUNCTION("IFERROR(TO_DATE(E1120), """")"),42563.39513888889)</f>
        <v>42563.39514</v>
      </c>
      <c r="G1120" s="20">
        <f t="shared" si="1"/>
        <v>9</v>
      </c>
      <c r="H1120" s="26">
        <v>42563.44305555556</v>
      </c>
      <c r="I1120" s="19">
        <f>IFERROR(__xludf.DUMMYFUNCTION("IFERROR(TO_DATE(H1120), """")"),42563.44305555556)</f>
        <v>42563.44306</v>
      </c>
      <c r="J1120" s="19" t="s">
        <v>14</v>
      </c>
      <c r="K1120" s="22">
        <f t="shared" si="2"/>
        <v>0</v>
      </c>
    </row>
    <row r="1121">
      <c r="A1121" s="18">
        <v>2018.0</v>
      </c>
      <c r="B1121" s="18" t="s">
        <v>30</v>
      </c>
      <c r="C1121" s="18">
        <v>116.0</v>
      </c>
      <c r="D1121" s="18" t="s">
        <v>31</v>
      </c>
      <c r="E1121" s="26">
        <v>42563.56875</v>
      </c>
      <c r="F1121" s="19">
        <f>IFERROR(__xludf.DUMMYFUNCTION("IFERROR(TO_DATE(E1121), """")"),42563.56875)</f>
        <v>42563.56875</v>
      </c>
      <c r="G1121" s="20">
        <f t="shared" si="1"/>
        <v>13</v>
      </c>
      <c r="H1121" s="26">
        <v>42563.59652777778</v>
      </c>
      <c r="I1121" s="19">
        <f>IFERROR(__xludf.DUMMYFUNCTION("IFERROR(TO_DATE(H1121), """")"),42563.59652777778)</f>
        <v>42563.59653</v>
      </c>
      <c r="J1121" s="19" t="s">
        <v>10</v>
      </c>
      <c r="K1121" s="22">
        <f t="shared" si="2"/>
        <v>0</v>
      </c>
    </row>
    <row r="1122">
      <c r="A1122" s="18">
        <v>3231.0</v>
      </c>
      <c r="B1122" s="18" t="s">
        <v>30</v>
      </c>
      <c r="C1122" s="18">
        <v>116.0</v>
      </c>
      <c r="D1122" s="18" t="s">
        <v>31</v>
      </c>
      <c r="E1122" s="27">
        <v>42564.415185185186</v>
      </c>
      <c r="F1122" s="19">
        <f>IFERROR(__xludf.DUMMYFUNCTION("IFERROR(TO_DATE(E1122), """")"),42564.415185185186)</f>
        <v>42564.41519</v>
      </c>
      <c r="G1122" s="20">
        <f t="shared" si="1"/>
        <v>9</v>
      </c>
      <c r="H1122" s="27">
        <v>42564.450208333335</v>
      </c>
      <c r="I1122" s="19">
        <f>IFERROR(__xludf.DUMMYFUNCTION("IFERROR(TO_DATE(H1122), """")"),42564.450208333335)</f>
        <v>42564.45021</v>
      </c>
      <c r="J1122" s="19" t="s">
        <v>14</v>
      </c>
      <c r="K1122" s="22">
        <f t="shared" si="2"/>
        <v>0</v>
      </c>
    </row>
    <row r="1123">
      <c r="A1123" s="18">
        <v>3378.0</v>
      </c>
      <c r="B1123" s="18" t="s">
        <v>30</v>
      </c>
      <c r="C1123" s="18">
        <v>116.0</v>
      </c>
      <c r="D1123" s="18" t="s">
        <v>31</v>
      </c>
      <c r="E1123" s="27">
        <v>42564.59721064815</v>
      </c>
      <c r="F1123" s="19">
        <f>IFERROR(__xludf.DUMMYFUNCTION("IFERROR(TO_DATE(E1123), """")"),42564.59721064815)</f>
        <v>42564.59721</v>
      </c>
      <c r="G1123" s="20">
        <f t="shared" si="1"/>
        <v>14</v>
      </c>
      <c r="H1123" s="27">
        <v>42564.62421296296</v>
      </c>
      <c r="I1123" s="19">
        <f>IFERROR(__xludf.DUMMYFUNCTION("IFERROR(TO_DATE(H1123), """")"),42564.62421296296)</f>
        <v>42564.62421</v>
      </c>
      <c r="J1123" s="19" t="s">
        <v>10</v>
      </c>
      <c r="K1123" s="22">
        <f t="shared" si="2"/>
        <v>0</v>
      </c>
    </row>
    <row r="1124">
      <c r="A1124" s="18">
        <v>3896.0</v>
      </c>
      <c r="B1124" s="18" t="s">
        <v>32</v>
      </c>
      <c r="C1124" s="18">
        <v>116.0</v>
      </c>
      <c r="D1124" s="18" t="s">
        <v>31</v>
      </c>
      <c r="E1124" s="27">
        <v>42564.91320601852</v>
      </c>
      <c r="F1124" s="19">
        <f>IFERROR(__xludf.DUMMYFUNCTION("IFERROR(TO_DATE(E1124), """")"),42564.91320601852)</f>
        <v>42564.91321</v>
      </c>
      <c r="G1124" s="20">
        <f t="shared" si="1"/>
        <v>21</v>
      </c>
      <c r="H1124" s="27">
        <v>42564.95454861111</v>
      </c>
      <c r="I1124" s="19">
        <f>IFERROR(__xludf.DUMMYFUNCTION("IFERROR(TO_DATE(H1124), """")"),42564.95454861111)</f>
        <v>42564.95455</v>
      </c>
      <c r="J1124" s="19" t="s">
        <v>13</v>
      </c>
      <c r="K1124" s="22">
        <f t="shared" si="2"/>
        <v>0</v>
      </c>
    </row>
    <row r="1125">
      <c r="A1125" s="18">
        <v>4828.0</v>
      </c>
      <c r="B1125" s="18" t="s">
        <v>32</v>
      </c>
      <c r="C1125" s="18">
        <v>116.0</v>
      </c>
      <c r="D1125" s="18" t="s">
        <v>31</v>
      </c>
      <c r="E1125" s="27">
        <v>42565.72655092592</v>
      </c>
      <c r="F1125" s="19">
        <f>IFERROR(__xludf.DUMMYFUNCTION("IFERROR(TO_DATE(E1125), """")"),42565.72655092592)</f>
        <v>42565.72655</v>
      </c>
      <c r="G1125" s="20">
        <f t="shared" si="1"/>
        <v>17</v>
      </c>
      <c r="H1125" s="27">
        <v>42565.74984953704</v>
      </c>
      <c r="I1125" s="19">
        <f>IFERROR(__xludf.DUMMYFUNCTION("IFERROR(TO_DATE(H1125), """")"),42565.74984953704)</f>
        <v>42565.74985</v>
      </c>
      <c r="J1125" s="19" t="s">
        <v>12</v>
      </c>
      <c r="K1125" s="22">
        <f t="shared" si="2"/>
        <v>0</v>
      </c>
    </row>
    <row r="1126">
      <c r="A1126" s="18">
        <v>5944.0</v>
      </c>
      <c r="B1126" s="18" t="s">
        <v>32</v>
      </c>
      <c r="C1126" s="18">
        <v>116.0</v>
      </c>
      <c r="D1126" s="18" t="s">
        <v>31</v>
      </c>
      <c r="E1126" s="27">
        <v>42566.43284722222</v>
      </c>
      <c r="F1126" s="19">
        <f>IFERROR(__xludf.DUMMYFUNCTION("IFERROR(TO_DATE(E1126), """")"),42566.43284722222)</f>
        <v>42566.43285</v>
      </c>
      <c r="G1126" s="20">
        <f t="shared" si="1"/>
        <v>10</v>
      </c>
      <c r="H1126" s="27">
        <v>42566.48193287037</v>
      </c>
      <c r="I1126" s="19">
        <f>IFERROR(__xludf.DUMMYFUNCTION("IFERROR(TO_DATE(H1126), """")"),42566.48193287037)</f>
        <v>42566.48193</v>
      </c>
      <c r="J1126" s="19" t="s">
        <v>14</v>
      </c>
      <c r="K1126" s="22">
        <f t="shared" si="2"/>
        <v>0</v>
      </c>
    </row>
    <row r="1127">
      <c r="A1127" s="18">
        <v>6245.0</v>
      </c>
      <c r="B1127" s="18" t="s">
        <v>30</v>
      </c>
      <c r="C1127" s="18">
        <v>116.0</v>
      </c>
      <c r="D1127" s="18" t="s">
        <v>31</v>
      </c>
      <c r="E1127" s="27">
        <v>42566.748935185184</v>
      </c>
      <c r="F1127" s="19">
        <f>IFERROR(__xludf.DUMMYFUNCTION("IFERROR(TO_DATE(E1127), """")"),42566.748935185184)</f>
        <v>42566.74894</v>
      </c>
      <c r="G1127" s="20">
        <f t="shared" si="1"/>
        <v>17</v>
      </c>
      <c r="H1127" s="27">
        <v>42566.78958333333</v>
      </c>
      <c r="I1127" s="19">
        <f>IFERROR(__xludf.DUMMYFUNCTION("IFERROR(TO_DATE(H1127), """")"),42566.78958333333)</f>
        <v>42566.78958</v>
      </c>
      <c r="J1127" s="19" t="s">
        <v>12</v>
      </c>
      <c r="K1127" s="22">
        <f t="shared" si="2"/>
        <v>0</v>
      </c>
    </row>
    <row r="1128">
      <c r="A1128" s="18">
        <v>3957.0</v>
      </c>
      <c r="B1128" s="18" t="s">
        <v>32</v>
      </c>
      <c r="C1128" s="18">
        <v>117.0</v>
      </c>
      <c r="D1128" s="18" t="s">
        <v>31</v>
      </c>
      <c r="E1128" s="27">
        <v>42564.946018518516</v>
      </c>
      <c r="F1128" s="19">
        <f>IFERROR(__xludf.DUMMYFUNCTION("IFERROR(TO_DATE(E1128), """")"),42564.946018518516)</f>
        <v>42564.94602</v>
      </c>
      <c r="G1128" s="20">
        <f t="shared" si="1"/>
        <v>22</v>
      </c>
      <c r="H1128" s="27">
        <v>42564.98856481481</v>
      </c>
      <c r="I1128" s="19">
        <f>IFERROR(__xludf.DUMMYFUNCTION("IFERROR(TO_DATE(H1128), """")"),42564.98856481481)</f>
        <v>42564.98856</v>
      </c>
      <c r="J1128" s="19" t="s">
        <v>13</v>
      </c>
      <c r="K1128" s="22">
        <f t="shared" si="2"/>
        <v>0</v>
      </c>
    </row>
    <row r="1129">
      <c r="A1129" s="18">
        <v>4066.0</v>
      </c>
      <c r="B1129" s="18" t="s">
        <v>30</v>
      </c>
      <c r="C1129" s="18">
        <v>117.0</v>
      </c>
      <c r="D1129" s="18" t="s">
        <v>31</v>
      </c>
      <c r="E1129" s="27">
        <v>42565.08056712963</v>
      </c>
      <c r="F1129" s="19">
        <f>IFERROR(__xludf.DUMMYFUNCTION("IFERROR(TO_DATE(E1129), """")"),42565.08056712963)</f>
        <v>42565.08057</v>
      </c>
      <c r="G1129" s="20">
        <f t="shared" si="1"/>
        <v>1</v>
      </c>
      <c r="H1129" s="27">
        <v>42565.13002314815</v>
      </c>
      <c r="I1129" s="19">
        <f>IFERROR(__xludf.DUMMYFUNCTION("IFERROR(TO_DATE(H1129), """")"),42565.13002314815)</f>
        <v>42565.13002</v>
      </c>
      <c r="J1129" s="19" t="s">
        <v>15</v>
      </c>
      <c r="K1129" s="22">
        <f t="shared" si="2"/>
        <v>0</v>
      </c>
    </row>
    <row r="1130">
      <c r="A1130" s="18">
        <v>4691.0</v>
      </c>
      <c r="B1130" s="18" t="s">
        <v>32</v>
      </c>
      <c r="C1130" s="18">
        <v>117.0</v>
      </c>
      <c r="D1130" s="18" t="s">
        <v>31</v>
      </c>
      <c r="E1130" s="27">
        <v>42565.543020833335</v>
      </c>
      <c r="F1130" s="19">
        <f>IFERROR(__xludf.DUMMYFUNCTION("IFERROR(TO_DATE(E1130), """")"),42565.543020833335)</f>
        <v>42565.54302</v>
      </c>
      <c r="G1130" s="20">
        <f t="shared" si="1"/>
        <v>13</v>
      </c>
      <c r="H1130" s="27">
        <v>42565.57946759259</v>
      </c>
      <c r="I1130" s="19">
        <f>IFERROR(__xludf.DUMMYFUNCTION("IFERROR(TO_DATE(H1130), """")"),42565.57946759259)</f>
        <v>42565.57947</v>
      </c>
      <c r="J1130" s="19" t="s">
        <v>10</v>
      </c>
      <c r="K1130" s="22">
        <f t="shared" si="2"/>
        <v>0</v>
      </c>
    </row>
    <row r="1131">
      <c r="A1131" s="18">
        <v>6153.0</v>
      </c>
      <c r="B1131" s="18" t="s">
        <v>30</v>
      </c>
      <c r="C1131" s="18">
        <v>117.0</v>
      </c>
      <c r="D1131" s="18" t="s">
        <v>31</v>
      </c>
      <c r="E1131" s="27">
        <v>42566.68278935185</v>
      </c>
      <c r="F1131" s="19">
        <f>IFERROR(__xludf.DUMMYFUNCTION("IFERROR(TO_DATE(E1131), """")"),42566.68278935185)</f>
        <v>42566.68279</v>
      </c>
      <c r="G1131" s="20">
        <f t="shared" si="1"/>
        <v>16</v>
      </c>
      <c r="H1131" s="27">
        <v>42566.73128472222</v>
      </c>
      <c r="I1131" s="19">
        <f>IFERROR(__xludf.DUMMYFUNCTION("IFERROR(TO_DATE(H1131), """")"),42566.73128472222)</f>
        <v>42566.73128</v>
      </c>
      <c r="J1131" s="19" t="s">
        <v>12</v>
      </c>
      <c r="K1131" s="22">
        <f t="shared" si="2"/>
        <v>0</v>
      </c>
    </row>
    <row r="1132">
      <c r="A1132" s="18">
        <v>260.0</v>
      </c>
      <c r="B1132" s="18" t="s">
        <v>32</v>
      </c>
      <c r="C1132" s="18">
        <v>118.0</v>
      </c>
      <c r="D1132" s="18" t="s">
        <v>31</v>
      </c>
      <c r="E1132" s="26">
        <v>42562.28125</v>
      </c>
      <c r="F1132" s="19">
        <f>IFERROR(__xludf.DUMMYFUNCTION("IFERROR(TO_DATE(E1132), """")"),42562.28125)</f>
        <v>42562.28125</v>
      </c>
      <c r="G1132" s="20">
        <f t="shared" si="1"/>
        <v>6</v>
      </c>
      <c r="H1132" s="26">
        <v>42562.32916666667</v>
      </c>
      <c r="I1132" s="19">
        <f>IFERROR(__xludf.DUMMYFUNCTION("IFERROR(TO_DATE(H1132), """")"),42562.32916666667)</f>
        <v>42562.32917</v>
      </c>
      <c r="J1132" s="19" t="s">
        <v>11</v>
      </c>
      <c r="K1132" s="22">
        <f t="shared" si="2"/>
        <v>0</v>
      </c>
    </row>
    <row r="1133">
      <c r="A1133" s="18">
        <v>1077.0</v>
      </c>
      <c r="B1133" s="18" t="s">
        <v>30</v>
      </c>
      <c r="C1133" s="18">
        <v>118.0</v>
      </c>
      <c r="D1133" s="18" t="s">
        <v>31</v>
      </c>
      <c r="E1133" s="26">
        <v>42562.82986111111</v>
      </c>
      <c r="F1133" s="19">
        <f>IFERROR(__xludf.DUMMYFUNCTION("IFERROR(TO_DATE(E1133), """")"),42562.82986111111)</f>
        <v>42562.82986</v>
      </c>
      <c r="G1133" s="20">
        <f t="shared" si="1"/>
        <v>19</v>
      </c>
      <c r="H1133" s="26">
        <v>42562.86388888889</v>
      </c>
      <c r="I1133" s="19">
        <f>IFERROR(__xludf.DUMMYFUNCTION("IFERROR(TO_DATE(H1133), """")"),42562.86388888889)</f>
        <v>42562.86389</v>
      </c>
      <c r="J1133" s="19" t="s">
        <v>12</v>
      </c>
      <c r="K1133" s="22">
        <f t="shared" si="2"/>
        <v>0</v>
      </c>
    </row>
    <row r="1134">
      <c r="A1134" s="18">
        <v>1316.0</v>
      </c>
      <c r="B1134" s="18" t="s">
        <v>32</v>
      </c>
      <c r="C1134" s="18">
        <v>118.0</v>
      </c>
      <c r="D1134" s="18" t="s">
        <v>31</v>
      </c>
      <c r="E1134" s="26">
        <v>42562.95416666667</v>
      </c>
      <c r="F1134" s="19">
        <f>IFERROR(__xludf.DUMMYFUNCTION("IFERROR(TO_DATE(E1134), """")"),42562.95416666667)</f>
        <v>42562.95417</v>
      </c>
      <c r="G1134" s="20">
        <f t="shared" si="1"/>
        <v>22</v>
      </c>
      <c r="H1134" s="26">
        <v>42562.989583333336</v>
      </c>
      <c r="I1134" s="19">
        <f>IFERROR(__xludf.DUMMYFUNCTION("IFERROR(TO_DATE(H1134), """")"),42562.989583333336)</f>
        <v>42562.98958</v>
      </c>
      <c r="J1134" s="19" t="s">
        <v>13</v>
      </c>
      <c r="K1134" s="22">
        <f t="shared" si="2"/>
        <v>0</v>
      </c>
    </row>
    <row r="1135">
      <c r="A1135" s="18">
        <v>1754.0</v>
      </c>
      <c r="B1135" s="18" t="s">
        <v>32</v>
      </c>
      <c r="C1135" s="18">
        <v>118.0</v>
      </c>
      <c r="D1135" s="18" t="s">
        <v>31</v>
      </c>
      <c r="E1135" s="26">
        <v>42563.3625</v>
      </c>
      <c r="F1135" s="19">
        <f>IFERROR(__xludf.DUMMYFUNCTION("IFERROR(TO_DATE(E1135), """")"),42563.3625)</f>
        <v>42563.3625</v>
      </c>
      <c r="G1135" s="20">
        <f t="shared" si="1"/>
        <v>8</v>
      </c>
      <c r="H1135" s="26">
        <v>42563.402083333334</v>
      </c>
      <c r="I1135" s="19">
        <f>IFERROR(__xludf.DUMMYFUNCTION("IFERROR(TO_DATE(H1135), """")"),42563.402083333334)</f>
        <v>42563.40208</v>
      </c>
      <c r="J1135" s="19" t="s">
        <v>14</v>
      </c>
      <c r="K1135" s="22">
        <f t="shared" si="2"/>
        <v>0</v>
      </c>
    </row>
    <row r="1136">
      <c r="A1136" s="18">
        <v>2086.0</v>
      </c>
      <c r="B1136" s="18" t="s">
        <v>32</v>
      </c>
      <c r="C1136" s="18">
        <v>118.0</v>
      </c>
      <c r="D1136" s="18" t="s">
        <v>31</v>
      </c>
      <c r="E1136" s="26">
        <v>42563.65555555555</v>
      </c>
      <c r="F1136" s="19">
        <f>IFERROR(__xludf.DUMMYFUNCTION("IFERROR(TO_DATE(E1136), """")"),42563.65555555555)</f>
        <v>42563.65556</v>
      </c>
      <c r="G1136" s="20">
        <f t="shared" si="1"/>
        <v>15</v>
      </c>
      <c r="H1136" s="26">
        <v>42563.6875</v>
      </c>
      <c r="I1136" s="19">
        <f>IFERROR(__xludf.DUMMYFUNCTION("IFERROR(TO_DATE(H1136), """")"),42563.6875)</f>
        <v>42563.6875</v>
      </c>
      <c r="J1136" s="19" t="s">
        <v>10</v>
      </c>
      <c r="K1136" s="22">
        <f t="shared" si="2"/>
        <v>0</v>
      </c>
    </row>
    <row r="1137">
      <c r="A1137" s="18">
        <v>3044.0</v>
      </c>
      <c r="B1137" s="18" t="s">
        <v>30</v>
      </c>
      <c r="C1137" s="18">
        <v>118.0</v>
      </c>
      <c r="D1137" s="18" t="s">
        <v>31</v>
      </c>
      <c r="E1137" s="27">
        <v>42564.31853009259</v>
      </c>
      <c r="F1137" s="19">
        <f>IFERROR(__xludf.DUMMYFUNCTION("IFERROR(TO_DATE(E1137), """")"),42564.31853009259)</f>
        <v>42564.31853</v>
      </c>
      <c r="G1137" s="20">
        <f t="shared" si="1"/>
        <v>7</v>
      </c>
      <c r="H1137" s="27">
        <v>42564.34679398148</v>
      </c>
      <c r="I1137" s="19">
        <f>IFERROR(__xludf.DUMMYFUNCTION("IFERROR(TO_DATE(H1137), """")"),42564.34679398148)</f>
        <v>42564.34679</v>
      </c>
      <c r="J1137" s="19" t="s">
        <v>11</v>
      </c>
      <c r="K1137" s="22">
        <f t="shared" si="2"/>
        <v>0</v>
      </c>
    </row>
    <row r="1138">
      <c r="A1138" s="18">
        <v>3295.0</v>
      </c>
      <c r="B1138" s="18" t="s">
        <v>32</v>
      </c>
      <c r="C1138" s="18">
        <v>118.0</v>
      </c>
      <c r="D1138" s="18" t="s">
        <v>31</v>
      </c>
      <c r="E1138" s="27">
        <v>42564.48056712963</v>
      </c>
      <c r="F1138" s="19">
        <f>IFERROR(__xludf.DUMMYFUNCTION("IFERROR(TO_DATE(E1138), """")"),42564.48056712963)</f>
        <v>42564.48057</v>
      </c>
      <c r="G1138" s="20">
        <f t="shared" si="1"/>
        <v>11</v>
      </c>
      <c r="H1138" s="27">
        <v>42564.51045138889</v>
      </c>
      <c r="I1138" s="19">
        <f>IFERROR(__xludf.DUMMYFUNCTION("IFERROR(TO_DATE(H1138), """")"),42564.51045138889)</f>
        <v>42564.51045</v>
      </c>
      <c r="J1138" s="19" t="s">
        <v>14</v>
      </c>
      <c r="K1138" s="22">
        <f t="shared" si="2"/>
        <v>0</v>
      </c>
    </row>
    <row r="1139">
      <c r="A1139" s="18">
        <v>3347.0</v>
      </c>
      <c r="B1139" s="18" t="s">
        <v>30</v>
      </c>
      <c r="C1139" s="18">
        <v>118.0</v>
      </c>
      <c r="D1139" s="18" t="s">
        <v>31</v>
      </c>
      <c r="E1139" s="27">
        <v>42564.540451388886</v>
      </c>
      <c r="F1139" s="19">
        <f>IFERROR(__xludf.DUMMYFUNCTION("IFERROR(TO_DATE(E1139), """")"),42564.540451388886)</f>
        <v>42564.54045</v>
      </c>
      <c r="G1139" s="20">
        <f t="shared" si="1"/>
        <v>12</v>
      </c>
      <c r="H1139" s="27">
        <v>42564.579733796294</v>
      </c>
      <c r="I1139" s="19">
        <f>IFERROR(__xludf.DUMMYFUNCTION("IFERROR(TO_DATE(H1139), """")"),42564.579733796294)</f>
        <v>42564.57973</v>
      </c>
      <c r="J1139" s="19" t="s">
        <v>10</v>
      </c>
      <c r="K1139" s="22">
        <f t="shared" si="2"/>
        <v>0</v>
      </c>
    </row>
    <row r="1140">
      <c r="A1140" s="18">
        <v>3801.0</v>
      </c>
      <c r="B1140" s="18" t="s">
        <v>30</v>
      </c>
      <c r="C1140" s="18">
        <v>118.0</v>
      </c>
      <c r="D1140" s="18" t="s">
        <v>31</v>
      </c>
      <c r="E1140" s="27">
        <v>42564.8747337963</v>
      </c>
      <c r="F1140" s="19">
        <f>IFERROR(__xludf.DUMMYFUNCTION("IFERROR(TO_DATE(E1140), """")"),42564.8747337963)</f>
        <v>42564.87473</v>
      </c>
      <c r="G1140" s="20">
        <f t="shared" si="1"/>
        <v>20</v>
      </c>
      <c r="H1140" s="27">
        <v>42564.901284722226</v>
      </c>
      <c r="I1140" s="19">
        <f>IFERROR(__xludf.DUMMYFUNCTION("IFERROR(TO_DATE(H1140), """")"),42564.901284722226)</f>
        <v>42564.90128</v>
      </c>
      <c r="J1140" s="19" t="s">
        <v>13</v>
      </c>
      <c r="K1140" s="22">
        <f t="shared" si="2"/>
        <v>0</v>
      </c>
    </row>
    <row r="1141">
      <c r="A1141" s="18">
        <v>4249.0</v>
      </c>
      <c r="B1141" s="18" t="s">
        <v>32</v>
      </c>
      <c r="C1141" s="18">
        <v>118.0</v>
      </c>
      <c r="D1141" s="18" t="s">
        <v>31</v>
      </c>
      <c r="E1141" s="27">
        <v>42565.252291666664</v>
      </c>
      <c r="F1141" s="19">
        <f>IFERROR(__xludf.DUMMYFUNCTION("IFERROR(TO_DATE(E1141), """")"),42565.252291666664)</f>
        <v>42565.25229</v>
      </c>
      <c r="G1141" s="20">
        <f t="shared" si="1"/>
        <v>6</v>
      </c>
      <c r="H1141" s="27">
        <v>42565.28988425926</v>
      </c>
      <c r="I1141" s="19">
        <f>IFERROR(__xludf.DUMMYFUNCTION("IFERROR(TO_DATE(H1141), """")"),42565.28988425926)</f>
        <v>42565.28988</v>
      </c>
      <c r="J1141" s="19" t="s">
        <v>11</v>
      </c>
      <c r="K1141" s="22">
        <f t="shared" si="2"/>
        <v>0</v>
      </c>
    </row>
    <row r="1142">
      <c r="A1142" s="18">
        <v>5096.0</v>
      </c>
      <c r="B1142" s="18" t="s">
        <v>30</v>
      </c>
      <c r="C1142" s="18">
        <v>118.0</v>
      </c>
      <c r="D1142" s="18" t="s">
        <v>31</v>
      </c>
      <c r="E1142" s="27">
        <v>42565.827881944446</v>
      </c>
      <c r="F1142" s="19">
        <f>IFERROR(__xludf.DUMMYFUNCTION("IFERROR(TO_DATE(E1142), """")"),42565.827881944446)</f>
        <v>42565.82788</v>
      </c>
      <c r="G1142" s="20">
        <f t="shared" si="1"/>
        <v>19</v>
      </c>
      <c r="H1142" s="27">
        <v>42565.8675</v>
      </c>
      <c r="I1142" s="19">
        <f>IFERROR(__xludf.DUMMYFUNCTION("IFERROR(TO_DATE(H1142), """")"),42565.8675)</f>
        <v>42565.8675</v>
      </c>
      <c r="J1142" s="19" t="s">
        <v>12</v>
      </c>
      <c r="K1142" s="22">
        <f t="shared" si="2"/>
        <v>0</v>
      </c>
    </row>
    <row r="1143">
      <c r="A1143" s="18">
        <v>5892.0</v>
      </c>
      <c r="B1143" s="18" t="s">
        <v>32</v>
      </c>
      <c r="C1143" s="18">
        <v>118.0</v>
      </c>
      <c r="D1143" s="18" t="s">
        <v>31</v>
      </c>
      <c r="E1143" s="27">
        <v>42566.40849537037</v>
      </c>
      <c r="F1143" s="19">
        <f>IFERROR(__xludf.DUMMYFUNCTION("IFERROR(TO_DATE(E1143), """")"),42566.40849537037)</f>
        <v>42566.4085</v>
      </c>
      <c r="G1143" s="20">
        <f t="shared" si="1"/>
        <v>9</v>
      </c>
      <c r="H1143" s="27">
        <v>42566.448796296296</v>
      </c>
      <c r="I1143" s="19">
        <f>IFERROR(__xludf.DUMMYFUNCTION("IFERROR(TO_DATE(H1143), """")"),42566.448796296296)</f>
        <v>42566.4488</v>
      </c>
      <c r="J1143" s="19" t="s">
        <v>14</v>
      </c>
      <c r="K1143" s="22">
        <f t="shared" si="2"/>
        <v>0</v>
      </c>
    </row>
    <row r="1144">
      <c r="A1144" s="18">
        <v>6281.0</v>
      </c>
      <c r="B1144" s="18" t="s">
        <v>30</v>
      </c>
      <c r="C1144" s="18">
        <v>118.0</v>
      </c>
      <c r="D1144" s="18" t="s">
        <v>31</v>
      </c>
      <c r="E1144" s="27">
        <v>42566.76179398148</v>
      </c>
      <c r="F1144" s="19">
        <f>IFERROR(__xludf.DUMMYFUNCTION("IFERROR(TO_DATE(E1144), """")"),42566.76179398148)</f>
        <v>42566.76179</v>
      </c>
      <c r="G1144" s="20">
        <f t="shared" si="1"/>
        <v>18</v>
      </c>
      <c r="H1144" s="27">
        <v>42566.807974537034</v>
      </c>
      <c r="I1144" s="19">
        <f>IFERROR(__xludf.DUMMYFUNCTION("IFERROR(TO_DATE(H1144), """")"),42566.807974537034)</f>
        <v>42566.80797</v>
      </c>
      <c r="J1144" s="19" t="s">
        <v>12</v>
      </c>
      <c r="K1144" s="22">
        <f t="shared" si="2"/>
        <v>0</v>
      </c>
    </row>
    <row r="1145">
      <c r="A1145" s="18">
        <v>6497.0</v>
      </c>
      <c r="B1145" s="18" t="s">
        <v>32</v>
      </c>
      <c r="C1145" s="18">
        <v>118.0</v>
      </c>
      <c r="D1145" s="18" t="s">
        <v>31</v>
      </c>
      <c r="E1145" s="27">
        <v>42566.85396990741</v>
      </c>
      <c r="F1145" s="19">
        <f>IFERROR(__xludf.DUMMYFUNCTION("IFERROR(TO_DATE(E1145), """")"),42566.85396990741)</f>
        <v>42566.85397</v>
      </c>
      <c r="G1145" s="20">
        <f t="shared" si="1"/>
        <v>20</v>
      </c>
      <c r="H1145" s="27">
        <v>42566.885787037034</v>
      </c>
      <c r="I1145" s="19">
        <f>IFERROR(__xludf.DUMMYFUNCTION("IFERROR(TO_DATE(H1145), """")"),42566.885787037034)</f>
        <v>42566.88579</v>
      </c>
      <c r="J1145" s="19" t="s">
        <v>13</v>
      </c>
      <c r="K1145" s="22">
        <f t="shared" si="2"/>
        <v>0</v>
      </c>
    </row>
    <row r="1146">
      <c r="A1146" s="18">
        <v>13.0</v>
      </c>
      <c r="B1146" s="18" t="s">
        <v>32</v>
      </c>
      <c r="C1146" s="18">
        <v>119.0</v>
      </c>
      <c r="D1146" s="18" t="s">
        <v>31</v>
      </c>
      <c r="E1146" s="26">
        <v>42562.04722222222</v>
      </c>
      <c r="F1146" s="19">
        <f>IFERROR(__xludf.DUMMYFUNCTION("IFERROR(TO_DATE(E1146), """")"),42562.04722222222)</f>
        <v>42562.04722</v>
      </c>
      <c r="G1146" s="20">
        <f t="shared" si="1"/>
        <v>1</v>
      </c>
      <c r="H1146" s="26">
        <v>42562.08194444444</v>
      </c>
      <c r="I1146" s="19">
        <f>IFERROR(__xludf.DUMMYFUNCTION("IFERROR(TO_DATE(H1146), """")"),42562.08194444444)</f>
        <v>42562.08194</v>
      </c>
      <c r="J1146" s="19" t="s">
        <v>15</v>
      </c>
      <c r="K1146" s="22">
        <f t="shared" si="2"/>
        <v>0</v>
      </c>
    </row>
    <row r="1147">
      <c r="A1147" s="18">
        <v>1907.0</v>
      </c>
      <c r="B1147" s="18" t="s">
        <v>32</v>
      </c>
      <c r="C1147" s="18">
        <v>119.0</v>
      </c>
      <c r="D1147" s="18" t="s">
        <v>31</v>
      </c>
      <c r="E1147" s="26">
        <v>42563.441666666666</v>
      </c>
      <c r="F1147" s="19">
        <f>IFERROR(__xludf.DUMMYFUNCTION("IFERROR(TO_DATE(E1147), """")"),42563.441666666666)</f>
        <v>42563.44167</v>
      </c>
      <c r="G1147" s="20">
        <f t="shared" si="1"/>
        <v>10</v>
      </c>
      <c r="H1147" s="26">
        <v>42563.49513888889</v>
      </c>
      <c r="I1147" s="19">
        <f>IFERROR(__xludf.DUMMYFUNCTION("IFERROR(TO_DATE(H1147), """")"),42563.49513888889)</f>
        <v>42563.49514</v>
      </c>
      <c r="J1147" s="19" t="s">
        <v>14</v>
      </c>
      <c r="K1147" s="22">
        <f t="shared" si="2"/>
        <v>0</v>
      </c>
    </row>
    <row r="1148">
      <c r="A1148" s="18">
        <v>3074.0</v>
      </c>
      <c r="B1148" s="18" t="s">
        <v>32</v>
      </c>
      <c r="C1148" s="18">
        <v>119.0</v>
      </c>
      <c r="D1148" s="18" t="s">
        <v>31</v>
      </c>
      <c r="E1148" s="27">
        <v>42564.335810185185</v>
      </c>
      <c r="F1148" s="19">
        <f>IFERROR(__xludf.DUMMYFUNCTION("IFERROR(TO_DATE(E1148), """")"),42564.335810185185)</f>
        <v>42564.33581</v>
      </c>
      <c r="G1148" s="20">
        <f t="shared" si="1"/>
        <v>8</v>
      </c>
      <c r="H1148" s="27">
        <v>42564.382997685185</v>
      </c>
      <c r="I1148" s="19">
        <f>IFERROR(__xludf.DUMMYFUNCTION("IFERROR(TO_DATE(H1148), """")"),42564.382997685185)</f>
        <v>42564.383</v>
      </c>
      <c r="J1148" s="19" t="s">
        <v>14</v>
      </c>
      <c r="K1148" s="22">
        <f t="shared" si="2"/>
        <v>0</v>
      </c>
    </row>
    <row r="1149">
      <c r="A1149" s="18">
        <v>3441.0</v>
      </c>
      <c r="B1149" s="18" t="s">
        <v>32</v>
      </c>
      <c r="C1149" s="18">
        <v>119.0</v>
      </c>
      <c r="D1149" s="18" t="s">
        <v>31</v>
      </c>
      <c r="E1149" s="27">
        <v>42564.68599537037</v>
      </c>
      <c r="F1149" s="19">
        <f>IFERROR(__xludf.DUMMYFUNCTION("IFERROR(TO_DATE(E1149), """")"),42564.68599537037)</f>
        <v>42564.686</v>
      </c>
      <c r="G1149" s="20">
        <f t="shared" si="1"/>
        <v>16</v>
      </c>
      <c r="H1149" s="27">
        <v>42564.73824074074</v>
      </c>
      <c r="I1149" s="19">
        <f>IFERROR(__xludf.DUMMYFUNCTION("IFERROR(TO_DATE(H1149), """")"),42564.73824074074)</f>
        <v>42564.73824</v>
      </c>
      <c r="J1149" s="19" t="s">
        <v>12</v>
      </c>
      <c r="K1149" s="22">
        <f t="shared" si="2"/>
        <v>0</v>
      </c>
    </row>
    <row r="1150">
      <c r="A1150" s="18">
        <v>3651.0</v>
      </c>
      <c r="B1150" s="18" t="s">
        <v>32</v>
      </c>
      <c r="C1150" s="18">
        <v>119.0</v>
      </c>
      <c r="D1150" s="18" t="s">
        <v>31</v>
      </c>
      <c r="E1150" s="27">
        <v>42564.80123842593</v>
      </c>
      <c r="F1150" s="19">
        <f>IFERROR(__xludf.DUMMYFUNCTION("IFERROR(TO_DATE(E1150), """")"),42564.80123842593)</f>
        <v>42564.80124</v>
      </c>
      <c r="G1150" s="20">
        <f t="shared" si="1"/>
        <v>19</v>
      </c>
      <c r="H1150" s="27">
        <v>42564.84850694444</v>
      </c>
      <c r="I1150" s="19">
        <f>IFERROR(__xludf.DUMMYFUNCTION("IFERROR(TO_DATE(H1150), """")"),42564.84850694444)</f>
        <v>42564.84851</v>
      </c>
      <c r="J1150" s="19" t="s">
        <v>12</v>
      </c>
      <c r="K1150" s="22">
        <f t="shared" si="2"/>
        <v>0</v>
      </c>
    </row>
    <row r="1151">
      <c r="A1151" s="18">
        <v>4093.0</v>
      </c>
      <c r="B1151" s="18" t="s">
        <v>32</v>
      </c>
      <c r="C1151" s="18">
        <v>119.0</v>
      </c>
      <c r="D1151" s="18" t="s">
        <v>31</v>
      </c>
      <c r="E1151" s="27">
        <v>42565.12950231481</v>
      </c>
      <c r="F1151" s="19">
        <f>IFERROR(__xludf.DUMMYFUNCTION("IFERROR(TO_DATE(E1151), """")"),42565.12950231481)</f>
        <v>42565.1295</v>
      </c>
      <c r="G1151" s="20">
        <f t="shared" si="1"/>
        <v>3</v>
      </c>
      <c r="H1151" s="27">
        <v>42565.16925925926</v>
      </c>
      <c r="I1151" s="19">
        <f>IFERROR(__xludf.DUMMYFUNCTION("IFERROR(TO_DATE(H1151), """")"),42565.16925925926)</f>
        <v>42565.16926</v>
      </c>
      <c r="J1151" s="19" t="s">
        <v>15</v>
      </c>
      <c r="K1151" s="22">
        <f t="shared" si="2"/>
        <v>0</v>
      </c>
    </row>
    <row r="1152">
      <c r="A1152" s="18">
        <v>4339.0</v>
      </c>
      <c r="B1152" s="18" t="s">
        <v>32</v>
      </c>
      <c r="C1152" s="18">
        <v>119.0</v>
      </c>
      <c r="D1152" s="18" t="s">
        <v>31</v>
      </c>
      <c r="E1152" s="27">
        <v>42565.30126157407</v>
      </c>
      <c r="F1152" s="19">
        <f>IFERROR(__xludf.DUMMYFUNCTION("IFERROR(TO_DATE(E1152), """")"),42565.30126157407)</f>
        <v>42565.30126</v>
      </c>
      <c r="G1152" s="20">
        <f t="shared" si="1"/>
        <v>7</v>
      </c>
      <c r="H1152" s="27">
        <v>42565.326631944445</v>
      </c>
      <c r="I1152" s="19">
        <f>IFERROR(__xludf.DUMMYFUNCTION("IFERROR(TO_DATE(H1152), """")"),42565.326631944445)</f>
        <v>42565.32663</v>
      </c>
      <c r="J1152" s="19" t="s">
        <v>11</v>
      </c>
      <c r="K1152" s="22">
        <f t="shared" si="2"/>
        <v>0</v>
      </c>
    </row>
    <row r="1153">
      <c r="A1153" s="18">
        <v>4753.0</v>
      </c>
      <c r="B1153" s="18" t="s">
        <v>32</v>
      </c>
      <c r="C1153" s="18">
        <v>119.0</v>
      </c>
      <c r="D1153" s="18" t="s">
        <v>31</v>
      </c>
      <c r="E1153" s="27">
        <v>42565.63763888889</v>
      </c>
      <c r="F1153" s="19">
        <f>IFERROR(__xludf.DUMMYFUNCTION("IFERROR(TO_DATE(E1153), """")"),42565.63763888889)</f>
        <v>42565.63764</v>
      </c>
      <c r="G1153" s="20">
        <f t="shared" si="1"/>
        <v>15</v>
      </c>
      <c r="H1153" s="27">
        <v>42565.68310185185</v>
      </c>
      <c r="I1153" s="19">
        <f>IFERROR(__xludf.DUMMYFUNCTION("IFERROR(TO_DATE(H1153), """")"),42565.68310185185)</f>
        <v>42565.6831</v>
      </c>
      <c r="J1153" s="19" t="s">
        <v>10</v>
      </c>
      <c r="K1153" s="22">
        <f t="shared" si="2"/>
        <v>0</v>
      </c>
    </row>
    <row r="1154">
      <c r="A1154" s="18">
        <v>5933.0</v>
      </c>
      <c r="B1154" s="18" t="s">
        <v>32</v>
      </c>
      <c r="C1154" s="18">
        <v>119.0</v>
      </c>
      <c r="D1154" s="18" t="s">
        <v>31</v>
      </c>
      <c r="E1154" s="27">
        <v>42566.425208333334</v>
      </c>
      <c r="F1154" s="19">
        <f>IFERROR(__xludf.DUMMYFUNCTION("IFERROR(TO_DATE(E1154), """")"),42566.425208333334)</f>
        <v>42566.42521</v>
      </c>
      <c r="G1154" s="20">
        <f t="shared" si="1"/>
        <v>10</v>
      </c>
      <c r="H1154" s="27">
        <v>42566.45949074074</v>
      </c>
      <c r="I1154" s="19">
        <f>IFERROR(__xludf.DUMMYFUNCTION("IFERROR(TO_DATE(H1154), """")"),42566.45949074074)</f>
        <v>42566.45949</v>
      </c>
      <c r="J1154" s="19" t="s">
        <v>14</v>
      </c>
      <c r="K1154" s="22">
        <f t="shared" si="2"/>
        <v>0</v>
      </c>
    </row>
    <row r="1155">
      <c r="A1155" s="18">
        <v>1184.0</v>
      </c>
      <c r="B1155" s="18" t="s">
        <v>32</v>
      </c>
      <c r="C1155" s="18">
        <v>120.0</v>
      </c>
      <c r="D1155" s="18" t="s">
        <v>31</v>
      </c>
      <c r="E1155" s="26">
        <v>42562.87569444445</v>
      </c>
      <c r="F1155" s="19">
        <f>IFERROR(__xludf.DUMMYFUNCTION("IFERROR(TO_DATE(E1155), """")"),42562.87569444445)</f>
        <v>42562.87569</v>
      </c>
      <c r="G1155" s="20">
        <f t="shared" si="1"/>
        <v>21</v>
      </c>
      <c r="H1155" s="26">
        <v>42562.924305555556</v>
      </c>
      <c r="I1155" s="19">
        <f>IFERROR(__xludf.DUMMYFUNCTION("IFERROR(TO_DATE(H1155), """")"),42562.924305555556)</f>
        <v>42562.92431</v>
      </c>
      <c r="J1155" s="19" t="s">
        <v>13</v>
      </c>
      <c r="K1155" s="22">
        <f t="shared" si="2"/>
        <v>0</v>
      </c>
    </row>
    <row r="1156">
      <c r="A1156" s="18">
        <v>1402.0</v>
      </c>
      <c r="B1156" s="18" t="s">
        <v>30</v>
      </c>
      <c r="C1156" s="18">
        <v>120.0</v>
      </c>
      <c r="D1156" s="18" t="s">
        <v>31</v>
      </c>
      <c r="E1156" s="26">
        <v>42563.11666666667</v>
      </c>
      <c r="F1156" s="19">
        <f>IFERROR(__xludf.DUMMYFUNCTION("IFERROR(TO_DATE(E1156), """")"),42563.11666666667)</f>
        <v>42563.11667</v>
      </c>
      <c r="G1156" s="20">
        <f t="shared" si="1"/>
        <v>2</v>
      </c>
      <c r="H1156" s="26">
        <v>42563.15833333333</v>
      </c>
      <c r="I1156" s="19">
        <f>IFERROR(__xludf.DUMMYFUNCTION("IFERROR(TO_DATE(H1156), """")"),42563.15833333333)</f>
        <v>42563.15833</v>
      </c>
      <c r="J1156" s="19" t="s">
        <v>15</v>
      </c>
      <c r="K1156" s="22">
        <f t="shared" si="2"/>
        <v>0</v>
      </c>
    </row>
    <row r="1157">
      <c r="A1157" s="18">
        <v>1597.0</v>
      </c>
      <c r="B1157" s="18" t="s">
        <v>32</v>
      </c>
      <c r="C1157" s="18">
        <v>120.0</v>
      </c>
      <c r="D1157" s="18" t="s">
        <v>31</v>
      </c>
      <c r="E1157" s="26">
        <v>42563.27777777778</v>
      </c>
      <c r="F1157" s="19">
        <f>IFERROR(__xludf.DUMMYFUNCTION("IFERROR(TO_DATE(E1157), """")"),42563.27777777778)</f>
        <v>42563.27778</v>
      </c>
      <c r="G1157" s="20">
        <f t="shared" si="1"/>
        <v>6</v>
      </c>
      <c r="H1157" s="26">
        <v>42563.32083333333</v>
      </c>
      <c r="I1157" s="19">
        <f>IFERROR(__xludf.DUMMYFUNCTION("IFERROR(TO_DATE(H1157), """")"),42563.32083333333)</f>
        <v>42563.32083</v>
      </c>
      <c r="J1157" s="19" t="s">
        <v>11</v>
      </c>
      <c r="K1157" s="22">
        <f t="shared" si="2"/>
        <v>0</v>
      </c>
    </row>
    <row r="1158">
      <c r="A1158" s="18">
        <v>2702.0</v>
      </c>
      <c r="B1158" s="18" t="s">
        <v>32</v>
      </c>
      <c r="C1158" s="18">
        <v>120.0</v>
      </c>
      <c r="D1158" s="18" t="s">
        <v>31</v>
      </c>
      <c r="E1158" s="27">
        <v>42564.05027777778</v>
      </c>
      <c r="F1158" s="19">
        <f>IFERROR(__xludf.DUMMYFUNCTION("IFERROR(TO_DATE(E1158), """")"),42564.05027777778)</f>
        <v>42564.05028</v>
      </c>
      <c r="G1158" s="20">
        <f t="shared" si="1"/>
        <v>1</v>
      </c>
      <c r="H1158" s="27">
        <v>42564.09737268519</v>
      </c>
      <c r="I1158" s="19">
        <f>IFERROR(__xludf.DUMMYFUNCTION("IFERROR(TO_DATE(H1158), """")"),42564.09737268519)</f>
        <v>42564.09737</v>
      </c>
      <c r="J1158" s="19" t="s">
        <v>15</v>
      </c>
      <c r="K1158" s="22">
        <f t="shared" si="2"/>
        <v>0</v>
      </c>
    </row>
    <row r="1159">
      <c r="A1159" s="18">
        <v>2996.0</v>
      </c>
      <c r="B1159" s="18" t="s">
        <v>32</v>
      </c>
      <c r="C1159" s="18">
        <v>120.0</v>
      </c>
      <c r="D1159" s="18" t="s">
        <v>31</v>
      </c>
      <c r="E1159" s="27">
        <v>42564.30136574074</v>
      </c>
      <c r="F1159" s="19">
        <f>IFERROR(__xludf.DUMMYFUNCTION("IFERROR(TO_DATE(E1159), """")"),42564.30136574074)</f>
        <v>42564.30137</v>
      </c>
      <c r="G1159" s="20">
        <f t="shared" si="1"/>
        <v>7</v>
      </c>
      <c r="H1159" s="27">
        <v>42564.340416666666</v>
      </c>
      <c r="I1159" s="19">
        <f>IFERROR(__xludf.DUMMYFUNCTION("IFERROR(TO_DATE(H1159), """")"),42564.340416666666)</f>
        <v>42564.34042</v>
      </c>
      <c r="J1159" s="19" t="s">
        <v>11</v>
      </c>
      <c r="K1159" s="22">
        <f t="shared" si="2"/>
        <v>0</v>
      </c>
    </row>
    <row r="1160">
      <c r="A1160" s="18">
        <v>4857.0</v>
      </c>
      <c r="B1160" s="18" t="s">
        <v>30</v>
      </c>
      <c r="C1160" s="18">
        <v>120.0</v>
      </c>
      <c r="D1160" s="18" t="s">
        <v>31</v>
      </c>
      <c r="E1160" s="27">
        <v>42565.73216435185</v>
      </c>
      <c r="F1160" s="19">
        <f>IFERROR(__xludf.DUMMYFUNCTION("IFERROR(TO_DATE(E1160), """")"),42565.73216435185)</f>
        <v>42565.73216</v>
      </c>
      <c r="G1160" s="20">
        <f t="shared" si="1"/>
        <v>17</v>
      </c>
      <c r="H1160" s="27">
        <v>42565.767546296294</v>
      </c>
      <c r="I1160" s="19">
        <f>IFERROR(__xludf.DUMMYFUNCTION("IFERROR(TO_DATE(H1160), """")"),42565.767546296294)</f>
        <v>42565.76755</v>
      </c>
      <c r="J1160" s="19" t="s">
        <v>12</v>
      </c>
      <c r="K1160" s="22">
        <f t="shared" si="2"/>
        <v>0</v>
      </c>
    </row>
    <row r="1161">
      <c r="A1161" s="18">
        <v>6661.0</v>
      </c>
      <c r="B1161" s="18" t="s">
        <v>32</v>
      </c>
      <c r="C1161" s="18">
        <v>120.0</v>
      </c>
      <c r="D1161" s="18" t="s">
        <v>31</v>
      </c>
      <c r="E1161" s="27">
        <v>42566.93082175926</v>
      </c>
      <c r="F1161" s="19">
        <f>IFERROR(__xludf.DUMMYFUNCTION("IFERROR(TO_DATE(E1161), """")"),42566.93082175926)</f>
        <v>42566.93082</v>
      </c>
      <c r="G1161" s="20">
        <f t="shared" si="1"/>
        <v>22</v>
      </c>
      <c r="H1161" s="27">
        <v>42566.97295138889</v>
      </c>
      <c r="I1161" s="19">
        <f>IFERROR(__xludf.DUMMYFUNCTION("IFERROR(TO_DATE(H1161), """")"),42566.97295138889)</f>
        <v>42566.97295</v>
      </c>
      <c r="J1161" s="19" t="s">
        <v>13</v>
      </c>
      <c r="K1161" s="22">
        <f t="shared" si="2"/>
        <v>0</v>
      </c>
    </row>
    <row r="1162">
      <c r="A1162" s="18">
        <v>134.0</v>
      </c>
      <c r="B1162" s="18" t="s">
        <v>30</v>
      </c>
      <c r="C1162" s="18">
        <v>121.0</v>
      </c>
      <c r="D1162" s="18" t="s">
        <v>31</v>
      </c>
      <c r="E1162" s="26">
        <v>42562.217361111114</v>
      </c>
      <c r="F1162" s="19">
        <f>IFERROR(__xludf.DUMMYFUNCTION("IFERROR(TO_DATE(E1162), """")"),42562.217361111114)</f>
        <v>42562.21736</v>
      </c>
      <c r="G1162" s="20">
        <f t="shared" si="1"/>
        <v>5</v>
      </c>
      <c r="H1162" s="26">
        <v>42562.259722222225</v>
      </c>
      <c r="I1162" s="19">
        <f>IFERROR(__xludf.DUMMYFUNCTION("IFERROR(TO_DATE(H1162), """")"),42562.259722222225)</f>
        <v>42562.25972</v>
      </c>
      <c r="J1162" s="19" t="s">
        <v>11</v>
      </c>
      <c r="K1162" s="22">
        <f t="shared" si="2"/>
        <v>0</v>
      </c>
    </row>
    <row r="1163">
      <c r="A1163" s="18">
        <v>598.0</v>
      </c>
      <c r="B1163" s="18" t="s">
        <v>32</v>
      </c>
      <c r="C1163" s="18">
        <v>121.0</v>
      </c>
      <c r="D1163" s="18" t="s">
        <v>31</v>
      </c>
      <c r="E1163" s="26">
        <v>42562.48333333333</v>
      </c>
      <c r="F1163" s="19">
        <f>IFERROR(__xludf.DUMMYFUNCTION("IFERROR(TO_DATE(E1163), """")"),42562.48333333333)</f>
        <v>42562.48333</v>
      </c>
      <c r="G1163" s="20">
        <f t="shared" si="1"/>
        <v>11</v>
      </c>
      <c r="H1163" s="26">
        <v>42562.51180555556</v>
      </c>
      <c r="I1163" s="19">
        <f>IFERROR(__xludf.DUMMYFUNCTION("IFERROR(TO_DATE(H1163), """")"),42562.51180555556)</f>
        <v>42562.51181</v>
      </c>
      <c r="J1163" s="19" t="s">
        <v>14</v>
      </c>
      <c r="K1163" s="22">
        <f t="shared" si="2"/>
        <v>0</v>
      </c>
    </row>
    <row r="1164">
      <c r="A1164" s="18">
        <v>726.0</v>
      </c>
      <c r="B1164" s="18" t="s">
        <v>30</v>
      </c>
      <c r="C1164" s="18">
        <v>121.0</v>
      </c>
      <c r="D1164" s="18" t="s">
        <v>31</v>
      </c>
      <c r="E1164" s="26">
        <v>42562.625</v>
      </c>
      <c r="F1164" s="19">
        <f>IFERROR(__xludf.DUMMYFUNCTION("IFERROR(TO_DATE(E1164), """")"),42562.625)</f>
        <v>42562.625</v>
      </c>
      <c r="G1164" s="20">
        <f t="shared" si="1"/>
        <v>15</v>
      </c>
      <c r="H1164" s="26">
        <v>42562.66875</v>
      </c>
      <c r="I1164" s="19">
        <f>IFERROR(__xludf.DUMMYFUNCTION("IFERROR(TO_DATE(H1164), """")"),42562.66875)</f>
        <v>42562.66875</v>
      </c>
      <c r="J1164" s="19" t="s">
        <v>10</v>
      </c>
      <c r="K1164" s="22">
        <f t="shared" si="2"/>
        <v>0</v>
      </c>
    </row>
    <row r="1165">
      <c r="A1165" s="18">
        <v>832.0</v>
      </c>
      <c r="B1165" s="18" t="s">
        <v>30</v>
      </c>
      <c r="C1165" s="18">
        <v>121.0</v>
      </c>
      <c r="D1165" s="18" t="s">
        <v>31</v>
      </c>
      <c r="E1165" s="26">
        <v>42562.73472222222</v>
      </c>
      <c r="F1165" s="19">
        <f>IFERROR(__xludf.DUMMYFUNCTION("IFERROR(TO_DATE(E1165), """")"),42562.73472222222)</f>
        <v>42562.73472</v>
      </c>
      <c r="G1165" s="20">
        <f t="shared" si="1"/>
        <v>17</v>
      </c>
      <c r="H1165" s="26">
        <v>42562.76111111111</v>
      </c>
      <c r="I1165" s="19">
        <f>IFERROR(__xludf.DUMMYFUNCTION("IFERROR(TO_DATE(H1165), """")"),42562.76111111111)</f>
        <v>42562.76111</v>
      </c>
      <c r="J1165" s="19" t="s">
        <v>12</v>
      </c>
      <c r="K1165" s="22">
        <f t="shared" si="2"/>
        <v>0</v>
      </c>
    </row>
    <row r="1166">
      <c r="A1166" s="18">
        <v>2065.0</v>
      </c>
      <c r="B1166" s="18" t="s">
        <v>32</v>
      </c>
      <c r="C1166" s="18">
        <v>121.0</v>
      </c>
      <c r="D1166" s="18" t="s">
        <v>31</v>
      </c>
      <c r="E1166" s="26">
        <v>42563.629166666666</v>
      </c>
      <c r="F1166" s="19">
        <f>IFERROR(__xludf.DUMMYFUNCTION("IFERROR(TO_DATE(E1166), """")"),42563.629166666666)</f>
        <v>42563.62917</v>
      </c>
      <c r="G1166" s="20">
        <f t="shared" si="1"/>
        <v>15</v>
      </c>
      <c r="H1166" s="26">
        <v>42563.67361111111</v>
      </c>
      <c r="I1166" s="19">
        <f>IFERROR(__xludf.DUMMYFUNCTION("IFERROR(TO_DATE(H1166), """")"),42563.67361111111)</f>
        <v>42563.67361</v>
      </c>
      <c r="J1166" s="19" t="s">
        <v>10</v>
      </c>
      <c r="K1166" s="22">
        <f t="shared" si="2"/>
        <v>0</v>
      </c>
    </row>
    <row r="1167">
      <c r="A1167" s="18">
        <v>2701.0</v>
      </c>
      <c r="B1167" s="18" t="s">
        <v>30</v>
      </c>
      <c r="C1167" s="18">
        <v>121.0</v>
      </c>
      <c r="D1167" s="18" t="s">
        <v>31</v>
      </c>
      <c r="E1167" s="27">
        <v>42564.04493055555</v>
      </c>
      <c r="F1167" s="19">
        <f>IFERROR(__xludf.DUMMYFUNCTION("IFERROR(TO_DATE(E1167), """")"),42564.04493055555)</f>
        <v>42564.04493</v>
      </c>
      <c r="G1167" s="20">
        <f t="shared" si="1"/>
        <v>1</v>
      </c>
      <c r="H1167" s="27">
        <v>42564.07829861111</v>
      </c>
      <c r="I1167" s="19">
        <f>IFERROR(__xludf.DUMMYFUNCTION("IFERROR(TO_DATE(H1167), """")"),42564.07829861111)</f>
        <v>42564.0783</v>
      </c>
      <c r="J1167" s="19" t="s">
        <v>15</v>
      </c>
      <c r="K1167" s="22">
        <f t="shared" si="2"/>
        <v>0</v>
      </c>
    </row>
    <row r="1168">
      <c r="A1168" s="18">
        <v>3429.0</v>
      </c>
      <c r="B1168" s="18" t="s">
        <v>32</v>
      </c>
      <c r="C1168" s="18">
        <v>121.0</v>
      </c>
      <c r="D1168" s="18" t="s">
        <v>31</v>
      </c>
      <c r="E1168" s="27">
        <v>42564.66630787037</v>
      </c>
      <c r="F1168" s="19">
        <f>IFERROR(__xludf.DUMMYFUNCTION("IFERROR(TO_DATE(E1168), """")"),42564.66630787037)</f>
        <v>42564.66631</v>
      </c>
      <c r="G1168" s="20">
        <f t="shared" si="1"/>
        <v>15</v>
      </c>
      <c r="H1168" s="27">
        <v>42564.706979166665</v>
      </c>
      <c r="I1168" s="19">
        <f>IFERROR(__xludf.DUMMYFUNCTION("IFERROR(TO_DATE(H1168), """")"),42564.706979166665)</f>
        <v>42564.70698</v>
      </c>
      <c r="J1168" s="19" t="s">
        <v>10</v>
      </c>
      <c r="K1168" s="22">
        <f t="shared" si="2"/>
        <v>0</v>
      </c>
    </row>
    <row r="1169">
      <c r="A1169" s="18">
        <v>3645.0</v>
      </c>
      <c r="B1169" s="18" t="s">
        <v>32</v>
      </c>
      <c r="C1169" s="18">
        <v>121.0</v>
      </c>
      <c r="D1169" s="18" t="s">
        <v>31</v>
      </c>
      <c r="E1169" s="27">
        <v>42564.79697916667</v>
      </c>
      <c r="F1169" s="19">
        <f>IFERROR(__xludf.DUMMYFUNCTION("IFERROR(TO_DATE(E1169), """")"),42564.79697916667)</f>
        <v>42564.79698</v>
      </c>
      <c r="G1169" s="20">
        <f t="shared" si="1"/>
        <v>19</v>
      </c>
      <c r="H1169" s="27">
        <v>42564.83354166667</v>
      </c>
      <c r="I1169" s="19">
        <f>IFERROR(__xludf.DUMMYFUNCTION("IFERROR(TO_DATE(H1169), """")"),42564.83354166667)</f>
        <v>42564.83354</v>
      </c>
      <c r="J1169" s="19" t="s">
        <v>12</v>
      </c>
      <c r="K1169" s="22">
        <f t="shared" si="2"/>
        <v>0</v>
      </c>
    </row>
    <row r="1170">
      <c r="A1170" s="18">
        <v>4958.0</v>
      </c>
      <c r="B1170" s="18" t="s">
        <v>32</v>
      </c>
      <c r="C1170" s="18">
        <v>121.0</v>
      </c>
      <c r="D1170" s="18" t="s">
        <v>31</v>
      </c>
      <c r="E1170" s="27">
        <v>42565.77513888889</v>
      </c>
      <c r="F1170" s="19">
        <f>IFERROR(__xludf.DUMMYFUNCTION("IFERROR(TO_DATE(E1170), """")"),42565.77513888889)</f>
        <v>42565.77514</v>
      </c>
      <c r="G1170" s="20">
        <f t="shared" si="1"/>
        <v>18</v>
      </c>
      <c r="H1170" s="27">
        <v>42565.82420138889</v>
      </c>
      <c r="I1170" s="19">
        <f>IFERROR(__xludf.DUMMYFUNCTION("IFERROR(TO_DATE(H1170), """")"),42565.82420138889)</f>
        <v>42565.8242</v>
      </c>
      <c r="J1170" s="19" t="s">
        <v>12</v>
      </c>
      <c r="K1170" s="22">
        <f t="shared" si="2"/>
        <v>0</v>
      </c>
    </row>
    <row r="1171">
      <c r="A1171" s="18">
        <v>5474.0</v>
      </c>
      <c r="B1171" s="18" t="s">
        <v>32</v>
      </c>
      <c r="C1171" s="18">
        <v>121.0</v>
      </c>
      <c r="D1171" s="18" t="s">
        <v>31</v>
      </c>
      <c r="E1171" s="27">
        <v>42566.19819444444</v>
      </c>
      <c r="F1171" s="19">
        <f>IFERROR(__xludf.DUMMYFUNCTION("IFERROR(TO_DATE(E1171), """")"),42566.19819444444)</f>
        <v>42566.19819</v>
      </c>
      <c r="G1171" s="20">
        <f t="shared" si="1"/>
        <v>4</v>
      </c>
      <c r="H1171" s="27">
        <v>42566.24460648148</v>
      </c>
      <c r="I1171" s="19">
        <f>IFERROR(__xludf.DUMMYFUNCTION("IFERROR(TO_DATE(H1171), """")"),42566.24460648148)</f>
        <v>42566.24461</v>
      </c>
      <c r="J1171" s="19" t="s">
        <v>11</v>
      </c>
      <c r="K1171" s="22">
        <f t="shared" si="2"/>
        <v>0</v>
      </c>
    </row>
    <row r="1172">
      <c r="A1172" s="18">
        <v>6088.0</v>
      </c>
      <c r="B1172" s="18" t="s">
        <v>32</v>
      </c>
      <c r="C1172" s="18">
        <v>121.0</v>
      </c>
      <c r="D1172" s="18" t="s">
        <v>31</v>
      </c>
      <c r="E1172" s="27">
        <v>42566.60387731482</v>
      </c>
      <c r="F1172" s="19">
        <f>IFERROR(__xludf.DUMMYFUNCTION("IFERROR(TO_DATE(E1172), """")"),42566.60387731482)</f>
        <v>42566.60388</v>
      </c>
      <c r="G1172" s="20">
        <f t="shared" si="1"/>
        <v>14</v>
      </c>
      <c r="H1172" s="27">
        <v>42566.642060185186</v>
      </c>
      <c r="I1172" s="19">
        <f>IFERROR(__xludf.DUMMYFUNCTION("IFERROR(TO_DATE(H1172), """")"),42566.642060185186)</f>
        <v>42566.64206</v>
      </c>
      <c r="J1172" s="19" t="s">
        <v>10</v>
      </c>
      <c r="K1172" s="22">
        <f t="shared" si="2"/>
        <v>0</v>
      </c>
    </row>
    <row r="1173">
      <c r="A1173" s="18">
        <v>6714.0</v>
      </c>
      <c r="B1173" s="18" t="s">
        <v>30</v>
      </c>
      <c r="C1173" s="18">
        <v>121.0</v>
      </c>
      <c r="D1173" s="18" t="s">
        <v>31</v>
      </c>
      <c r="E1173" s="27">
        <v>42566.96706018518</v>
      </c>
      <c r="F1173" s="19">
        <f>IFERROR(__xludf.DUMMYFUNCTION("IFERROR(TO_DATE(E1173), """")"),42566.96706018518)</f>
        <v>42566.96706</v>
      </c>
      <c r="G1173" s="20">
        <f t="shared" si="1"/>
        <v>23</v>
      </c>
      <c r="H1173" s="27">
        <v>42567.00300925926</v>
      </c>
      <c r="I1173" s="19">
        <f>IFERROR(__xludf.DUMMYFUNCTION("IFERROR(TO_DATE(H1173), """")"),42567.00300925926)</f>
        <v>42567.00301</v>
      </c>
      <c r="J1173" s="19" t="s">
        <v>13</v>
      </c>
      <c r="K1173" s="22">
        <f t="shared" si="2"/>
        <v>0</v>
      </c>
    </row>
    <row r="1174">
      <c r="A1174" s="18">
        <v>1024.0</v>
      </c>
      <c r="B1174" s="18" t="s">
        <v>30</v>
      </c>
      <c r="C1174" s="18">
        <v>122.0</v>
      </c>
      <c r="D1174" s="18" t="s">
        <v>31</v>
      </c>
      <c r="E1174" s="26">
        <v>42562.805555555555</v>
      </c>
      <c r="F1174" s="19">
        <f>IFERROR(__xludf.DUMMYFUNCTION("IFERROR(TO_DATE(E1174), """")"),42562.805555555555)</f>
        <v>42562.80556</v>
      </c>
      <c r="G1174" s="20">
        <f t="shared" si="1"/>
        <v>19</v>
      </c>
      <c r="H1174" s="26">
        <v>42562.84722222222</v>
      </c>
      <c r="I1174" s="19">
        <f>IFERROR(__xludf.DUMMYFUNCTION("IFERROR(TO_DATE(H1174), """")"),42562.84722222222)</f>
        <v>42562.84722</v>
      </c>
      <c r="J1174" s="19" t="s">
        <v>12</v>
      </c>
      <c r="K1174" s="22">
        <f t="shared" si="2"/>
        <v>0</v>
      </c>
    </row>
    <row r="1175">
      <c r="A1175" s="18">
        <v>1452.0</v>
      </c>
      <c r="B1175" s="18" t="s">
        <v>32</v>
      </c>
      <c r="C1175" s="18">
        <v>122.0</v>
      </c>
      <c r="D1175" s="18" t="s">
        <v>31</v>
      </c>
      <c r="E1175" s="26">
        <v>42563.20277777778</v>
      </c>
      <c r="F1175" s="19">
        <f>IFERROR(__xludf.DUMMYFUNCTION("IFERROR(TO_DATE(E1175), """")"),42563.20277777778)</f>
        <v>42563.20278</v>
      </c>
      <c r="G1175" s="20">
        <f t="shared" si="1"/>
        <v>4</v>
      </c>
      <c r="H1175" s="26">
        <v>42563.236805555556</v>
      </c>
      <c r="I1175" s="19">
        <f>IFERROR(__xludf.DUMMYFUNCTION("IFERROR(TO_DATE(H1175), """")"),42563.236805555556)</f>
        <v>42563.23681</v>
      </c>
      <c r="J1175" s="19" t="s">
        <v>11</v>
      </c>
      <c r="K1175" s="22">
        <f t="shared" si="2"/>
        <v>0</v>
      </c>
    </row>
    <row r="1176">
      <c r="A1176" s="18">
        <v>2507.0</v>
      </c>
      <c r="B1176" s="18" t="s">
        <v>32</v>
      </c>
      <c r="C1176" s="18">
        <v>122.0</v>
      </c>
      <c r="D1176" s="18" t="s">
        <v>31</v>
      </c>
      <c r="E1176" s="26">
        <v>42563.87847222222</v>
      </c>
      <c r="F1176" s="19">
        <f>IFERROR(__xludf.DUMMYFUNCTION("IFERROR(TO_DATE(E1176), """")"),42563.87847222222)</f>
        <v>42563.87847</v>
      </c>
      <c r="G1176" s="20">
        <f t="shared" si="1"/>
        <v>21</v>
      </c>
      <c r="H1176" s="26">
        <v>42563.895833333336</v>
      </c>
      <c r="I1176" s="19">
        <f>IFERROR(__xludf.DUMMYFUNCTION("IFERROR(TO_DATE(H1176), """")"),42563.895833333336)</f>
        <v>42563.89583</v>
      </c>
      <c r="J1176" s="19" t="s">
        <v>13</v>
      </c>
      <c r="K1176" s="22">
        <f t="shared" si="2"/>
        <v>0</v>
      </c>
    </row>
    <row r="1177">
      <c r="A1177" s="18">
        <v>3052.0</v>
      </c>
      <c r="B1177" s="18" t="s">
        <v>30</v>
      </c>
      <c r="C1177" s="18">
        <v>122.0</v>
      </c>
      <c r="D1177" s="18" t="s">
        <v>31</v>
      </c>
      <c r="E1177" s="27">
        <v>42564.3218287037</v>
      </c>
      <c r="F1177" s="19">
        <f>IFERROR(__xludf.DUMMYFUNCTION("IFERROR(TO_DATE(E1177), """")"),42564.3218287037)</f>
        <v>42564.32183</v>
      </c>
      <c r="G1177" s="20">
        <f t="shared" si="1"/>
        <v>7</v>
      </c>
      <c r="H1177" s="27">
        <v>42564.370150462964</v>
      </c>
      <c r="I1177" s="19">
        <f>IFERROR(__xludf.DUMMYFUNCTION("IFERROR(TO_DATE(H1177), """")"),42564.370150462964)</f>
        <v>42564.37015</v>
      </c>
      <c r="J1177" s="19" t="s">
        <v>11</v>
      </c>
      <c r="K1177" s="22">
        <f t="shared" si="2"/>
        <v>0</v>
      </c>
    </row>
    <row r="1178">
      <c r="A1178" s="18">
        <v>4702.0</v>
      </c>
      <c r="B1178" s="18" t="s">
        <v>30</v>
      </c>
      <c r="C1178" s="18">
        <v>122.0</v>
      </c>
      <c r="D1178" s="18" t="s">
        <v>31</v>
      </c>
      <c r="E1178" s="27">
        <v>42565.55085648148</v>
      </c>
      <c r="F1178" s="19">
        <f>IFERROR(__xludf.DUMMYFUNCTION("IFERROR(TO_DATE(E1178), """")"),42565.55085648148)</f>
        <v>42565.55086</v>
      </c>
      <c r="G1178" s="20">
        <f t="shared" si="1"/>
        <v>13</v>
      </c>
      <c r="H1178" s="27">
        <v>42565.57168981482</v>
      </c>
      <c r="I1178" s="19">
        <f>IFERROR(__xludf.DUMMYFUNCTION("IFERROR(TO_DATE(H1178), """")"),42565.57168981482)</f>
        <v>42565.57169</v>
      </c>
      <c r="J1178" s="19" t="s">
        <v>10</v>
      </c>
      <c r="K1178" s="22">
        <f t="shared" si="2"/>
        <v>0</v>
      </c>
    </row>
    <row r="1179">
      <c r="A1179" s="18">
        <v>4830.0</v>
      </c>
      <c r="B1179" s="18" t="s">
        <v>30</v>
      </c>
      <c r="C1179" s="18">
        <v>122.0</v>
      </c>
      <c r="D1179" s="18" t="s">
        <v>31</v>
      </c>
      <c r="E1179" s="27">
        <v>42565.7246875</v>
      </c>
      <c r="F1179" s="19">
        <f>IFERROR(__xludf.DUMMYFUNCTION("IFERROR(TO_DATE(E1179), """")"),42565.7246875)</f>
        <v>42565.72469</v>
      </c>
      <c r="G1179" s="20">
        <f t="shared" si="1"/>
        <v>17</v>
      </c>
      <c r="H1179" s="27">
        <v>42565.77508101852</v>
      </c>
      <c r="I1179" s="19">
        <f>IFERROR(__xludf.DUMMYFUNCTION("IFERROR(TO_DATE(H1179), """")"),42565.77508101852)</f>
        <v>42565.77508</v>
      </c>
      <c r="J1179" s="19" t="s">
        <v>12</v>
      </c>
      <c r="K1179" s="22">
        <f t="shared" si="2"/>
        <v>0</v>
      </c>
    </row>
    <row r="1180">
      <c r="A1180" s="18">
        <v>5920.0</v>
      </c>
      <c r="B1180" s="18" t="s">
        <v>30</v>
      </c>
      <c r="C1180" s="18">
        <v>122.0</v>
      </c>
      <c r="D1180" s="18" t="s">
        <v>31</v>
      </c>
      <c r="E1180" s="27">
        <v>42566.42107638889</v>
      </c>
      <c r="F1180" s="19">
        <f>IFERROR(__xludf.DUMMYFUNCTION("IFERROR(TO_DATE(E1180), """")"),42566.42107638889)</f>
        <v>42566.42108</v>
      </c>
      <c r="G1180" s="20">
        <f t="shared" si="1"/>
        <v>10</v>
      </c>
      <c r="H1180" s="27">
        <v>42566.445601851854</v>
      </c>
      <c r="I1180" s="19">
        <f>IFERROR(__xludf.DUMMYFUNCTION("IFERROR(TO_DATE(H1180), """")"),42566.445601851854)</f>
        <v>42566.4456</v>
      </c>
      <c r="J1180" s="19" t="s">
        <v>14</v>
      </c>
      <c r="K1180" s="22">
        <f t="shared" si="2"/>
        <v>0</v>
      </c>
    </row>
    <row r="1181">
      <c r="A1181" s="18">
        <v>533.0</v>
      </c>
      <c r="B1181" s="18" t="s">
        <v>30</v>
      </c>
      <c r="C1181" s="18">
        <v>123.0</v>
      </c>
      <c r="D1181" s="18" t="s">
        <v>31</v>
      </c>
      <c r="E1181" s="26">
        <v>42562.413194444445</v>
      </c>
      <c r="F1181" s="19">
        <f>IFERROR(__xludf.DUMMYFUNCTION("IFERROR(TO_DATE(E1181), """")"),42562.413194444445)</f>
        <v>42562.41319</v>
      </c>
      <c r="G1181" s="20">
        <f t="shared" si="1"/>
        <v>9</v>
      </c>
      <c r="H1181" s="26">
        <v>42562.45694444444</v>
      </c>
      <c r="I1181" s="19">
        <f>IFERROR(__xludf.DUMMYFUNCTION("IFERROR(TO_DATE(H1181), """")"),42562.45694444444)</f>
        <v>42562.45694</v>
      </c>
      <c r="J1181" s="19" t="s">
        <v>14</v>
      </c>
      <c r="K1181" s="22">
        <f t="shared" si="2"/>
        <v>0</v>
      </c>
    </row>
    <row r="1182">
      <c r="A1182" s="18">
        <v>1368.0</v>
      </c>
      <c r="B1182" s="18" t="s">
        <v>32</v>
      </c>
      <c r="C1182" s="18">
        <v>123.0</v>
      </c>
      <c r="D1182" s="18" t="s">
        <v>31</v>
      </c>
      <c r="E1182" s="26">
        <v>42563.00486111111</v>
      </c>
      <c r="F1182" s="19">
        <f>IFERROR(__xludf.DUMMYFUNCTION("IFERROR(TO_DATE(E1182), """")"),42563.00486111111)</f>
        <v>42563.00486</v>
      </c>
      <c r="G1182" s="20">
        <f t="shared" si="1"/>
        <v>0</v>
      </c>
      <c r="H1182" s="26">
        <v>42563.03472222222</v>
      </c>
      <c r="I1182" s="19">
        <f>IFERROR(__xludf.DUMMYFUNCTION("IFERROR(TO_DATE(H1182), """")"),42563.03472222222)</f>
        <v>42563.03472</v>
      </c>
      <c r="J1182" s="19" t="s">
        <v>15</v>
      </c>
      <c r="K1182" s="22">
        <f t="shared" si="2"/>
        <v>0</v>
      </c>
    </row>
    <row r="1183">
      <c r="A1183" s="18">
        <v>2499.0</v>
      </c>
      <c r="B1183" s="18" t="s">
        <v>30</v>
      </c>
      <c r="C1183" s="18">
        <v>123.0</v>
      </c>
      <c r="D1183" s="18" t="s">
        <v>31</v>
      </c>
      <c r="E1183" s="26">
        <v>42563.87152777778</v>
      </c>
      <c r="F1183" s="19">
        <f>IFERROR(__xludf.DUMMYFUNCTION("IFERROR(TO_DATE(E1183), """")"),42563.87152777778)</f>
        <v>42563.87153</v>
      </c>
      <c r="G1183" s="20">
        <f t="shared" si="1"/>
        <v>20</v>
      </c>
      <c r="H1183" s="26">
        <v>42563.91875</v>
      </c>
      <c r="I1183" s="19">
        <f>IFERROR(__xludf.DUMMYFUNCTION("IFERROR(TO_DATE(H1183), """")"),42563.91875)</f>
        <v>42563.91875</v>
      </c>
      <c r="J1183" s="19" t="s">
        <v>13</v>
      </c>
      <c r="K1183" s="22">
        <f t="shared" si="2"/>
        <v>0</v>
      </c>
    </row>
    <row r="1184">
      <c r="A1184" s="18">
        <v>2962.0</v>
      </c>
      <c r="B1184" s="18" t="s">
        <v>32</v>
      </c>
      <c r="C1184" s="18">
        <v>123.0</v>
      </c>
      <c r="D1184" s="18" t="s">
        <v>31</v>
      </c>
      <c r="E1184" s="27">
        <v>42564.28325231482</v>
      </c>
      <c r="F1184" s="19">
        <f>IFERROR(__xludf.DUMMYFUNCTION("IFERROR(TO_DATE(E1184), """")"),42564.28325231482)</f>
        <v>42564.28325</v>
      </c>
      <c r="G1184" s="20">
        <f t="shared" si="1"/>
        <v>6</v>
      </c>
      <c r="H1184" s="27">
        <v>42564.332337962966</v>
      </c>
      <c r="I1184" s="19">
        <f>IFERROR(__xludf.DUMMYFUNCTION("IFERROR(TO_DATE(H1184), """")"),42564.332337962966)</f>
        <v>42564.33234</v>
      </c>
      <c r="J1184" s="19" t="s">
        <v>11</v>
      </c>
      <c r="K1184" s="22">
        <f t="shared" si="2"/>
        <v>0</v>
      </c>
    </row>
    <row r="1185">
      <c r="A1185" s="18">
        <v>3617.0</v>
      </c>
      <c r="B1185" s="18" t="s">
        <v>30</v>
      </c>
      <c r="C1185" s="18">
        <v>123.0</v>
      </c>
      <c r="D1185" s="18" t="s">
        <v>31</v>
      </c>
      <c r="E1185" s="27">
        <v>42564.78834490741</v>
      </c>
      <c r="F1185" s="19">
        <f>IFERROR(__xludf.DUMMYFUNCTION("IFERROR(TO_DATE(E1185), """")"),42564.78834490741)</f>
        <v>42564.78834</v>
      </c>
      <c r="G1185" s="20">
        <f t="shared" si="1"/>
        <v>18</v>
      </c>
      <c r="H1185" s="27">
        <v>42564.838530092595</v>
      </c>
      <c r="I1185" s="19">
        <f>IFERROR(__xludf.DUMMYFUNCTION("IFERROR(TO_DATE(H1185), """")"),42564.838530092595)</f>
        <v>42564.83853</v>
      </c>
      <c r="J1185" s="19" t="s">
        <v>12</v>
      </c>
      <c r="K1185" s="22">
        <f t="shared" si="2"/>
        <v>0</v>
      </c>
    </row>
    <row r="1186">
      <c r="A1186" s="18">
        <v>5370.0</v>
      </c>
      <c r="B1186" s="18" t="s">
        <v>32</v>
      </c>
      <c r="C1186" s="18">
        <v>123.0</v>
      </c>
      <c r="D1186" s="18" t="s">
        <v>31</v>
      </c>
      <c r="E1186" s="27">
        <v>42565.988530092596</v>
      </c>
      <c r="F1186" s="19">
        <f>IFERROR(__xludf.DUMMYFUNCTION("IFERROR(TO_DATE(E1186), """")"),42565.988530092596)</f>
        <v>42565.98853</v>
      </c>
      <c r="G1186" s="20">
        <f t="shared" si="1"/>
        <v>23</v>
      </c>
      <c r="H1186" s="27">
        <v>42566.023356481484</v>
      </c>
      <c r="I1186" s="19">
        <f>IFERROR(__xludf.DUMMYFUNCTION("IFERROR(TO_DATE(H1186), """")"),42566.023356481484)</f>
        <v>42566.02336</v>
      </c>
      <c r="J1186" s="19" t="s">
        <v>13</v>
      </c>
      <c r="K1186" s="22">
        <f t="shared" si="2"/>
        <v>0</v>
      </c>
    </row>
    <row r="1187">
      <c r="A1187" s="18">
        <v>47.0</v>
      </c>
      <c r="B1187" s="18" t="s">
        <v>32</v>
      </c>
      <c r="C1187" s="18">
        <v>124.0</v>
      </c>
      <c r="D1187" s="18" t="s">
        <v>31</v>
      </c>
      <c r="E1187" s="26">
        <v>42562.14027777778</v>
      </c>
      <c r="F1187" s="19">
        <f>IFERROR(__xludf.DUMMYFUNCTION("IFERROR(TO_DATE(E1187), """")"),42562.14027777778)</f>
        <v>42562.14028</v>
      </c>
      <c r="G1187" s="20">
        <f t="shared" si="1"/>
        <v>3</v>
      </c>
      <c r="H1187" s="26">
        <v>42562.19097222222</v>
      </c>
      <c r="I1187" s="19">
        <f>IFERROR(__xludf.DUMMYFUNCTION("IFERROR(TO_DATE(H1187), """")"),42562.19097222222)</f>
        <v>42562.19097</v>
      </c>
      <c r="J1187" s="19" t="s">
        <v>15</v>
      </c>
      <c r="K1187" s="22">
        <f t="shared" si="2"/>
        <v>0</v>
      </c>
    </row>
    <row r="1188">
      <c r="A1188" s="18">
        <v>270.0</v>
      </c>
      <c r="B1188" s="18" t="s">
        <v>32</v>
      </c>
      <c r="C1188" s="18">
        <v>124.0</v>
      </c>
      <c r="D1188" s="18" t="s">
        <v>31</v>
      </c>
      <c r="E1188" s="26">
        <v>42562.2875</v>
      </c>
      <c r="F1188" s="19">
        <f>IFERROR(__xludf.DUMMYFUNCTION("IFERROR(TO_DATE(E1188), """")"),42562.2875)</f>
        <v>42562.2875</v>
      </c>
      <c r="G1188" s="20">
        <f t="shared" si="1"/>
        <v>6</v>
      </c>
      <c r="H1188" s="26">
        <v>42562.32638888889</v>
      </c>
      <c r="I1188" s="19">
        <f>IFERROR(__xludf.DUMMYFUNCTION("IFERROR(TO_DATE(H1188), """")"),42562.32638888889)</f>
        <v>42562.32639</v>
      </c>
      <c r="J1188" s="19" t="s">
        <v>11</v>
      </c>
      <c r="K1188" s="22">
        <f t="shared" si="2"/>
        <v>0</v>
      </c>
    </row>
    <row r="1189">
      <c r="A1189" s="18">
        <v>1007.0</v>
      </c>
      <c r="B1189" s="18" t="s">
        <v>32</v>
      </c>
      <c r="C1189" s="18">
        <v>124.0</v>
      </c>
      <c r="D1189" s="18" t="s">
        <v>31</v>
      </c>
      <c r="E1189" s="26">
        <v>42562.80138888889</v>
      </c>
      <c r="F1189" s="19">
        <f>IFERROR(__xludf.DUMMYFUNCTION("IFERROR(TO_DATE(E1189), """")"),42562.80138888889)</f>
        <v>42562.80139</v>
      </c>
      <c r="G1189" s="20">
        <f t="shared" si="1"/>
        <v>19</v>
      </c>
      <c r="H1189" s="26">
        <v>42562.82361111111</v>
      </c>
      <c r="I1189" s="19">
        <f>IFERROR(__xludf.DUMMYFUNCTION("IFERROR(TO_DATE(H1189), """")"),42562.82361111111)</f>
        <v>42562.82361</v>
      </c>
      <c r="J1189" s="19" t="s">
        <v>12</v>
      </c>
      <c r="K1189" s="22">
        <f t="shared" si="2"/>
        <v>0</v>
      </c>
    </row>
    <row r="1190">
      <c r="A1190" s="18">
        <v>2372.0</v>
      </c>
      <c r="B1190" s="18" t="s">
        <v>32</v>
      </c>
      <c r="C1190" s="18">
        <v>124.0</v>
      </c>
      <c r="D1190" s="18" t="s">
        <v>31</v>
      </c>
      <c r="E1190" s="26">
        <v>42563.81597222222</v>
      </c>
      <c r="F1190" s="19">
        <f>IFERROR(__xludf.DUMMYFUNCTION("IFERROR(TO_DATE(E1190), """")"),42563.81597222222)</f>
        <v>42563.81597</v>
      </c>
      <c r="G1190" s="20">
        <f t="shared" si="1"/>
        <v>19</v>
      </c>
      <c r="H1190" s="26">
        <v>42563.842361111114</v>
      </c>
      <c r="I1190" s="19">
        <f>IFERROR(__xludf.DUMMYFUNCTION("IFERROR(TO_DATE(H1190), """")"),42563.842361111114)</f>
        <v>42563.84236</v>
      </c>
      <c r="J1190" s="19" t="s">
        <v>12</v>
      </c>
      <c r="K1190" s="22">
        <f t="shared" si="2"/>
        <v>0</v>
      </c>
    </row>
    <row r="1191">
      <c r="A1191" s="18">
        <v>3584.0</v>
      </c>
      <c r="B1191" s="18" t="s">
        <v>30</v>
      </c>
      <c r="C1191" s="18">
        <v>124.0</v>
      </c>
      <c r="D1191" s="18" t="s">
        <v>31</v>
      </c>
      <c r="E1191" s="27">
        <v>42564.77065972222</v>
      </c>
      <c r="F1191" s="19">
        <f>IFERROR(__xludf.DUMMYFUNCTION("IFERROR(TO_DATE(E1191), """")"),42564.77065972222)</f>
        <v>42564.77066</v>
      </c>
      <c r="G1191" s="20">
        <f t="shared" si="1"/>
        <v>18</v>
      </c>
      <c r="H1191" s="27">
        <v>42564.8178125</v>
      </c>
      <c r="I1191" s="19">
        <f>IFERROR(__xludf.DUMMYFUNCTION("IFERROR(TO_DATE(H1191), """")"),42564.8178125)</f>
        <v>42564.81781</v>
      </c>
      <c r="J1191" s="19" t="s">
        <v>12</v>
      </c>
      <c r="K1191" s="22">
        <f t="shared" si="2"/>
        <v>0</v>
      </c>
    </row>
    <row r="1192">
      <c r="A1192" s="18">
        <v>4645.0</v>
      </c>
      <c r="B1192" s="18" t="s">
        <v>30</v>
      </c>
      <c r="C1192" s="18">
        <v>124.0</v>
      </c>
      <c r="D1192" s="18" t="s">
        <v>31</v>
      </c>
      <c r="E1192" s="27">
        <v>42565.4900462963</v>
      </c>
      <c r="F1192" s="19">
        <f>IFERROR(__xludf.DUMMYFUNCTION("IFERROR(TO_DATE(E1192), """")"),42565.4900462963)</f>
        <v>42565.49005</v>
      </c>
      <c r="G1192" s="20">
        <f t="shared" si="1"/>
        <v>11</v>
      </c>
      <c r="H1192" s="27">
        <v>42565.536412037036</v>
      </c>
      <c r="I1192" s="19">
        <f>IFERROR(__xludf.DUMMYFUNCTION("IFERROR(TO_DATE(H1192), """")"),42565.536412037036)</f>
        <v>42565.53641</v>
      </c>
      <c r="J1192" s="19" t="s">
        <v>14</v>
      </c>
      <c r="K1192" s="22">
        <f t="shared" si="2"/>
        <v>0</v>
      </c>
    </row>
    <row r="1193">
      <c r="A1193" s="18">
        <v>5219.0</v>
      </c>
      <c r="B1193" s="18" t="s">
        <v>32</v>
      </c>
      <c r="C1193" s="18">
        <v>124.0</v>
      </c>
      <c r="D1193" s="18" t="s">
        <v>31</v>
      </c>
      <c r="E1193" s="27">
        <v>42565.87540509259</v>
      </c>
      <c r="F1193" s="19">
        <f>IFERROR(__xludf.DUMMYFUNCTION("IFERROR(TO_DATE(E1193), """")"),42565.87540509259)</f>
        <v>42565.87541</v>
      </c>
      <c r="G1193" s="20">
        <f t="shared" si="1"/>
        <v>21</v>
      </c>
      <c r="H1193" s="27">
        <v>42565.9203587963</v>
      </c>
      <c r="I1193" s="19">
        <f>IFERROR(__xludf.DUMMYFUNCTION("IFERROR(TO_DATE(H1193), """")"),42565.9203587963)</f>
        <v>42565.92036</v>
      </c>
      <c r="J1193" s="19" t="s">
        <v>13</v>
      </c>
      <c r="K1193" s="22">
        <f t="shared" si="2"/>
        <v>0</v>
      </c>
    </row>
    <row r="1194">
      <c r="A1194" s="18">
        <v>5559.0</v>
      </c>
      <c r="B1194" s="18" t="s">
        <v>30</v>
      </c>
      <c r="C1194" s="18">
        <v>124.0</v>
      </c>
      <c r="D1194" s="18" t="s">
        <v>31</v>
      </c>
      <c r="E1194" s="27">
        <v>42566.2358912037</v>
      </c>
      <c r="F1194" s="19">
        <f>IFERROR(__xludf.DUMMYFUNCTION("IFERROR(TO_DATE(E1194), """")"),42566.2358912037)</f>
        <v>42566.23589</v>
      </c>
      <c r="G1194" s="20">
        <f t="shared" si="1"/>
        <v>5</v>
      </c>
      <c r="H1194" s="27">
        <v>42566.28619212963</v>
      </c>
      <c r="I1194" s="19">
        <f>IFERROR(__xludf.DUMMYFUNCTION("IFERROR(TO_DATE(H1194), """")"),42566.28619212963)</f>
        <v>42566.28619</v>
      </c>
      <c r="J1194" s="19" t="s">
        <v>11</v>
      </c>
      <c r="K1194" s="22">
        <f t="shared" si="2"/>
        <v>0</v>
      </c>
    </row>
    <row r="1195">
      <c r="A1195" s="18">
        <v>631.0</v>
      </c>
      <c r="B1195" s="18" t="s">
        <v>30</v>
      </c>
      <c r="C1195" s="18">
        <v>125.0</v>
      </c>
      <c r="D1195" s="18" t="s">
        <v>31</v>
      </c>
      <c r="E1195" s="26">
        <v>42562.513194444444</v>
      </c>
      <c r="F1195" s="19">
        <f>IFERROR(__xludf.DUMMYFUNCTION("IFERROR(TO_DATE(E1195), """")"),42562.513194444444)</f>
        <v>42562.51319</v>
      </c>
      <c r="G1195" s="20">
        <f t="shared" si="1"/>
        <v>12</v>
      </c>
      <c r="H1195" s="26">
        <v>42562.561111111114</v>
      </c>
      <c r="I1195" s="19">
        <f>IFERROR(__xludf.DUMMYFUNCTION("IFERROR(TO_DATE(H1195), """")"),42562.561111111114)</f>
        <v>42562.56111</v>
      </c>
      <c r="J1195" s="19" t="s">
        <v>10</v>
      </c>
      <c r="K1195" s="22">
        <f t="shared" si="2"/>
        <v>0</v>
      </c>
    </row>
    <row r="1196">
      <c r="A1196" s="18">
        <v>775.0</v>
      </c>
      <c r="B1196" s="18" t="s">
        <v>32</v>
      </c>
      <c r="C1196" s="18">
        <v>125.0</v>
      </c>
      <c r="D1196" s="18" t="s">
        <v>31</v>
      </c>
      <c r="E1196" s="26">
        <v>42562.68680555555</v>
      </c>
      <c r="F1196" s="19">
        <f>IFERROR(__xludf.DUMMYFUNCTION("IFERROR(TO_DATE(E1196), """")"),42562.68680555555)</f>
        <v>42562.68681</v>
      </c>
      <c r="G1196" s="20">
        <f t="shared" si="1"/>
        <v>16</v>
      </c>
      <c r="H1196" s="26">
        <v>42562.73263888889</v>
      </c>
      <c r="I1196" s="19">
        <f>IFERROR(__xludf.DUMMYFUNCTION("IFERROR(TO_DATE(H1196), """")"),42562.73263888889)</f>
        <v>42562.73264</v>
      </c>
      <c r="J1196" s="19" t="s">
        <v>12</v>
      </c>
      <c r="K1196" s="22">
        <f t="shared" si="2"/>
        <v>0</v>
      </c>
    </row>
    <row r="1197">
      <c r="A1197" s="18">
        <v>1006.0</v>
      </c>
      <c r="B1197" s="18" t="s">
        <v>30</v>
      </c>
      <c r="C1197" s="18">
        <v>125.0</v>
      </c>
      <c r="D1197" s="18" t="s">
        <v>31</v>
      </c>
      <c r="E1197" s="26">
        <v>42562.79722222222</v>
      </c>
      <c r="F1197" s="19">
        <f>IFERROR(__xludf.DUMMYFUNCTION("IFERROR(TO_DATE(E1197), """")"),42562.79722222222)</f>
        <v>42562.79722</v>
      </c>
      <c r="G1197" s="20">
        <f t="shared" si="1"/>
        <v>19</v>
      </c>
      <c r="H1197" s="26">
        <v>42562.819444444445</v>
      </c>
      <c r="I1197" s="19">
        <f>IFERROR(__xludf.DUMMYFUNCTION("IFERROR(TO_DATE(H1197), """")"),42562.819444444445)</f>
        <v>42562.81944</v>
      </c>
      <c r="J1197" s="19" t="s">
        <v>12</v>
      </c>
      <c r="K1197" s="22">
        <f t="shared" si="2"/>
        <v>0</v>
      </c>
    </row>
    <row r="1198">
      <c r="A1198" s="18">
        <v>1995.0</v>
      </c>
      <c r="B1198" s="18" t="s">
        <v>32</v>
      </c>
      <c r="C1198" s="18">
        <v>125.0</v>
      </c>
      <c r="D1198" s="18" t="s">
        <v>31</v>
      </c>
      <c r="E1198" s="26">
        <v>42563.535416666666</v>
      </c>
      <c r="F1198" s="19">
        <f>IFERROR(__xludf.DUMMYFUNCTION("IFERROR(TO_DATE(E1198), """")"),42563.535416666666)</f>
        <v>42563.53542</v>
      </c>
      <c r="G1198" s="20">
        <f t="shared" si="1"/>
        <v>12</v>
      </c>
      <c r="H1198" s="26">
        <v>42563.584027777775</v>
      </c>
      <c r="I1198" s="19">
        <f>IFERROR(__xludf.DUMMYFUNCTION("IFERROR(TO_DATE(H1198), """")"),42563.584027777775)</f>
        <v>42563.58403</v>
      </c>
      <c r="J1198" s="19" t="s">
        <v>10</v>
      </c>
      <c r="K1198" s="22">
        <f t="shared" si="2"/>
        <v>0</v>
      </c>
    </row>
    <row r="1199">
      <c r="A1199" s="18">
        <v>2248.0</v>
      </c>
      <c r="B1199" s="18" t="s">
        <v>32</v>
      </c>
      <c r="C1199" s="18">
        <v>125.0</v>
      </c>
      <c r="D1199" s="18" t="s">
        <v>31</v>
      </c>
      <c r="E1199" s="26">
        <v>42563.76597222222</v>
      </c>
      <c r="F1199" s="19">
        <f>IFERROR(__xludf.DUMMYFUNCTION("IFERROR(TO_DATE(E1199), """")"),42563.76597222222)</f>
        <v>42563.76597</v>
      </c>
      <c r="G1199" s="20">
        <f t="shared" si="1"/>
        <v>18</v>
      </c>
      <c r="H1199" s="26">
        <v>42563.79236111111</v>
      </c>
      <c r="I1199" s="19">
        <f>IFERROR(__xludf.DUMMYFUNCTION("IFERROR(TO_DATE(H1199), """")"),42563.79236111111)</f>
        <v>42563.79236</v>
      </c>
      <c r="J1199" s="19" t="s">
        <v>12</v>
      </c>
      <c r="K1199" s="22">
        <f t="shared" si="2"/>
        <v>0</v>
      </c>
    </row>
    <row r="1200">
      <c r="A1200" s="18">
        <v>2540.0</v>
      </c>
      <c r="B1200" s="18" t="s">
        <v>30</v>
      </c>
      <c r="C1200" s="18">
        <v>125.0</v>
      </c>
      <c r="D1200" s="18" t="s">
        <v>31</v>
      </c>
      <c r="E1200" s="26">
        <v>42563.885416666664</v>
      </c>
      <c r="F1200" s="19">
        <f>IFERROR(__xludf.DUMMYFUNCTION("IFERROR(TO_DATE(E1200), """")"),42563.885416666664)</f>
        <v>42563.88542</v>
      </c>
      <c r="G1200" s="20">
        <f t="shared" si="1"/>
        <v>21</v>
      </c>
      <c r="H1200" s="26">
        <v>42563.91736111111</v>
      </c>
      <c r="I1200" s="19">
        <f>IFERROR(__xludf.DUMMYFUNCTION("IFERROR(TO_DATE(H1200), """")"),42563.91736111111)</f>
        <v>42563.91736</v>
      </c>
      <c r="J1200" s="19" t="s">
        <v>13</v>
      </c>
      <c r="K1200" s="22">
        <f t="shared" si="2"/>
        <v>0</v>
      </c>
    </row>
    <row r="1201">
      <c r="A1201" s="18">
        <v>3037.0</v>
      </c>
      <c r="B1201" s="18" t="s">
        <v>30</v>
      </c>
      <c r="C1201" s="18">
        <v>125.0</v>
      </c>
      <c r="D1201" s="18" t="s">
        <v>31</v>
      </c>
      <c r="E1201" s="27">
        <v>42564.314837962964</v>
      </c>
      <c r="F1201" s="19">
        <f>IFERROR(__xludf.DUMMYFUNCTION("IFERROR(TO_DATE(E1201), """")"),42564.314837962964)</f>
        <v>42564.31484</v>
      </c>
      <c r="G1201" s="20">
        <f t="shared" si="1"/>
        <v>7</v>
      </c>
      <c r="H1201" s="27">
        <v>42564.35212962963</v>
      </c>
      <c r="I1201" s="19">
        <f>IFERROR(__xludf.DUMMYFUNCTION("IFERROR(TO_DATE(H1201), """")"),42564.35212962963)</f>
        <v>42564.35213</v>
      </c>
      <c r="J1201" s="19" t="s">
        <v>11</v>
      </c>
      <c r="K1201" s="22">
        <f t="shared" si="2"/>
        <v>0</v>
      </c>
    </row>
    <row r="1202">
      <c r="A1202" s="18">
        <v>3419.0</v>
      </c>
      <c r="B1202" s="18" t="s">
        <v>30</v>
      </c>
      <c r="C1202" s="18">
        <v>125.0</v>
      </c>
      <c r="D1202" s="18" t="s">
        <v>31</v>
      </c>
      <c r="E1202" s="27">
        <v>42564.65451388889</v>
      </c>
      <c r="F1202" s="19">
        <f>IFERROR(__xludf.DUMMYFUNCTION("IFERROR(TO_DATE(E1202), """")"),42564.65451388889)</f>
        <v>42564.65451</v>
      </c>
      <c r="G1202" s="20">
        <f t="shared" si="1"/>
        <v>15</v>
      </c>
      <c r="H1202" s="27">
        <v>42564.6740162037</v>
      </c>
      <c r="I1202" s="19">
        <f>IFERROR(__xludf.DUMMYFUNCTION("IFERROR(TO_DATE(H1202), """")"),42564.6740162037)</f>
        <v>42564.67402</v>
      </c>
      <c r="J1202" s="19" t="s">
        <v>10</v>
      </c>
      <c r="K1202" s="22">
        <f t="shared" si="2"/>
        <v>0</v>
      </c>
    </row>
    <row r="1203">
      <c r="A1203" s="18">
        <v>3987.0</v>
      </c>
      <c r="B1203" s="18" t="s">
        <v>32</v>
      </c>
      <c r="C1203" s="18">
        <v>125.0</v>
      </c>
      <c r="D1203" s="18" t="s">
        <v>31</v>
      </c>
      <c r="E1203" s="27">
        <v>42564.97101851852</v>
      </c>
      <c r="F1203" s="19">
        <f>IFERROR(__xludf.DUMMYFUNCTION("IFERROR(TO_DATE(E1203), """")"),42564.97101851852)</f>
        <v>42564.97102</v>
      </c>
      <c r="G1203" s="20">
        <f t="shared" si="1"/>
        <v>23</v>
      </c>
      <c r="H1203" s="27">
        <v>42564.99796296296</v>
      </c>
      <c r="I1203" s="19">
        <f>IFERROR(__xludf.DUMMYFUNCTION("IFERROR(TO_DATE(H1203), """")"),42564.99796296296)</f>
        <v>42564.99796</v>
      </c>
      <c r="J1203" s="19" t="s">
        <v>13</v>
      </c>
      <c r="K1203" s="22">
        <f t="shared" si="2"/>
        <v>0</v>
      </c>
    </row>
    <row r="1204">
      <c r="A1204" s="18">
        <v>4458.0</v>
      </c>
      <c r="B1204" s="18" t="s">
        <v>32</v>
      </c>
      <c r="C1204" s="18">
        <v>125.0</v>
      </c>
      <c r="D1204" s="18" t="s">
        <v>31</v>
      </c>
      <c r="E1204" s="27">
        <v>42565.3599537037</v>
      </c>
      <c r="F1204" s="19">
        <f>IFERROR(__xludf.DUMMYFUNCTION("IFERROR(TO_DATE(E1204), """")"),42565.3599537037)</f>
        <v>42565.35995</v>
      </c>
      <c r="G1204" s="20">
        <f t="shared" si="1"/>
        <v>8</v>
      </c>
      <c r="H1204" s="27">
        <v>42565.40605324074</v>
      </c>
      <c r="I1204" s="19">
        <f>IFERROR(__xludf.DUMMYFUNCTION("IFERROR(TO_DATE(H1204), """")"),42565.40605324074)</f>
        <v>42565.40605</v>
      </c>
      <c r="J1204" s="19" t="s">
        <v>14</v>
      </c>
      <c r="K1204" s="22">
        <f t="shared" si="2"/>
        <v>0</v>
      </c>
    </row>
    <row r="1205">
      <c r="A1205" s="18">
        <v>4987.0</v>
      </c>
      <c r="B1205" s="18" t="s">
        <v>30</v>
      </c>
      <c r="C1205" s="18">
        <v>125.0</v>
      </c>
      <c r="D1205" s="18" t="s">
        <v>31</v>
      </c>
      <c r="E1205" s="27">
        <v>42565.78204861111</v>
      </c>
      <c r="F1205" s="19">
        <f>IFERROR(__xludf.DUMMYFUNCTION("IFERROR(TO_DATE(E1205), """")"),42565.78204861111)</f>
        <v>42565.78205</v>
      </c>
      <c r="G1205" s="20">
        <f t="shared" si="1"/>
        <v>18</v>
      </c>
      <c r="H1205" s="27">
        <v>42565.82818287037</v>
      </c>
      <c r="I1205" s="19">
        <f>IFERROR(__xludf.DUMMYFUNCTION("IFERROR(TO_DATE(H1205), """")"),42565.82818287037)</f>
        <v>42565.82818</v>
      </c>
      <c r="J1205" s="19" t="s">
        <v>12</v>
      </c>
      <c r="K1205" s="22">
        <f t="shared" si="2"/>
        <v>0</v>
      </c>
    </row>
    <row r="1206">
      <c r="A1206" s="18">
        <v>5868.0</v>
      </c>
      <c r="B1206" s="18" t="s">
        <v>32</v>
      </c>
      <c r="C1206" s="18">
        <v>125.0</v>
      </c>
      <c r="D1206" s="18" t="s">
        <v>31</v>
      </c>
      <c r="E1206" s="27">
        <v>42566.38618055556</v>
      </c>
      <c r="F1206" s="19">
        <f>IFERROR(__xludf.DUMMYFUNCTION("IFERROR(TO_DATE(E1206), """")"),42566.38618055556)</f>
        <v>42566.38618</v>
      </c>
      <c r="G1206" s="20">
        <f t="shared" si="1"/>
        <v>9</v>
      </c>
      <c r="H1206" s="27">
        <v>42566.44075231482</v>
      </c>
      <c r="I1206" s="19">
        <f>IFERROR(__xludf.DUMMYFUNCTION("IFERROR(TO_DATE(H1206), """")"),42566.44075231482)</f>
        <v>42566.44075</v>
      </c>
      <c r="J1206" s="19" t="s">
        <v>14</v>
      </c>
      <c r="K1206" s="22">
        <f t="shared" si="2"/>
        <v>0</v>
      </c>
    </row>
    <row r="1207">
      <c r="A1207" s="18">
        <v>6413.0</v>
      </c>
      <c r="B1207" s="18" t="s">
        <v>30</v>
      </c>
      <c r="C1207" s="18">
        <v>125.0</v>
      </c>
      <c r="D1207" s="18" t="s">
        <v>31</v>
      </c>
      <c r="E1207" s="27">
        <v>42566.81974537037</v>
      </c>
      <c r="F1207" s="19">
        <f>IFERROR(__xludf.DUMMYFUNCTION("IFERROR(TO_DATE(E1207), """")"),42566.81974537037)</f>
        <v>42566.81975</v>
      </c>
      <c r="G1207" s="20">
        <f t="shared" si="1"/>
        <v>19</v>
      </c>
      <c r="H1207" s="27">
        <v>42566.84599537037</v>
      </c>
      <c r="I1207" s="19">
        <f>IFERROR(__xludf.DUMMYFUNCTION("IFERROR(TO_DATE(H1207), """")"),42566.84599537037)</f>
        <v>42566.846</v>
      </c>
      <c r="J1207" s="19" t="s">
        <v>12</v>
      </c>
      <c r="K1207" s="22">
        <f t="shared" si="2"/>
        <v>0</v>
      </c>
    </row>
    <row r="1208">
      <c r="A1208" s="18">
        <v>6533.0</v>
      </c>
      <c r="B1208" s="18" t="s">
        <v>32</v>
      </c>
      <c r="C1208" s="18">
        <v>125.0</v>
      </c>
      <c r="D1208" s="18" t="s">
        <v>31</v>
      </c>
      <c r="E1208" s="27">
        <v>42566.87</v>
      </c>
      <c r="F1208" s="19">
        <f>IFERROR(__xludf.DUMMYFUNCTION("IFERROR(TO_DATE(E1208), """")"),42566.87)</f>
        <v>42566.87</v>
      </c>
      <c r="G1208" s="20">
        <f t="shared" si="1"/>
        <v>20</v>
      </c>
      <c r="H1208" s="27">
        <v>42566.89265046296</v>
      </c>
      <c r="I1208" s="19">
        <f>IFERROR(__xludf.DUMMYFUNCTION("IFERROR(TO_DATE(H1208), """")"),42566.89265046296)</f>
        <v>42566.89265</v>
      </c>
      <c r="J1208" s="19" t="s">
        <v>13</v>
      </c>
      <c r="K1208" s="22">
        <f t="shared" si="2"/>
        <v>0</v>
      </c>
    </row>
    <row r="1209">
      <c r="A1209" s="18">
        <v>90.0</v>
      </c>
      <c r="B1209" s="18" t="s">
        <v>30</v>
      </c>
      <c r="C1209" s="18">
        <v>126.0</v>
      </c>
      <c r="D1209" s="18" t="s">
        <v>31</v>
      </c>
      <c r="E1209" s="26">
        <v>42562.20347222222</v>
      </c>
      <c r="F1209" s="19">
        <f>IFERROR(__xludf.DUMMYFUNCTION("IFERROR(TO_DATE(E1209), """")"),42562.20347222222)</f>
        <v>42562.20347</v>
      </c>
      <c r="G1209" s="20">
        <f t="shared" si="1"/>
        <v>4</v>
      </c>
      <c r="H1209" s="26">
        <v>42562.231944444444</v>
      </c>
      <c r="I1209" s="19">
        <f>IFERROR(__xludf.DUMMYFUNCTION("IFERROR(TO_DATE(H1209), """")"),42562.231944444444)</f>
        <v>42562.23194</v>
      </c>
      <c r="J1209" s="19" t="s">
        <v>11</v>
      </c>
      <c r="K1209" s="22">
        <f t="shared" si="2"/>
        <v>0</v>
      </c>
    </row>
    <row r="1210">
      <c r="A1210" s="18">
        <v>532.0</v>
      </c>
      <c r="B1210" s="18" t="s">
        <v>32</v>
      </c>
      <c r="C1210" s="18">
        <v>126.0</v>
      </c>
      <c r="D1210" s="18" t="s">
        <v>31</v>
      </c>
      <c r="E1210" s="26">
        <v>42562.41180555556</v>
      </c>
      <c r="F1210" s="19">
        <f>IFERROR(__xludf.DUMMYFUNCTION("IFERROR(TO_DATE(E1210), """")"),42562.41180555556)</f>
        <v>42562.41181</v>
      </c>
      <c r="G1210" s="20">
        <f t="shared" si="1"/>
        <v>9</v>
      </c>
      <c r="H1210" s="26">
        <v>42562.46597222222</v>
      </c>
      <c r="I1210" s="19">
        <f>IFERROR(__xludf.DUMMYFUNCTION("IFERROR(TO_DATE(H1210), """")"),42562.46597222222)</f>
        <v>42562.46597</v>
      </c>
      <c r="J1210" s="19" t="s">
        <v>14</v>
      </c>
      <c r="K1210" s="22">
        <f t="shared" si="2"/>
        <v>0</v>
      </c>
    </row>
    <row r="1211">
      <c r="A1211" s="18">
        <v>1110.0</v>
      </c>
      <c r="B1211" s="18" t="s">
        <v>32</v>
      </c>
      <c r="C1211" s="18">
        <v>126.0</v>
      </c>
      <c r="D1211" s="18" t="s">
        <v>31</v>
      </c>
      <c r="E1211" s="26">
        <v>42562.845138888886</v>
      </c>
      <c r="F1211" s="19">
        <f>IFERROR(__xludf.DUMMYFUNCTION("IFERROR(TO_DATE(E1211), """")"),42562.845138888886)</f>
        <v>42562.84514</v>
      </c>
      <c r="G1211" s="20">
        <f t="shared" si="1"/>
        <v>20</v>
      </c>
      <c r="H1211" s="26">
        <v>42562.895833333336</v>
      </c>
      <c r="I1211" s="19">
        <f>IFERROR(__xludf.DUMMYFUNCTION("IFERROR(TO_DATE(H1211), """")"),42562.895833333336)</f>
        <v>42562.89583</v>
      </c>
      <c r="J1211" s="19" t="s">
        <v>13</v>
      </c>
      <c r="K1211" s="22">
        <f t="shared" si="2"/>
        <v>0</v>
      </c>
    </row>
    <row r="1212">
      <c r="A1212" s="18">
        <v>1759.0</v>
      </c>
      <c r="B1212" s="18" t="s">
        <v>30</v>
      </c>
      <c r="C1212" s="18">
        <v>126.0</v>
      </c>
      <c r="D1212" s="18" t="s">
        <v>31</v>
      </c>
      <c r="E1212" s="26">
        <v>42563.365277777775</v>
      </c>
      <c r="F1212" s="19">
        <f>IFERROR(__xludf.DUMMYFUNCTION("IFERROR(TO_DATE(E1212), """")"),42563.365277777775)</f>
        <v>42563.36528</v>
      </c>
      <c r="G1212" s="20">
        <f t="shared" si="1"/>
        <v>8</v>
      </c>
      <c r="H1212" s="26">
        <v>42563.41388888889</v>
      </c>
      <c r="I1212" s="19">
        <f>IFERROR(__xludf.DUMMYFUNCTION("IFERROR(TO_DATE(H1212), """")"),42563.41388888889)</f>
        <v>42563.41389</v>
      </c>
      <c r="J1212" s="19" t="s">
        <v>14</v>
      </c>
      <c r="K1212" s="22">
        <f t="shared" si="2"/>
        <v>0</v>
      </c>
    </row>
    <row r="1213">
      <c r="A1213" s="18">
        <v>2147.0</v>
      </c>
      <c r="B1213" s="18" t="s">
        <v>32</v>
      </c>
      <c r="C1213" s="18">
        <v>126.0</v>
      </c>
      <c r="D1213" s="18" t="s">
        <v>31</v>
      </c>
      <c r="E1213" s="26">
        <v>42563.722916666666</v>
      </c>
      <c r="F1213" s="19">
        <f>IFERROR(__xludf.DUMMYFUNCTION("IFERROR(TO_DATE(E1213), """")"),42563.722916666666)</f>
        <v>42563.72292</v>
      </c>
      <c r="G1213" s="20">
        <f t="shared" si="1"/>
        <v>17</v>
      </c>
      <c r="H1213" s="26">
        <v>42563.76875</v>
      </c>
      <c r="I1213" s="19">
        <f>IFERROR(__xludf.DUMMYFUNCTION("IFERROR(TO_DATE(H1213), """")"),42563.76875)</f>
        <v>42563.76875</v>
      </c>
      <c r="J1213" s="19" t="s">
        <v>12</v>
      </c>
      <c r="K1213" s="22">
        <f t="shared" si="2"/>
        <v>0</v>
      </c>
    </row>
    <row r="1214">
      <c r="A1214" s="18">
        <v>3254.0</v>
      </c>
      <c r="B1214" s="18" t="s">
        <v>30</v>
      </c>
      <c r="C1214" s="18">
        <v>126.0</v>
      </c>
      <c r="D1214" s="18" t="s">
        <v>31</v>
      </c>
      <c r="E1214" s="27">
        <v>42564.42486111111</v>
      </c>
      <c r="F1214" s="19">
        <f>IFERROR(__xludf.DUMMYFUNCTION("IFERROR(TO_DATE(E1214), """")"),42564.42486111111)</f>
        <v>42564.42486</v>
      </c>
      <c r="G1214" s="20">
        <f t="shared" si="1"/>
        <v>10</v>
      </c>
      <c r="H1214" s="27">
        <v>42564.462847222225</v>
      </c>
      <c r="I1214" s="19">
        <f>IFERROR(__xludf.DUMMYFUNCTION("IFERROR(TO_DATE(H1214), """")"),42564.462847222225)</f>
        <v>42564.46285</v>
      </c>
      <c r="J1214" s="19" t="s">
        <v>14</v>
      </c>
      <c r="K1214" s="22">
        <f t="shared" si="2"/>
        <v>0</v>
      </c>
    </row>
    <row r="1215">
      <c r="A1215" s="18">
        <v>3381.0</v>
      </c>
      <c r="B1215" s="18" t="s">
        <v>30</v>
      </c>
      <c r="C1215" s="18">
        <v>126.0</v>
      </c>
      <c r="D1215" s="18" t="s">
        <v>31</v>
      </c>
      <c r="E1215" s="27">
        <v>42564.600856481484</v>
      </c>
      <c r="F1215" s="19">
        <f>IFERROR(__xludf.DUMMYFUNCTION("IFERROR(TO_DATE(E1215), """")"),42564.600856481484)</f>
        <v>42564.60086</v>
      </c>
      <c r="G1215" s="20">
        <f t="shared" si="1"/>
        <v>14</v>
      </c>
      <c r="H1215" s="27">
        <v>42564.63554398148</v>
      </c>
      <c r="I1215" s="19">
        <f>IFERROR(__xludf.DUMMYFUNCTION("IFERROR(TO_DATE(H1215), """")"),42564.63554398148)</f>
        <v>42564.63554</v>
      </c>
      <c r="J1215" s="19" t="s">
        <v>10</v>
      </c>
      <c r="K1215" s="22">
        <f t="shared" si="2"/>
        <v>0</v>
      </c>
    </row>
    <row r="1216">
      <c r="A1216" s="18">
        <v>3656.0</v>
      </c>
      <c r="B1216" s="18" t="s">
        <v>32</v>
      </c>
      <c r="C1216" s="18">
        <v>126.0</v>
      </c>
      <c r="D1216" s="18" t="s">
        <v>31</v>
      </c>
      <c r="E1216" s="27">
        <v>42564.79953703703</v>
      </c>
      <c r="F1216" s="19">
        <f>IFERROR(__xludf.DUMMYFUNCTION("IFERROR(TO_DATE(E1216), """")"),42564.79953703703)</f>
        <v>42564.79954</v>
      </c>
      <c r="G1216" s="20">
        <f t="shared" si="1"/>
        <v>19</v>
      </c>
      <c r="H1216" s="27">
        <v>42564.85591435185</v>
      </c>
      <c r="I1216" s="19">
        <f>IFERROR(__xludf.DUMMYFUNCTION("IFERROR(TO_DATE(H1216), """")"),42564.85591435185)</f>
        <v>42564.85591</v>
      </c>
      <c r="J1216" s="19" t="s">
        <v>12</v>
      </c>
      <c r="K1216" s="22">
        <f t="shared" si="2"/>
        <v>0</v>
      </c>
    </row>
    <row r="1217">
      <c r="A1217" s="18">
        <v>3948.0</v>
      </c>
      <c r="B1217" s="18" t="s">
        <v>30</v>
      </c>
      <c r="C1217" s="18">
        <v>126.0</v>
      </c>
      <c r="D1217" s="18" t="s">
        <v>31</v>
      </c>
      <c r="E1217" s="27">
        <v>42564.94291666667</v>
      </c>
      <c r="F1217" s="19">
        <f>IFERROR(__xludf.DUMMYFUNCTION("IFERROR(TO_DATE(E1217), """")"),42564.94291666667)</f>
        <v>42564.94292</v>
      </c>
      <c r="G1217" s="20">
        <f t="shared" si="1"/>
        <v>22</v>
      </c>
      <c r="H1217" s="27">
        <v>42564.96739583334</v>
      </c>
      <c r="I1217" s="19">
        <f>IFERROR(__xludf.DUMMYFUNCTION("IFERROR(TO_DATE(H1217), """")"),42564.96739583334)</f>
        <v>42564.9674</v>
      </c>
      <c r="J1217" s="19" t="s">
        <v>13</v>
      </c>
      <c r="K1217" s="22">
        <f t="shared" si="2"/>
        <v>0</v>
      </c>
    </row>
    <row r="1218">
      <c r="A1218" s="18">
        <v>4520.0</v>
      </c>
      <c r="B1218" s="18" t="s">
        <v>32</v>
      </c>
      <c r="C1218" s="18">
        <v>126.0</v>
      </c>
      <c r="D1218" s="18" t="s">
        <v>31</v>
      </c>
      <c r="E1218" s="27">
        <v>42565.39140046296</v>
      </c>
      <c r="F1218" s="19">
        <f>IFERROR(__xludf.DUMMYFUNCTION("IFERROR(TO_DATE(E1218), """")"),42565.39140046296)</f>
        <v>42565.3914</v>
      </c>
      <c r="G1218" s="20">
        <f t="shared" si="1"/>
        <v>9</v>
      </c>
      <c r="H1218" s="27">
        <v>42565.43046296296</v>
      </c>
      <c r="I1218" s="19">
        <f>IFERROR(__xludf.DUMMYFUNCTION("IFERROR(TO_DATE(H1218), """")"),42565.43046296296)</f>
        <v>42565.43046</v>
      </c>
      <c r="J1218" s="19" t="s">
        <v>14</v>
      </c>
      <c r="K1218" s="22">
        <f t="shared" si="2"/>
        <v>0</v>
      </c>
    </row>
    <row r="1219">
      <c r="A1219" s="18">
        <v>4723.0</v>
      </c>
      <c r="B1219" s="18" t="s">
        <v>30</v>
      </c>
      <c r="C1219" s="18">
        <v>126.0</v>
      </c>
      <c r="D1219" s="18" t="s">
        <v>31</v>
      </c>
      <c r="E1219" s="27">
        <v>42565.57645833334</v>
      </c>
      <c r="F1219" s="19">
        <f>IFERROR(__xludf.DUMMYFUNCTION("IFERROR(TO_DATE(E1219), """")"),42565.57645833334)</f>
        <v>42565.57646</v>
      </c>
      <c r="G1219" s="20">
        <f t="shared" si="1"/>
        <v>13</v>
      </c>
      <c r="H1219" s="27">
        <v>42565.60869212963</v>
      </c>
      <c r="I1219" s="19">
        <f>IFERROR(__xludf.DUMMYFUNCTION("IFERROR(TO_DATE(H1219), """")"),42565.60869212963)</f>
        <v>42565.60869</v>
      </c>
      <c r="J1219" s="19" t="s">
        <v>10</v>
      </c>
      <c r="K1219" s="22">
        <f t="shared" si="2"/>
        <v>0</v>
      </c>
    </row>
    <row r="1220">
      <c r="A1220" s="18">
        <v>5176.0</v>
      </c>
      <c r="B1220" s="18" t="s">
        <v>32</v>
      </c>
      <c r="C1220" s="18">
        <v>126.0</v>
      </c>
      <c r="D1220" s="18" t="s">
        <v>31</v>
      </c>
      <c r="E1220" s="27">
        <v>42565.85969907408</v>
      </c>
      <c r="F1220" s="19">
        <f>IFERROR(__xludf.DUMMYFUNCTION("IFERROR(TO_DATE(E1220), """")"),42565.85969907408)</f>
        <v>42565.8597</v>
      </c>
      <c r="G1220" s="20">
        <f t="shared" si="1"/>
        <v>20</v>
      </c>
      <c r="H1220" s="27">
        <v>42565.901412037034</v>
      </c>
      <c r="I1220" s="19">
        <f>IFERROR(__xludf.DUMMYFUNCTION("IFERROR(TO_DATE(H1220), """")"),42565.901412037034)</f>
        <v>42565.90141</v>
      </c>
      <c r="J1220" s="19" t="s">
        <v>13</v>
      </c>
      <c r="K1220" s="22">
        <f t="shared" si="2"/>
        <v>0</v>
      </c>
    </row>
    <row r="1221">
      <c r="A1221" s="18">
        <v>6338.0</v>
      </c>
      <c r="B1221" s="18" t="s">
        <v>32</v>
      </c>
      <c r="C1221" s="18">
        <v>126.0</v>
      </c>
      <c r="D1221" s="18" t="s">
        <v>31</v>
      </c>
      <c r="E1221" s="27">
        <v>42566.78241898148</v>
      </c>
      <c r="F1221" s="19">
        <f>IFERROR(__xludf.DUMMYFUNCTION("IFERROR(TO_DATE(E1221), """")"),42566.78241898148)</f>
        <v>42566.78242</v>
      </c>
      <c r="G1221" s="20">
        <f t="shared" si="1"/>
        <v>18</v>
      </c>
      <c r="H1221" s="27">
        <v>42566.82840277778</v>
      </c>
      <c r="I1221" s="19">
        <f>IFERROR(__xludf.DUMMYFUNCTION("IFERROR(TO_DATE(H1221), """")"),42566.82840277778)</f>
        <v>42566.8284</v>
      </c>
      <c r="J1221" s="19" t="s">
        <v>12</v>
      </c>
      <c r="K1221" s="22">
        <f t="shared" si="2"/>
        <v>0</v>
      </c>
    </row>
    <row r="1222">
      <c r="A1222" s="18">
        <v>6557.0</v>
      </c>
      <c r="B1222" s="18" t="s">
        <v>30</v>
      </c>
      <c r="C1222" s="18">
        <v>126.0</v>
      </c>
      <c r="D1222" s="18" t="s">
        <v>31</v>
      </c>
      <c r="E1222" s="27">
        <v>42566.87540509259</v>
      </c>
      <c r="F1222" s="19">
        <f>IFERROR(__xludf.DUMMYFUNCTION("IFERROR(TO_DATE(E1222), """")"),42566.87540509259)</f>
        <v>42566.87541</v>
      </c>
      <c r="G1222" s="20">
        <f t="shared" si="1"/>
        <v>21</v>
      </c>
      <c r="H1222" s="27">
        <v>42566.90337962963</v>
      </c>
      <c r="I1222" s="19">
        <f>IFERROR(__xludf.DUMMYFUNCTION("IFERROR(TO_DATE(H1222), """")"),42566.90337962963)</f>
        <v>42566.90338</v>
      </c>
      <c r="J1222" s="19" t="s">
        <v>13</v>
      </c>
      <c r="K1222" s="22">
        <f t="shared" si="2"/>
        <v>0</v>
      </c>
    </row>
    <row r="1223">
      <c r="A1223" s="18">
        <v>504.0</v>
      </c>
      <c r="B1223" s="18" t="s">
        <v>32</v>
      </c>
      <c r="C1223" s="18">
        <v>127.0</v>
      </c>
      <c r="D1223" s="18" t="s">
        <v>31</v>
      </c>
      <c r="E1223" s="26">
        <v>42562.40277777778</v>
      </c>
      <c r="F1223" s="19">
        <f>IFERROR(__xludf.DUMMYFUNCTION("IFERROR(TO_DATE(E1223), """")"),42562.40277777778)</f>
        <v>42562.40278</v>
      </c>
      <c r="G1223" s="20">
        <f t="shared" si="1"/>
        <v>9</v>
      </c>
      <c r="H1223" s="26">
        <v>42562.45</v>
      </c>
      <c r="I1223" s="19">
        <f>IFERROR(__xludf.DUMMYFUNCTION("IFERROR(TO_DATE(H1223), """")"),42562.45)</f>
        <v>42562.45</v>
      </c>
      <c r="J1223" s="19" t="s">
        <v>14</v>
      </c>
      <c r="K1223" s="22">
        <f t="shared" si="2"/>
        <v>0</v>
      </c>
    </row>
    <row r="1224">
      <c r="A1224" s="18">
        <v>640.0</v>
      </c>
      <c r="B1224" s="18" t="s">
        <v>30</v>
      </c>
      <c r="C1224" s="18">
        <v>127.0</v>
      </c>
      <c r="D1224" s="18" t="s">
        <v>31</v>
      </c>
      <c r="E1224" s="26">
        <v>42562.51875</v>
      </c>
      <c r="F1224" s="19">
        <f>IFERROR(__xludf.DUMMYFUNCTION("IFERROR(TO_DATE(E1224), """")"),42562.51875)</f>
        <v>42562.51875</v>
      </c>
      <c r="G1224" s="20">
        <f t="shared" si="1"/>
        <v>12</v>
      </c>
      <c r="H1224" s="26">
        <v>42562.56875</v>
      </c>
      <c r="I1224" s="19">
        <f>IFERROR(__xludf.DUMMYFUNCTION("IFERROR(TO_DATE(H1224), """")"),42562.56875)</f>
        <v>42562.56875</v>
      </c>
      <c r="J1224" s="19" t="s">
        <v>10</v>
      </c>
      <c r="K1224" s="22">
        <f t="shared" si="2"/>
        <v>0</v>
      </c>
    </row>
    <row r="1225">
      <c r="A1225" s="18">
        <v>1206.0</v>
      </c>
      <c r="B1225" s="18" t="s">
        <v>32</v>
      </c>
      <c r="C1225" s="18">
        <v>127.0</v>
      </c>
      <c r="D1225" s="18" t="s">
        <v>31</v>
      </c>
      <c r="E1225" s="26">
        <v>42562.89166666667</v>
      </c>
      <c r="F1225" s="19">
        <f>IFERROR(__xludf.DUMMYFUNCTION("IFERROR(TO_DATE(E1225), """")"),42562.89166666667)</f>
        <v>42562.89167</v>
      </c>
      <c r="G1225" s="20">
        <f t="shared" si="1"/>
        <v>21</v>
      </c>
      <c r="H1225" s="26">
        <v>42562.92638888889</v>
      </c>
      <c r="I1225" s="19">
        <f>IFERROR(__xludf.DUMMYFUNCTION("IFERROR(TO_DATE(H1225), """")"),42562.92638888889)</f>
        <v>42562.92639</v>
      </c>
      <c r="J1225" s="19" t="s">
        <v>13</v>
      </c>
      <c r="K1225" s="22">
        <f t="shared" si="2"/>
        <v>0</v>
      </c>
    </row>
    <row r="1226">
      <c r="A1226" s="18">
        <v>1851.0</v>
      </c>
      <c r="B1226" s="18" t="s">
        <v>30</v>
      </c>
      <c r="C1226" s="18">
        <v>127.0</v>
      </c>
      <c r="D1226" s="18" t="s">
        <v>31</v>
      </c>
      <c r="E1226" s="26">
        <v>42563.40833333333</v>
      </c>
      <c r="F1226" s="19">
        <f>IFERROR(__xludf.DUMMYFUNCTION("IFERROR(TO_DATE(E1226), """")"),42563.40833333333)</f>
        <v>42563.40833</v>
      </c>
      <c r="G1226" s="20">
        <f t="shared" si="1"/>
        <v>9</v>
      </c>
      <c r="H1226" s="26">
        <v>42563.45694444444</v>
      </c>
      <c r="I1226" s="19">
        <f>IFERROR(__xludf.DUMMYFUNCTION("IFERROR(TO_DATE(H1226), """")"),42563.45694444444)</f>
        <v>42563.45694</v>
      </c>
      <c r="J1226" s="19" t="s">
        <v>14</v>
      </c>
      <c r="K1226" s="22">
        <f t="shared" si="2"/>
        <v>0</v>
      </c>
    </row>
    <row r="1227">
      <c r="A1227" s="18">
        <v>2412.0</v>
      </c>
      <c r="B1227" s="18" t="s">
        <v>30</v>
      </c>
      <c r="C1227" s="18">
        <v>127.0</v>
      </c>
      <c r="D1227" s="18" t="s">
        <v>31</v>
      </c>
      <c r="E1227" s="26">
        <v>42563.83263888889</v>
      </c>
      <c r="F1227" s="19">
        <f>IFERROR(__xludf.DUMMYFUNCTION("IFERROR(TO_DATE(E1227), """")"),42563.83263888889)</f>
        <v>42563.83264</v>
      </c>
      <c r="G1227" s="20">
        <f t="shared" si="1"/>
        <v>19</v>
      </c>
      <c r="H1227" s="26">
        <v>42563.873611111114</v>
      </c>
      <c r="I1227" s="19">
        <f>IFERROR(__xludf.DUMMYFUNCTION("IFERROR(TO_DATE(H1227), """")"),42563.873611111114)</f>
        <v>42563.87361</v>
      </c>
      <c r="J1227" s="19" t="s">
        <v>12</v>
      </c>
      <c r="K1227" s="22">
        <f t="shared" si="2"/>
        <v>0</v>
      </c>
    </row>
    <row r="1228">
      <c r="A1228" s="18">
        <v>3300.0</v>
      </c>
      <c r="B1228" s="18" t="s">
        <v>30</v>
      </c>
      <c r="C1228" s="18">
        <v>127.0</v>
      </c>
      <c r="D1228" s="18" t="s">
        <v>31</v>
      </c>
      <c r="E1228" s="27">
        <v>42564.48809027778</v>
      </c>
      <c r="F1228" s="19">
        <f>IFERROR(__xludf.DUMMYFUNCTION("IFERROR(TO_DATE(E1228), """")"),42564.48809027778)</f>
        <v>42564.48809</v>
      </c>
      <c r="G1228" s="20">
        <f t="shared" si="1"/>
        <v>11</v>
      </c>
      <c r="H1228" s="27">
        <v>42564.53498842593</v>
      </c>
      <c r="I1228" s="19">
        <f>IFERROR(__xludf.DUMMYFUNCTION("IFERROR(TO_DATE(H1228), """")"),42564.53498842593)</f>
        <v>42564.53499</v>
      </c>
      <c r="J1228" s="19" t="s">
        <v>14</v>
      </c>
      <c r="K1228" s="22">
        <f t="shared" si="2"/>
        <v>0</v>
      </c>
    </row>
    <row r="1229">
      <c r="A1229" s="18">
        <v>3648.0</v>
      </c>
      <c r="B1229" s="18" t="s">
        <v>32</v>
      </c>
      <c r="C1229" s="18">
        <v>127.0</v>
      </c>
      <c r="D1229" s="18" t="s">
        <v>31</v>
      </c>
      <c r="E1229" s="27">
        <v>42564.800983796296</v>
      </c>
      <c r="F1229" s="19">
        <f>IFERROR(__xludf.DUMMYFUNCTION("IFERROR(TO_DATE(E1229), """")"),42564.800983796296)</f>
        <v>42564.80098</v>
      </c>
      <c r="G1229" s="20">
        <f t="shared" si="1"/>
        <v>19</v>
      </c>
      <c r="H1229" s="27">
        <v>42564.83256944444</v>
      </c>
      <c r="I1229" s="19">
        <f>IFERROR(__xludf.DUMMYFUNCTION("IFERROR(TO_DATE(H1229), """")"),42564.83256944444)</f>
        <v>42564.83257</v>
      </c>
      <c r="J1229" s="19" t="s">
        <v>12</v>
      </c>
      <c r="K1229" s="22">
        <f t="shared" si="2"/>
        <v>0</v>
      </c>
    </row>
    <row r="1230">
      <c r="A1230" s="18">
        <v>6020.0</v>
      </c>
      <c r="B1230" s="18" t="s">
        <v>32</v>
      </c>
      <c r="C1230" s="18">
        <v>127.0</v>
      </c>
      <c r="D1230" s="18" t="s">
        <v>31</v>
      </c>
      <c r="E1230" s="27">
        <v>42566.53212962963</v>
      </c>
      <c r="F1230" s="19">
        <f>IFERROR(__xludf.DUMMYFUNCTION("IFERROR(TO_DATE(E1230), """")"),42566.53212962963)</f>
        <v>42566.53213</v>
      </c>
      <c r="G1230" s="20">
        <f t="shared" si="1"/>
        <v>12</v>
      </c>
      <c r="H1230" s="27">
        <v>42566.55924768518</v>
      </c>
      <c r="I1230" s="19">
        <f>IFERROR(__xludf.DUMMYFUNCTION("IFERROR(TO_DATE(H1230), """")"),42566.55924768518)</f>
        <v>42566.55925</v>
      </c>
      <c r="J1230" s="19" t="s">
        <v>10</v>
      </c>
      <c r="K1230" s="22">
        <f t="shared" si="2"/>
        <v>0</v>
      </c>
    </row>
    <row r="1231">
      <c r="A1231" s="18">
        <v>6682.0</v>
      </c>
      <c r="B1231" s="18" t="s">
        <v>32</v>
      </c>
      <c r="C1231" s="18">
        <v>127.0</v>
      </c>
      <c r="D1231" s="18" t="s">
        <v>31</v>
      </c>
      <c r="E1231" s="27">
        <v>42566.94123842593</v>
      </c>
      <c r="F1231" s="19">
        <f>IFERROR(__xludf.DUMMYFUNCTION("IFERROR(TO_DATE(E1231), """")"),42566.94123842593)</f>
        <v>42566.94124</v>
      </c>
      <c r="G1231" s="20">
        <f t="shared" si="1"/>
        <v>22</v>
      </c>
      <c r="H1231" s="27">
        <v>42566.96103009259</v>
      </c>
      <c r="I1231" s="19">
        <f>IFERROR(__xludf.DUMMYFUNCTION("IFERROR(TO_DATE(H1231), """")"),42566.96103009259)</f>
        <v>42566.96103</v>
      </c>
      <c r="J1231" s="19" t="s">
        <v>13</v>
      </c>
      <c r="K1231" s="22">
        <f t="shared" si="2"/>
        <v>0</v>
      </c>
    </row>
    <row r="1232">
      <c r="A1232" s="18">
        <v>878.0</v>
      </c>
      <c r="B1232" s="18" t="s">
        <v>32</v>
      </c>
      <c r="C1232" s="18">
        <v>128.0</v>
      </c>
      <c r="D1232" s="18" t="s">
        <v>31</v>
      </c>
      <c r="E1232" s="26">
        <v>42562.75625</v>
      </c>
      <c r="F1232" s="19">
        <f>IFERROR(__xludf.DUMMYFUNCTION("IFERROR(TO_DATE(E1232), """")"),42562.75625)</f>
        <v>42562.75625</v>
      </c>
      <c r="G1232" s="20">
        <f t="shared" si="1"/>
        <v>18</v>
      </c>
      <c r="H1232" s="26">
        <v>42562.78402777778</v>
      </c>
      <c r="I1232" s="19">
        <f>IFERROR(__xludf.DUMMYFUNCTION("IFERROR(TO_DATE(H1232), """")"),42562.78402777778)</f>
        <v>42562.78403</v>
      </c>
      <c r="J1232" s="19" t="s">
        <v>12</v>
      </c>
      <c r="K1232" s="22">
        <f t="shared" si="2"/>
        <v>0</v>
      </c>
    </row>
    <row r="1233">
      <c r="A1233" s="18">
        <v>1014.0</v>
      </c>
      <c r="B1233" s="18" t="s">
        <v>30</v>
      </c>
      <c r="C1233" s="18">
        <v>128.0</v>
      </c>
      <c r="D1233" s="18" t="s">
        <v>31</v>
      </c>
      <c r="E1233" s="26">
        <v>42562.80138888889</v>
      </c>
      <c r="F1233" s="19">
        <f>IFERROR(__xludf.DUMMYFUNCTION("IFERROR(TO_DATE(E1233), """")"),42562.80138888889)</f>
        <v>42562.80139</v>
      </c>
      <c r="G1233" s="20">
        <f t="shared" si="1"/>
        <v>19</v>
      </c>
      <c r="H1233" s="26">
        <v>42562.8375</v>
      </c>
      <c r="I1233" s="19">
        <f>IFERROR(__xludf.DUMMYFUNCTION("IFERROR(TO_DATE(H1233), """")"),42562.8375)</f>
        <v>42562.8375</v>
      </c>
      <c r="J1233" s="19" t="s">
        <v>12</v>
      </c>
      <c r="K1233" s="22">
        <f t="shared" si="2"/>
        <v>0</v>
      </c>
    </row>
    <row r="1234">
      <c r="A1234" s="18">
        <v>1628.0</v>
      </c>
      <c r="B1234" s="18" t="s">
        <v>30</v>
      </c>
      <c r="C1234" s="18">
        <v>128.0</v>
      </c>
      <c r="D1234" s="18" t="s">
        <v>31</v>
      </c>
      <c r="E1234" s="26">
        <v>42563.29513888889</v>
      </c>
      <c r="F1234" s="19">
        <f>IFERROR(__xludf.DUMMYFUNCTION("IFERROR(TO_DATE(E1234), """")"),42563.29513888889)</f>
        <v>42563.29514</v>
      </c>
      <c r="G1234" s="20">
        <f t="shared" si="1"/>
        <v>7</v>
      </c>
      <c r="H1234" s="26">
        <v>42563.345138888886</v>
      </c>
      <c r="I1234" s="19">
        <f>IFERROR(__xludf.DUMMYFUNCTION("IFERROR(TO_DATE(H1234), """")"),42563.345138888886)</f>
        <v>42563.34514</v>
      </c>
      <c r="J1234" s="19" t="s">
        <v>11</v>
      </c>
      <c r="K1234" s="22">
        <f t="shared" si="2"/>
        <v>0</v>
      </c>
    </row>
    <row r="1235">
      <c r="A1235" s="18">
        <v>2416.0</v>
      </c>
      <c r="B1235" s="18" t="s">
        <v>32</v>
      </c>
      <c r="C1235" s="18">
        <v>128.0</v>
      </c>
      <c r="D1235" s="18" t="s">
        <v>31</v>
      </c>
      <c r="E1235" s="26">
        <v>42563.8375</v>
      </c>
      <c r="F1235" s="19">
        <f>IFERROR(__xludf.DUMMYFUNCTION("IFERROR(TO_DATE(E1235), """")"),42563.8375)</f>
        <v>42563.8375</v>
      </c>
      <c r="G1235" s="20">
        <f t="shared" si="1"/>
        <v>20</v>
      </c>
      <c r="H1235" s="26">
        <v>42563.88125</v>
      </c>
      <c r="I1235" s="19">
        <f>IFERROR(__xludf.DUMMYFUNCTION("IFERROR(TO_DATE(H1235), """")"),42563.88125)</f>
        <v>42563.88125</v>
      </c>
      <c r="J1235" s="19" t="s">
        <v>13</v>
      </c>
      <c r="K1235" s="22">
        <f t="shared" si="2"/>
        <v>0</v>
      </c>
    </row>
    <row r="1236">
      <c r="A1236" s="18">
        <v>2974.0</v>
      </c>
      <c r="B1236" s="18" t="s">
        <v>30</v>
      </c>
      <c r="C1236" s="18">
        <v>128.0</v>
      </c>
      <c r="D1236" s="18" t="s">
        <v>31</v>
      </c>
      <c r="E1236" s="27">
        <v>42564.28256944445</v>
      </c>
      <c r="F1236" s="19">
        <f>IFERROR(__xludf.DUMMYFUNCTION("IFERROR(TO_DATE(E1236), """")"),42564.28256944445)</f>
        <v>42564.28257</v>
      </c>
      <c r="G1236" s="20">
        <f t="shared" si="1"/>
        <v>6</v>
      </c>
      <c r="H1236" s="27">
        <v>42564.336481481485</v>
      </c>
      <c r="I1236" s="19">
        <f>IFERROR(__xludf.DUMMYFUNCTION("IFERROR(TO_DATE(H1236), """")"),42564.336481481485)</f>
        <v>42564.33648</v>
      </c>
      <c r="J1236" s="19" t="s">
        <v>11</v>
      </c>
      <c r="K1236" s="22">
        <f t="shared" si="2"/>
        <v>0</v>
      </c>
    </row>
    <row r="1237">
      <c r="A1237" s="18">
        <v>3273.0</v>
      </c>
      <c r="B1237" s="18" t="s">
        <v>30</v>
      </c>
      <c r="C1237" s="18">
        <v>128.0</v>
      </c>
      <c r="D1237" s="18" t="s">
        <v>31</v>
      </c>
      <c r="E1237" s="27">
        <v>42564.4434837963</v>
      </c>
      <c r="F1237" s="19">
        <f>IFERROR(__xludf.DUMMYFUNCTION("IFERROR(TO_DATE(E1237), """")"),42564.4434837963)</f>
        <v>42564.44348</v>
      </c>
      <c r="G1237" s="20">
        <f t="shared" si="1"/>
        <v>10</v>
      </c>
      <c r="H1237" s="27">
        <v>42564.46880787037</v>
      </c>
      <c r="I1237" s="19">
        <f>IFERROR(__xludf.DUMMYFUNCTION("IFERROR(TO_DATE(H1237), """")"),42564.46880787037)</f>
        <v>42564.46881</v>
      </c>
      <c r="J1237" s="19" t="s">
        <v>14</v>
      </c>
      <c r="K1237" s="22">
        <f t="shared" si="2"/>
        <v>0</v>
      </c>
    </row>
    <row r="1238">
      <c r="A1238" s="18">
        <v>4210.0</v>
      </c>
      <c r="B1238" s="18" t="s">
        <v>32</v>
      </c>
      <c r="C1238" s="18">
        <v>128.0</v>
      </c>
      <c r="D1238" s="18" t="s">
        <v>31</v>
      </c>
      <c r="E1238" s="27">
        <v>42565.23480324074</v>
      </c>
      <c r="F1238" s="19">
        <f>IFERROR(__xludf.DUMMYFUNCTION("IFERROR(TO_DATE(E1238), """")"),42565.23480324074)</f>
        <v>42565.2348</v>
      </c>
      <c r="G1238" s="20">
        <f t="shared" si="1"/>
        <v>5</v>
      </c>
      <c r="H1238" s="27">
        <v>42565.28060185185</v>
      </c>
      <c r="I1238" s="19">
        <f>IFERROR(__xludf.DUMMYFUNCTION("IFERROR(TO_DATE(H1238), """")"),42565.28060185185)</f>
        <v>42565.2806</v>
      </c>
      <c r="J1238" s="19" t="s">
        <v>11</v>
      </c>
      <c r="K1238" s="22">
        <f t="shared" si="2"/>
        <v>0</v>
      </c>
    </row>
    <row r="1239">
      <c r="A1239" s="18">
        <v>4454.0</v>
      </c>
      <c r="B1239" s="18" t="s">
        <v>32</v>
      </c>
      <c r="C1239" s="18">
        <v>128.0</v>
      </c>
      <c r="D1239" s="18" t="s">
        <v>31</v>
      </c>
      <c r="E1239" s="27">
        <v>42565.35560185185</v>
      </c>
      <c r="F1239" s="19">
        <f>IFERROR(__xludf.DUMMYFUNCTION("IFERROR(TO_DATE(E1239), """")"),42565.35560185185)</f>
        <v>42565.3556</v>
      </c>
      <c r="G1239" s="20">
        <f t="shared" si="1"/>
        <v>8</v>
      </c>
      <c r="H1239" s="27">
        <v>42565.38988425926</v>
      </c>
      <c r="I1239" s="19">
        <f>IFERROR(__xludf.DUMMYFUNCTION("IFERROR(TO_DATE(H1239), """")"),42565.38988425926)</f>
        <v>42565.38988</v>
      </c>
      <c r="J1239" s="19" t="s">
        <v>14</v>
      </c>
      <c r="K1239" s="22">
        <f t="shared" si="2"/>
        <v>0</v>
      </c>
    </row>
    <row r="1240">
      <c r="A1240" s="18">
        <v>4732.0</v>
      </c>
      <c r="B1240" s="18" t="s">
        <v>30</v>
      </c>
      <c r="C1240" s="18">
        <v>128.0</v>
      </c>
      <c r="D1240" s="18" t="s">
        <v>31</v>
      </c>
      <c r="E1240" s="27">
        <v>42565.592881944445</v>
      </c>
      <c r="F1240" s="19">
        <f>IFERROR(__xludf.DUMMYFUNCTION("IFERROR(TO_DATE(E1240), """")"),42565.592881944445)</f>
        <v>42565.59288</v>
      </c>
      <c r="G1240" s="20">
        <f t="shared" si="1"/>
        <v>14</v>
      </c>
      <c r="H1240" s="27">
        <v>42565.633368055554</v>
      </c>
      <c r="I1240" s="19">
        <f>IFERROR(__xludf.DUMMYFUNCTION("IFERROR(TO_DATE(H1240), """")"),42565.633368055554)</f>
        <v>42565.63337</v>
      </c>
      <c r="J1240" s="19" t="s">
        <v>10</v>
      </c>
      <c r="K1240" s="22">
        <f t="shared" si="2"/>
        <v>0</v>
      </c>
    </row>
    <row r="1241">
      <c r="A1241" s="18">
        <v>5024.0</v>
      </c>
      <c r="B1241" s="18" t="s">
        <v>32</v>
      </c>
      <c r="C1241" s="18">
        <v>128.0</v>
      </c>
      <c r="D1241" s="18" t="s">
        <v>31</v>
      </c>
      <c r="E1241" s="27">
        <v>42565.798368055555</v>
      </c>
      <c r="F1241" s="19">
        <f>IFERROR(__xludf.DUMMYFUNCTION("IFERROR(TO_DATE(E1241), """")"),42565.798368055555)</f>
        <v>42565.79837</v>
      </c>
      <c r="G1241" s="20">
        <f t="shared" si="1"/>
        <v>19</v>
      </c>
      <c r="H1241" s="27">
        <v>42565.847349537034</v>
      </c>
      <c r="I1241" s="19">
        <f>IFERROR(__xludf.DUMMYFUNCTION("IFERROR(TO_DATE(H1241), """")"),42565.847349537034)</f>
        <v>42565.84735</v>
      </c>
      <c r="J1241" s="19" t="s">
        <v>12</v>
      </c>
      <c r="K1241" s="22">
        <f t="shared" si="2"/>
        <v>0</v>
      </c>
    </row>
    <row r="1242">
      <c r="A1242" s="18">
        <v>5799.0</v>
      </c>
      <c r="B1242" s="18" t="s">
        <v>30</v>
      </c>
      <c r="C1242" s="18">
        <v>128.0</v>
      </c>
      <c r="D1242" s="18" t="s">
        <v>31</v>
      </c>
      <c r="E1242" s="27">
        <v>42566.362349537034</v>
      </c>
      <c r="F1242" s="19">
        <f>IFERROR(__xludf.DUMMYFUNCTION("IFERROR(TO_DATE(E1242), """")"),42566.362349537034)</f>
        <v>42566.36235</v>
      </c>
      <c r="G1242" s="20">
        <f t="shared" si="1"/>
        <v>8</v>
      </c>
      <c r="H1242" s="27">
        <v>42566.38321759259</v>
      </c>
      <c r="I1242" s="19">
        <f>IFERROR(__xludf.DUMMYFUNCTION("IFERROR(TO_DATE(H1242), """")"),42566.38321759259)</f>
        <v>42566.38322</v>
      </c>
      <c r="J1242" s="19" t="s">
        <v>14</v>
      </c>
      <c r="K1242" s="22">
        <f t="shared" si="2"/>
        <v>0</v>
      </c>
    </row>
    <row r="1243">
      <c r="A1243" s="18">
        <v>6676.0</v>
      </c>
      <c r="B1243" s="18" t="s">
        <v>30</v>
      </c>
      <c r="C1243" s="18">
        <v>128.0</v>
      </c>
      <c r="D1243" s="18" t="s">
        <v>31</v>
      </c>
      <c r="E1243" s="27">
        <v>42566.934224537035</v>
      </c>
      <c r="F1243" s="19">
        <f>IFERROR(__xludf.DUMMYFUNCTION("IFERROR(TO_DATE(E1243), """")"),42566.934224537035)</f>
        <v>42566.93422</v>
      </c>
      <c r="G1243" s="20">
        <f t="shared" si="1"/>
        <v>22</v>
      </c>
      <c r="H1243" s="27">
        <v>42566.98849537037</v>
      </c>
      <c r="I1243" s="19">
        <f>IFERROR(__xludf.DUMMYFUNCTION("IFERROR(TO_DATE(H1243), """")"),42566.98849537037)</f>
        <v>42566.9885</v>
      </c>
      <c r="J1243" s="19" t="s">
        <v>13</v>
      </c>
      <c r="K1243" s="22">
        <f t="shared" si="2"/>
        <v>0</v>
      </c>
    </row>
    <row r="1244">
      <c r="A1244" s="18">
        <v>343.0</v>
      </c>
      <c r="B1244" s="18" t="s">
        <v>32</v>
      </c>
      <c r="C1244" s="18">
        <v>129.0</v>
      </c>
      <c r="D1244" s="18" t="s">
        <v>31</v>
      </c>
      <c r="E1244" s="26">
        <v>42562.33125</v>
      </c>
      <c r="F1244" s="19">
        <f>IFERROR(__xludf.DUMMYFUNCTION("IFERROR(TO_DATE(E1244), """")"),42562.33125)</f>
        <v>42562.33125</v>
      </c>
      <c r="G1244" s="20">
        <f t="shared" si="1"/>
        <v>7</v>
      </c>
      <c r="H1244" s="26">
        <v>42562.37152777778</v>
      </c>
      <c r="I1244" s="19">
        <f>IFERROR(__xludf.DUMMYFUNCTION("IFERROR(TO_DATE(H1244), """")"),42562.37152777778)</f>
        <v>42562.37153</v>
      </c>
      <c r="J1244" s="19" t="s">
        <v>11</v>
      </c>
      <c r="K1244" s="22">
        <f t="shared" si="2"/>
        <v>0</v>
      </c>
    </row>
    <row r="1245">
      <c r="A1245" s="18">
        <v>1002.0</v>
      </c>
      <c r="B1245" s="18" t="s">
        <v>30</v>
      </c>
      <c r="C1245" s="18">
        <v>129.0</v>
      </c>
      <c r="D1245" s="18" t="s">
        <v>31</v>
      </c>
      <c r="E1245" s="26">
        <v>42562.80138888889</v>
      </c>
      <c r="F1245" s="19">
        <f>IFERROR(__xludf.DUMMYFUNCTION("IFERROR(TO_DATE(E1245), """")"),42562.80138888889)</f>
        <v>42562.80139</v>
      </c>
      <c r="G1245" s="20">
        <f t="shared" si="1"/>
        <v>19</v>
      </c>
      <c r="H1245" s="26">
        <v>42562.834027777775</v>
      </c>
      <c r="I1245" s="19">
        <f>IFERROR(__xludf.DUMMYFUNCTION("IFERROR(TO_DATE(H1245), """")"),42562.834027777775)</f>
        <v>42562.83403</v>
      </c>
      <c r="J1245" s="19" t="s">
        <v>12</v>
      </c>
      <c r="K1245" s="22">
        <f t="shared" si="2"/>
        <v>0</v>
      </c>
    </row>
    <row r="1246">
      <c r="A1246" s="18">
        <v>1571.0</v>
      </c>
      <c r="B1246" s="18" t="s">
        <v>30</v>
      </c>
      <c r="C1246" s="18">
        <v>129.0</v>
      </c>
      <c r="D1246" s="18" t="s">
        <v>31</v>
      </c>
      <c r="E1246" s="26">
        <v>42563.26944444444</v>
      </c>
      <c r="F1246" s="19">
        <f>IFERROR(__xludf.DUMMYFUNCTION("IFERROR(TO_DATE(E1246), """")"),42563.26944444444)</f>
        <v>42563.26944</v>
      </c>
      <c r="G1246" s="20">
        <f t="shared" si="1"/>
        <v>6</v>
      </c>
      <c r="H1246" s="26">
        <v>42563.32013888889</v>
      </c>
      <c r="I1246" s="19">
        <f>IFERROR(__xludf.DUMMYFUNCTION("IFERROR(TO_DATE(H1246), """")"),42563.32013888889)</f>
        <v>42563.32014</v>
      </c>
      <c r="J1246" s="19" t="s">
        <v>11</v>
      </c>
      <c r="K1246" s="22">
        <f t="shared" si="2"/>
        <v>0</v>
      </c>
    </row>
    <row r="1247">
      <c r="A1247" s="18">
        <v>1954.0</v>
      </c>
      <c r="B1247" s="18" t="s">
        <v>30</v>
      </c>
      <c r="C1247" s="18">
        <v>129.0</v>
      </c>
      <c r="D1247" s="18" t="s">
        <v>31</v>
      </c>
      <c r="E1247" s="26">
        <v>42563.48819444444</v>
      </c>
      <c r="F1247" s="19">
        <f>IFERROR(__xludf.DUMMYFUNCTION("IFERROR(TO_DATE(E1247), """")"),42563.48819444444)</f>
        <v>42563.48819</v>
      </c>
      <c r="G1247" s="20">
        <f t="shared" si="1"/>
        <v>11</v>
      </c>
      <c r="H1247" s="26">
        <v>42563.50555555556</v>
      </c>
      <c r="I1247" s="19">
        <f>IFERROR(__xludf.DUMMYFUNCTION("IFERROR(TO_DATE(H1247), """")"),42563.50555555556)</f>
        <v>42563.50556</v>
      </c>
      <c r="J1247" s="19" t="s">
        <v>14</v>
      </c>
      <c r="K1247" s="22">
        <f t="shared" si="2"/>
        <v>0</v>
      </c>
    </row>
    <row r="1248">
      <c r="A1248" s="18">
        <v>3436.0</v>
      </c>
      <c r="B1248" s="18" t="s">
        <v>30</v>
      </c>
      <c r="C1248" s="18">
        <v>129.0</v>
      </c>
      <c r="D1248" s="18" t="s">
        <v>31</v>
      </c>
      <c r="E1248" s="27">
        <v>42564.67469907407</v>
      </c>
      <c r="F1248" s="19">
        <f>IFERROR(__xludf.DUMMYFUNCTION("IFERROR(TO_DATE(E1248), """")"),42564.67469907407)</f>
        <v>42564.6747</v>
      </c>
      <c r="G1248" s="20">
        <f t="shared" si="1"/>
        <v>16</v>
      </c>
      <c r="H1248" s="27">
        <v>42564.713530092595</v>
      </c>
      <c r="I1248" s="19">
        <f>IFERROR(__xludf.DUMMYFUNCTION("IFERROR(TO_DATE(H1248), """")"),42564.713530092595)</f>
        <v>42564.71353</v>
      </c>
      <c r="J1248" s="19" t="s">
        <v>12</v>
      </c>
      <c r="K1248" s="22">
        <f t="shared" si="2"/>
        <v>0</v>
      </c>
    </row>
    <row r="1249">
      <c r="A1249" s="18">
        <v>5193.0</v>
      </c>
      <c r="B1249" s="18" t="s">
        <v>30</v>
      </c>
      <c r="C1249" s="18">
        <v>129.0</v>
      </c>
      <c r="D1249" s="18" t="s">
        <v>31</v>
      </c>
      <c r="E1249" s="27">
        <v>42565.8647337963</v>
      </c>
      <c r="F1249" s="19">
        <f>IFERROR(__xludf.DUMMYFUNCTION("IFERROR(TO_DATE(E1249), """")"),42565.8647337963)</f>
        <v>42565.86473</v>
      </c>
      <c r="G1249" s="20">
        <f t="shared" si="1"/>
        <v>20</v>
      </c>
      <c r="H1249" s="27">
        <v>42565.896203703705</v>
      </c>
      <c r="I1249" s="19">
        <f>IFERROR(__xludf.DUMMYFUNCTION("IFERROR(TO_DATE(H1249), """")"),42565.896203703705)</f>
        <v>42565.8962</v>
      </c>
      <c r="J1249" s="19" t="s">
        <v>13</v>
      </c>
      <c r="K1249" s="22">
        <f t="shared" si="2"/>
        <v>0</v>
      </c>
    </row>
    <row r="1250">
      <c r="A1250" s="18">
        <v>5555.0</v>
      </c>
      <c r="B1250" s="18" t="s">
        <v>32</v>
      </c>
      <c r="C1250" s="18">
        <v>129.0</v>
      </c>
      <c r="D1250" s="18" t="s">
        <v>31</v>
      </c>
      <c r="E1250" s="27">
        <v>42566.23920138889</v>
      </c>
      <c r="F1250" s="19">
        <f>IFERROR(__xludf.DUMMYFUNCTION("IFERROR(TO_DATE(E1250), """")"),42566.23920138889)</f>
        <v>42566.2392</v>
      </c>
      <c r="G1250" s="20">
        <f t="shared" si="1"/>
        <v>5</v>
      </c>
      <c r="H1250" s="27">
        <v>42566.269594907404</v>
      </c>
      <c r="I1250" s="19">
        <f>IFERROR(__xludf.DUMMYFUNCTION("IFERROR(TO_DATE(H1250), """")"),42566.269594907404)</f>
        <v>42566.26959</v>
      </c>
      <c r="J1250" s="19" t="s">
        <v>11</v>
      </c>
      <c r="K1250" s="22">
        <f t="shared" si="2"/>
        <v>0</v>
      </c>
    </row>
    <row r="1251">
      <c r="A1251" s="18">
        <v>5674.0</v>
      </c>
      <c r="B1251" s="18" t="s">
        <v>30</v>
      </c>
      <c r="C1251" s="18">
        <v>129.0</v>
      </c>
      <c r="D1251" s="18" t="s">
        <v>31</v>
      </c>
      <c r="E1251" s="27">
        <v>42566.29609953704</v>
      </c>
      <c r="F1251" s="19">
        <f>IFERROR(__xludf.DUMMYFUNCTION("IFERROR(TO_DATE(E1251), """")"),42566.29609953704)</f>
        <v>42566.2961</v>
      </c>
      <c r="G1251" s="20">
        <f t="shared" si="1"/>
        <v>7</v>
      </c>
      <c r="H1251" s="27">
        <v>42566.32439814815</v>
      </c>
      <c r="I1251" s="19">
        <f>IFERROR(__xludf.DUMMYFUNCTION("IFERROR(TO_DATE(H1251), """")"),42566.32439814815)</f>
        <v>42566.3244</v>
      </c>
      <c r="J1251" s="19" t="s">
        <v>11</v>
      </c>
      <c r="K1251" s="22">
        <f t="shared" si="2"/>
        <v>0</v>
      </c>
    </row>
    <row r="1252">
      <c r="A1252" s="18">
        <v>6596.0</v>
      </c>
      <c r="B1252" s="18" t="s">
        <v>32</v>
      </c>
      <c r="C1252" s="18">
        <v>129.0</v>
      </c>
      <c r="D1252" s="18" t="s">
        <v>31</v>
      </c>
      <c r="E1252" s="27">
        <v>42566.89815972222</v>
      </c>
      <c r="F1252" s="19">
        <f>IFERROR(__xludf.DUMMYFUNCTION("IFERROR(TO_DATE(E1252), """")"),42566.89815972222)</f>
        <v>42566.89816</v>
      </c>
      <c r="G1252" s="20">
        <f t="shared" si="1"/>
        <v>21</v>
      </c>
      <c r="H1252" s="27">
        <v>42566.931979166664</v>
      </c>
      <c r="I1252" s="19">
        <f>IFERROR(__xludf.DUMMYFUNCTION("IFERROR(TO_DATE(H1252), """")"),42566.931979166664)</f>
        <v>42566.93198</v>
      </c>
      <c r="J1252" s="19" t="s">
        <v>13</v>
      </c>
      <c r="K1252" s="22">
        <f t="shared" si="2"/>
        <v>0</v>
      </c>
    </row>
    <row r="1253">
      <c r="A1253" s="18">
        <v>123.0</v>
      </c>
      <c r="B1253" s="18" t="s">
        <v>32</v>
      </c>
      <c r="C1253" s="18">
        <v>130.0</v>
      </c>
      <c r="D1253" s="18" t="s">
        <v>31</v>
      </c>
      <c r="E1253" s="26">
        <v>42562.21666666667</v>
      </c>
      <c r="F1253" s="19">
        <f>IFERROR(__xludf.DUMMYFUNCTION("IFERROR(TO_DATE(E1253), """")"),42562.21666666667)</f>
        <v>42562.21667</v>
      </c>
      <c r="G1253" s="20">
        <f t="shared" si="1"/>
        <v>5</v>
      </c>
      <c r="H1253" s="26">
        <v>42562.259722222225</v>
      </c>
      <c r="I1253" s="19">
        <f>IFERROR(__xludf.DUMMYFUNCTION("IFERROR(TO_DATE(H1253), """")"),42562.259722222225)</f>
        <v>42562.25972</v>
      </c>
      <c r="J1253" s="19" t="s">
        <v>11</v>
      </c>
      <c r="K1253" s="22">
        <f t="shared" si="2"/>
        <v>0</v>
      </c>
    </row>
    <row r="1254">
      <c r="A1254" s="18">
        <v>479.0</v>
      </c>
      <c r="B1254" s="18" t="s">
        <v>30</v>
      </c>
      <c r="C1254" s="18">
        <v>130.0</v>
      </c>
      <c r="D1254" s="18" t="s">
        <v>31</v>
      </c>
      <c r="E1254" s="26">
        <v>42562.39375</v>
      </c>
      <c r="F1254" s="19">
        <f>IFERROR(__xludf.DUMMYFUNCTION("IFERROR(TO_DATE(E1254), """")"),42562.39375)</f>
        <v>42562.39375</v>
      </c>
      <c r="G1254" s="20">
        <f t="shared" si="1"/>
        <v>9</v>
      </c>
      <c r="H1254" s="26">
        <v>42562.447222222225</v>
      </c>
      <c r="I1254" s="19">
        <f>IFERROR(__xludf.DUMMYFUNCTION("IFERROR(TO_DATE(H1254), """")"),42562.447222222225)</f>
        <v>42562.44722</v>
      </c>
      <c r="J1254" s="19" t="s">
        <v>14</v>
      </c>
      <c r="K1254" s="22">
        <f t="shared" si="2"/>
        <v>0</v>
      </c>
    </row>
    <row r="1255">
      <c r="A1255" s="18">
        <v>657.0</v>
      </c>
      <c r="B1255" s="18" t="s">
        <v>32</v>
      </c>
      <c r="C1255" s="18">
        <v>130.0</v>
      </c>
      <c r="D1255" s="18" t="s">
        <v>31</v>
      </c>
      <c r="E1255" s="26">
        <v>42562.538194444445</v>
      </c>
      <c r="F1255" s="19">
        <f>IFERROR(__xludf.DUMMYFUNCTION("IFERROR(TO_DATE(E1255), """")"),42562.538194444445)</f>
        <v>42562.53819</v>
      </c>
      <c r="G1255" s="20">
        <f t="shared" si="1"/>
        <v>12</v>
      </c>
      <c r="H1255" s="26">
        <v>42562.57361111111</v>
      </c>
      <c r="I1255" s="19">
        <f>IFERROR(__xludf.DUMMYFUNCTION("IFERROR(TO_DATE(H1255), """")"),42562.57361111111)</f>
        <v>42562.57361</v>
      </c>
      <c r="J1255" s="19" t="s">
        <v>10</v>
      </c>
      <c r="K1255" s="22">
        <f t="shared" si="2"/>
        <v>0</v>
      </c>
    </row>
    <row r="1256">
      <c r="A1256" s="18">
        <v>975.0</v>
      </c>
      <c r="B1256" s="18" t="s">
        <v>30</v>
      </c>
      <c r="C1256" s="18">
        <v>130.0</v>
      </c>
      <c r="D1256" s="18" t="s">
        <v>31</v>
      </c>
      <c r="E1256" s="26">
        <v>42562.7875</v>
      </c>
      <c r="F1256" s="19">
        <f>IFERROR(__xludf.DUMMYFUNCTION("IFERROR(TO_DATE(E1256), """")"),42562.7875)</f>
        <v>42562.7875</v>
      </c>
      <c r="G1256" s="20">
        <f t="shared" si="1"/>
        <v>18</v>
      </c>
      <c r="H1256" s="26">
        <v>42562.836805555555</v>
      </c>
      <c r="I1256" s="19">
        <f>IFERROR(__xludf.DUMMYFUNCTION("IFERROR(TO_DATE(H1256), """")"),42562.836805555555)</f>
        <v>42562.83681</v>
      </c>
      <c r="J1256" s="19" t="s">
        <v>12</v>
      </c>
      <c r="K1256" s="22">
        <f t="shared" si="2"/>
        <v>0</v>
      </c>
    </row>
    <row r="1257">
      <c r="A1257" s="18">
        <v>1307.0</v>
      </c>
      <c r="B1257" s="18" t="s">
        <v>30</v>
      </c>
      <c r="C1257" s="18">
        <v>130.0</v>
      </c>
      <c r="D1257" s="18" t="s">
        <v>31</v>
      </c>
      <c r="E1257" s="26">
        <v>42562.94583333333</v>
      </c>
      <c r="F1257" s="19">
        <f>IFERROR(__xludf.DUMMYFUNCTION("IFERROR(TO_DATE(E1257), """")"),42562.94583333333)</f>
        <v>42562.94583</v>
      </c>
      <c r="G1257" s="20">
        <f t="shared" si="1"/>
        <v>22</v>
      </c>
      <c r="H1257" s="26">
        <v>42562.96319444444</v>
      </c>
      <c r="I1257" s="19">
        <f>IFERROR(__xludf.DUMMYFUNCTION("IFERROR(TO_DATE(H1257), """")"),42562.96319444444)</f>
        <v>42562.96319</v>
      </c>
      <c r="J1257" s="19" t="s">
        <v>13</v>
      </c>
      <c r="K1257" s="22">
        <f t="shared" si="2"/>
        <v>0</v>
      </c>
    </row>
    <row r="1258">
      <c r="A1258" s="18">
        <v>1672.0</v>
      </c>
      <c r="B1258" s="18" t="s">
        <v>32</v>
      </c>
      <c r="C1258" s="18">
        <v>130.0</v>
      </c>
      <c r="D1258" s="18" t="s">
        <v>31</v>
      </c>
      <c r="E1258" s="26">
        <v>42563.31736111111</v>
      </c>
      <c r="F1258" s="19">
        <f>IFERROR(__xludf.DUMMYFUNCTION("IFERROR(TO_DATE(E1258), """")"),42563.31736111111)</f>
        <v>42563.31736</v>
      </c>
      <c r="G1258" s="20">
        <f t="shared" si="1"/>
        <v>7</v>
      </c>
      <c r="H1258" s="26">
        <v>42563.342361111114</v>
      </c>
      <c r="I1258" s="19">
        <f>IFERROR(__xludf.DUMMYFUNCTION("IFERROR(TO_DATE(H1258), """")"),42563.342361111114)</f>
        <v>42563.34236</v>
      </c>
      <c r="J1258" s="19" t="s">
        <v>11</v>
      </c>
      <c r="K1258" s="22">
        <f t="shared" si="2"/>
        <v>0</v>
      </c>
    </row>
    <row r="1259">
      <c r="A1259" s="18">
        <v>1942.0</v>
      </c>
      <c r="B1259" s="18" t="s">
        <v>30</v>
      </c>
      <c r="C1259" s="18">
        <v>130.0</v>
      </c>
      <c r="D1259" s="18" t="s">
        <v>31</v>
      </c>
      <c r="E1259" s="26">
        <v>42563.47638888889</v>
      </c>
      <c r="F1259" s="19">
        <f>IFERROR(__xludf.DUMMYFUNCTION("IFERROR(TO_DATE(E1259), """")"),42563.47638888889)</f>
        <v>42563.47639</v>
      </c>
      <c r="G1259" s="20">
        <f t="shared" si="1"/>
        <v>11</v>
      </c>
      <c r="H1259" s="26">
        <v>42563.51875</v>
      </c>
      <c r="I1259" s="19">
        <f>IFERROR(__xludf.DUMMYFUNCTION("IFERROR(TO_DATE(H1259), """")"),42563.51875)</f>
        <v>42563.51875</v>
      </c>
      <c r="J1259" s="19" t="s">
        <v>14</v>
      </c>
      <c r="K1259" s="22">
        <f t="shared" si="2"/>
        <v>0</v>
      </c>
    </row>
    <row r="1260">
      <c r="A1260" s="18">
        <v>3382.0</v>
      </c>
      <c r="B1260" s="18" t="s">
        <v>32</v>
      </c>
      <c r="C1260" s="18">
        <v>130.0</v>
      </c>
      <c r="D1260" s="18" t="s">
        <v>31</v>
      </c>
      <c r="E1260" s="27">
        <v>42564.6006712963</v>
      </c>
      <c r="F1260" s="19">
        <f>IFERROR(__xludf.DUMMYFUNCTION("IFERROR(TO_DATE(E1260), """")"),42564.6006712963)</f>
        <v>42564.60067</v>
      </c>
      <c r="G1260" s="20">
        <f t="shared" si="1"/>
        <v>14</v>
      </c>
      <c r="H1260" s="27">
        <v>42564.6384375</v>
      </c>
      <c r="I1260" s="19">
        <f>IFERROR(__xludf.DUMMYFUNCTION("IFERROR(TO_DATE(H1260), """")"),42564.6384375)</f>
        <v>42564.63844</v>
      </c>
      <c r="J1260" s="19" t="s">
        <v>10</v>
      </c>
      <c r="K1260" s="22">
        <f t="shared" si="2"/>
        <v>0</v>
      </c>
    </row>
    <row r="1261">
      <c r="A1261" s="18">
        <v>4284.0</v>
      </c>
      <c r="B1261" s="18" t="s">
        <v>30</v>
      </c>
      <c r="C1261" s="18">
        <v>130.0</v>
      </c>
      <c r="D1261" s="18" t="s">
        <v>31</v>
      </c>
      <c r="E1261" s="27">
        <v>42565.2734375</v>
      </c>
      <c r="F1261" s="19">
        <f>IFERROR(__xludf.DUMMYFUNCTION("IFERROR(TO_DATE(E1261), """")"),42565.2734375)</f>
        <v>42565.27344</v>
      </c>
      <c r="G1261" s="20">
        <f t="shared" si="1"/>
        <v>6</v>
      </c>
      <c r="H1261" s="27">
        <v>42565.29923611111</v>
      </c>
      <c r="I1261" s="19">
        <f>IFERROR(__xludf.DUMMYFUNCTION("IFERROR(TO_DATE(H1261), """")"),42565.29923611111)</f>
        <v>42565.29924</v>
      </c>
      <c r="J1261" s="19" t="s">
        <v>11</v>
      </c>
      <c r="K1261" s="22">
        <f t="shared" si="2"/>
        <v>0</v>
      </c>
    </row>
    <row r="1262">
      <c r="A1262" s="18">
        <v>6734.0</v>
      </c>
      <c r="B1262" s="18" t="s">
        <v>30</v>
      </c>
      <c r="C1262" s="18">
        <v>130.0</v>
      </c>
      <c r="D1262" s="18" t="s">
        <v>31</v>
      </c>
      <c r="E1262" s="27">
        <v>42566.98415509259</v>
      </c>
      <c r="F1262" s="19">
        <f>IFERROR(__xludf.DUMMYFUNCTION("IFERROR(TO_DATE(E1262), """")"),42566.98415509259)</f>
        <v>42566.98416</v>
      </c>
      <c r="G1262" s="20">
        <f t="shared" si="1"/>
        <v>23</v>
      </c>
      <c r="H1262" s="27">
        <v>42567.01758101852</v>
      </c>
      <c r="I1262" s="19">
        <f>IFERROR(__xludf.DUMMYFUNCTION("IFERROR(TO_DATE(H1262), """")"),42567.01758101852)</f>
        <v>42567.01758</v>
      </c>
      <c r="J1262" s="19" t="s">
        <v>13</v>
      </c>
      <c r="K1262" s="22">
        <f t="shared" si="2"/>
        <v>0</v>
      </c>
    </row>
    <row r="1263">
      <c r="A1263" s="18">
        <v>281.0</v>
      </c>
      <c r="B1263" s="18" t="s">
        <v>32</v>
      </c>
      <c r="C1263" s="18">
        <v>131.0</v>
      </c>
      <c r="D1263" s="18" t="s">
        <v>31</v>
      </c>
      <c r="E1263" s="26">
        <v>42562.29236111111</v>
      </c>
      <c r="F1263" s="19">
        <f>IFERROR(__xludf.DUMMYFUNCTION("IFERROR(TO_DATE(E1263), """")"),42562.29236111111)</f>
        <v>42562.29236</v>
      </c>
      <c r="G1263" s="20">
        <f t="shared" si="1"/>
        <v>7</v>
      </c>
      <c r="H1263" s="26">
        <v>42562.34027777778</v>
      </c>
      <c r="I1263" s="19">
        <f>IFERROR(__xludf.DUMMYFUNCTION("IFERROR(TO_DATE(H1263), """")"),42562.34027777778)</f>
        <v>42562.34028</v>
      </c>
      <c r="J1263" s="19" t="s">
        <v>11</v>
      </c>
      <c r="K1263" s="22">
        <f t="shared" si="2"/>
        <v>0</v>
      </c>
    </row>
    <row r="1264">
      <c r="A1264" s="18">
        <v>1902.0</v>
      </c>
      <c r="B1264" s="18" t="s">
        <v>32</v>
      </c>
      <c r="C1264" s="18">
        <v>131.0</v>
      </c>
      <c r="D1264" s="18" t="s">
        <v>31</v>
      </c>
      <c r="E1264" s="26">
        <v>42563.44027777778</v>
      </c>
      <c r="F1264" s="19">
        <f>IFERROR(__xludf.DUMMYFUNCTION("IFERROR(TO_DATE(E1264), """")"),42563.44027777778)</f>
        <v>42563.44028</v>
      </c>
      <c r="G1264" s="20">
        <f t="shared" si="1"/>
        <v>10</v>
      </c>
      <c r="H1264" s="26">
        <v>42563.490277777775</v>
      </c>
      <c r="I1264" s="19">
        <f>IFERROR(__xludf.DUMMYFUNCTION("IFERROR(TO_DATE(H1264), """")"),42563.490277777775)</f>
        <v>42563.49028</v>
      </c>
      <c r="J1264" s="19" t="s">
        <v>14</v>
      </c>
      <c r="K1264" s="22">
        <f t="shared" si="2"/>
        <v>0</v>
      </c>
    </row>
    <row r="1265">
      <c r="A1265" s="18">
        <v>2691.0</v>
      </c>
      <c r="B1265" s="18" t="s">
        <v>30</v>
      </c>
      <c r="C1265" s="18">
        <v>131.0</v>
      </c>
      <c r="D1265" s="18" t="s">
        <v>31</v>
      </c>
      <c r="E1265" s="27">
        <v>42564.03057870371</v>
      </c>
      <c r="F1265" s="19">
        <f>IFERROR(__xludf.DUMMYFUNCTION("IFERROR(TO_DATE(E1265), """")"),42564.03057870371)</f>
        <v>42564.03058</v>
      </c>
      <c r="G1265" s="20">
        <f t="shared" si="1"/>
        <v>0</v>
      </c>
      <c r="H1265" s="27">
        <v>42564.070289351854</v>
      </c>
      <c r="I1265" s="19">
        <f>IFERROR(__xludf.DUMMYFUNCTION("IFERROR(TO_DATE(H1265), """")"),42564.070289351854)</f>
        <v>42564.07029</v>
      </c>
      <c r="J1265" s="19" t="s">
        <v>15</v>
      </c>
      <c r="K1265" s="22">
        <f t="shared" si="2"/>
        <v>0</v>
      </c>
    </row>
    <row r="1266">
      <c r="A1266" s="18">
        <v>4430.0</v>
      </c>
      <c r="B1266" s="18" t="s">
        <v>32</v>
      </c>
      <c r="C1266" s="18">
        <v>131.0</v>
      </c>
      <c r="D1266" s="18" t="s">
        <v>31</v>
      </c>
      <c r="E1266" s="27">
        <v>42565.34800925926</v>
      </c>
      <c r="F1266" s="19">
        <f>IFERROR(__xludf.DUMMYFUNCTION("IFERROR(TO_DATE(E1266), """")"),42565.34800925926)</f>
        <v>42565.34801</v>
      </c>
      <c r="G1266" s="20">
        <f t="shared" si="1"/>
        <v>8</v>
      </c>
      <c r="H1266" s="27">
        <v>42565.373761574076</v>
      </c>
      <c r="I1266" s="19">
        <f>IFERROR(__xludf.DUMMYFUNCTION("IFERROR(TO_DATE(H1266), """")"),42565.373761574076)</f>
        <v>42565.37376</v>
      </c>
      <c r="J1266" s="19" t="s">
        <v>14</v>
      </c>
      <c r="K1266" s="22">
        <f t="shared" si="2"/>
        <v>0</v>
      </c>
    </row>
    <row r="1267">
      <c r="A1267" s="18">
        <v>4779.0</v>
      </c>
      <c r="B1267" s="18" t="s">
        <v>32</v>
      </c>
      <c r="C1267" s="18">
        <v>131.0</v>
      </c>
      <c r="D1267" s="18" t="s">
        <v>31</v>
      </c>
      <c r="E1267" s="27">
        <v>42565.68876157407</v>
      </c>
      <c r="F1267" s="19">
        <f>IFERROR(__xludf.DUMMYFUNCTION("IFERROR(TO_DATE(E1267), """")"),42565.68876157407)</f>
        <v>42565.68876</v>
      </c>
      <c r="G1267" s="20">
        <f t="shared" si="1"/>
        <v>16</v>
      </c>
      <c r="H1267" s="27">
        <v>42565.70798611111</v>
      </c>
      <c r="I1267" s="19">
        <f>IFERROR(__xludf.DUMMYFUNCTION("IFERROR(TO_DATE(H1267), """")"),42565.70798611111)</f>
        <v>42565.70799</v>
      </c>
      <c r="J1267" s="19" t="s">
        <v>12</v>
      </c>
      <c r="K1267" s="22">
        <f t="shared" si="2"/>
        <v>0</v>
      </c>
    </row>
    <row r="1268">
      <c r="A1268" s="18">
        <v>5097.0</v>
      </c>
      <c r="B1268" s="18" t="s">
        <v>32</v>
      </c>
      <c r="C1268" s="18">
        <v>131.0</v>
      </c>
      <c r="D1268" s="18" t="s">
        <v>31</v>
      </c>
      <c r="E1268" s="27">
        <v>42565.82798611111</v>
      </c>
      <c r="F1268" s="19">
        <f>IFERROR(__xludf.DUMMYFUNCTION("IFERROR(TO_DATE(E1268), """")"),42565.82798611111)</f>
        <v>42565.82799</v>
      </c>
      <c r="G1268" s="20">
        <f t="shared" si="1"/>
        <v>19</v>
      </c>
      <c r="H1268" s="27">
        <v>42565.86771990741</v>
      </c>
      <c r="I1268" s="19">
        <f>IFERROR(__xludf.DUMMYFUNCTION("IFERROR(TO_DATE(H1268), """")"),42565.86771990741)</f>
        <v>42565.86772</v>
      </c>
      <c r="J1268" s="19" t="s">
        <v>12</v>
      </c>
      <c r="K1268" s="22">
        <f t="shared" si="2"/>
        <v>0</v>
      </c>
    </row>
    <row r="1269">
      <c r="A1269" s="18">
        <v>405.0</v>
      </c>
      <c r="B1269" s="18" t="s">
        <v>32</v>
      </c>
      <c r="C1269" s="18">
        <v>132.0</v>
      </c>
      <c r="D1269" s="18" t="s">
        <v>31</v>
      </c>
      <c r="E1269" s="26">
        <v>42562.353472222225</v>
      </c>
      <c r="F1269" s="19">
        <f>IFERROR(__xludf.DUMMYFUNCTION("IFERROR(TO_DATE(E1269), """")"),42562.353472222225)</f>
        <v>42562.35347</v>
      </c>
      <c r="G1269" s="20">
        <f t="shared" si="1"/>
        <v>8</v>
      </c>
      <c r="H1269" s="26">
        <v>42562.399305555555</v>
      </c>
      <c r="I1269" s="19">
        <f>IFERROR(__xludf.DUMMYFUNCTION("IFERROR(TO_DATE(H1269), """")"),42562.399305555555)</f>
        <v>42562.39931</v>
      </c>
      <c r="J1269" s="19" t="s">
        <v>14</v>
      </c>
      <c r="K1269" s="22">
        <f t="shared" si="2"/>
        <v>0</v>
      </c>
    </row>
    <row r="1270">
      <c r="A1270" s="18">
        <v>585.0</v>
      </c>
      <c r="B1270" s="18" t="s">
        <v>32</v>
      </c>
      <c r="C1270" s="18">
        <v>132.0</v>
      </c>
      <c r="D1270" s="18" t="s">
        <v>31</v>
      </c>
      <c r="E1270" s="26">
        <v>42562.46944444445</v>
      </c>
      <c r="F1270" s="19">
        <f>IFERROR(__xludf.DUMMYFUNCTION("IFERROR(TO_DATE(E1270), """")"),42562.46944444445)</f>
        <v>42562.46944</v>
      </c>
      <c r="G1270" s="20">
        <f t="shared" si="1"/>
        <v>11</v>
      </c>
      <c r="H1270" s="26">
        <v>42562.49791666667</v>
      </c>
      <c r="I1270" s="19">
        <f>IFERROR(__xludf.DUMMYFUNCTION("IFERROR(TO_DATE(H1270), """")"),42562.49791666667)</f>
        <v>42562.49792</v>
      </c>
      <c r="J1270" s="19" t="s">
        <v>14</v>
      </c>
      <c r="K1270" s="22">
        <f t="shared" si="2"/>
        <v>0</v>
      </c>
    </row>
    <row r="1271">
      <c r="A1271" s="18">
        <v>729.0</v>
      </c>
      <c r="B1271" s="18" t="s">
        <v>30</v>
      </c>
      <c r="C1271" s="18">
        <v>132.0</v>
      </c>
      <c r="D1271" s="18" t="s">
        <v>31</v>
      </c>
      <c r="E1271" s="26">
        <v>42562.634722222225</v>
      </c>
      <c r="F1271" s="19">
        <f>IFERROR(__xludf.DUMMYFUNCTION("IFERROR(TO_DATE(E1271), """")"),42562.634722222225)</f>
        <v>42562.63472</v>
      </c>
      <c r="G1271" s="20">
        <f t="shared" si="1"/>
        <v>15</v>
      </c>
      <c r="H1271" s="26">
        <v>42562.65972222222</v>
      </c>
      <c r="I1271" s="19">
        <f>IFERROR(__xludf.DUMMYFUNCTION("IFERROR(TO_DATE(H1271), """")"),42562.65972222222)</f>
        <v>42562.65972</v>
      </c>
      <c r="J1271" s="19" t="s">
        <v>10</v>
      </c>
      <c r="K1271" s="22">
        <f t="shared" si="2"/>
        <v>0</v>
      </c>
    </row>
    <row r="1272">
      <c r="A1272" s="18">
        <v>1046.0</v>
      </c>
      <c r="B1272" s="18" t="s">
        <v>30</v>
      </c>
      <c r="C1272" s="18">
        <v>132.0</v>
      </c>
      <c r="D1272" s="18" t="s">
        <v>31</v>
      </c>
      <c r="E1272" s="26">
        <v>42562.81319444445</v>
      </c>
      <c r="F1272" s="19">
        <f>IFERROR(__xludf.DUMMYFUNCTION("IFERROR(TO_DATE(E1272), """")"),42562.81319444445)</f>
        <v>42562.81319</v>
      </c>
      <c r="G1272" s="20">
        <f t="shared" si="1"/>
        <v>19</v>
      </c>
      <c r="H1272" s="26">
        <v>42562.84166666667</v>
      </c>
      <c r="I1272" s="19">
        <f>IFERROR(__xludf.DUMMYFUNCTION("IFERROR(TO_DATE(H1272), """")"),42562.84166666667)</f>
        <v>42562.84167</v>
      </c>
      <c r="J1272" s="19" t="s">
        <v>12</v>
      </c>
      <c r="K1272" s="22">
        <f t="shared" si="2"/>
        <v>0</v>
      </c>
    </row>
    <row r="1273">
      <c r="A1273" s="18">
        <v>1663.0</v>
      </c>
      <c r="B1273" s="18" t="s">
        <v>30</v>
      </c>
      <c r="C1273" s="18">
        <v>132.0</v>
      </c>
      <c r="D1273" s="18" t="s">
        <v>31</v>
      </c>
      <c r="E1273" s="26">
        <v>42563.31458333333</v>
      </c>
      <c r="F1273" s="19">
        <f>IFERROR(__xludf.DUMMYFUNCTION("IFERROR(TO_DATE(E1273), """")"),42563.31458333333)</f>
        <v>42563.31458</v>
      </c>
      <c r="G1273" s="20">
        <f t="shared" si="1"/>
        <v>7</v>
      </c>
      <c r="H1273" s="26">
        <v>42563.347916666666</v>
      </c>
      <c r="I1273" s="19">
        <f>IFERROR(__xludf.DUMMYFUNCTION("IFERROR(TO_DATE(H1273), """")"),42563.347916666666)</f>
        <v>42563.34792</v>
      </c>
      <c r="J1273" s="19" t="s">
        <v>11</v>
      </c>
      <c r="K1273" s="22">
        <f t="shared" si="2"/>
        <v>0</v>
      </c>
    </row>
    <row r="1274">
      <c r="A1274" s="18">
        <v>4027.0</v>
      </c>
      <c r="B1274" s="18" t="s">
        <v>32</v>
      </c>
      <c r="C1274" s="18">
        <v>132.0</v>
      </c>
      <c r="D1274" s="18" t="s">
        <v>31</v>
      </c>
      <c r="E1274" s="27">
        <v>42564.005532407406</v>
      </c>
      <c r="F1274" s="19">
        <f>IFERROR(__xludf.DUMMYFUNCTION("IFERROR(TO_DATE(E1274), """")"),42564.005532407406)</f>
        <v>42564.00553</v>
      </c>
      <c r="G1274" s="20">
        <f t="shared" si="1"/>
        <v>0</v>
      </c>
      <c r="H1274" s="27">
        <v>42564.059212962966</v>
      </c>
      <c r="I1274" s="19">
        <f>IFERROR(__xludf.DUMMYFUNCTION("IFERROR(TO_DATE(H1274), """")"),42564.059212962966)</f>
        <v>42564.05921</v>
      </c>
      <c r="J1274" s="19" t="s">
        <v>15</v>
      </c>
      <c r="K1274" s="22">
        <f t="shared" si="2"/>
        <v>0</v>
      </c>
    </row>
    <row r="1275">
      <c r="A1275" s="18">
        <v>2876.0</v>
      </c>
      <c r="B1275" s="18" t="s">
        <v>32</v>
      </c>
      <c r="C1275" s="18">
        <v>132.0</v>
      </c>
      <c r="D1275" s="18" t="s">
        <v>31</v>
      </c>
      <c r="E1275" s="27">
        <v>42564.24302083333</v>
      </c>
      <c r="F1275" s="19">
        <f>IFERROR(__xludf.DUMMYFUNCTION("IFERROR(TO_DATE(E1275), """")"),42564.24302083333)</f>
        <v>42564.24302</v>
      </c>
      <c r="G1275" s="20">
        <f t="shared" si="1"/>
        <v>5</v>
      </c>
      <c r="H1275" s="27">
        <v>42564.26920138889</v>
      </c>
      <c r="I1275" s="19">
        <f>IFERROR(__xludf.DUMMYFUNCTION("IFERROR(TO_DATE(H1275), """")"),42564.26920138889)</f>
        <v>42564.2692</v>
      </c>
      <c r="J1275" s="19" t="s">
        <v>11</v>
      </c>
      <c r="K1275" s="22">
        <f t="shared" si="2"/>
        <v>0</v>
      </c>
    </row>
    <row r="1276">
      <c r="A1276" s="18">
        <v>3767.0</v>
      </c>
      <c r="B1276" s="18" t="s">
        <v>30</v>
      </c>
      <c r="C1276" s="18">
        <v>132.0</v>
      </c>
      <c r="D1276" s="18" t="s">
        <v>31</v>
      </c>
      <c r="E1276" s="27">
        <v>42564.857719907406</v>
      </c>
      <c r="F1276" s="19">
        <f>IFERROR(__xludf.DUMMYFUNCTION("IFERROR(TO_DATE(E1276), """")"),42564.857719907406)</f>
        <v>42564.85772</v>
      </c>
      <c r="G1276" s="20">
        <f t="shared" si="1"/>
        <v>20</v>
      </c>
      <c r="H1276" s="27">
        <v>42564.881377314814</v>
      </c>
      <c r="I1276" s="19">
        <f>IFERROR(__xludf.DUMMYFUNCTION("IFERROR(TO_DATE(H1276), """")"),42564.881377314814)</f>
        <v>42564.88138</v>
      </c>
      <c r="J1276" s="19" t="s">
        <v>13</v>
      </c>
      <c r="K1276" s="22">
        <f t="shared" si="2"/>
        <v>0</v>
      </c>
    </row>
    <row r="1277">
      <c r="A1277" s="18">
        <v>5948.0</v>
      </c>
      <c r="B1277" s="18" t="s">
        <v>32</v>
      </c>
      <c r="C1277" s="18">
        <v>132.0</v>
      </c>
      <c r="D1277" s="18" t="s">
        <v>31</v>
      </c>
      <c r="E1277" s="27">
        <v>42566.44221064815</v>
      </c>
      <c r="F1277" s="19">
        <f>IFERROR(__xludf.DUMMYFUNCTION("IFERROR(TO_DATE(E1277), """")"),42566.44221064815)</f>
        <v>42566.44221</v>
      </c>
      <c r="G1277" s="20">
        <f t="shared" si="1"/>
        <v>10</v>
      </c>
      <c r="H1277" s="27">
        <v>42566.48349537037</v>
      </c>
      <c r="I1277" s="19">
        <f>IFERROR(__xludf.DUMMYFUNCTION("IFERROR(TO_DATE(H1277), """")"),42566.48349537037)</f>
        <v>42566.4835</v>
      </c>
      <c r="J1277" s="19" t="s">
        <v>14</v>
      </c>
      <c r="K1277" s="22">
        <f t="shared" si="2"/>
        <v>0</v>
      </c>
    </row>
    <row r="1278">
      <c r="A1278" s="18">
        <v>6027.0</v>
      </c>
      <c r="B1278" s="18" t="s">
        <v>30</v>
      </c>
      <c r="C1278" s="18">
        <v>132.0</v>
      </c>
      <c r="D1278" s="18" t="s">
        <v>31</v>
      </c>
      <c r="E1278" s="27">
        <v>42566.5325</v>
      </c>
      <c r="F1278" s="19">
        <f>IFERROR(__xludf.DUMMYFUNCTION("IFERROR(TO_DATE(E1278), """")"),42566.5325)</f>
        <v>42566.5325</v>
      </c>
      <c r="G1278" s="20">
        <f t="shared" si="1"/>
        <v>12</v>
      </c>
      <c r="H1278" s="27">
        <v>42566.566666666666</v>
      </c>
      <c r="I1278" s="19">
        <f>IFERROR(__xludf.DUMMYFUNCTION("IFERROR(TO_DATE(H1278), """")"),42566.566666666666)</f>
        <v>42566.56667</v>
      </c>
      <c r="J1278" s="19" t="s">
        <v>10</v>
      </c>
      <c r="K1278" s="22">
        <f t="shared" si="2"/>
        <v>0</v>
      </c>
    </row>
    <row r="1279">
      <c r="A1279" s="18">
        <v>701.0</v>
      </c>
      <c r="B1279" s="18" t="s">
        <v>32</v>
      </c>
      <c r="C1279" s="18">
        <v>133.0</v>
      </c>
      <c r="D1279" s="18" t="s">
        <v>31</v>
      </c>
      <c r="E1279" s="26">
        <v>42562.584027777775</v>
      </c>
      <c r="F1279" s="19">
        <f>IFERROR(__xludf.DUMMYFUNCTION("IFERROR(TO_DATE(E1279), """")"),42562.584027777775)</f>
        <v>42562.58403</v>
      </c>
      <c r="G1279" s="20">
        <f t="shared" si="1"/>
        <v>14</v>
      </c>
      <c r="H1279" s="26">
        <v>42562.625</v>
      </c>
      <c r="I1279" s="19">
        <f>IFERROR(__xludf.DUMMYFUNCTION("IFERROR(TO_DATE(H1279), """")"),42562.625)</f>
        <v>42562.625</v>
      </c>
      <c r="J1279" s="19" t="s">
        <v>10</v>
      </c>
      <c r="K1279" s="22">
        <f t="shared" si="2"/>
        <v>0</v>
      </c>
    </row>
    <row r="1280">
      <c r="A1280" s="18">
        <v>1529.0</v>
      </c>
      <c r="B1280" s="18" t="s">
        <v>32</v>
      </c>
      <c r="C1280" s="18">
        <v>133.0</v>
      </c>
      <c r="D1280" s="18" t="s">
        <v>31</v>
      </c>
      <c r="E1280" s="26">
        <v>42563.24722222222</v>
      </c>
      <c r="F1280" s="19">
        <f>IFERROR(__xludf.DUMMYFUNCTION("IFERROR(TO_DATE(E1280), """")"),42563.24722222222)</f>
        <v>42563.24722</v>
      </c>
      <c r="G1280" s="20">
        <f t="shared" si="1"/>
        <v>5</v>
      </c>
      <c r="H1280" s="26">
        <v>42563.28402777778</v>
      </c>
      <c r="I1280" s="19">
        <f>IFERROR(__xludf.DUMMYFUNCTION("IFERROR(TO_DATE(H1280), """")"),42563.28402777778)</f>
        <v>42563.28403</v>
      </c>
      <c r="J1280" s="19" t="s">
        <v>11</v>
      </c>
      <c r="K1280" s="22">
        <f t="shared" si="2"/>
        <v>0</v>
      </c>
    </row>
    <row r="1281">
      <c r="A1281" s="18">
        <v>2060.0</v>
      </c>
      <c r="B1281" s="18" t="s">
        <v>30</v>
      </c>
      <c r="C1281" s="18">
        <v>133.0</v>
      </c>
      <c r="D1281" s="18" t="s">
        <v>31</v>
      </c>
      <c r="E1281" s="26">
        <v>42563.62777777778</v>
      </c>
      <c r="F1281" s="19">
        <f>IFERROR(__xludf.DUMMYFUNCTION("IFERROR(TO_DATE(E1281), """")"),42563.62777777778)</f>
        <v>42563.62778</v>
      </c>
      <c r="G1281" s="20">
        <f t="shared" si="1"/>
        <v>15</v>
      </c>
      <c r="H1281" s="26">
        <v>42563.65069444444</v>
      </c>
      <c r="I1281" s="19">
        <f>IFERROR(__xludf.DUMMYFUNCTION("IFERROR(TO_DATE(H1281), """")"),42563.65069444444)</f>
        <v>42563.65069</v>
      </c>
      <c r="J1281" s="19" t="s">
        <v>10</v>
      </c>
      <c r="K1281" s="22">
        <f t="shared" si="2"/>
        <v>0</v>
      </c>
    </row>
    <row r="1282">
      <c r="A1282" s="18">
        <v>2262.0</v>
      </c>
      <c r="B1282" s="18" t="s">
        <v>32</v>
      </c>
      <c r="C1282" s="18">
        <v>133.0</v>
      </c>
      <c r="D1282" s="18" t="s">
        <v>31</v>
      </c>
      <c r="E1282" s="26">
        <v>42563.770833333336</v>
      </c>
      <c r="F1282" s="19">
        <f>IFERROR(__xludf.DUMMYFUNCTION("IFERROR(TO_DATE(E1282), """")"),42563.770833333336)</f>
        <v>42563.77083</v>
      </c>
      <c r="G1282" s="20">
        <f t="shared" si="1"/>
        <v>18</v>
      </c>
      <c r="H1282" s="26">
        <v>42563.790972222225</v>
      </c>
      <c r="I1282" s="19">
        <f>IFERROR(__xludf.DUMMYFUNCTION("IFERROR(TO_DATE(H1282), """")"),42563.790972222225)</f>
        <v>42563.79097</v>
      </c>
      <c r="J1282" s="19" t="s">
        <v>12</v>
      </c>
      <c r="K1282" s="22">
        <f t="shared" si="2"/>
        <v>0</v>
      </c>
    </row>
    <row r="1283">
      <c r="A1283" s="18">
        <v>4425.0</v>
      </c>
      <c r="B1283" s="18" t="s">
        <v>32</v>
      </c>
      <c r="C1283" s="18">
        <v>133.0</v>
      </c>
      <c r="D1283" s="18" t="s">
        <v>31</v>
      </c>
      <c r="E1283" s="27">
        <v>42565.350636574076</v>
      </c>
      <c r="F1283" s="19">
        <f>IFERROR(__xludf.DUMMYFUNCTION("IFERROR(TO_DATE(E1283), """")"),42565.350636574076)</f>
        <v>42565.35064</v>
      </c>
      <c r="G1283" s="20">
        <f t="shared" si="1"/>
        <v>8</v>
      </c>
      <c r="H1283" s="27">
        <v>42565.37421296296</v>
      </c>
      <c r="I1283" s="19">
        <f>IFERROR(__xludf.DUMMYFUNCTION("IFERROR(TO_DATE(H1283), """")"),42565.37421296296)</f>
        <v>42565.37421</v>
      </c>
      <c r="J1283" s="19" t="s">
        <v>14</v>
      </c>
      <c r="K1283" s="22">
        <f t="shared" si="2"/>
        <v>0</v>
      </c>
    </row>
    <row r="1284">
      <c r="A1284" s="18">
        <v>4710.0</v>
      </c>
      <c r="B1284" s="18" t="s">
        <v>32</v>
      </c>
      <c r="C1284" s="18">
        <v>133.0</v>
      </c>
      <c r="D1284" s="18" t="s">
        <v>31</v>
      </c>
      <c r="E1284" s="27">
        <v>42565.560208333336</v>
      </c>
      <c r="F1284" s="19">
        <f>IFERROR(__xludf.DUMMYFUNCTION("IFERROR(TO_DATE(E1284), """")"),42565.560208333336)</f>
        <v>42565.56021</v>
      </c>
      <c r="G1284" s="20">
        <f t="shared" si="1"/>
        <v>13</v>
      </c>
      <c r="H1284" s="27">
        <v>42565.58204861111</v>
      </c>
      <c r="I1284" s="19">
        <f>IFERROR(__xludf.DUMMYFUNCTION("IFERROR(TO_DATE(H1284), """")"),42565.58204861111)</f>
        <v>42565.58205</v>
      </c>
      <c r="J1284" s="19" t="s">
        <v>10</v>
      </c>
      <c r="K1284" s="22">
        <f t="shared" si="2"/>
        <v>0</v>
      </c>
    </row>
    <row r="1285">
      <c r="A1285" s="18">
        <v>5732.0</v>
      </c>
      <c r="B1285" s="18" t="s">
        <v>30</v>
      </c>
      <c r="C1285" s="18">
        <v>133.0</v>
      </c>
      <c r="D1285" s="18" t="s">
        <v>31</v>
      </c>
      <c r="E1285" s="27">
        <v>42566.324907407405</v>
      </c>
      <c r="F1285" s="19">
        <f>IFERROR(__xludf.DUMMYFUNCTION("IFERROR(TO_DATE(E1285), """")"),42566.324907407405)</f>
        <v>42566.32491</v>
      </c>
      <c r="G1285" s="20">
        <f t="shared" si="1"/>
        <v>7</v>
      </c>
      <c r="H1285" s="27">
        <v>42566.34809027778</v>
      </c>
      <c r="I1285" s="19">
        <f>IFERROR(__xludf.DUMMYFUNCTION("IFERROR(TO_DATE(H1285), """")"),42566.34809027778)</f>
        <v>42566.34809</v>
      </c>
      <c r="J1285" s="19" t="s">
        <v>11</v>
      </c>
      <c r="K1285" s="22">
        <f t="shared" si="2"/>
        <v>0</v>
      </c>
    </row>
    <row r="1286">
      <c r="A1286" s="18">
        <v>142.0</v>
      </c>
      <c r="B1286" s="18" t="s">
        <v>32</v>
      </c>
      <c r="C1286" s="18">
        <v>134.0</v>
      </c>
      <c r="D1286" s="18" t="s">
        <v>31</v>
      </c>
      <c r="E1286" s="26">
        <v>42562.225694444445</v>
      </c>
      <c r="F1286" s="19">
        <f>IFERROR(__xludf.DUMMYFUNCTION("IFERROR(TO_DATE(E1286), """")"),42562.225694444445)</f>
        <v>42562.22569</v>
      </c>
      <c r="G1286" s="20">
        <f t="shared" si="1"/>
        <v>5</v>
      </c>
      <c r="H1286" s="26">
        <v>42562.263194444444</v>
      </c>
      <c r="I1286" s="19">
        <f>IFERROR(__xludf.DUMMYFUNCTION("IFERROR(TO_DATE(H1286), """")"),42562.263194444444)</f>
        <v>42562.26319</v>
      </c>
      <c r="J1286" s="19" t="s">
        <v>11</v>
      </c>
      <c r="K1286" s="22">
        <f t="shared" si="2"/>
        <v>0</v>
      </c>
    </row>
    <row r="1287">
      <c r="A1287" s="18">
        <v>430.0</v>
      </c>
      <c r="B1287" s="18" t="s">
        <v>32</v>
      </c>
      <c r="C1287" s="18">
        <v>134.0</v>
      </c>
      <c r="D1287" s="18" t="s">
        <v>31</v>
      </c>
      <c r="E1287" s="26">
        <v>42562.36736111111</v>
      </c>
      <c r="F1287" s="19">
        <f>IFERROR(__xludf.DUMMYFUNCTION("IFERROR(TO_DATE(E1287), """")"),42562.36736111111)</f>
        <v>42562.36736</v>
      </c>
      <c r="G1287" s="20">
        <f t="shared" si="1"/>
        <v>8</v>
      </c>
      <c r="H1287" s="26">
        <v>42562.407638888886</v>
      </c>
      <c r="I1287" s="19">
        <f>IFERROR(__xludf.DUMMYFUNCTION("IFERROR(TO_DATE(H1287), """")"),42562.407638888886)</f>
        <v>42562.40764</v>
      </c>
      <c r="J1287" s="19" t="s">
        <v>14</v>
      </c>
      <c r="K1287" s="22">
        <f t="shared" si="2"/>
        <v>0</v>
      </c>
    </row>
    <row r="1288">
      <c r="A1288" s="18">
        <v>612.0</v>
      </c>
      <c r="B1288" s="18" t="s">
        <v>30</v>
      </c>
      <c r="C1288" s="18">
        <v>134.0</v>
      </c>
      <c r="D1288" s="18" t="s">
        <v>31</v>
      </c>
      <c r="E1288" s="26">
        <v>42562.49097222222</v>
      </c>
      <c r="F1288" s="19">
        <f>IFERROR(__xludf.DUMMYFUNCTION("IFERROR(TO_DATE(E1288), """")"),42562.49097222222)</f>
        <v>42562.49097</v>
      </c>
      <c r="G1288" s="20">
        <f t="shared" si="1"/>
        <v>11</v>
      </c>
      <c r="H1288" s="26">
        <v>42562.52569444444</v>
      </c>
      <c r="I1288" s="19">
        <f>IFERROR(__xludf.DUMMYFUNCTION("IFERROR(TO_DATE(H1288), """")"),42562.52569444444)</f>
        <v>42562.52569</v>
      </c>
      <c r="J1288" s="19" t="s">
        <v>14</v>
      </c>
      <c r="K1288" s="22">
        <f t="shared" si="2"/>
        <v>0</v>
      </c>
    </row>
    <row r="1289">
      <c r="A1289" s="18">
        <v>927.0</v>
      </c>
      <c r="B1289" s="18" t="s">
        <v>30</v>
      </c>
      <c r="C1289" s="18">
        <v>134.0</v>
      </c>
      <c r="D1289" s="18" t="s">
        <v>31</v>
      </c>
      <c r="E1289" s="26">
        <v>42562.76527777778</v>
      </c>
      <c r="F1289" s="19">
        <f>IFERROR(__xludf.DUMMYFUNCTION("IFERROR(TO_DATE(E1289), """")"),42562.76527777778)</f>
        <v>42562.76528</v>
      </c>
      <c r="G1289" s="20">
        <f t="shared" si="1"/>
        <v>18</v>
      </c>
      <c r="H1289" s="26">
        <v>42562.790972222225</v>
      </c>
      <c r="I1289" s="19">
        <f>IFERROR(__xludf.DUMMYFUNCTION("IFERROR(TO_DATE(H1289), """")"),42562.790972222225)</f>
        <v>42562.79097</v>
      </c>
      <c r="J1289" s="19" t="s">
        <v>12</v>
      </c>
      <c r="K1289" s="22">
        <f t="shared" si="2"/>
        <v>0</v>
      </c>
    </row>
    <row r="1290">
      <c r="A1290" s="18">
        <v>1010.0</v>
      </c>
      <c r="B1290" s="18" t="s">
        <v>32</v>
      </c>
      <c r="C1290" s="18">
        <v>134.0</v>
      </c>
      <c r="D1290" s="18" t="s">
        <v>31</v>
      </c>
      <c r="E1290" s="26">
        <v>42562.80138888889</v>
      </c>
      <c r="F1290" s="19">
        <f>IFERROR(__xludf.DUMMYFUNCTION("IFERROR(TO_DATE(E1290), """")"),42562.80138888889)</f>
        <v>42562.80139</v>
      </c>
      <c r="G1290" s="20">
        <f t="shared" si="1"/>
        <v>19</v>
      </c>
      <c r="H1290" s="26">
        <v>42562.839583333334</v>
      </c>
      <c r="I1290" s="19">
        <f>IFERROR(__xludf.DUMMYFUNCTION("IFERROR(TO_DATE(H1290), """")"),42562.839583333334)</f>
        <v>42562.83958</v>
      </c>
      <c r="J1290" s="19" t="s">
        <v>12</v>
      </c>
      <c r="K1290" s="22">
        <f t="shared" si="2"/>
        <v>0</v>
      </c>
    </row>
    <row r="1291">
      <c r="A1291" s="18">
        <v>1845.0</v>
      </c>
      <c r="B1291" s="18" t="s">
        <v>30</v>
      </c>
      <c r="C1291" s="18">
        <v>134.0</v>
      </c>
      <c r="D1291" s="18" t="s">
        <v>31</v>
      </c>
      <c r="E1291" s="26">
        <v>42563.40347222222</v>
      </c>
      <c r="F1291" s="19">
        <f>IFERROR(__xludf.DUMMYFUNCTION("IFERROR(TO_DATE(E1291), """")"),42563.40347222222)</f>
        <v>42563.40347</v>
      </c>
      <c r="G1291" s="20">
        <f t="shared" si="1"/>
        <v>9</v>
      </c>
      <c r="H1291" s="26">
        <v>42563.45277777778</v>
      </c>
      <c r="I1291" s="19">
        <f>IFERROR(__xludf.DUMMYFUNCTION("IFERROR(TO_DATE(H1291), """")"),42563.45277777778)</f>
        <v>42563.45278</v>
      </c>
      <c r="J1291" s="19" t="s">
        <v>14</v>
      </c>
      <c r="K1291" s="22">
        <f t="shared" si="2"/>
        <v>0</v>
      </c>
    </row>
    <row r="1292">
      <c r="A1292" s="18">
        <v>2234.0</v>
      </c>
      <c r="B1292" s="18" t="s">
        <v>30</v>
      </c>
      <c r="C1292" s="18">
        <v>134.0</v>
      </c>
      <c r="D1292" s="18" t="s">
        <v>31</v>
      </c>
      <c r="E1292" s="26">
        <v>42563.763194444444</v>
      </c>
      <c r="F1292" s="19">
        <f>IFERROR(__xludf.DUMMYFUNCTION("IFERROR(TO_DATE(E1292), """")"),42563.763194444444)</f>
        <v>42563.76319</v>
      </c>
      <c r="G1292" s="20">
        <f t="shared" si="1"/>
        <v>18</v>
      </c>
      <c r="H1292" s="26">
        <v>42563.79375</v>
      </c>
      <c r="I1292" s="19">
        <f>IFERROR(__xludf.DUMMYFUNCTION("IFERROR(TO_DATE(H1292), """")"),42563.79375)</f>
        <v>42563.79375</v>
      </c>
      <c r="J1292" s="19" t="s">
        <v>12</v>
      </c>
      <c r="K1292" s="22">
        <f t="shared" si="2"/>
        <v>0</v>
      </c>
    </row>
    <row r="1293">
      <c r="A1293" s="18">
        <v>2633.0</v>
      </c>
      <c r="B1293" s="18" t="s">
        <v>30</v>
      </c>
      <c r="C1293" s="18">
        <v>134.0</v>
      </c>
      <c r="D1293" s="18" t="s">
        <v>31</v>
      </c>
      <c r="E1293" s="26">
        <v>42563.92916666667</v>
      </c>
      <c r="F1293" s="19">
        <f>IFERROR(__xludf.DUMMYFUNCTION("IFERROR(TO_DATE(E1293), """")"),42563.92916666667)</f>
        <v>42563.92917</v>
      </c>
      <c r="G1293" s="20">
        <f t="shared" si="1"/>
        <v>22</v>
      </c>
      <c r="H1293" s="26">
        <v>42563.9625</v>
      </c>
      <c r="I1293" s="19">
        <f>IFERROR(__xludf.DUMMYFUNCTION("IFERROR(TO_DATE(H1293), """")"),42563.9625)</f>
        <v>42563.9625</v>
      </c>
      <c r="J1293" s="19" t="s">
        <v>13</v>
      </c>
      <c r="K1293" s="22">
        <f t="shared" si="2"/>
        <v>0</v>
      </c>
    </row>
    <row r="1294">
      <c r="A1294" s="18">
        <v>4012.0</v>
      </c>
      <c r="B1294" s="18" t="s">
        <v>30</v>
      </c>
      <c r="C1294" s="18">
        <v>134.0</v>
      </c>
      <c r="D1294" s="18" t="s">
        <v>31</v>
      </c>
      <c r="E1294" s="27">
        <v>42564.99605324074</v>
      </c>
      <c r="F1294" s="19">
        <f>IFERROR(__xludf.DUMMYFUNCTION("IFERROR(TO_DATE(E1294), """")"),42564.99605324074)</f>
        <v>42564.99605</v>
      </c>
      <c r="G1294" s="20">
        <f t="shared" si="1"/>
        <v>23</v>
      </c>
      <c r="H1294" s="27">
        <v>42565.02594907407</v>
      </c>
      <c r="I1294" s="19">
        <f>IFERROR(__xludf.DUMMYFUNCTION("IFERROR(TO_DATE(H1294), """")"),42565.02594907407)</f>
        <v>42565.02595</v>
      </c>
      <c r="J1294" s="19" t="s">
        <v>13</v>
      </c>
      <c r="K1294" s="22">
        <f t="shared" si="2"/>
        <v>0</v>
      </c>
    </row>
    <row r="1295">
      <c r="A1295" s="18">
        <v>5039.0</v>
      </c>
      <c r="B1295" s="18" t="s">
        <v>32</v>
      </c>
      <c r="C1295" s="18">
        <v>134.0</v>
      </c>
      <c r="D1295" s="18" t="s">
        <v>31</v>
      </c>
      <c r="E1295" s="27">
        <v>42565.80594907407</v>
      </c>
      <c r="F1295" s="19">
        <f>IFERROR(__xludf.DUMMYFUNCTION("IFERROR(TO_DATE(E1295), """")"),42565.80594907407)</f>
        <v>42565.80595</v>
      </c>
      <c r="G1295" s="20">
        <f t="shared" si="1"/>
        <v>19</v>
      </c>
      <c r="H1295" s="27">
        <v>42565.82908564815</v>
      </c>
      <c r="I1295" s="19">
        <f>IFERROR(__xludf.DUMMYFUNCTION("IFERROR(TO_DATE(H1295), """")"),42565.82908564815)</f>
        <v>42565.82909</v>
      </c>
      <c r="J1295" s="19" t="s">
        <v>12</v>
      </c>
      <c r="K1295" s="22">
        <f t="shared" si="2"/>
        <v>0</v>
      </c>
    </row>
    <row r="1296">
      <c r="A1296" s="18">
        <v>6760.0</v>
      </c>
      <c r="B1296" s="18" t="s">
        <v>30</v>
      </c>
      <c r="C1296" s="18">
        <v>134.0</v>
      </c>
      <c r="D1296" s="18" t="s">
        <v>31</v>
      </c>
      <c r="E1296" s="27">
        <v>42566.00268518519</v>
      </c>
      <c r="F1296" s="19">
        <f>IFERROR(__xludf.DUMMYFUNCTION("IFERROR(TO_DATE(E1296), """")"),42566.00268518519)</f>
        <v>42566.00269</v>
      </c>
      <c r="G1296" s="20">
        <f t="shared" si="1"/>
        <v>0</v>
      </c>
      <c r="H1296" s="27">
        <v>42566.03314814815</v>
      </c>
      <c r="I1296" s="19">
        <f>IFERROR(__xludf.DUMMYFUNCTION("IFERROR(TO_DATE(H1296), """")"),42566.03314814815)</f>
        <v>42566.03315</v>
      </c>
      <c r="J1296" s="19" t="s">
        <v>15</v>
      </c>
      <c r="K1296" s="22">
        <f t="shared" si="2"/>
        <v>0</v>
      </c>
    </row>
    <row r="1297">
      <c r="A1297" s="18">
        <v>5681.0</v>
      </c>
      <c r="B1297" s="18" t="s">
        <v>32</v>
      </c>
      <c r="C1297" s="18">
        <v>134.0</v>
      </c>
      <c r="D1297" s="18" t="s">
        <v>31</v>
      </c>
      <c r="E1297" s="27">
        <v>42566.303715277776</v>
      </c>
      <c r="F1297" s="19">
        <f>IFERROR(__xludf.DUMMYFUNCTION("IFERROR(TO_DATE(E1297), """")"),42566.303715277776)</f>
        <v>42566.30372</v>
      </c>
      <c r="G1297" s="20">
        <f t="shared" si="1"/>
        <v>7</v>
      </c>
      <c r="H1297" s="27">
        <v>42566.325324074074</v>
      </c>
      <c r="I1297" s="19">
        <f>IFERROR(__xludf.DUMMYFUNCTION("IFERROR(TO_DATE(H1297), """")"),42566.325324074074)</f>
        <v>42566.32532</v>
      </c>
      <c r="J1297" s="19" t="s">
        <v>11</v>
      </c>
      <c r="K1297" s="22">
        <f t="shared" si="2"/>
        <v>0</v>
      </c>
    </row>
    <row r="1298">
      <c r="A1298" s="18">
        <v>6253.0</v>
      </c>
      <c r="B1298" s="18" t="s">
        <v>30</v>
      </c>
      <c r="C1298" s="18">
        <v>134.0</v>
      </c>
      <c r="D1298" s="18" t="s">
        <v>31</v>
      </c>
      <c r="E1298" s="27">
        <v>42566.75133101852</v>
      </c>
      <c r="F1298" s="19">
        <f>IFERROR(__xludf.DUMMYFUNCTION("IFERROR(TO_DATE(E1298), """")"),42566.75133101852)</f>
        <v>42566.75133</v>
      </c>
      <c r="G1298" s="20">
        <f t="shared" si="1"/>
        <v>18</v>
      </c>
      <c r="H1298" s="27">
        <v>42566.78978009259</v>
      </c>
      <c r="I1298" s="19">
        <f>IFERROR(__xludf.DUMMYFUNCTION("IFERROR(TO_DATE(H1298), """")"),42566.78978009259)</f>
        <v>42566.78978</v>
      </c>
      <c r="J1298" s="19" t="s">
        <v>12</v>
      </c>
      <c r="K1298" s="22">
        <f t="shared" si="2"/>
        <v>0</v>
      </c>
    </row>
    <row r="1299">
      <c r="A1299" s="18">
        <v>6558.0</v>
      </c>
      <c r="B1299" s="18" t="s">
        <v>30</v>
      </c>
      <c r="C1299" s="18">
        <v>134.0</v>
      </c>
      <c r="D1299" s="18" t="s">
        <v>31</v>
      </c>
      <c r="E1299" s="27">
        <v>42566.87878472222</v>
      </c>
      <c r="F1299" s="19">
        <f>IFERROR(__xludf.DUMMYFUNCTION("IFERROR(TO_DATE(E1299), """")"),42566.87878472222)</f>
        <v>42566.87878</v>
      </c>
      <c r="G1299" s="20">
        <f t="shared" si="1"/>
        <v>21</v>
      </c>
      <c r="H1299" s="27">
        <v>42566.92068287037</v>
      </c>
      <c r="I1299" s="19">
        <f>IFERROR(__xludf.DUMMYFUNCTION("IFERROR(TO_DATE(H1299), """")"),42566.92068287037)</f>
        <v>42566.92068</v>
      </c>
      <c r="J1299" s="19" t="s">
        <v>13</v>
      </c>
      <c r="K1299" s="22">
        <f t="shared" si="2"/>
        <v>0</v>
      </c>
    </row>
    <row r="1300">
      <c r="A1300" s="18">
        <v>565.0</v>
      </c>
      <c r="B1300" s="18" t="s">
        <v>32</v>
      </c>
      <c r="C1300" s="18">
        <v>135.0</v>
      </c>
      <c r="D1300" s="18" t="s">
        <v>31</v>
      </c>
      <c r="E1300" s="26">
        <v>42562.42986111111</v>
      </c>
      <c r="F1300" s="19">
        <f>IFERROR(__xludf.DUMMYFUNCTION("IFERROR(TO_DATE(E1300), """")"),42562.42986111111)</f>
        <v>42562.42986</v>
      </c>
      <c r="G1300" s="20">
        <f t="shared" si="1"/>
        <v>10</v>
      </c>
      <c r="H1300" s="26">
        <v>42562.47638888889</v>
      </c>
      <c r="I1300" s="19">
        <f>IFERROR(__xludf.DUMMYFUNCTION("IFERROR(TO_DATE(H1300), """")"),42562.47638888889)</f>
        <v>42562.47639</v>
      </c>
      <c r="J1300" s="19" t="s">
        <v>14</v>
      </c>
      <c r="K1300" s="22">
        <f t="shared" si="2"/>
        <v>0</v>
      </c>
    </row>
    <row r="1301">
      <c r="A1301" s="18">
        <v>599.0</v>
      </c>
      <c r="B1301" s="18" t="s">
        <v>30</v>
      </c>
      <c r="C1301" s="18">
        <v>135.0</v>
      </c>
      <c r="D1301" s="18" t="s">
        <v>31</v>
      </c>
      <c r="E1301" s="26">
        <v>42562.48472222222</v>
      </c>
      <c r="F1301" s="19">
        <f>IFERROR(__xludf.DUMMYFUNCTION("IFERROR(TO_DATE(E1301), """")"),42562.48472222222)</f>
        <v>42562.48472</v>
      </c>
      <c r="G1301" s="20">
        <f t="shared" si="1"/>
        <v>11</v>
      </c>
      <c r="H1301" s="26">
        <v>42562.53125</v>
      </c>
      <c r="I1301" s="19">
        <f>IFERROR(__xludf.DUMMYFUNCTION("IFERROR(TO_DATE(H1301), """")"),42562.53125)</f>
        <v>42562.53125</v>
      </c>
      <c r="J1301" s="19" t="s">
        <v>14</v>
      </c>
      <c r="K1301" s="22">
        <f t="shared" si="2"/>
        <v>0</v>
      </c>
    </row>
    <row r="1302">
      <c r="A1302" s="18">
        <v>1772.0</v>
      </c>
      <c r="B1302" s="18" t="s">
        <v>30</v>
      </c>
      <c r="C1302" s="18">
        <v>135.0</v>
      </c>
      <c r="D1302" s="18" t="s">
        <v>31</v>
      </c>
      <c r="E1302" s="26">
        <v>42563.370833333334</v>
      </c>
      <c r="F1302" s="19">
        <f>IFERROR(__xludf.DUMMYFUNCTION("IFERROR(TO_DATE(E1302), """")"),42563.370833333334)</f>
        <v>42563.37083</v>
      </c>
      <c r="G1302" s="20">
        <f t="shared" si="1"/>
        <v>8</v>
      </c>
      <c r="H1302" s="26">
        <v>42563.39722222222</v>
      </c>
      <c r="I1302" s="19">
        <f>IFERROR(__xludf.DUMMYFUNCTION("IFERROR(TO_DATE(H1302), """")"),42563.39722222222)</f>
        <v>42563.39722</v>
      </c>
      <c r="J1302" s="19" t="s">
        <v>14</v>
      </c>
      <c r="K1302" s="22">
        <f t="shared" si="2"/>
        <v>0</v>
      </c>
    </row>
    <row r="1303">
      <c r="A1303" s="18">
        <v>3357.0</v>
      </c>
      <c r="B1303" s="18" t="s">
        <v>30</v>
      </c>
      <c r="C1303" s="18">
        <v>135.0</v>
      </c>
      <c r="D1303" s="18" t="s">
        <v>31</v>
      </c>
      <c r="E1303" s="27">
        <v>42564.56092592593</v>
      </c>
      <c r="F1303" s="19">
        <f>IFERROR(__xludf.DUMMYFUNCTION("IFERROR(TO_DATE(E1303), """")"),42564.56092592593)</f>
        <v>42564.56093</v>
      </c>
      <c r="G1303" s="20">
        <f t="shared" si="1"/>
        <v>13</v>
      </c>
      <c r="H1303" s="27">
        <v>42564.594247685185</v>
      </c>
      <c r="I1303" s="19">
        <f>IFERROR(__xludf.DUMMYFUNCTION("IFERROR(TO_DATE(H1303), """")"),42564.594247685185)</f>
        <v>42564.59425</v>
      </c>
      <c r="J1303" s="19" t="s">
        <v>10</v>
      </c>
      <c r="K1303" s="22">
        <f t="shared" si="2"/>
        <v>0</v>
      </c>
    </row>
    <row r="1304">
      <c r="A1304" s="18">
        <v>4408.0</v>
      </c>
      <c r="B1304" s="18" t="s">
        <v>32</v>
      </c>
      <c r="C1304" s="18">
        <v>135.0</v>
      </c>
      <c r="D1304" s="18" t="s">
        <v>31</v>
      </c>
      <c r="E1304" s="27">
        <v>42565.33525462963</v>
      </c>
      <c r="F1304" s="19">
        <f>IFERROR(__xludf.DUMMYFUNCTION("IFERROR(TO_DATE(E1304), """")"),42565.33525462963)</f>
        <v>42565.33525</v>
      </c>
      <c r="G1304" s="20">
        <f t="shared" si="1"/>
        <v>8</v>
      </c>
      <c r="H1304" s="27">
        <v>42565.361354166664</v>
      </c>
      <c r="I1304" s="19">
        <f>IFERROR(__xludf.DUMMYFUNCTION("IFERROR(TO_DATE(H1304), """")"),42565.361354166664)</f>
        <v>42565.36135</v>
      </c>
      <c r="J1304" s="19" t="s">
        <v>14</v>
      </c>
      <c r="K1304" s="22">
        <f t="shared" si="2"/>
        <v>0</v>
      </c>
    </row>
    <row r="1305">
      <c r="A1305" s="18">
        <v>1363.0</v>
      </c>
      <c r="B1305" s="18" t="s">
        <v>30</v>
      </c>
      <c r="C1305" s="18">
        <v>136.0</v>
      </c>
      <c r="D1305" s="18" t="s">
        <v>31</v>
      </c>
      <c r="E1305" s="26">
        <v>42562.0</v>
      </c>
      <c r="F1305" s="19">
        <f>IFERROR(__xludf.DUMMYFUNCTION("IFERROR(TO_DATE(E1305), """")"),42562.0)</f>
        <v>42562</v>
      </c>
      <c r="G1305" s="20">
        <f t="shared" si="1"/>
        <v>0</v>
      </c>
      <c r="H1305" s="26">
        <v>42562.049305555556</v>
      </c>
      <c r="I1305" s="19">
        <f>IFERROR(__xludf.DUMMYFUNCTION("IFERROR(TO_DATE(H1305), """")"),42562.049305555556)</f>
        <v>42562.04931</v>
      </c>
      <c r="J1305" s="19" t="s">
        <v>15</v>
      </c>
      <c r="K1305" s="22">
        <f t="shared" si="2"/>
        <v>0</v>
      </c>
    </row>
    <row r="1306">
      <c r="A1306" s="18">
        <v>625.0</v>
      </c>
      <c r="B1306" s="18" t="s">
        <v>30</v>
      </c>
      <c r="C1306" s="18">
        <v>136.0</v>
      </c>
      <c r="D1306" s="18" t="s">
        <v>31</v>
      </c>
      <c r="E1306" s="26">
        <v>42562.50347222222</v>
      </c>
      <c r="F1306" s="19">
        <f>IFERROR(__xludf.DUMMYFUNCTION("IFERROR(TO_DATE(E1306), """")"),42562.50347222222)</f>
        <v>42562.50347</v>
      </c>
      <c r="G1306" s="20">
        <f t="shared" si="1"/>
        <v>12</v>
      </c>
      <c r="H1306" s="26">
        <v>42562.552083333336</v>
      </c>
      <c r="I1306" s="19">
        <f>IFERROR(__xludf.DUMMYFUNCTION("IFERROR(TO_DATE(H1306), """")"),42562.552083333336)</f>
        <v>42562.55208</v>
      </c>
      <c r="J1306" s="19" t="s">
        <v>10</v>
      </c>
      <c r="K1306" s="22">
        <f t="shared" si="2"/>
        <v>0</v>
      </c>
    </row>
    <row r="1307">
      <c r="A1307" s="18">
        <v>1636.0</v>
      </c>
      <c r="B1307" s="18" t="s">
        <v>30</v>
      </c>
      <c r="C1307" s="18">
        <v>136.0</v>
      </c>
      <c r="D1307" s="18" t="s">
        <v>31</v>
      </c>
      <c r="E1307" s="26">
        <v>42563.30347222222</v>
      </c>
      <c r="F1307" s="19">
        <f>IFERROR(__xludf.DUMMYFUNCTION("IFERROR(TO_DATE(E1307), """")"),42563.30347222222)</f>
        <v>42563.30347</v>
      </c>
      <c r="G1307" s="20">
        <f t="shared" si="1"/>
        <v>7</v>
      </c>
      <c r="H1307" s="26">
        <v>42563.32430555556</v>
      </c>
      <c r="I1307" s="19">
        <f>IFERROR(__xludf.DUMMYFUNCTION("IFERROR(TO_DATE(H1307), """")"),42563.32430555556)</f>
        <v>42563.32431</v>
      </c>
      <c r="J1307" s="19" t="s">
        <v>11</v>
      </c>
      <c r="K1307" s="22">
        <f t="shared" si="2"/>
        <v>0</v>
      </c>
    </row>
    <row r="1308">
      <c r="A1308" s="18">
        <v>2253.0</v>
      </c>
      <c r="B1308" s="18" t="s">
        <v>30</v>
      </c>
      <c r="C1308" s="18">
        <v>136.0</v>
      </c>
      <c r="D1308" s="18" t="s">
        <v>31</v>
      </c>
      <c r="E1308" s="26">
        <v>42563.76527777778</v>
      </c>
      <c r="F1308" s="19">
        <f>IFERROR(__xludf.DUMMYFUNCTION("IFERROR(TO_DATE(E1308), """")"),42563.76527777778)</f>
        <v>42563.76528</v>
      </c>
      <c r="G1308" s="20">
        <f t="shared" si="1"/>
        <v>18</v>
      </c>
      <c r="H1308" s="26">
        <v>42563.81319444445</v>
      </c>
      <c r="I1308" s="19">
        <f>IFERROR(__xludf.DUMMYFUNCTION("IFERROR(TO_DATE(H1308), """")"),42563.81319444445)</f>
        <v>42563.81319</v>
      </c>
      <c r="J1308" s="19" t="s">
        <v>12</v>
      </c>
      <c r="K1308" s="22">
        <f t="shared" si="2"/>
        <v>0</v>
      </c>
    </row>
    <row r="1309">
      <c r="A1309" s="18">
        <v>3471.0</v>
      </c>
      <c r="B1309" s="18" t="s">
        <v>30</v>
      </c>
      <c r="C1309" s="18">
        <v>136.0</v>
      </c>
      <c r="D1309" s="18" t="s">
        <v>31</v>
      </c>
      <c r="E1309" s="27">
        <v>42564.717523148145</v>
      </c>
      <c r="F1309" s="19">
        <f>IFERROR(__xludf.DUMMYFUNCTION("IFERROR(TO_DATE(E1309), """")"),42564.717523148145)</f>
        <v>42564.71752</v>
      </c>
      <c r="G1309" s="20">
        <f t="shared" si="1"/>
        <v>17</v>
      </c>
      <c r="H1309" s="27">
        <v>42564.7658912037</v>
      </c>
      <c r="I1309" s="19">
        <f>IFERROR(__xludf.DUMMYFUNCTION("IFERROR(TO_DATE(H1309), """")"),42564.7658912037)</f>
        <v>42564.76589</v>
      </c>
      <c r="J1309" s="19" t="s">
        <v>12</v>
      </c>
      <c r="K1309" s="22">
        <f t="shared" si="2"/>
        <v>0</v>
      </c>
    </row>
    <row r="1310">
      <c r="A1310" s="18">
        <v>4402.0</v>
      </c>
      <c r="B1310" s="18" t="s">
        <v>32</v>
      </c>
      <c r="C1310" s="18">
        <v>136.0</v>
      </c>
      <c r="D1310" s="18" t="s">
        <v>31</v>
      </c>
      <c r="E1310" s="27">
        <v>42565.33662037037</v>
      </c>
      <c r="F1310" s="19">
        <f>IFERROR(__xludf.DUMMYFUNCTION("IFERROR(TO_DATE(E1310), """")"),42565.33662037037)</f>
        <v>42565.33662</v>
      </c>
      <c r="G1310" s="20">
        <f t="shared" si="1"/>
        <v>8</v>
      </c>
      <c r="H1310" s="27">
        <v>42565.38214120371</v>
      </c>
      <c r="I1310" s="19">
        <f>IFERROR(__xludf.DUMMYFUNCTION("IFERROR(TO_DATE(H1310), """")"),42565.38214120371)</f>
        <v>42565.38214</v>
      </c>
      <c r="J1310" s="19" t="s">
        <v>14</v>
      </c>
      <c r="K1310" s="22">
        <f t="shared" si="2"/>
        <v>0</v>
      </c>
    </row>
    <row r="1311">
      <c r="A1311" s="18">
        <v>458.0</v>
      </c>
      <c r="B1311" s="18" t="s">
        <v>30</v>
      </c>
      <c r="C1311" s="18">
        <v>137.0</v>
      </c>
      <c r="D1311" s="18" t="s">
        <v>31</v>
      </c>
      <c r="E1311" s="26">
        <v>42562.38333333333</v>
      </c>
      <c r="F1311" s="19">
        <f>IFERROR(__xludf.DUMMYFUNCTION("IFERROR(TO_DATE(E1311), """")"),42562.38333333333)</f>
        <v>42562.38333</v>
      </c>
      <c r="G1311" s="20">
        <f t="shared" si="1"/>
        <v>9</v>
      </c>
      <c r="H1311" s="26">
        <v>42562.433333333334</v>
      </c>
      <c r="I1311" s="19">
        <f>IFERROR(__xludf.DUMMYFUNCTION("IFERROR(TO_DATE(H1311), """")"),42562.433333333334)</f>
        <v>42562.43333</v>
      </c>
      <c r="J1311" s="19" t="s">
        <v>14</v>
      </c>
      <c r="K1311" s="22">
        <f t="shared" si="2"/>
        <v>0</v>
      </c>
    </row>
    <row r="1312">
      <c r="A1312" s="18">
        <v>681.0</v>
      </c>
      <c r="B1312" s="18" t="s">
        <v>32</v>
      </c>
      <c r="C1312" s="18">
        <v>137.0</v>
      </c>
      <c r="D1312" s="18" t="s">
        <v>31</v>
      </c>
      <c r="E1312" s="26">
        <v>42562.563888888886</v>
      </c>
      <c r="F1312" s="19">
        <f>IFERROR(__xludf.DUMMYFUNCTION("IFERROR(TO_DATE(E1312), """")"),42562.563888888886)</f>
        <v>42562.56389</v>
      </c>
      <c r="G1312" s="20">
        <f t="shared" si="1"/>
        <v>13</v>
      </c>
      <c r="H1312" s="26">
        <v>42562.59583333333</v>
      </c>
      <c r="I1312" s="19">
        <f>IFERROR(__xludf.DUMMYFUNCTION("IFERROR(TO_DATE(H1312), """")"),42562.59583333333)</f>
        <v>42562.59583</v>
      </c>
      <c r="J1312" s="19" t="s">
        <v>10</v>
      </c>
      <c r="K1312" s="22">
        <f t="shared" si="2"/>
        <v>0</v>
      </c>
    </row>
    <row r="1313">
      <c r="A1313" s="18">
        <v>1084.0</v>
      </c>
      <c r="B1313" s="18" t="s">
        <v>30</v>
      </c>
      <c r="C1313" s="18">
        <v>137.0</v>
      </c>
      <c r="D1313" s="18" t="s">
        <v>31</v>
      </c>
      <c r="E1313" s="26">
        <v>42562.83263888889</v>
      </c>
      <c r="F1313" s="19">
        <f>IFERROR(__xludf.DUMMYFUNCTION("IFERROR(TO_DATE(E1313), """")"),42562.83263888889)</f>
        <v>42562.83264</v>
      </c>
      <c r="G1313" s="20">
        <f t="shared" si="1"/>
        <v>19</v>
      </c>
      <c r="H1313" s="26">
        <v>42562.85625</v>
      </c>
      <c r="I1313" s="19">
        <f>IFERROR(__xludf.DUMMYFUNCTION("IFERROR(TO_DATE(H1313), """")"),42562.85625)</f>
        <v>42562.85625</v>
      </c>
      <c r="J1313" s="19" t="s">
        <v>12</v>
      </c>
      <c r="K1313" s="22">
        <f t="shared" si="2"/>
        <v>0</v>
      </c>
    </row>
    <row r="1314">
      <c r="A1314" s="18">
        <v>1896.0</v>
      </c>
      <c r="B1314" s="18" t="s">
        <v>30</v>
      </c>
      <c r="C1314" s="18">
        <v>137.0</v>
      </c>
      <c r="D1314" s="18" t="s">
        <v>31</v>
      </c>
      <c r="E1314" s="26">
        <v>42563.43263888889</v>
      </c>
      <c r="F1314" s="19">
        <f>IFERROR(__xludf.DUMMYFUNCTION("IFERROR(TO_DATE(E1314), """")"),42563.43263888889)</f>
        <v>42563.43264</v>
      </c>
      <c r="G1314" s="20">
        <f t="shared" si="1"/>
        <v>10</v>
      </c>
      <c r="H1314" s="26">
        <v>42563.475694444445</v>
      </c>
      <c r="I1314" s="19">
        <f>IFERROR(__xludf.DUMMYFUNCTION("IFERROR(TO_DATE(H1314), """")"),42563.475694444445)</f>
        <v>42563.47569</v>
      </c>
      <c r="J1314" s="19" t="s">
        <v>14</v>
      </c>
      <c r="K1314" s="22">
        <f t="shared" si="2"/>
        <v>0</v>
      </c>
    </row>
    <row r="1315">
      <c r="A1315" s="18">
        <v>3132.0</v>
      </c>
      <c r="B1315" s="18" t="s">
        <v>30</v>
      </c>
      <c r="C1315" s="18">
        <v>137.0</v>
      </c>
      <c r="D1315" s="18" t="s">
        <v>31</v>
      </c>
      <c r="E1315" s="27">
        <v>42564.36361111111</v>
      </c>
      <c r="F1315" s="19">
        <f>IFERROR(__xludf.DUMMYFUNCTION("IFERROR(TO_DATE(E1315), """")"),42564.36361111111)</f>
        <v>42564.36361</v>
      </c>
      <c r="G1315" s="20">
        <f t="shared" si="1"/>
        <v>8</v>
      </c>
      <c r="H1315" s="27">
        <v>42564.41271990741</v>
      </c>
      <c r="I1315" s="19">
        <f>IFERROR(__xludf.DUMMYFUNCTION("IFERROR(TO_DATE(H1315), """")"),42564.41271990741)</f>
        <v>42564.41272</v>
      </c>
      <c r="J1315" s="19" t="s">
        <v>14</v>
      </c>
      <c r="K1315" s="22">
        <f t="shared" si="2"/>
        <v>0</v>
      </c>
    </row>
    <row r="1316">
      <c r="A1316" s="18">
        <v>3940.0</v>
      </c>
      <c r="B1316" s="18" t="s">
        <v>32</v>
      </c>
      <c r="C1316" s="18">
        <v>137.0</v>
      </c>
      <c r="D1316" s="18" t="s">
        <v>31</v>
      </c>
      <c r="E1316" s="27">
        <v>42564.933125</v>
      </c>
      <c r="F1316" s="19">
        <f>IFERROR(__xludf.DUMMYFUNCTION("IFERROR(TO_DATE(E1316), """")"),42564.933125)</f>
        <v>42564.93313</v>
      </c>
      <c r="G1316" s="20">
        <f t="shared" si="1"/>
        <v>22</v>
      </c>
      <c r="H1316" s="27">
        <v>42564.964641203704</v>
      </c>
      <c r="I1316" s="19">
        <f>IFERROR(__xludf.DUMMYFUNCTION("IFERROR(TO_DATE(H1316), """")"),42564.964641203704)</f>
        <v>42564.96464</v>
      </c>
      <c r="J1316" s="19" t="s">
        <v>13</v>
      </c>
      <c r="K1316" s="22">
        <f t="shared" si="2"/>
        <v>0</v>
      </c>
    </row>
    <row r="1317">
      <c r="A1317" s="18">
        <v>4943.0</v>
      </c>
      <c r="B1317" s="18" t="s">
        <v>30</v>
      </c>
      <c r="C1317" s="18">
        <v>137.0</v>
      </c>
      <c r="D1317" s="18" t="s">
        <v>31</v>
      </c>
      <c r="E1317" s="27">
        <v>42565.768842592595</v>
      </c>
      <c r="F1317" s="19">
        <f>IFERROR(__xludf.DUMMYFUNCTION("IFERROR(TO_DATE(E1317), """")"),42565.768842592595)</f>
        <v>42565.76884</v>
      </c>
      <c r="G1317" s="20">
        <f t="shared" si="1"/>
        <v>18</v>
      </c>
      <c r="H1317" s="27">
        <v>42565.807071759256</v>
      </c>
      <c r="I1317" s="19">
        <f>IFERROR(__xludf.DUMMYFUNCTION("IFERROR(TO_DATE(H1317), """")"),42565.807071759256)</f>
        <v>42565.80707</v>
      </c>
      <c r="J1317" s="19" t="s">
        <v>12</v>
      </c>
      <c r="K1317" s="22">
        <f t="shared" si="2"/>
        <v>0</v>
      </c>
    </row>
    <row r="1318">
      <c r="A1318" s="18">
        <v>5537.0</v>
      </c>
      <c r="B1318" s="18" t="s">
        <v>30</v>
      </c>
      <c r="C1318" s="18">
        <v>137.0</v>
      </c>
      <c r="D1318" s="18" t="s">
        <v>31</v>
      </c>
      <c r="E1318" s="27">
        <v>42566.22792824074</v>
      </c>
      <c r="F1318" s="19">
        <f>IFERROR(__xludf.DUMMYFUNCTION("IFERROR(TO_DATE(E1318), """")"),42566.22792824074)</f>
        <v>42566.22793</v>
      </c>
      <c r="G1318" s="20">
        <f t="shared" si="1"/>
        <v>5</v>
      </c>
      <c r="H1318" s="27">
        <v>42566.24673611111</v>
      </c>
      <c r="I1318" s="19">
        <f>IFERROR(__xludf.DUMMYFUNCTION("IFERROR(TO_DATE(H1318), """")"),42566.24673611111)</f>
        <v>42566.24674</v>
      </c>
      <c r="J1318" s="19" t="s">
        <v>11</v>
      </c>
      <c r="K1318" s="22">
        <f t="shared" si="2"/>
        <v>0</v>
      </c>
    </row>
    <row r="1319">
      <c r="A1319" s="18">
        <v>6310.0</v>
      </c>
      <c r="B1319" s="18" t="s">
        <v>32</v>
      </c>
      <c r="C1319" s="18">
        <v>137.0</v>
      </c>
      <c r="D1319" s="18" t="s">
        <v>31</v>
      </c>
      <c r="E1319" s="27">
        <v>42566.76773148148</v>
      </c>
      <c r="F1319" s="19">
        <f>IFERROR(__xludf.DUMMYFUNCTION("IFERROR(TO_DATE(E1319), """")"),42566.76773148148)</f>
        <v>42566.76773</v>
      </c>
      <c r="G1319" s="20">
        <f t="shared" si="1"/>
        <v>18</v>
      </c>
      <c r="H1319" s="27">
        <v>42566.792916666665</v>
      </c>
      <c r="I1319" s="19">
        <f>IFERROR(__xludf.DUMMYFUNCTION("IFERROR(TO_DATE(H1319), """")"),42566.792916666665)</f>
        <v>42566.79292</v>
      </c>
      <c r="J1319" s="19" t="s">
        <v>12</v>
      </c>
      <c r="K1319" s="22">
        <f t="shared" si="2"/>
        <v>0</v>
      </c>
    </row>
    <row r="1320">
      <c r="A1320" s="18">
        <v>6587.0</v>
      </c>
      <c r="B1320" s="18" t="s">
        <v>30</v>
      </c>
      <c r="C1320" s="18">
        <v>137.0</v>
      </c>
      <c r="D1320" s="18" t="s">
        <v>31</v>
      </c>
      <c r="E1320" s="27">
        <v>42566.891909722224</v>
      </c>
      <c r="F1320" s="19">
        <f>IFERROR(__xludf.DUMMYFUNCTION("IFERROR(TO_DATE(E1320), """")"),42566.891909722224)</f>
        <v>42566.89191</v>
      </c>
      <c r="G1320" s="20">
        <f t="shared" si="1"/>
        <v>21</v>
      </c>
      <c r="H1320" s="27">
        <v>42566.91920138889</v>
      </c>
      <c r="I1320" s="19">
        <f>IFERROR(__xludf.DUMMYFUNCTION("IFERROR(TO_DATE(H1320), """")"),42566.91920138889)</f>
        <v>42566.9192</v>
      </c>
      <c r="J1320" s="19" t="s">
        <v>13</v>
      </c>
      <c r="K1320" s="22">
        <f t="shared" si="2"/>
        <v>0</v>
      </c>
    </row>
    <row r="1321">
      <c r="A1321" s="18">
        <v>6756.0</v>
      </c>
      <c r="B1321" s="18" t="s">
        <v>32</v>
      </c>
      <c r="C1321" s="18">
        <v>137.0</v>
      </c>
      <c r="D1321" s="18" t="s">
        <v>31</v>
      </c>
      <c r="E1321" s="27">
        <v>42566.99820601852</v>
      </c>
      <c r="F1321" s="19">
        <f>IFERROR(__xludf.DUMMYFUNCTION("IFERROR(TO_DATE(E1321), """")"),42566.99820601852)</f>
        <v>42566.99821</v>
      </c>
      <c r="G1321" s="20">
        <f t="shared" si="1"/>
        <v>23</v>
      </c>
      <c r="H1321" s="27">
        <v>42567.035520833335</v>
      </c>
      <c r="I1321" s="19">
        <f>IFERROR(__xludf.DUMMYFUNCTION("IFERROR(TO_DATE(H1321), """")"),42567.035520833335)</f>
        <v>42567.03552</v>
      </c>
      <c r="J1321" s="19" t="s">
        <v>13</v>
      </c>
      <c r="K1321" s="22">
        <f t="shared" si="2"/>
        <v>0</v>
      </c>
    </row>
    <row r="1322">
      <c r="A1322" s="18">
        <v>97.0</v>
      </c>
      <c r="B1322" s="18" t="s">
        <v>32</v>
      </c>
      <c r="C1322" s="18">
        <v>138.0</v>
      </c>
      <c r="D1322" s="18" t="s">
        <v>31</v>
      </c>
      <c r="E1322" s="26">
        <v>42562.209027777775</v>
      </c>
      <c r="F1322" s="19">
        <f>IFERROR(__xludf.DUMMYFUNCTION("IFERROR(TO_DATE(E1322), """")"),42562.209027777775)</f>
        <v>42562.20903</v>
      </c>
      <c r="G1322" s="20">
        <f t="shared" si="1"/>
        <v>5</v>
      </c>
      <c r="H1322" s="26">
        <v>42562.23541666667</v>
      </c>
      <c r="I1322" s="19">
        <f>IFERROR(__xludf.DUMMYFUNCTION("IFERROR(TO_DATE(H1322), """")"),42562.23541666667)</f>
        <v>42562.23542</v>
      </c>
      <c r="J1322" s="19" t="s">
        <v>11</v>
      </c>
      <c r="K1322" s="22">
        <f t="shared" si="2"/>
        <v>0</v>
      </c>
    </row>
    <row r="1323">
      <c r="A1323" s="18">
        <v>1266.0</v>
      </c>
      <c r="B1323" s="18" t="s">
        <v>30</v>
      </c>
      <c r="C1323" s="18">
        <v>138.0</v>
      </c>
      <c r="D1323" s="18" t="s">
        <v>31</v>
      </c>
      <c r="E1323" s="26">
        <v>42562.916666666664</v>
      </c>
      <c r="F1323" s="19">
        <f>IFERROR(__xludf.DUMMYFUNCTION("IFERROR(TO_DATE(E1323), """")"),42562.916666666664)</f>
        <v>42562.91667</v>
      </c>
      <c r="G1323" s="20">
        <f t="shared" si="1"/>
        <v>22</v>
      </c>
      <c r="H1323" s="26">
        <v>42562.95486111111</v>
      </c>
      <c r="I1323" s="19">
        <f>IFERROR(__xludf.DUMMYFUNCTION("IFERROR(TO_DATE(H1323), """")"),42562.95486111111)</f>
        <v>42562.95486</v>
      </c>
      <c r="J1323" s="19" t="s">
        <v>13</v>
      </c>
      <c r="K1323" s="22">
        <f t="shared" si="2"/>
        <v>0</v>
      </c>
    </row>
    <row r="1324">
      <c r="A1324" s="18">
        <v>2118.0</v>
      </c>
      <c r="B1324" s="18" t="s">
        <v>30</v>
      </c>
      <c r="C1324" s="18">
        <v>138.0</v>
      </c>
      <c r="D1324" s="18" t="s">
        <v>31</v>
      </c>
      <c r="E1324" s="26">
        <v>42563.69513888889</v>
      </c>
      <c r="F1324" s="19">
        <f>IFERROR(__xludf.DUMMYFUNCTION("IFERROR(TO_DATE(E1324), """")"),42563.69513888889)</f>
        <v>42563.69514</v>
      </c>
      <c r="G1324" s="20">
        <f t="shared" si="1"/>
        <v>16</v>
      </c>
      <c r="H1324" s="26">
        <v>42563.74236111111</v>
      </c>
      <c r="I1324" s="19">
        <f>IFERROR(__xludf.DUMMYFUNCTION("IFERROR(TO_DATE(H1324), """")"),42563.74236111111)</f>
        <v>42563.74236</v>
      </c>
      <c r="J1324" s="19" t="s">
        <v>12</v>
      </c>
      <c r="K1324" s="22">
        <f t="shared" si="2"/>
        <v>0</v>
      </c>
    </row>
    <row r="1325">
      <c r="A1325" s="18">
        <v>2906.0</v>
      </c>
      <c r="B1325" s="18" t="s">
        <v>30</v>
      </c>
      <c r="C1325" s="18">
        <v>138.0</v>
      </c>
      <c r="D1325" s="18" t="s">
        <v>31</v>
      </c>
      <c r="E1325" s="27">
        <v>42564.25671296296</v>
      </c>
      <c r="F1325" s="19">
        <f>IFERROR(__xludf.DUMMYFUNCTION("IFERROR(TO_DATE(E1325), """")"),42564.25671296296)</f>
        <v>42564.25671</v>
      </c>
      <c r="G1325" s="20">
        <f t="shared" si="1"/>
        <v>6</v>
      </c>
      <c r="H1325" s="27">
        <v>42564.30280092593</v>
      </c>
      <c r="I1325" s="19">
        <f>IFERROR(__xludf.DUMMYFUNCTION("IFERROR(TO_DATE(H1325), """")"),42564.30280092593)</f>
        <v>42564.3028</v>
      </c>
      <c r="J1325" s="19" t="s">
        <v>11</v>
      </c>
      <c r="K1325" s="22">
        <f t="shared" si="2"/>
        <v>0</v>
      </c>
    </row>
    <row r="1326">
      <c r="A1326" s="18">
        <v>3432.0</v>
      </c>
      <c r="B1326" s="18" t="s">
        <v>30</v>
      </c>
      <c r="C1326" s="18">
        <v>138.0</v>
      </c>
      <c r="D1326" s="18" t="s">
        <v>31</v>
      </c>
      <c r="E1326" s="27">
        <v>42564.672106481485</v>
      </c>
      <c r="F1326" s="19">
        <f>IFERROR(__xludf.DUMMYFUNCTION("IFERROR(TO_DATE(E1326), """")"),42564.672106481485)</f>
        <v>42564.67211</v>
      </c>
      <c r="G1326" s="20">
        <f t="shared" si="1"/>
        <v>16</v>
      </c>
      <c r="H1326" s="27">
        <v>42564.70991898148</v>
      </c>
      <c r="I1326" s="19">
        <f>IFERROR(__xludf.DUMMYFUNCTION("IFERROR(TO_DATE(H1326), """")"),42564.70991898148)</f>
        <v>42564.70992</v>
      </c>
      <c r="J1326" s="19" t="s">
        <v>12</v>
      </c>
      <c r="K1326" s="22">
        <f t="shared" si="2"/>
        <v>0</v>
      </c>
    </row>
    <row r="1327">
      <c r="A1327" s="18">
        <v>5921.0</v>
      </c>
      <c r="B1327" s="18" t="s">
        <v>32</v>
      </c>
      <c r="C1327" s="18">
        <v>138.0</v>
      </c>
      <c r="D1327" s="18" t="s">
        <v>31</v>
      </c>
      <c r="E1327" s="27">
        <v>42566.41952546296</v>
      </c>
      <c r="F1327" s="19">
        <f>IFERROR(__xludf.DUMMYFUNCTION("IFERROR(TO_DATE(E1327), """")"),42566.41952546296)</f>
        <v>42566.41953</v>
      </c>
      <c r="G1327" s="20">
        <f t="shared" si="1"/>
        <v>10</v>
      </c>
      <c r="H1327" s="27">
        <v>42566.445914351854</v>
      </c>
      <c r="I1327" s="19">
        <f>IFERROR(__xludf.DUMMYFUNCTION("IFERROR(TO_DATE(H1327), """")"),42566.445914351854)</f>
        <v>42566.44591</v>
      </c>
      <c r="J1327" s="19" t="s">
        <v>14</v>
      </c>
      <c r="K1327" s="22">
        <f t="shared" si="2"/>
        <v>0</v>
      </c>
    </row>
    <row r="1328">
      <c r="A1328" s="18">
        <v>6192.0</v>
      </c>
      <c r="B1328" s="18" t="s">
        <v>30</v>
      </c>
      <c r="C1328" s="18">
        <v>138.0</v>
      </c>
      <c r="D1328" s="18" t="s">
        <v>31</v>
      </c>
      <c r="E1328" s="27">
        <v>42566.71690972222</v>
      </c>
      <c r="F1328" s="19">
        <f>IFERROR(__xludf.DUMMYFUNCTION("IFERROR(TO_DATE(E1328), """")"),42566.71690972222)</f>
        <v>42566.71691</v>
      </c>
      <c r="G1328" s="20">
        <f t="shared" si="1"/>
        <v>17</v>
      </c>
      <c r="H1328" s="27">
        <v>42566.76436342593</v>
      </c>
      <c r="I1328" s="19">
        <f>IFERROR(__xludf.DUMMYFUNCTION("IFERROR(TO_DATE(H1328), """")"),42566.76436342593)</f>
        <v>42566.76436</v>
      </c>
      <c r="J1328" s="19" t="s">
        <v>12</v>
      </c>
      <c r="K1328" s="22">
        <f t="shared" si="2"/>
        <v>0</v>
      </c>
    </row>
    <row r="1329">
      <c r="A1329" s="18">
        <v>6705.0</v>
      </c>
      <c r="B1329" s="18" t="s">
        <v>30</v>
      </c>
      <c r="C1329" s="18">
        <v>138.0</v>
      </c>
      <c r="D1329" s="18" t="s">
        <v>31</v>
      </c>
      <c r="E1329" s="27">
        <v>42566.95636574074</v>
      </c>
      <c r="F1329" s="19">
        <f>IFERROR(__xludf.DUMMYFUNCTION("IFERROR(TO_DATE(E1329), """")"),42566.95636574074)</f>
        <v>42566.95637</v>
      </c>
      <c r="G1329" s="20">
        <f t="shared" si="1"/>
        <v>22</v>
      </c>
      <c r="H1329" s="27">
        <v>42567.00666666667</v>
      </c>
      <c r="I1329" s="19">
        <f>IFERROR(__xludf.DUMMYFUNCTION("IFERROR(TO_DATE(H1329), """")"),42567.00666666667)</f>
        <v>42567.00667</v>
      </c>
      <c r="J1329" s="19" t="s">
        <v>13</v>
      </c>
      <c r="K1329" s="22">
        <f t="shared" si="2"/>
        <v>0</v>
      </c>
    </row>
    <row r="1330">
      <c r="A1330" s="18">
        <v>242.0</v>
      </c>
      <c r="B1330" s="18" t="s">
        <v>30</v>
      </c>
      <c r="C1330" s="18">
        <v>139.0</v>
      </c>
      <c r="D1330" s="18" t="s">
        <v>31</v>
      </c>
      <c r="E1330" s="26">
        <v>42562.271527777775</v>
      </c>
      <c r="F1330" s="19">
        <f>IFERROR(__xludf.DUMMYFUNCTION("IFERROR(TO_DATE(E1330), """")"),42562.271527777775)</f>
        <v>42562.27153</v>
      </c>
      <c r="G1330" s="20">
        <f t="shared" si="1"/>
        <v>6</v>
      </c>
      <c r="H1330" s="26">
        <v>42562.30625</v>
      </c>
      <c r="I1330" s="19">
        <f>IFERROR(__xludf.DUMMYFUNCTION("IFERROR(TO_DATE(H1330), """")"),42562.30625)</f>
        <v>42562.30625</v>
      </c>
      <c r="J1330" s="19" t="s">
        <v>11</v>
      </c>
      <c r="K1330" s="22">
        <f t="shared" si="2"/>
        <v>0</v>
      </c>
    </row>
    <row r="1331">
      <c r="A1331" s="18">
        <v>1359.0</v>
      </c>
      <c r="B1331" s="18" t="s">
        <v>32</v>
      </c>
      <c r="C1331" s="18">
        <v>139.0</v>
      </c>
      <c r="D1331" s="18" t="s">
        <v>31</v>
      </c>
      <c r="E1331" s="26">
        <v>42562.99375</v>
      </c>
      <c r="F1331" s="19">
        <f>IFERROR(__xludf.DUMMYFUNCTION("IFERROR(TO_DATE(E1331), """")"),42562.99375)</f>
        <v>42562.99375</v>
      </c>
      <c r="G1331" s="20">
        <f t="shared" si="1"/>
        <v>23</v>
      </c>
      <c r="H1331" s="26">
        <v>42563.03472222222</v>
      </c>
      <c r="I1331" s="19">
        <f>IFERROR(__xludf.DUMMYFUNCTION("IFERROR(TO_DATE(H1331), """")"),42563.03472222222)</f>
        <v>42563.03472</v>
      </c>
      <c r="J1331" s="19" t="s">
        <v>13</v>
      </c>
      <c r="K1331" s="22">
        <f t="shared" si="2"/>
        <v>0</v>
      </c>
    </row>
    <row r="1332">
      <c r="A1332" s="18">
        <v>1865.0</v>
      </c>
      <c r="B1332" s="18" t="s">
        <v>30</v>
      </c>
      <c r="C1332" s="18">
        <v>139.0</v>
      </c>
      <c r="D1332" s="18" t="s">
        <v>31</v>
      </c>
      <c r="E1332" s="26">
        <v>42563.40972222222</v>
      </c>
      <c r="F1332" s="19">
        <f>IFERROR(__xludf.DUMMYFUNCTION("IFERROR(TO_DATE(E1332), """")"),42563.40972222222)</f>
        <v>42563.40972</v>
      </c>
      <c r="G1332" s="20">
        <f t="shared" si="1"/>
        <v>9</v>
      </c>
      <c r="H1332" s="26">
        <v>42563.45694444444</v>
      </c>
      <c r="I1332" s="19">
        <f>IFERROR(__xludf.DUMMYFUNCTION("IFERROR(TO_DATE(H1332), """")"),42563.45694444444)</f>
        <v>42563.45694</v>
      </c>
      <c r="J1332" s="19" t="s">
        <v>14</v>
      </c>
      <c r="K1332" s="22">
        <f t="shared" si="2"/>
        <v>0</v>
      </c>
    </row>
    <row r="1333">
      <c r="A1333" s="18">
        <v>2024.0</v>
      </c>
      <c r="B1333" s="18" t="s">
        <v>30</v>
      </c>
      <c r="C1333" s="18">
        <v>139.0</v>
      </c>
      <c r="D1333" s="18" t="s">
        <v>31</v>
      </c>
      <c r="E1333" s="26">
        <v>42563.57986111111</v>
      </c>
      <c r="F1333" s="19">
        <f>IFERROR(__xludf.DUMMYFUNCTION("IFERROR(TO_DATE(E1333), """")"),42563.57986111111)</f>
        <v>42563.57986</v>
      </c>
      <c r="G1333" s="20">
        <f t="shared" si="1"/>
        <v>13</v>
      </c>
      <c r="H1333" s="26">
        <v>42563.60555555556</v>
      </c>
      <c r="I1333" s="19">
        <f>IFERROR(__xludf.DUMMYFUNCTION("IFERROR(TO_DATE(H1333), """")"),42563.60555555556)</f>
        <v>42563.60556</v>
      </c>
      <c r="J1333" s="19" t="s">
        <v>10</v>
      </c>
      <c r="K1333" s="22">
        <f t="shared" si="2"/>
        <v>0</v>
      </c>
    </row>
    <row r="1334">
      <c r="A1334" s="18">
        <v>2768.0</v>
      </c>
      <c r="B1334" s="18" t="s">
        <v>30</v>
      </c>
      <c r="C1334" s="18">
        <v>139.0</v>
      </c>
      <c r="D1334" s="18" t="s">
        <v>31</v>
      </c>
      <c r="E1334" s="27">
        <v>42564.179085648146</v>
      </c>
      <c r="F1334" s="19">
        <f>IFERROR(__xludf.DUMMYFUNCTION("IFERROR(TO_DATE(E1334), """")"),42564.179085648146)</f>
        <v>42564.17909</v>
      </c>
      <c r="G1334" s="20">
        <f t="shared" si="1"/>
        <v>4</v>
      </c>
      <c r="H1334" s="27">
        <v>42564.1984375</v>
      </c>
      <c r="I1334" s="19">
        <f>IFERROR(__xludf.DUMMYFUNCTION("IFERROR(TO_DATE(H1334), """")"),42564.1984375)</f>
        <v>42564.19844</v>
      </c>
      <c r="J1334" s="19" t="s">
        <v>11</v>
      </c>
      <c r="K1334" s="22">
        <f t="shared" si="2"/>
        <v>0</v>
      </c>
    </row>
    <row r="1335">
      <c r="A1335" s="18">
        <v>3067.0</v>
      </c>
      <c r="B1335" s="18" t="s">
        <v>32</v>
      </c>
      <c r="C1335" s="18">
        <v>139.0</v>
      </c>
      <c r="D1335" s="18" t="s">
        <v>31</v>
      </c>
      <c r="E1335" s="27">
        <v>42564.333090277774</v>
      </c>
      <c r="F1335" s="19">
        <f>IFERROR(__xludf.DUMMYFUNCTION("IFERROR(TO_DATE(E1335), """")"),42564.333090277774)</f>
        <v>42564.33309</v>
      </c>
      <c r="G1335" s="20">
        <f t="shared" si="1"/>
        <v>7</v>
      </c>
      <c r="H1335" s="27">
        <v>42564.375763888886</v>
      </c>
      <c r="I1335" s="19">
        <f>IFERROR(__xludf.DUMMYFUNCTION("IFERROR(TO_DATE(H1335), """")"),42564.375763888886)</f>
        <v>42564.37576</v>
      </c>
      <c r="J1335" s="19" t="s">
        <v>11</v>
      </c>
      <c r="K1335" s="22">
        <f t="shared" si="2"/>
        <v>0</v>
      </c>
    </row>
    <row r="1336">
      <c r="A1336" s="18">
        <v>3316.0</v>
      </c>
      <c r="B1336" s="18" t="s">
        <v>30</v>
      </c>
      <c r="C1336" s="18">
        <v>139.0</v>
      </c>
      <c r="D1336" s="18" t="s">
        <v>31</v>
      </c>
      <c r="E1336" s="27">
        <v>42564.501759259256</v>
      </c>
      <c r="F1336" s="19">
        <f>IFERROR(__xludf.DUMMYFUNCTION("IFERROR(TO_DATE(E1336), """")"),42564.501759259256)</f>
        <v>42564.50176</v>
      </c>
      <c r="G1336" s="20">
        <f t="shared" si="1"/>
        <v>12</v>
      </c>
      <c r="H1336" s="27">
        <v>42564.54310185185</v>
      </c>
      <c r="I1336" s="19">
        <f>IFERROR(__xludf.DUMMYFUNCTION("IFERROR(TO_DATE(H1336), """")"),42564.54310185185)</f>
        <v>42564.5431</v>
      </c>
      <c r="J1336" s="19" t="s">
        <v>10</v>
      </c>
      <c r="K1336" s="22">
        <f t="shared" si="2"/>
        <v>0</v>
      </c>
    </row>
    <row r="1337">
      <c r="A1337" s="18">
        <v>4084.0</v>
      </c>
      <c r="B1337" s="18" t="s">
        <v>30</v>
      </c>
      <c r="C1337" s="18">
        <v>139.0</v>
      </c>
      <c r="D1337" s="18" t="s">
        <v>31</v>
      </c>
      <c r="E1337" s="27">
        <v>42565.1141087963</v>
      </c>
      <c r="F1337" s="19">
        <f>IFERROR(__xludf.DUMMYFUNCTION("IFERROR(TO_DATE(E1337), """")"),42565.1141087963)</f>
        <v>42565.11411</v>
      </c>
      <c r="G1337" s="20">
        <f t="shared" si="1"/>
        <v>2</v>
      </c>
      <c r="H1337" s="27">
        <v>42565.15557870371</v>
      </c>
      <c r="I1337" s="19">
        <f>IFERROR(__xludf.DUMMYFUNCTION("IFERROR(TO_DATE(H1337), """")"),42565.15557870371)</f>
        <v>42565.15558</v>
      </c>
      <c r="J1337" s="19" t="s">
        <v>15</v>
      </c>
      <c r="K1337" s="22">
        <f t="shared" si="2"/>
        <v>0</v>
      </c>
    </row>
    <row r="1338">
      <c r="A1338" s="18">
        <v>4858.0</v>
      </c>
      <c r="B1338" s="18" t="s">
        <v>32</v>
      </c>
      <c r="C1338" s="18">
        <v>139.0</v>
      </c>
      <c r="D1338" s="18" t="s">
        <v>31</v>
      </c>
      <c r="E1338" s="27">
        <v>42565.73150462963</v>
      </c>
      <c r="F1338" s="19">
        <f>IFERROR(__xludf.DUMMYFUNCTION("IFERROR(TO_DATE(E1338), """")"),42565.73150462963)</f>
        <v>42565.7315</v>
      </c>
      <c r="G1338" s="20">
        <f t="shared" si="1"/>
        <v>17</v>
      </c>
      <c r="H1338" s="27">
        <v>42565.75859953704</v>
      </c>
      <c r="I1338" s="19">
        <f>IFERROR(__xludf.DUMMYFUNCTION("IFERROR(TO_DATE(H1338), """")"),42565.75859953704)</f>
        <v>42565.7586</v>
      </c>
      <c r="J1338" s="19" t="s">
        <v>12</v>
      </c>
      <c r="K1338" s="22">
        <f t="shared" si="2"/>
        <v>0</v>
      </c>
    </row>
    <row r="1339">
      <c r="A1339" s="18">
        <v>5566.0</v>
      </c>
      <c r="B1339" s="18" t="s">
        <v>30</v>
      </c>
      <c r="C1339" s="18">
        <v>139.0</v>
      </c>
      <c r="D1339" s="18" t="s">
        <v>31</v>
      </c>
      <c r="E1339" s="27">
        <v>42566.238599537035</v>
      </c>
      <c r="F1339" s="19">
        <f>IFERROR(__xludf.DUMMYFUNCTION("IFERROR(TO_DATE(E1339), """")"),42566.238599537035)</f>
        <v>42566.2386</v>
      </c>
      <c r="G1339" s="20">
        <f t="shared" si="1"/>
        <v>5</v>
      </c>
      <c r="H1339" s="27">
        <v>42566.29157407407</v>
      </c>
      <c r="I1339" s="19">
        <f>IFERROR(__xludf.DUMMYFUNCTION("IFERROR(TO_DATE(H1339), """")"),42566.29157407407)</f>
        <v>42566.29157</v>
      </c>
      <c r="J1339" s="19" t="s">
        <v>11</v>
      </c>
      <c r="K1339" s="22">
        <f t="shared" si="2"/>
        <v>0</v>
      </c>
    </row>
    <row r="1340">
      <c r="A1340" s="18">
        <v>6384.0</v>
      </c>
      <c r="B1340" s="18" t="s">
        <v>30</v>
      </c>
      <c r="C1340" s="18">
        <v>139.0</v>
      </c>
      <c r="D1340" s="18" t="s">
        <v>31</v>
      </c>
      <c r="E1340" s="27">
        <v>42566.80657407407</v>
      </c>
      <c r="F1340" s="19">
        <f>IFERROR(__xludf.DUMMYFUNCTION("IFERROR(TO_DATE(E1340), """")"),42566.80657407407)</f>
        <v>42566.80657</v>
      </c>
      <c r="G1340" s="20">
        <f t="shared" si="1"/>
        <v>19</v>
      </c>
      <c r="H1340" s="27">
        <v>42566.851493055554</v>
      </c>
      <c r="I1340" s="19">
        <f>IFERROR(__xludf.DUMMYFUNCTION("IFERROR(TO_DATE(H1340), """")"),42566.851493055554)</f>
        <v>42566.85149</v>
      </c>
      <c r="J1340" s="19" t="s">
        <v>12</v>
      </c>
      <c r="K1340" s="22">
        <f t="shared" si="2"/>
        <v>0</v>
      </c>
    </row>
    <row r="1341">
      <c r="A1341" s="18">
        <v>2001.0</v>
      </c>
      <c r="B1341" s="18" t="s">
        <v>30</v>
      </c>
      <c r="C1341" s="18">
        <v>140.0</v>
      </c>
      <c r="D1341" s="18" t="s">
        <v>31</v>
      </c>
      <c r="E1341" s="26">
        <v>42563.54236111111</v>
      </c>
      <c r="F1341" s="19">
        <f>IFERROR(__xludf.DUMMYFUNCTION("IFERROR(TO_DATE(E1341), """")"),42563.54236111111)</f>
        <v>42563.54236</v>
      </c>
      <c r="G1341" s="20">
        <f t="shared" si="1"/>
        <v>13</v>
      </c>
      <c r="H1341" s="26">
        <v>42563.583333333336</v>
      </c>
      <c r="I1341" s="19">
        <f>IFERROR(__xludf.DUMMYFUNCTION("IFERROR(TO_DATE(H1341), """")"),42563.583333333336)</f>
        <v>42563.58333</v>
      </c>
      <c r="J1341" s="19" t="s">
        <v>10</v>
      </c>
      <c r="K1341" s="22">
        <f t="shared" si="2"/>
        <v>0</v>
      </c>
    </row>
    <row r="1342">
      <c r="A1342" s="18">
        <v>3483.0</v>
      </c>
      <c r="B1342" s="18" t="s">
        <v>32</v>
      </c>
      <c r="C1342" s="18">
        <v>140.0</v>
      </c>
      <c r="D1342" s="18" t="s">
        <v>31</v>
      </c>
      <c r="E1342" s="27">
        <v>42564.724583333336</v>
      </c>
      <c r="F1342" s="19">
        <f>IFERROR(__xludf.DUMMYFUNCTION("IFERROR(TO_DATE(E1342), """")"),42564.724583333336)</f>
        <v>42564.72458</v>
      </c>
      <c r="G1342" s="20">
        <f t="shared" si="1"/>
        <v>17</v>
      </c>
      <c r="H1342" s="27">
        <v>42564.77547453704</v>
      </c>
      <c r="I1342" s="19">
        <f>IFERROR(__xludf.DUMMYFUNCTION("IFERROR(TO_DATE(H1342), """")"),42564.77547453704)</f>
        <v>42564.77547</v>
      </c>
      <c r="J1342" s="19" t="s">
        <v>12</v>
      </c>
      <c r="K1342" s="22">
        <f t="shared" si="2"/>
        <v>0</v>
      </c>
    </row>
    <row r="1343">
      <c r="A1343" s="18">
        <v>3990.0</v>
      </c>
      <c r="B1343" s="18" t="s">
        <v>30</v>
      </c>
      <c r="C1343" s="18">
        <v>140.0</v>
      </c>
      <c r="D1343" s="18" t="s">
        <v>31</v>
      </c>
      <c r="E1343" s="27">
        <v>42564.97241898148</v>
      </c>
      <c r="F1343" s="19">
        <f>IFERROR(__xludf.DUMMYFUNCTION("IFERROR(TO_DATE(E1343), """")"),42564.97241898148)</f>
        <v>42564.97242</v>
      </c>
      <c r="G1343" s="20">
        <f t="shared" si="1"/>
        <v>23</v>
      </c>
      <c r="H1343" s="27">
        <v>42564.99371527778</v>
      </c>
      <c r="I1343" s="19">
        <f>IFERROR(__xludf.DUMMYFUNCTION("IFERROR(TO_DATE(H1343), """")"),42564.99371527778)</f>
        <v>42564.99372</v>
      </c>
      <c r="J1343" s="19" t="s">
        <v>13</v>
      </c>
      <c r="K1343" s="22">
        <f t="shared" si="2"/>
        <v>0</v>
      </c>
    </row>
    <row r="1344">
      <c r="A1344" s="18">
        <v>4531.0</v>
      </c>
      <c r="B1344" s="18" t="s">
        <v>32</v>
      </c>
      <c r="C1344" s="18">
        <v>140.0</v>
      </c>
      <c r="D1344" s="18" t="s">
        <v>31</v>
      </c>
      <c r="E1344" s="27">
        <v>42565.39517361111</v>
      </c>
      <c r="F1344" s="19">
        <f>IFERROR(__xludf.DUMMYFUNCTION("IFERROR(TO_DATE(E1344), """")"),42565.39517361111)</f>
        <v>42565.39517</v>
      </c>
      <c r="G1344" s="20">
        <f t="shared" si="1"/>
        <v>9</v>
      </c>
      <c r="H1344" s="27">
        <v>42565.438101851854</v>
      </c>
      <c r="I1344" s="19">
        <f>IFERROR(__xludf.DUMMYFUNCTION("IFERROR(TO_DATE(H1344), """")"),42565.438101851854)</f>
        <v>42565.4381</v>
      </c>
      <c r="J1344" s="19" t="s">
        <v>14</v>
      </c>
      <c r="K1344" s="22">
        <f t="shared" si="2"/>
        <v>0</v>
      </c>
    </row>
    <row r="1345">
      <c r="A1345" s="18">
        <v>5518.0</v>
      </c>
      <c r="B1345" s="18" t="s">
        <v>32</v>
      </c>
      <c r="C1345" s="18">
        <v>140.0</v>
      </c>
      <c r="D1345" s="18" t="s">
        <v>31</v>
      </c>
      <c r="E1345" s="27">
        <v>42566.21910879629</v>
      </c>
      <c r="F1345" s="19">
        <f>IFERROR(__xludf.DUMMYFUNCTION("IFERROR(TO_DATE(E1345), """")"),42566.21910879629)</f>
        <v>42566.21911</v>
      </c>
      <c r="G1345" s="20">
        <f t="shared" si="1"/>
        <v>5</v>
      </c>
      <c r="H1345" s="27">
        <v>42566.261782407404</v>
      </c>
      <c r="I1345" s="19">
        <f>IFERROR(__xludf.DUMMYFUNCTION("IFERROR(TO_DATE(H1345), """")"),42566.261782407404)</f>
        <v>42566.26178</v>
      </c>
      <c r="J1345" s="19" t="s">
        <v>11</v>
      </c>
      <c r="K1345" s="22">
        <f t="shared" si="2"/>
        <v>0</v>
      </c>
    </row>
    <row r="1346">
      <c r="A1346" s="18">
        <v>5869.0</v>
      </c>
      <c r="B1346" s="18" t="s">
        <v>32</v>
      </c>
      <c r="C1346" s="18">
        <v>140.0</v>
      </c>
      <c r="D1346" s="18" t="s">
        <v>31</v>
      </c>
      <c r="E1346" s="27">
        <v>42566.39078703704</v>
      </c>
      <c r="F1346" s="19">
        <f>IFERROR(__xludf.DUMMYFUNCTION("IFERROR(TO_DATE(E1346), """")"),42566.39078703704)</f>
        <v>42566.39079</v>
      </c>
      <c r="G1346" s="20">
        <f t="shared" si="1"/>
        <v>9</v>
      </c>
      <c r="H1346" s="27">
        <v>42566.42490740741</v>
      </c>
      <c r="I1346" s="19">
        <f>IFERROR(__xludf.DUMMYFUNCTION("IFERROR(TO_DATE(H1346), """")"),42566.42490740741)</f>
        <v>42566.42491</v>
      </c>
      <c r="J1346" s="19" t="s">
        <v>14</v>
      </c>
      <c r="K1346" s="22">
        <f t="shared" si="2"/>
        <v>0</v>
      </c>
    </row>
    <row r="1347">
      <c r="A1347" s="18">
        <v>60.0</v>
      </c>
      <c r="B1347" s="18" t="s">
        <v>32</v>
      </c>
      <c r="C1347" s="18">
        <v>141.0</v>
      </c>
      <c r="D1347" s="18" t="s">
        <v>31</v>
      </c>
      <c r="E1347" s="26">
        <v>42562.16458333333</v>
      </c>
      <c r="F1347" s="19">
        <f>IFERROR(__xludf.DUMMYFUNCTION("IFERROR(TO_DATE(E1347), """")"),42562.16458333333)</f>
        <v>42562.16458</v>
      </c>
      <c r="G1347" s="20">
        <f t="shared" si="1"/>
        <v>3</v>
      </c>
      <c r="H1347" s="26">
        <v>42562.19861111111</v>
      </c>
      <c r="I1347" s="19">
        <f>IFERROR(__xludf.DUMMYFUNCTION("IFERROR(TO_DATE(H1347), """")"),42562.19861111111)</f>
        <v>42562.19861</v>
      </c>
      <c r="J1347" s="19" t="s">
        <v>15</v>
      </c>
      <c r="K1347" s="22">
        <f t="shared" si="2"/>
        <v>0</v>
      </c>
    </row>
    <row r="1348">
      <c r="A1348" s="18">
        <v>282.0</v>
      </c>
      <c r="B1348" s="18" t="s">
        <v>32</v>
      </c>
      <c r="C1348" s="18">
        <v>141.0</v>
      </c>
      <c r="D1348" s="18" t="s">
        <v>31</v>
      </c>
      <c r="E1348" s="26">
        <v>42562.28888888889</v>
      </c>
      <c r="F1348" s="19">
        <f>IFERROR(__xludf.DUMMYFUNCTION("IFERROR(TO_DATE(E1348), """")"),42562.28888888889)</f>
        <v>42562.28889</v>
      </c>
      <c r="G1348" s="20">
        <f t="shared" si="1"/>
        <v>6</v>
      </c>
      <c r="H1348" s="26">
        <v>42562.34097222222</v>
      </c>
      <c r="I1348" s="19">
        <f>IFERROR(__xludf.DUMMYFUNCTION("IFERROR(TO_DATE(H1348), """")"),42562.34097222222)</f>
        <v>42562.34097</v>
      </c>
      <c r="J1348" s="19" t="s">
        <v>11</v>
      </c>
      <c r="K1348" s="22">
        <f t="shared" si="2"/>
        <v>0</v>
      </c>
    </row>
    <row r="1349">
      <c r="A1349" s="18">
        <v>1614.0</v>
      </c>
      <c r="B1349" s="18" t="s">
        <v>30</v>
      </c>
      <c r="C1349" s="18">
        <v>141.0</v>
      </c>
      <c r="D1349" s="18" t="s">
        <v>31</v>
      </c>
      <c r="E1349" s="26">
        <v>42563.288194444445</v>
      </c>
      <c r="F1349" s="19">
        <f>IFERROR(__xludf.DUMMYFUNCTION("IFERROR(TO_DATE(E1349), """")"),42563.288194444445)</f>
        <v>42563.28819</v>
      </c>
      <c r="G1349" s="20">
        <f t="shared" si="1"/>
        <v>6</v>
      </c>
      <c r="H1349" s="26">
        <v>42563.3125</v>
      </c>
      <c r="I1349" s="19">
        <f>IFERROR(__xludf.DUMMYFUNCTION("IFERROR(TO_DATE(H1349), """")"),42563.3125)</f>
        <v>42563.3125</v>
      </c>
      <c r="J1349" s="19" t="s">
        <v>11</v>
      </c>
      <c r="K1349" s="22">
        <f t="shared" si="2"/>
        <v>0</v>
      </c>
    </row>
    <row r="1350">
      <c r="A1350" s="18">
        <v>2331.0</v>
      </c>
      <c r="B1350" s="18" t="s">
        <v>30</v>
      </c>
      <c r="C1350" s="18">
        <v>141.0</v>
      </c>
      <c r="D1350" s="18" t="s">
        <v>31</v>
      </c>
      <c r="E1350" s="26">
        <v>42563.80069444444</v>
      </c>
      <c r="F1350" s="19">
        <f>IFERROR(__xludf.DUMMYFUNCTION("IFERROR(TO_DATE(E1350), """")"),42563.80069444444)</f>
        <v>42563.80069</v>
      </c>
      <c r="G1350" s="20">
        <f t="shared" si="1"/>
        <v>19</v>
      </c>
      <c r="H1350" s="26">
        <v>42563.85277777778</v>
      </c>
      <c r="I1350" s="19">
        <f>IFERROR(__xludf.DUMMYFUNCTION("IFERROR(TO_DATE(H1350), """")"),42563.85277777778)</f>
        <v>42563.85278</v>
      </c>
      <c r="J1350" s="19" t="s">
        <v>12</v>
      </c>
      <c r="K1350" s="22">
        <f t="shared" si="2"/>
        <v>0</v>
      </c>
    </row>
    <row r="1351">
      <c r="A1351" s="18">
        <v>2825.0</v>
      </c>
      <c r="B1351" s="18" t="s">
        <v>30</v>
      </c>
      <c r="C1351" s="18">
        <v>141.0</v>
      </c>
      <c r="D1351" s="18" t="s">
        <v>31</v>
      </c>
      <c r="E1351" s="27">
        <v>42564.21818287037</v>
      </c>
      <c r="F1351" s="19">
        <f>IFERROR(__xludf.DUMMYFUNCTION("IFERROR(TO_DATE(E1351), """")"),42564.21818287037)</f>
        <v>42564.21818</v>
      </c>
      <c r="G1351" s="20">
        <f t="shared" si="1"/>
        <v>5</v>
      </c>
      <c r="H1351" s="27">
        <v>42564.24443287037</v>
      </c>
      <c r="I1351" s="19">
        <f>IFERROR(__xludf.DUMMYFUNCTION("IFERROR(TO_DATE(H1351), """")"),42564.24443287037)</f>
        <v>42564.24443</v>
      </c>
      <c r="J1351" s="19" t="s">
        <v>11</v>
      </c>
      <c r="K1351" s="22">
        <f t="shared" si="2"/>
        <v>0</v>
      </c>
    </row>
    <row r="1352">
      <c r="A1352" s="18">
        <v>3411.0</v>
      </c>
      <c r="B1352" s="18" t="s">
        <v>30</v>
      </c>
      <c r="C1352" s="18">
        <v>141.0</v>
      </c>
      <c r="D1352" s="18" t="s">
        <v>31</v>
      </c>
      <c r="E1352" s="27">
        <v>42564.64494212963</v>
      </c>
      <c r="F1352" s="19">
        <f>IFERROR(__xludf.DUMMYFUNCTION("IFERROR(TO_DATE(E1352), """")"),42564.64494212963)</f>
        <v>42564.64494</v>
      </c>
      <c r="G1352" s="20">
        <f t="shared" si="1"/>
        <v>15</v>
      </c>
      <c r="H1352" s="27">
        <v>42564.69212962963</v>
      </c>
      <c r="I1352" s="19">
        <f>IFERROR(__xludf.DUMMYFUNCTION("IFERROR(TO_DATE(H1352), """")"),42564.69212962963)</f>
        <v>42564.69213</v>
      </c>
      <c r="J1352" s="19" t="s">
        <v>10</v>
      </c>
      <c r="K1352" s="22">
        <f t="shared" si="2"/>
        <v>0</v>
      </c>
    </row>
    <row r="1353">
      <c r="A1353" s="18">
        <v>4143.0</v>
      </c>
      <c r="B1353" s="18" t="s">
        <v>30</v>
      </c>
      <c r="C1353" s="18">
        <v>141.0</v>
      </c>
      <c r="D1353" s="18" t="s">
        <v>31</v>
      </c>
      <c r="E1353" s="27">
        <v>42565.20212962963</v>
      </c>
      <c r="F1353" s="19">
        <f>IFERROR(__xludf.DUMMYFUNCTION("IFERROR(TO_DATE(E1353), """")"),42565.20212962963)</f>
        <v>42565.20213</v>
      </c>
      <c r="G1353" s="20">
        <f t="shared" si="1"/>
        <v>4</v>
      </c>
      <c r="H1353" s="27">
        <v>42565.23664351852</v>
      </c>
      <c r="I1353" s="19">
        <f>IFERROR(__xludf.DUMMYFUNCTION("IFERROR(TO_DATE(H1353), """")"),42565.23664351852)</f>
        <v>42565.23664</v>
      </c>
      <c r="J1353" s="19" t="s">
        <v>11</v>
      </c>
      <c r="K1353" s="22">
        <f t="shared" si="2"/>
        <v>0</v>
      </c>
    </row>
    <row r="1354">
      <c r="A1354" s="18">
        <v>4637.0</v>
      </c>
      <c r="B1354" s="18" t="s">
        <v>32</v>
      </c>
      <c r="C1354" s="18">
        <v>141.0</v>
      </c>
      <c r="D1354" s="18" t="s">
        <v>31</v>
      </c>
      <c r="E1354" s="27">
        <v>42565.478541666664</v>
      </c>
      <c r="F1354" s="19">
        <f>IFERROR(__xludf.DUMMYFUNCTION("IFERROR(TO_DATE(E1354), """")"),42565.478541666664)</f>
        <v>42565.47854</v>
      </c>
      <c r="G1354" s="20">
        <f t="shared" si="1"/>
        <v>11</v>
      </c>
      <c r="H1354" s="27">
        <v>42565.51143518519</v>
      </c>
      <c r="I1354" s="19">
        <f>IFERROR(__xludf.DUMMYFUNCTION("IFERROR(TO_DATE(H1354), """")"),42565.51143518519)</f>
        <v>42565.51144</v>
      </c>
      <c r="J1354" s="19" t="s">
        <v>14</v>
      </c>
      <c r="K1354" s="22">
        <f t="shared" si="2"/>
        <v>0</v>
      </c>
    </row>
    <row r="1355">
      <c r="A1355" s="18">
        <v>4729.0</v>
      </c>
      <c r="B1355" s="18" t="s">
        <v>30</v>
      </c>
      <c r="C1355" s="18">
        <v>141.0</v>
      </c>
      <c r="D1355" s="18" t="s">
        <v>31</v>
      </c>
      <c r="E1355" s="27">
        <v>42565.586435185185</v>
      </c>
      <c r="F1355" s="19">
        <f>IFERROR(__xludf.DUMMYFUNCTION("IFERROR(TO_DATE(E1355), """")"),42565.586435185185)</f>
        <v>42565.58644</v>
      </c>
      <c r="G1355" s="20">
        <f t="shared" si="1"/>
        <v>14</v>
      </c>
      <c r="H1355" s="27">
        <v>42565.632731481484</v>
      </c>
      <c r="I1355" s="19">
        <f>IFERROR(__xludf.DUMMYFUNCTION("IFERROR(TO_DATE(H1355), """")"),42565.632731481484)</f>
        <v>42565.63273</v>
      </c>
      <c r="J1355" s="19" t="s">
        <v>10</v>
      </c>
      <c r="K1355" s="22">
        <f t="shared" si="2"/>
        <v>0</v>
      </c>
    </row>
    <row r="1356">
      <c r="A1356" s="18">
        <v>5318.0</v>
      </c>
      <c r="B1356" s="18" t="s">
        <v>30</v>
      </c>
      <c r="C1356" s="18">
        <v>141.0</v>
      </c>
      <c r="D1356" s="18" t="s">
        <v>31</v>
      </c>
      <c r="E1356" s="27">
        <v>42565.92273148148</v>
      </c>
      <c r="F1356" s="19">
        <f>IFERROR(__xludf.DUMMYFUNCTION("IFERROR(TO_DATE(E1356), """")"),42565.92273148148)</f>
        <v>42565.92273</v>
      </c>
      <c r="G1356" s="20">
        <f t="shared" si="1"/>
        <v>22</v>
      </c>
      <c r="H1356" s="27">
        <v>42565.957037037035</v>
      </c>
      <c r="I1356" s="19">
        <f>IFERROR(__xludf.DUMMYFUNCTION("IFERROR(TO_DATE(H1356), """")"),42565.957037037035)</f>
        <v>42565.95704</v>
      </c>
      <c r="J1356" s="19" t="s">
        <v>13</v>
      </c>
      <c r="K1356" s="22">
        <f t="shared" si="2"/>
        <v>0</v>
      </c>
    </row>
    <row r="1357">
      <c r="A1357" s="18">
        <v>6619.0</v>
      </c>
      <c r="B1357" s="18" t="s">
        <v>32</v>
      </c>
      <c r="C1357" s="18">
        <v>141.0</v>
      </c>
      <c r="D1357" s="18" t="s">
        <v>31</v>
      </c>
      <c r="E1357" s="27">
        <v>42566.911458333336</v>
      </c>
      <c r="F1357" s="19">
        <f>IFERROR(__xludf.DUMMYFUNCTION("IFERROR(TO_DATE(E1357), """")"),42566.911458333336)</f>
        <v>42566.91146</v>
      </c>
      <c r="G1357" s="20">
        <f t="shared" si="1"/>
        <v>21</v>
      </c>
      <c r="H1357" s="27">
        <v>42566.9487037037</v>
      </c>
      <c r="I1357" s="19">
        <f>IFERROR(__xludf.DUMMYFUNCTION("IFERROR(TO_DATE(H1357), """")"),42566.9487037037)</f>
        <v>42566.9487</v>
      </c>
      <c r="J1357" s="19" t="s">
        <v>13</v>
      </c>
      <c r="K1357" s="22">
        <f t="shared" si="2"/>
        <v>0</v>
      </c>
    </row>
    <row r="1358">
      <c r="A1358" s="18">
        <v>444.0</v>
      </c>
      <c r="B1358" s="18" t="s">
        <v>30</v>
      </c>
      <c r="C1358" s="18">
        <v>142.0</v>
      </c>
      <c r="D1358" s="18" t="s">
        <v>31</v>
      </c>
      <c r="E1358" s="26">
        <v>42562.38125</v>
      </c>
      <c r="F1358" s="19">
        <f>IFERROR(__xludf.DUMMYFUNCTION("IFERROR(TO_DATE(E1358), """")"),42562.38125)</f>
        <v>42562.38125</v>
      </c>
      <c r="G1358" s="20">
        <f t="shared" si="1"/>
        <v>9</v>
      </c>
      <c r="H1358" s="26">
        <v>42562.41111111111</v>
      </c>
      <c r="I1358" s="19">
        <f>IFERROR(__xludf.DUMMYFUNCTION("IFERROR(TO_DATE(H1358), """")"),42562.41111111111)</f>
        <v>42562.41111</v>
      </c>
      <c r="J1358" s="19" t="s">
        <v>14</v>
      </c>
      <c r="K1358" s="22">
        <f t="shared" si="2"/>
        <v>0</v>
      </c>
    </row>
    <row r="1359">
      <c r="A1359" s="18">
        <v>1260.0</v>
      </c>
      <c r="B1359" s="18" t="s">
        <v>30</v>
      </c>
      <c r="C1359" s="18">
        <v>142.0</v>
      </c>
      <c r="D1359" s="18" t="s">
        <v>31</v>
      </c>
      <c r="E1359" s="26">
        <v>42562.915972222225</v>
      </c>
      <c r="F1359" s="19">
        <f>IFERROR(__xludf.DUMMYFUNCTION("IFERROR(TO_DATE(E1359), """")"),42562.915972222225)</f>
        <v>42562.91597</v>
      </c>
      <c r="G1359" s="20">
        <f t="shared" si="1"/>
        <v>21</v>
      </c>
      <c r="H1359" s="26">
        <v>42562.96527777778</v>
      </c>
      <c r="I1359" s="19">
        <f>IFERROR(__xludf.DUMMYFUNCTION("IFERROR(TO_DATE(H1359), """")"),42562.96527777778)</f>
        <v>42562.96528</v>
      </c>
      <c r="J1359" s="19" t="s">
        <v>13</v>
      </c>
      <c r="K1359" s="22">
        <f t="shared" si="2"/>
        <v>0</v>
      </c>
    </row>
    <row r="1360">
      <c r="A1360" s="18">
        <v>1976.0</v>
      </c>
      <c r="B1360" s="18" t="s">
        <v>30</v>
      </c>
      <c r="C1360" s="18">
        <v>142.0</v>
      </c>
      <c r="D1360" s="18" t="s">
        <v>31</v>
      </c>
      <c r="E1360" s="26">
        <v>42563.5125</v>
      </c>
      <c r="F1360" s="19">
        <f>IFERROR(__xludf.DUMMYFUNCTION("IFERROR(TO_DATE(E1360), """")"),42563.5125)</f>
        <v>42563.5125</v>
      </c>
      <c r="G1360" s="20">
        <f t="shared" si="1"/>
        <v>12</v>
      </c>
      <c r="H1360" s="26">
        <v>42563.5625</v>
      </c>
      <c r="I1360" s="19">
        <f>IFERROR(__xludf.DUMMYFUNCTION("IFERROR(TO_DATE(H1360), """")"),42563.5625)</f>
        <v>42563.5625</v>
      </c>
      <c r="J1360" s="19" t="s">
        <v>10</v>
      </c>
      <c r="K1360" s="22">
        <f t="shared" si="2"/>
        <v>0</v>
      </c>
    </row>
    <row r="1361">
      <c r="A1361" s="18">
        <v>2096.0</v>
      </c>
      <c r="B1361" s="18" t="s">
        <v>30</v>
      </c>
      <c r="C1361" s="18">
        <v>142.0</v>
      </c>
      <c r="D1361" s="18" t="s">
        <v>31</v>
      </c>
      <c r="E1361" s="26">
        <v>42563.66736111111</v>
      </c>
      <c r="F1361" s="19">
        <f>IFERROR(__xludf.DUMMYFUNCTION("IFERROR(TO_DATE(E1361), """")"),42563.66736111111)</f>
        <v>42563.66736</v>
      </c>
      <c r="G1361" s="20">
        <f t="shared" si="1"/>
        <v>16</v>
      </c>
      <c r="H1361" s="26">
        <v>42563.71111111111</v>
      </c>
      <c r="I1361" s="19">
        <f>IFERROR(__xludf.DUMMYFUNCTION("IFERROR(TO_DATE(H1361), """")"),42563.71111111111)</f>
        <v>42563.71111</v>
      </c>
      <c r="J1361" s="19" t="s">
        <v>12</v>
      </c>
      <c r="K1361" s="22">
        <f t="shared" si="2"/>
        <v>0</v>
      </c>
    </row>
    <row r="1362">
      <c r="A1362" s="18">
        <v>2732.0</v>
      </c>
      <c r="B1362" s="18" t="s">
        <v>32</v>
      </c>
      <c r="C1362" s="18">
        <v>142.0</v>
      </c>
      <c r="D1362" s="18" t="s">
        <v>31</v>
      </c>
      <c r="E1362" s="27">
        <v>42564.106828703705</v>
      </c>
      <c r="F1362" s="19">
        <f>IFERROR(__xludf.DUMMYFUNCTION("IFERROR(TO_DATE(E1362), """")"),42564.106828703705)</f>
        <v>42564.10683</v>
      </c>
      <c r="G1362" s="20">
        <f t="shared" si="1"/>
        <v>2</v>
      </c>
      <c r="H1362" s="27">
        <v>42564.15207175926</v>
      </c>
      <c r="I1362" s="19">
        <f>IFERROR(__xludf.DUMMYFUNCTION("IFERROR(TO_DATE(H1362), """")"),42564.15207175926)</f>
        <v>42564.15207</v>
      </c>
      <c r="J1362" s="19" t="s">
        <v>15</v>
      </c>
      <c r="K1362" s="22">
        <f t="shared" si="2"/>
        <v>0</v>
      </c>
    </row>
    <row r="1363">
      <c r="A1363" s="18">
        <v>5383.0</v>
      </c>
      <c r="B1363" s="18" t="s">
        <v>32</v>
      </c>
      <c r="C1363" s="18">
        <v>142.0</v>
      </c>
      <c r="D1363" s="18" t="s">
        <v>31</v>
      </c>
      <c r="E1363" s="27">
        <v>42565.00261574074</v>
      </c>
      <c r="F1363" s="19">
        <f>IFERROR(__xludf.DUMMYFUNCTION("IFERROR(TO_DATE(E1363), """")"),42565.00261574074)</f>
        <v>42565.00262</v>
      </c>
      <c r="G1363" s="20">
        <f t="shared" si="1"/>
        <v>0</v>
      </c>
      <c r="H1363" s="27">
        <v>42565.02369212963</v>
      </c>
      <c r="I1363" s="19">
        <f>IFERROR(__xludf.DUMMYFUNCTION("IFERROR(TO_DATE(H1363), """")"),42565.02369212963)</f>
        <v>42565.02369</v>
      </c>
      <c r="J1363" s="19" t="s">
        <v>15</v>
      </c>
      <c r="K1363" s="22">
        <f t="shared" si="2"/>
        <v>0</v>
      </c>
    </row>
    <row r="1364">
      <c r="A1364" s="18">
        <v>4156.0</v>
      </c>
      <c r="B1364" s="18" t="s">
        <v>32</v>
      </c>
      <c r="C1364" s="18">
        <v>142.0</v>
      </c>
      <c r="D1364" s="18" t="s">
        <v>31</v>
      </c>
      <c r="E1364" s="27">
        <v>42565.21375</v>
      </c>
      <c r="F1364" s="19">
        <f>IFERROR(__xludf.DUMMYFUNCTION("IFERROR(TO_DATE(E1364), """")"),42565.21375)</f>
        <v>42565.21375</v>
      </c>
      <c r="G1364" s="20">
        <f t="shared" si="1"/>
        <v>5</v>
      </c>
      <c r="H1364" s="27">
        <v>42565.254849537036</v>
      </c>
      <c r="I1364" s="19">
        <f>IFERROR(__xludf.DUMMYFUNCTION("IFERROR(TO_DATE(H1364), """")"),42565.254849537036)</f>
        <v>42565.25485</v>
      </c>
      <c r="J1364" s="19" t="s">
        <v>11</v>
      </c>
      <c r="K1364" s="22">
        <f t="shared" si="2"/>
        <v>0</v>
      </c>
    </row>
    <row r="1365">
      <c r="A1365" s="18">
        <v>4761.0</v>
      </c>
      <c r="B1365" s="18" t="s">
        <v>32</v>
      </c>
      <c r="C1365" s="18">
        <v>142.0</v>
      </c>
      <c r="D1365" s="18" t="s">
        <v>31</v>
      </c>
      <c r="E1365" s="27">
        <v>42565.64685185185</v>
      </c>
      <c r="F1365" s="19">
        <f>IFERROR(__xludf.DUMMYFUNCTION("IFERROR(TO_DATE(E1365), """")"),42565.64685185185)</f>
        <v>42565.64685</v>
      </c>
      <c r="G1365" s="20">
        <f t="shared" si="1"/>
        <v>15</v>
      </c>
      <c r="H1365" s="27">
        <v>42565.6616087963</v>
      </c>
      <c r="I1365" s="19">
        <f>IFERROR(__xludf.DUMMYFUNCTION("IFERROR(TO_DATE(H1365), """")"),42565.6616087963)</f>
        <v>42565.66161</v>
      </c>
      <c r="J1365" s="19" t="s">
        <v>10</v>
      </c>
      <c r="K1365" s="22">
        <f t="shared" si="2"/>
        <v>0</v>
      </c>
    </row>
    <row r="1366">
      <c r="A1366" s="18">
        <v>6446.0</v>
      </c>
      <c r="B1366" s="18" t="s">
        <v>30</v>
      </c>
      <c r="C1366" s="18">
        <v>142.0</v>
      </c>
      <c r="D1366" s="18" t="s">
        <v>31</v>
      </c>
      <c r="E1366" s="27">
        <v>42566.83494212963</v>
      </c>
      <c r="F1366" s="19">
        <f>IFERROR(__xludf.DUMMYFUNCTION("IFERROR(TO_DATE(E1366), """")"),42566.83494212963)</f>
        <v>42566.83494</v>
      </c>
      <c r="G1366" s="20">
        <f t="shared" si="1"/>
        <v>20</v>
      </c>
      <c r="H1366" s="27">
        <v>42566.87021990741</v>
      </c>
      <c r="I1366" s="19">
        <f>IFERROR(__xludf.DUMMYFUNCTION("IFERROR(TO_DATE(H1366), """")"),42566.87021990741)</f>
        <v>42566.87022</v>
      </c>
      <c r="J1366" s="19" t="s">
        <v>13</v>
      </c>
      <c r="K1366" s="22">
        <f t="shared" si="2"/>
        <v>0</v>
      </c>
    </row>
    <row r="1367">
      <c r="A1367" s="18">
        <v>6610.0</v>
      </c>
      <c r="B1367" s="18" t="s">
        <v>32</v>
      </c>
      <c r="C1367" s="18">
        <v>142.0</v>
      </c>
      <c r="D1367" s="18" t="s">
        <v>31</v>
      </c>
      <c r="E1367" s="27">
        <v>42566.909212962964</v>
      </c>
      <c r="F1367" s="19">
        <f>IFERROR(__xludf.DUMMYFUNCTION("IFERROR(TO_DATE(E1367), """")"),42566.909212962964)</f>
        <v>42566.90921</v>
      </c>
      <c r="G1367" s="20">
        <f t="shared" si="1"/>
        <v>21</v>
      </c>
      <c r="H1367" s="27">
        <v>42566.95951388889</v>
      </c>
      <c r="I1367" s="19">
        <f>IFERROR(__xludf.DUMMYFUNCTION("IFERROR(TO_DATE(H1367), """")"),42566.95951388889)</f>
        <v>42566.95951</v>
      </c>
      <c r="J1367" s="19" t="s">
        <v>13</v>
      </c>
      <c r="K1367" s="22">
        <f t="shared" si="2"/>
        <v>0</v>
      </c>
    </row>
    <row r="1368">
      <c r="A1368" s="18">
        <v>638.0</v>
      </c>
      <c r="B1368" s="18" t="s">
        <v>32</v>
      </c>
      <c r="C1368" s="18">
        <v>143.0</v>
      </c>
      <c r="D1368" s="18" t="s">
        <v>31</v>
      </c>
      <c r="E1368" s="26">
        <v>42562.520833333336</v>
      </c>
      <c r="F1368" s="19">
        <f>IFERROR(__xludf.DUMMYFUNCTION("IFERROR(TO_DATE(E1368), """")"),42562.520833333336)</f>
        <v>42562.52083</v>
      </c>
      <c r="G1368" s="20">
        <f t="shared" si="1"/>
        <v>12</v>
      </c>
      <c r="H1368" s="26">
        <v>42562.55138888889</v>
      </c>
      <c r="I1368" s="19">
        <f>IFERROR(__xludf.DUMMYFUNCTION("IFERROR(TO_DATE(H1368), """")"),42562.55138888889)</f>
        <v>42562.55139</v>
      </c>
      <c r="J1368" s="19" t="s">
        <v>10</v>
      </c>
      <c r="K1368" s="22">
        <f t="shared" si="2"/>
        <v>0</v>
      </c>
    </row>
    <row r="1369">
      <c r="A1369" s="18">
        <v>1644.0</v>
      </c>
      <c r="B1369" s="18" t="s">
        <v>30</v>
      </c>
      <c r="C1369" s="18">
        <v>143.0</v>
      </c>
      <c r="D1369" s="18" t="s">
        <v>31</v>
      </c>
      <c r="E1369" s="26">
        <v>42563.302777777775</v>
      </c>
      <c r="F1369" s="19">
        <f>IFERROR(__xludf.DUMMYFUNCTION("IFERROR(TO_DATE(E1369), """")"),42563.302777777775)</f>
        <v>42563.30278</v>
      </c>
      <c r="G1369" s="20">
        <f t="shared" si="1"/>
        <v>7</v>
      </c>
      <c r="H1369" s="26">
        <v>42563.33194444444</v>
      </c>
      <c r="I1369" s="19">
        <f>IFERROR(__xludf.DUMMYFUNCTION("IFERROR(TO_DATE(H1369), """")"),42563.33194444444)</f>
        <v>42563.33194</v>
      </c>
      <c r="J1369" s="19" t="s">
        <v>11</v>
      </c>
      <c r="K1369" s="22">
        <f t="shared" si="2"/>
        <v>0</v>
      </c>
    </row>
    <row r="1370">
      <c r="A1370" s="18">
        <v>2040.0</v>
      </c>
      <c r="B1370" s="18" t="s">
        <v>30</v>
      </c>
      <c r="C1370" s="18">
        <v>143.0</v>
      </c>
      <c r="D1370" s="18" t="s">
        <v>31</v>
      </c>
      <c r="E1370" s="26">
        <v>42563.600694444445</v>
      </c>
      <c r="F1370" s="19">
        <f>IFERROR(__xludf.DUMMYFUNCTION("IFERROR(TO_DATE(E1370), """")"),42563.600694444445)</f>
        <v>42563.60069</v>
      </c>
      <c r="G1370" s="20">
        <f t="shared" si="1"/>
        <v>14</v>
      </c>
      <c r="H1370" s="26">
        <v>42563.62291666667</v>
      </c>
      <c r="I1370" s="19">
        <f>IFERROR(__xludf.DUMMYFUNCTION("IFERROR(TO_DATE(H1370), """")"),42563.62291666667)</f>
        <v>42563.62292</v>
      </c>
      <c r="J1370" s="19" t="s">
        <v>10</v>
      </c>
      <c r="K1370" s="22">
        <f t="shared" si="2"/>
        <v>0</v>
      </c>
    </row>
    <row r="1371">
      <c r="A1371" s="18">
        <v>2794.0</v>
      </c>
      <c r="B1371" s="18" t="s">
        <v>32</v>
      </c>
      <c r="C1371" s="18">
        <v>143.0</v>
      </c>
      <c r="D1371" s="18" t="s">
        <v>31</v>
      </c>
      <c r="E1371" s="27">
        <v>42564.20506944445</v>
      </c>
      <c r="F1371" s="19">
        <f>IFERROR(__xludf.DUMMYFUNCTION("IFERROR(TO_DATE(E1371), """")"),42564.20506944445)</f>
        <v>42564.20507</v>
      </c>
      <c r="G1371" s="20">
        <f t="shared" si="1"/>
        <v>4</v>
      </c>
      <c r="H1371" s="27">
        <v>42564.25131944445</v>
      </c>
      <c r="I1371" s="19">
        <f>IFERROR(__xludf.DUMMYFUNCTION("IFERROR(TO_DATE(H1371), """")"),42564.25131944445)</f>
        <v>42564.25132</v>
      </c>
      <c r="J1371" s="19" t="s">
        <v>11</v>
      </c>
      <c r="K1371" s="22">
        <f t="shared" si="2"/>
        <v>0</v>
      </c>
    </row>
    <row r="1372">
      <c r="A1372" s="18">
        <v>3172.0</v>
      </c>
      <c r="B1372" s="18" t="s">
        <v>30</v>
      </c>
      <c r="C1372" s="18">
        <v>143.0</v>
      </c>
      <c r="D1372" s="18" t="s">
        <v>31</v>
      </c>
      <c r="E1372" s="27">
        <v>42564.384375</v>
      </c>
      <c r="F1372" s="19">
        <f>IFERROR(__xludf.DUMMYFUNCTION("IFERROR(TO_DATE(E1372), """")"),42564.384375)</f>
        <v>42564.38438</v>
      </c>
      <c r="G1372" s="20">
        <f t="shared" si="1"/>
        <v>9</v>
      </c>
      <c r="H1372" s="27">
        <v>42564.43340277778</v>
      </c>
      <c r="I1372" s="19">
        <f>IFERROR(__xludf.DUMMYFUNCTION("IFERROR(TO_DATE(H1372), """")"),42564.43340277778)</f>
        <v>42564.4334</v>
      </c>
      <c r="J1372" s="19" t="s">
        <v>14</v>
      </c>
      <c r="K1372" s="22">
        <f t="shared" si="2"/>
        <v>0</v>
      </c>
    </row>
    <row r="1373">
      <c r="A1373" s="18">
        <v>6559.0</v>
      </c>
      <c r="B1373" s="18" t="s">
        <v>30</v>
      </c>
      <c r="C1373" s="18">
        <v>143.0</v>
      </c>
      <c r="D1373" s="18" t="s">
        <v>31</v>
      </c>
      <c r="E1373" s="27">
        <v>42566.875439814816</v>
      </c>
      <c r="F1373" s="19">
        <f>IFERROR(__xludf.DUMMYFUNCTION("IFERROR(TO_DATE(E1373), """")"),42566.875439814816)</f>
        <v>42566.87544</v>
      </c>
      <c r="G1373" s="20">
        <f t="shared" si="1"/>
        <v>21</v>
      </c>
      <c r="H1373" s="27">
        <v>42566.91553240741</v>
      </c>
      <c r="I1373" s="19">
        <f>IFERROR(__xludf.DUMMYFUNCTION("IFERROR(TO_DATE(H1373), """")"),42566.91553240741)</f>
        <v>42566.91553</v>
      </c>
      <c r="J1373" s="19" t="s">
        <v>13</v>
      </c>
      <c r="K1373" s="22">
        <f t="shared" si="2"/>
        <v>0</v>
      </c>
    </row>
    <row r="1374">
      <c r="A1374" s="18">
        <v>243.0</v>
      </c>
      <c r="B1374" s="18" t="s">
        <v>32</v>
      </c>
      <c r="C1374" s="18">
        <v>144.0</v>
      </c>
      <c r="D1374" s="18" t="s">
        <v>31</v>
      </c>
      <c r="E1374" s="26">
        <v>42562.27361111111</v>
      </c>
      <c r="F1374" s="19">
        <f>IFERROR(__xludf.DUMMYFUNCTION("IFERROR(TO_DATE(E1374), """")"),42562.27361111111)</f>
        <v>42562.27361</v>
      </c>
      <c r="G1374" s="20">
        <f t="shared" si="1"/>
        <v>6</v>
      </c>
      <c r="H1374" s="26">
        <v>42562.29791666667</v>
      </c>
      <c r="I1374" s="19">
        <f>IFERROR(__xludf.DUMMYFUNCTION("IFERROR(TO_DATE(H1374), """")"),42562.29791666667)</f>
        <v>42562.29792</v>
      </c>
      <c r="J1374" s="19" t="s">
        <v>11</v>
      </c>
      <c r="K1374" s="22">
        <f t="shared" si="2"/>
        <v>0</v>
      </c>
    </row>
    <row r="1375">
      <c r="A1375" s="18">
        <v>296.0</v>
      </c>
      <c r="B1375" s="18" t="s">
        <v>30</v>
      </c>
      <c r="C1375" s="18">
        <v>144.0</v>
      </c>
      <c r="D1375" s="18" t="s">
        <v>31</v>
      </c>
      <c r="E1375" s="26">
        <v>42562.3</v>
      </c>
      <c r="F1375" s="19">
        <f>IFERROR(__xludf.DUMMYFUNCTION("IFERROR(TO_DATE(E1375), """")"),42562.3)</f>
        <v>42562.3</v>
      </c>
      <c r="G1375" s="20">
        <f t="shared" si="1"/>
        <v>7</v>
      </c>
      <c r="H1375" s="26">
        <v>42562.32916666667</v>
      </c>
      <c r="I1375" s="19">
        <f>IFERROR(__xludf.DUMMYFUNCTION("IFERROR(TO_DATE(H1375), """")"),42562.32916666667)</f>
        <v>42562.32917</v>
      </c>
      <c r="J1375" s="19" t="s">
        <v>11</v>
      </c>
      <c r="K1375" s="22">
        <f t="shared" si="2"/>
        <v>0</v>
      </c>
    </row>
    <row r="1376">
      <c r="A1376" s="18">
        <v>677.0</v>
      </c>
      <c r="B1376" s="18" t="s">
        <v>32</v>
      </c>
      <c r="C1376" s="18">
        <v>144.0</v>
      </c>
      <c r="D1376" s="18" t="s">
        <v>31</v>
      </c>
      <c r="E1376" s="26">
        <v>42562.55972222222</v>
      </c>
      <c r="F1376" s="19">
        <f>IFERROR(__xludf.DUMMYFUNCTION("IFERROR(TO_DATE(E1376), """")"),42562.55972222222)</f>
        <v>42562.55972</v>
      </c>
      <c r="G1376" s="20">
        <f t="shared" si="1"/>
        <v>13</v>
      </c>
      <c r="H1376" s="26">
        <v>42562.58194444444</v>
      </c>
      <c r="I1376" s="19">
        <f>IFERROR(__xludf.DUMMYFUNCTION("IFERROR(TO_DATE(H1376), """")"),42562.58194444444)</f>
        <v>42562.58194</v>
      </c>
      <c r="J1376" s="19" t="s">
        <v>10</v>
      </c>
      <c r="K1376" s="22">
        <f t="shared" si="2"/>
        <v>0</v>
      </c>
    </row>
    <row r="1377">
      <c r="A1377" s="18">
        <v>1360.0</v>
      </c>
      <c r="B1377" s="18" t="s">
        <v>32</v>
      </c>
      <c r="C1377" s="18">
        <v>144.0</v>
      </c>
      <c r="D1377" s="18" t="s">
        <v>31</v>
      </c>
      <c r="E1377" s="26">
        <v>42562.995833333334</v>
      </c>
      <c r="F1377" s="19">
        <f>IFERROR(__xludf.DUMMYFUNCTION("IFERROR(TO_DATE(E1377), """")"),42562.995833333334)</f>
        <v>42562.99583</v>
      </c>
      <c r="G1377" s="20">
        <f t="shared" si="1"/>
        <v>23</v>
      </c>
      <c r="H1377" s="26">
        <v>42563.04791666667</v>
      </c>
      <c r="I1377" s="19">
        <f>IFERROR(__xludf.DUMMYFUNCTION("IFERROR(TO_DATE(H1377), """")"),42563.04791666667)</f>
        <v>42563.04792</v>
      </c>
      <c r="J1377" s="19" t="s">
        <v>13</v>
      </c>
      <c r="K1377" s="22">
        <f t="shared" si="2"/>
        <v>0</v>
      </c>
    </row>
    <row r="1378">
      <c r="A1378" s="18">
        <v>1916.0</v>
      </c>
      <c r="B1378" s="18" t="s">
        <v>30</v>
      </c>
      <c r="C1378" s="18">
        <v>144.0</v>
      </c>
      <c r="D1378" s="18" t="s">
        <v>31</v>
      </c>
      <c r="E1378" s="26">
        <v>42563.44652777778</v>
      </c>
      <c r="F1378" s="19">
        <f>IFERROR(__xludf.DUMMYFUNCTION("IFERROR(TO_DATE(E1378), """")"),42563.44652777778)</f>
        <v>42563.44653</v>
      </c>
      <c r="G1378" s="20">
        <f t="shared" si="1"/>
        <v>10</v>
      </c>
      <c r="H1378" s="26">
        <v>42563.46597222222</v>
      </c>
      <c r="I1378" s="19">
        <f>IFERROR(__xludf.DUMMYFUNCTION("IFERROR(TO_DATE(H1378), """")"),42563.46597222222)</f>
        <v>42563.46597</v>
      </c>
      <c r="J1378" s="19" t="s">
        <v>14</v>
      </c>
      <c r="K1378" s="22">
        <f t="shared" si="2"/>
        <v>0</v>
      </c>
    </row>
    <row r="1379">
      <c r="A1379" s="18">
        <v>2397.0</v>
      </c>
      <c r="B1379" s="18" t="s">
        <v>32</v>
      </c>
      <c r="C1379" s="18">
        <v>144.0</v>
      </c>
      <c r="D1379" s="18" t="s">
        <v>31</v>
      </c>
      <c r="E1379" s="26">
        <v>42563.822916666664</v>
      </c>
      <c r="F1379" s="19">
        <f>IFERROR(__xludf.DUMMYFUNCTION("IFERROR(TO_DATE(E1379), """")"),42563.822916666664)</f>
        <v>42563.82292</v>
      </c>
      <c r="G1379" s="20">
        <f t="shared" si="1"/>
        <v>19</v>
      </c>
      <c r="H1379" s="26">
        <v>42563.84652777778</v>
      </c>
      <c r="I1379" s="19">
        <f>IFERROR(__xludf.DUMMYFUNCTION("IFERROR(TO_DATE(H1379), """")"),42563.84652777778)</f>
        <v>42563.84653</v>
      </c>
      <c r="J1379" s="19" t="s">
        <v>12</v>
      </c>
      <c r="K1379" s="22">
        <f t="shared" si="2"/>
        <v>0</v>
      </c>
    </row>
    <row r="1380">
      <c r="A1380" s="18">
        <v>3624.0</v>
      </c>
      <c r="B1380" s="18" t="s">
        <v>30</v>
      </c>
      <c r="C1380" s="18">
        <v>144.0</v>
      </c>
      <c r="D1380" s="18" t="s">
        <v>31</v>
      </c>
      <c r="E1380" s="27">
        <v>42564.78665509259</v>
      </c>
      <c r="F1380" s="19">
        <f>IFERROR(__xludf.DUMMYFUNCTION("IFERROR(TO_DATE(E1380), """")"),42564.78665509259)</f>
        <v>42564.78666</v>
      </c>
      <c r="G1380" s="20">
        <f t="shared" si="1"/>
        <v>18</v>
      </c>
      <c r="H1380" s="27">
        <v>42564.82960648148</v>
      </c>
      <c r="I1380" s="19">
        <f>IFERROR(__xludf.DUMMYFUNCTION("IFERROR(TO_DATE(H1380), """")"),42564.82960648148)</f>
        <v>42564.82961</v>
      </c>
      <c r="J1380" s="19" t="s">
        <v>12</v>
      </c>
      <c r="K1380" s="22">
        <f t="shared" si="2"/>
        <v>0</v>
      </c>
    </row>
    <row r="1381">
      <c r="A1381" s="18">
        <v>4799.0</v>
      </c>
      <c r="B1381" s="18" t="s">
        <v>32</v>
      </c>
      <c r="C1381" s="18">
        <v>144.0</v>
      </c>
      <c r="D1381" s="18" t="s">
        <v>31</v>
      </c>
      <c r="E1381" s="27">
        <v>42565.70576388889</v>
      </c>
      <c r="F1381" s="19">
        <f>IFERROR(__xludf.DUMMYFUNCTION("IFERROR(TO_DATE(E1381), """")"),42565.70576388889)</f>
        <v>42565.70576</v>
      </c>
      <c r="G1381" s="20">
        <f t="shared" si="1"/>
        <v>16</v>
      </c>
      <c r="H1381" s="27">
        <v>42565.742210648146</v>
      </c>
      <c r="I1381" s="19">
        <f>IFERROR(__xludf.DUMMYFUNCTION("IFERROR(TO_DATE(H1381), """")"),42565.742210648146)</f>
        <v>42565.74221</v>
      </c>
      <c r="J1381" s="19" t="s">
        <v>12</v>
      </c>
      <c r="K1381" s="22">
        <f t="shared" si="2"/>
        <v>0</v>
      </c>
    </row>
    <row r="1382">
      <c r="A1382" s="18">
        <v>5241.0</v>
      </c>
      <c r="B1382" s="18" t="s">
        <v>32</v>
      </c>
      <c r="C1382" s="18">
        <v>144.0</v>
      </c>
      <c r="D1382" s="18" t="s">
        <v>31</v>
      </c>
      <c r="E1382" s="27">
        <v>42565.88421296296</v>
      </c>
      <c r="F1382" s="19">
        <f>IFERROR(__xludf.DUMMYFUNCTION("IFERROR(TO_DATE(E1382), """")"),42565.88421296296)</f>
        <v>42565.88421</v>
      </c>
      <c r="G1382" s="20">
        <f t="shared" si="1"/>
        <v>21</v>
      </c>
      <c r="H1382" s="27">
        <v>42565.90446759259</v>
      </c>
      <c r="I1382" s="19">
        <f>IFERROR(__xludf.DUMMYFUNCTION("IFERROR(TO_DATE(H1382), """")"),42565.90446759259)</f>
        <v>42565.90447</v>
      </c>
      <c r="J1382" s="19" t="s">
        <v>13</v>
      </c>
      <c r="K1382" s="22">
        <f t="shared" si="2"/>
        <v>0</v>
      </c>
    </row>
    <row r="1383">
      <c r="A1383" s="18">
        <v>6380.0</v>
      </c>
      <c r="B1383" s="18" t="s">
        <v>30</v>
      </c>
      <c r="C1383" s="18">
        <v>144.0</v>
      </c>
      <c r="D1383" s="18" t="s">
        <v>31</v>
      </c>
      <c r="E1383" s="27">
        <v>42566.80510416667</v>
      </c>
      <c r="F1383" s="19">
        <f>IFERROR(__xludf.DUMMYFUNCTION("IFERROR(TO_DATE(E1383), """")"),42566.80510416667)</f>
        <v>42566.8051</v>
      </c>
      <c r="G1383" s="20">
        <f t="shared" si="1"/>
        <v>19</v>
      </c>
      <c r="H1383" s="27">
        <v>42566.85091435185</v>
      </c>
      <c r="I1383" s="19">
        <f>IFERROR(__xludf.DUMMYFUNCTION("IFERROR(TO_DATE(H1383), """")"),42566.85091435185)</f>
        <v>42566.85091</v>
      </c>
      <c r="J1383" s="19" t="s">
        <v>12</v>
      </c>
      <c r="K1383" s="22">
        <f t="shared" si="2"/>
        <v>0</v>
      </c>
    </row>
    <row r="1384">
      <c r="A1384" s="18">
        <v>998.0</v>
      </c>
      <c r="B1384" s="18" t="s">
        <v>30</v>
      </c>
      <c r="C1384" s="18">
        <v>145.0</v>
      </c>
      <c r="D1384" s="18" t="s">
        <v>31</v>
      </c>
      <c r="E1384" s="26">
        <v>42562.79236111111</v>
      </c>
      <c r="F1384" s="19">
        <f>IFERROR(__xludf.DUMMYFUNCTION("IFERROR(TO_DATE(E1384), """")"),42562.79236111111)</f>
        <v>42562.79236</v>
      </c>
      <c r="G1384" s="20">
        <f t="shared" si="1"/>
        <v>19</v>
      </c>
      <c r="H1384" s="26">
        <v>42562.825</v>
      </c>
      <c r="I1384" s="19">
        <f>IFERROR(__xludf.DUMMYFUNCTION("IFERROR(TO_DATE(H1384), """")"),42562.825)</f>
        <v>42562.825</v>
      </c>
      <c r="J1384" s="19" t="s">
        <v>12</v>
      </c>
      <c r="K1384" s="22">
        <f t="shared" si="2"/>
        <v>0</v>
      </c>
    </row>
    <row r="1385">
      <c r="A1385" s="18">
        <v>1281.0</v>
      </c>
      <c r="B1385" s="18" t="s">
        <v>30</v>
      </c>
      <c r="C1385" s="18">
        <v>145.0</v>
      </c>
      <c r="D1385" s="18" t="s">
        <v>31</v>
      </c>
      <c r="E1385" s="26">
        <v>42562.925</v>
      </c>
      <c r="F1385" s="19">
        <f>IFERROR(__xludf.DUMMYFUNCTION("IFERROR(TO_DATE(E1385), """")"),42562.925)</f>
        <v>42562.925</v>
      </c>
      <c r="G1385" s="20">
        <f t="shared" si="1"/>
        <v>22</v>
      </c>
      <c r="H1385" s="26">
        <v>42562.95208333333</v>
      </c>
      <c r="I1385" s="19">
        <f>IFERROR(__xludf.DUMMYFUNCTION("IFERROR(TO_DATE(H1385), """")"),42562.95208333333)</f>
        <v>42562.95208</v>
      </c>
      <c r="J1385" s="19" t="s">
        <v>13</v>
      </c>
      <c r="K1385" s="22">
        <f t="shared" si="2"/>
        <v>0</v>
      </c>
    </row>
    <row r="1386">
      <c r="A1386" s="18">
        <v>2045.0</v>
      </c>
      <c r="B1386" s="18" t="s">
        <v>30</v>
      </c>
      <c r="C1386" s="18">
        <v>145.0</v>
      </c>
      <c r="D1386" s="18" t="s">
        <v>31</v>
      </c>
      <c r="E1386" s="26">
        <v>42563.61319444444</v>
      </c>
      <c r="F1386" s="19">
        <f>IFERROR(__xludf.DUMMYFUNCTION("IFERROR(TO_DATE(E1386), """")"),42563.61319444444)</f>
        <v>42563.61319</v>
      </c>
      <c r="G1386" s="20">
        <f t="shared" si="1"/>
        <v>14</v>
      </c>
      <c r="H1386" s="26">
        <v>42563.629166666666</v>
      </c>
      <c r="I1386" s="19">
        <f>IFERROR(__xludf.DUMMYFUNCTION("IFERROR(TO_DATE(H1386), """")"),42563.629166666666)</f>
        <v>42563.62917</v>
      </c>
      <c r="J1386" s="19" t="s">
        <v>10</v>
      </c>
      <c r="K1386" s="22">
        <f t="shared" si="2"/>
        <v>0</v>
      </c>
    </row>
    <row r="1387">
      <c r="A1387" s="18">
        <v>2424.0</v>
      </c>
      <c r="B1387" s="18" t="s">
        <v>32</v>
      </c>
      <c r="C1387" s="18">
        <v>145.0</v>
      </c>
      <c r="D1387" s="18" t="s">
        <v>31</v>
      </c>
      <c r="E1387" s="26">
        <v>42563.83541666667</v>
      </c>
      <c r="F1387" s="19">
        <f>IFERROR(__xludf.DUMMYFUNCTION("IFERROR(TO_DATE(E1387), """")"),42563.83541666667)</f>
        <v>42563.83542</v>
      </c>
      <c r="G1387" s="20">
        <f t="shared" si="1"/>
        <v>20</v>
      </c>
      <c r="H1387" s="26">
        <v>42563.87777777778</v>
      </c>
      <c r="I1387" s="19">
        <f>IFERROR(__xludf.DUMMYFUNCTION("IFERROR(TO_DATE(H1387), """")"),42563.87777777778)</f>
        <v>42563.87778</v>
      </c>
      <c r="J1387" s="19" t="s">
        <v>13</v>
      </c>
      <c r="K1387" s="22">
        <f t="shared" si="2"/>
        <v>0</v>
      </c>
    </row>
    <row r="1388">
      <c r="A1388" s="18">
        <v>3162.0</v>
      </c>
      <c r="B1388" s="18" t="s">
        <v>30</v>
      </c>
      <c r="C1388" s="18">
        <v>145.0</v>
      </c>
      <c r="D1388" s="18" t="s">
        <v>31</v>
      </c>
      <c r="E1388" s="27">
        <v>42564.38319444445</v>
      </c>
      <c r="F1388" s="19">
        <f>IFERROR(__xludf.DUMMYFUNCTION("IFERROR(TO_DATE(E1388), """")"),42564.38319444445)</f>
        <v>42564.38319</v>
      </c>
      <c r="G1388" s="20">
        <f t="shared" si="1"/>
        <v>9</v>
      </c>
      <c r="H1388" s="27">
        <v>42564.40146990741</v>
      </c>
      <c r="I1388" s="19">
        <f>IFERROR(__xludf.DUMMYFUNCTION("IFERROR(TO_DATE(H1388), """")"),42564.40146990741)</f>
        <v>42564.40147</v>
      </c>
      <c r="J1388" s="19" t="s">
        <v>14</v>
      </c>
      <c r="K1388" s="22">
        <f t="shared" si="2"/>
        <v>0</v>
      </c>
    </row>
    <row r="1389">
      <c r="A1389" s="18">
        <v>3222.0</v>
      </c>
      <c r="B1389" s="18" t="s">
        <v>32</v>
      </c>
      <c r="C1389" s="18">
        <v>145.0</v>
      </c>
      <c r="D1389" s="18" t="s">
        <v>31</v>
      </c>
      <c r="E1389" s="27">
        <v>42564.410474537035</v>
      </c>
      <c r="F1389" s="19">
        <f>IFERROR(__xludf.DUMMYFUNCTION("IFERROR(TO_DATE(E1389), """")"),42564.410474537035)</f>
        <v>42564.41047</v>
      </c>
      <c r="G1389" s="20">
        <f t="shared" si="1"/>
        <v>9</v>
      </c>
      <c r="H1389" s="27">
        <v>42564.45423611111</v>
      </c>
      <c r="I1389" s="19">
        <f>IFERROR(__xludf.DUMMYFUNCTION("IFERROR(TO_DATE(H1389), """")"),42564.45423611111)</f>
        <v>42564.45424</v>
      </c>
      <c r="J1389" s="19" t="s">
        <v>14</v>
      </c>
      <c r="K1389" s="22">
        <f t="shared" si="2"/>
        <v>0</v>
      </c>
    </row>
    <row r="1390">
      <c r="A1390" s="18">
        <v>4098.0</v>
      </c>
      <c r="B1390" s="18" t="s">
        <v>32</v>
      </c>
      <c r="C1390" s="18">
        <v>145.0</v>
      </c>
      <c r="D1390" s="18" t="s">
        <v>31</v>
      </c>
      <c r="E1390" s="27">
        <v>42565.13322916667</v>
      </c>
      <c r="F1390" s="19">
        <f>IFERROR(__xludf.DUMMYFUNCTION("IFERROR(TO_DATE(E1390), """")"),42565.13322916667)</f>
        <v>42565.13323</v>
      </c>
      <c r="G1390" s="20">
        <f t="shared" si="1"/>
        <v>3</v>
      </c>
      <c r="H1390" s="27">
        <v>42565.166608796295</v>
      </c>
      <c r="I1390" s="19">
        <f>IFERROR(__xludf.DUMMYFUNCTION("IFERROR(TO_DATE(H1390), """")"),42565.166608796295)</f>
        <v>42565.16661</v>
      </c>
      <c r="J1390" s="19" t="s">
        <v>15</v>
      </c>
      <c r="K1390" s="22">
        <f t="shared" si="2"/>
        <v>0</v>
      </c>
    </row>
    <row r="1391">
      <c r="A1391" s="18">
        <v>4905.0</v>
      </c>
      <c r="B1391" s="18" t="s">
        <v>30</v>
      </c>
      <c r="C1391" s="18">
        <v>145.0</v>
      </c>
      <c r="D1391" s="18" t="s">
        <v>31</v>
      </c>
      <c r="E1391" s="27">
        <v>42565.750613425924</v>
      </c>
      <c r="F1391" s="19">
        <f>IFERROR(__xludf.DUMMYFUNCTION("IFERROR(TO_DATE(E1391), """")"),42565.750613425924)</f>
        <v>42565.75061</v>
      </c>
      <c r="G1391" s="20">
        <f t="shared" si="1"/>
        <v>18</v>
      </c>
      <c r="H1391" s="27">
        <v>42565.778703703705</v>
      </c>
      <c r="I1391" s="19">
        <f>IFERROR(__xludf.DUMMYFUNCTION("IFERROR(TO_DATE(H1391), """")"),42565.778703703705)</f>
        <v>42565.7787</v>
      </c>
      <c r="J1391" s="19" t="s">
        <v>12</v>
      </c>
      <c r="K1391" s="22">
        <f t="shared" si="2"/>
        <v>0</v>
      </c>
    </row>
    <row r="1392">
      <c r="A1392" s="18">
        <v>5622.0</v>
      </c>
      <c r="B1392" s="18" t="s">
        <v>30</v>
      </c>
      <c r="C1392" s="18">
        <v>145.0</v>
      </c>
      <c r="D1392" s="18" t="s">
        <v>31</v>
      </c>
      <c r="E1392" s="27">
        <v>42566.26877314815</v>
      </c>
      <c r="F1392" s="19">
        <f>IFERROR(__xludf.DUMMYFUNCTION("IFERROR(TO_DATE(E1392), """")"),42566.26877314815)</f>
        <v>42566.26877</v>
      </c>
      <c r="G1392" s="20">
        <f t="shared" si="1"/>
        <v>6</v>
      </c>
      <c r="H1392" s="27">
        <v>42566.31837962963</v>
      </c>
      <c r="I1392" s="19">
        <f>IFERROR(__xludf.DUMMYFUNCTION("IFERROR(TO_DATE(H1392), """")"),42566.31837962963)</f>
        <v>42566.31838</v>
      </c>
      <c r="J1392" s="19" t="s">
        <v>11</v>
      </c>
      <c r="K1392" s="22">
        <f t="shared" si="2"/>
        <v>0</v>
      </c>
    </row>
    <row r="1393">
      <c r="A1393" s="18">
        <v>318.0</v>
      </c>
      <c r="B1393" s="18" t="s">
        <v>32</v>
      </c>
      <c r="C1393" s="18">
        <v>146.0</v>
      </c>
      <c r="D1393" s="18" t="s">
        <v>31</v>
      </c>
      <c r="E1393" s="26">
        <v>42562.311111111114</v>
      </c>
      <c r="F1393" s="19">
        <f>IFERROR(__xludf.DUMMYFUNCTION("IFERROR(TO_DATE(E1393), """")"),42562.311111111114)</f>
        <v>42562.31111</v>
      </c>
      <c r="G1393" s="20">
        <f t="shared" si="1"/>
        <v>7</v>
      </c>
      <c r="H1393" s="26">
        <v>42562.36319444444</v>
      </c>
      <c r="I1393" s="19">
        <f>IFERROR(__xludf.DUMMYFUNCTION("IFERROR(TO_DATE(H1393), """")"),42562.36319444444)</f>
        <v>42562.36319</v>
      </c>
      <c r="J1393" s="19" t="s">
        <v>11</v>
      </c>
      <c r="K1393" s="22">
        <f t="shared" si="2"/>
        <v>0</v>
      </c>
    </row>
    <row r="1394">
      <c r="A1394" s="18">
        <v>557.0</v>
      </c>
      <c r="B1394" s="18" t="s">
        <v>32</v>
      </c>
      <c r="C1394" s="18">
        <v>146.0</v>
      </c>
      <c r="D1394" s="18" t="s">
        <v>31</v>
      </c>
      <c r="E1394" s="26">
        <v>42562.427083333336</v>
      </c>
      <c r="F1394" s="19">
        <f>IFERROR(__xludf.DUMMYFUNCTION("IFERROR(TO_DATE(E1394), """")"),42562.427083333336)</f>
        <v>42562.42708</v>
      </c>
      <c r="G1394" s="20">
        <f t="shared" si="1"/>
        <v>10</v>
      </c>
      <c r="H1394" s="26">
        <v>42562.46527777778</v>
      </c>
      <c r="I1394" s="19">
        <f>IFERROR(__xludf.DUMMYFUNCTION("IFERROR(TO_DATE(H1394), """")"),42562.46527777778)</f>
        <v>42562.46528</v>
      </c>
      <c r="J1394" s="19" t="s">
        <v>14</v>
      </c>
      <c r="K1394" s="22">
        <f t="shared" si="2"/>
        <v>0</v>
      </c>
    </row>
    <row r="1395">
      <c r="A1395" s="18">
        <v>2034.0</v>
      </c>
      <c r="B1395" s="18" t="s">
        <v>30</v>
      </c>
      <c r="C1395" s="18">
        <v>146.0</v>
      </c>
      <c r="D1395" s="18" t="s">
        <v>31</v>
      </c>
      <c r="E1395" s="26">
        <v>42563.59444444445</v>
      </c>
      <c r="F1395" s="19">
        <f>IFERROR(__xludf.DUMMYFUNCTION("IFERROR(TO_DATE(E1395), """")"),42563.59444444445)</f>
        <v>42563.59444</v>
      </c>
      <c r="G1395" s="20">
        <f t="shared" si="1"/>
        <v>14</v>
      </c>
      <c r="H1395" s="26">
        <v>42563.63888888889</v>
      </c>
      <c r="I1395" s="19">
        <f>IFERROR(__xludf.DUMMYFUNCTION("IFERROR(TO_DATE(H1395), """")"),42563.63888888889)</f>
        <v>42563.63889</v>
      </c>
      <c r="J1395" s="19" t="s">
        <v>10</v>
      </c>
      <c r="K1395" s="22">
        <f t="shared" si="2"/>
        <v>0</v>
      </c>
    </row>
    <row r="1396">
      <c r="A1396" s="18">
        <v>2392.0</v>
      </c>
      <c r="B1396" s="18" t="s">
        <v>32</v>
      </c>
      <c r="C1396" s="18">
        <v>146.0</v>
      </c>
      <c r="D1396" s="18" t="s">
        <v>31</v>
      </c>
      <c r="E1396" s="26">
        <v>42563.82638888889</v>
      </c>
      <c r="F1396" s="19">
        <f>IFERROR(__xludf.DUMMYFUNCTION("IFERROR(TO_DATE(E1396), """")"),42563.82638888889)</f>
        <v>42563.82639</v>
      </c>
      <c r="G1396" s="20">
        <f t="shared" si="1"/>
        <v>19</v>
      </c>
      <c r="H1396" s="26">
        <v>42563.87777777778</v>
      </c>
      <c r="I1396" s="19">
        <f>IFERROR(__xludf.DUMMYFUNCTION("IFERROR(TO_DATE(H1396), """")"),42563.87777777778)</f>
        <v>42563.87778</v>
      </c>
      <c r="J1396" s="19" t="s">
        <v>12</v>
      </c>
      <c r="K1396" s="22">
        <f t="shared" si="2"/>
        <v>0</v>
      </c>
    </row>
    <row r="1397">
      <c r="A1397" s="18">
        <v>4542.0</v>
      </c>
      <c r="B1397" s="18" t="s">
        <v>30</v>
      </c>
      <c r="C1397" s="18">
        <v>146.0</v>
      </c>
      <c r="D1397" s="18" t="s">
        <v>31</v>
      </c>
      <c r="E1397" s="27">
        <v>42565.40299768518</v>
      </c>
      <c r="F1397" s="19">
        <f>IFERROR(__xludf.DUMMYFUNCTION("IFERROR(TO_DATE(E1397), """")"),42565.40299768518)</f>
        <v>42565.403</v>
      </c>
      <c r="G1397" s="20">
        <f t="shared" si="1"/>
        <v>9</v>
      </c>
      <c r="H1397" s="27">
        <v>42565.422534722224</v>
      </c>
      <c r="I1397" s="19">
        <f>IFERROR(__xludf.DUMMYFUNCTION("IFERROR(TO_DATE(H1397), """")"),42565.422534722224)</f>
        <v>42565.42253</v>
      </c>
      <c r="J1397" s="19" t="s">
        <v>14</v>
      </c>
      <c r="K1397" s="22">
        <f t="shared" si="2"/>
        <v>0</v>
      </c>
    </row>
    <row r="1398">
      <c r="A1398" s="18">
        <v>5500.0</v>
      </c>
      <c r="B1398" s="18" t="s">
        <v>32</v>
      </c>
      <c r="C1398" s="18">
        <v>146.0</v>
      </c>
      <c r="D1398" s="18" t="s">
        <v>31</v>
      </c>
      <c r="E1398" s="27">
        <v>42566.20854166667</v>
      </c>
      <c r="F1398" s="19">
        <f>IFERROR(__xludf.DUMMYFUNCTION("IFERROR(TO_DATE(E1398), """")"),42566.20854166667)</f>
        <v>42566.20854</v>
      </c>
      <c r="G1398" s="20">
        <f t="shared" si="1"/>
        <v>5</v>
      </c>
      <c r="H1398" s="27">
        <v>42566.25326388889</v>
      </c>
      <c r="I1398" s="19">
        <f>IFERROR(__xludf.DUMMYFUNCTION("IFERROR(TO_DATE(H1398), """")"),42566.25326388889)</f>
        <v>42566.25326</v>
      </c>
      <c r="J1398" s="19" t="s">
        <v>11</v>
      </c>
      <c r="K1398" s="22">
        <f t="shared" si="2"/>
        <v>0</v>
      </c>
    </row>
    <row r="1399">
      <c r="A1399" s="18">
        <v>6382.0</v>
      </c>
      <c r="B1399" s="18" t="s">
        <v>30</v>
      </c>
      <c r="C1399" s="18">
        <v>146.0</v>
      </c>
      <c r="D1399" s="18" t="s">
        <v>31</v>
      </c>
      <c r="E1399" s="27">
        <v>42566.80226851852</v>
      </c>
      <c r="F1399" s="19">
        <f>IFERROR(__xludf.DUMMYFUNCTION("IFERROR(TO_DATE(E1399), """")"),42566.80226851852)</f>
        <v>42566.80227</v>
      </c>
      <c r="G1399" s="20">
        <f t="shared" si="1"/>
        <v>19</v>
      </c>
      <c r="H1399" s="27">
        <v>42566.853113425925</v>
      </c>
      <c r="I1399" s="19">
        <f>IFERROR(__xludf.DUMMYFUNCTION("IFERROR(TO_DATE(H1399), """")"),42566.853113425925)</f>
        <v>42566.85311</v>
      </c>
      <c r="J1399" s="19" t="s">
        <v>12</v>
      </c>
      <c r="K1399" s="22">
        <f t="shared" si="2"/>
        <v>0</v>
      </c>
    </row>
    <row r="1400">
      <c r="A1400" s="18">
        <v>6575.0</v>
      </c>
      <c r="B1400" s="18" t="s">
        <v>32</v>
      </c>
      <c r="C1400" s="18">
        <v>146.0</v>
      </c>
      <c r="D1400" s="18" t="s">
        <v>31</v>
      </c>
      <c r="E1400" s="27">
        <v>42566.88811342593</v>
      </c>
      <c r="F1400" s="19">
        <f>IFERROR(__xludf.DUMMYFUNCTION("IFERROR(TO_DATE(E1400), """")"),42566.88811342593)</f>
        <v>42566.88811</v>
      </c>
      <c r="G1400" s="20">
        <f t="shared" si="1"/>
        <v>21</v>
      </c>
      <c r="H1400" s="27">
        <v>42566.915555555555</v>
      </c>
      <c r="I1400" s="19">
        <f>IFERROR(__xludf.DUMMYFUNCTION("IFERROR(TO_DATE(H1400), """")"),42566.915555555555)</f>
        <v>42566.91556</v>
      </c>
      <c r="J1400" s="19" t="s">
        <v>13</v>
      </c>
      <c r="K1400" s="22">
        <f t="shared" si="2"/>
        <v>0</v>
      </c>
    </row>
    <row r="1401">
      <c r="A1401" s="18">
        <v>1827.0</v>
      </c>
      <c r="B1401" s="18" t="s">
        <v>30</v>
      </c>
      <c r="C1401" s="18">
        <v>147.0</v>
      </c>
      <c r="D1401" s="18" t="s">
        <v>31</v>
      </c>
      <c r="E1401" s="26">
        <v>42563.399305555555</v>
      </c>
      <c r="F1401" s="19">
        <f>IFERROR(__xludf.DUMMYFUNCTION("IFERROR(TO_DATE(E1401), """")"),42563.399305555555)</f>
        <v>42563.39931</v>
      </c>
      <c r="G1401" s="20">
        <f t="shared" si="1"/>
        <v>9</v>
      </c>
      <c r="H1401" s="26">
        <v>42563.433333333334</v>
      </c>
      <c r="I1401" s="19">
        <f>IFERROR(__xludf.DUMMYFUNCTION("IFERROR(TO_DATE(H1401), """")"),42563.433333333334)</f>
        <v>42563.43333</v>
      </c>
      <c r="J1401" s="19" t="s">
        <v>14</v>
      </c>
      <c r="K1401" s="22">
        <f t="shared" si="2"/>
        <v>0</v>
      </c>
    </row>
    <row r="1402">
      <c r="A1402" s="18">
        <v>2095.0</v>
      </c>
      <c r="B1402" s="18" t="s">
        <v>32</v>
      </c>
      <c r="C1402" s="18">
        <v>147.0</v>
      </c>
      <c r="D1402" s="18" t="s">
        <v>31</v>
      </c>
      <c r="E1402" s="26">
        <v>42563.66388888889</v>
      </c>
      <c r="F1402" s="19">
        <f>IFERROR(__xludf.DUMMYFUNCTION("IFERROR(TO_DATE(E1402), """")"),42563.66388888889)</f>
        <v>42563.66389</v>
      </c>
      <c r="G1402" s="20">
        <f t="shared" si="1"/>
        <v>15</v>
      </c>
      <c r="H1402" s="26">
        <v>42563.69652777778</v>
      </c>
      <c r="I1402" s="19">
        <f>IFERROR(__xludf.DUMMYFUNCTION("IFERROR(TO_DATE(H1402), """")"),42563.69652777778)</f>
        <v>42563.69653</v>
      </c>
      <c r="J1402" s="19" t="s">
        <v>10</v>
      </c>
      <c r="K1402" s="22">
        <f t="shared" si="2"/>
        <v>0</v>
      </c>
    </row>
    <row r="1403">
      <c r="A1403" s="18">
        <v>3092.0</v>
      </c>
      <c r="B1403" s="18" t="s">
        <v>30</v>
      </c>
      <c r="C1403" s="18">
        <v>147.0</v>
      </c>
      <c r="D1403" s="18" t="s">
        <v>31</v>
      </c>
      <c r="E1403" s="27">
        <v>42564.34415509259</v>
      </c>
      <c r="F1403" s="19">
        <f>IFERROR(__xludf.DUMMYFUNCTION("IFERROR(TO_DATE(E1403), """")"),42564.34415509259)</f>
        <v>42564.34416</v>
      </c>
      <c r="G1403" s="20">
        <f t="shared" si="1"/>
        <v>8</v>
      </c>
      <c r="H1403" s="27">
        <v>42564.36861111111</v>
      </c>
      <c r="I1403" s="19">
        <f>IFERROR(__xludf.DUMMYFUNCTION("IFERROR(TO_DATE(H1403), """")"),42564.36861111111)</f>
        <v>42564.36861</v>
      </c>
      <c r="J1403" s="19" t="s">
        <v>14</v>
      </c>
      <c r="K1403" s="22">
        <f t="shared" si="2"/>
        <v>0</v>
      </c>
    </row>
    <row r="1404">
      <c r="A1404" s="18">
        <v>4813.0</v>
      </c>
      <c r="B1404" s="18" t="s">
        <v>32</v>
      </c>
      <c r="C1404" s="18">
        <v>147.0</v>
      </c>
      <c r="D1404" s="18" t="s">
        <v>31</v>
      </c>
      <c r="E1404" s="27">
        <v>42565.7202662037</v>
      </c>
      <c r="F1404" s="19">
        <f>IFERROR(__xludf.DUMMYFUNCTION("IFERROR(TO_DATE(E1404), """")"),42565.7202662037)</f>
        <v>42565.72027</v>
      </c>
      <c r="G1404" s="20">
        <f t="shared" si="1"/>
        <v>17</v>
      </c>
      <c r="H1404" s="27">
        <v>42565.762974537036</v>
      </c>
      <c r="I1404" s="19">
        <f>IFERROR(__xludf.DUMMYFUNCTION("IFERROR(TO_DATE(H1404), """")"),42565.762974537036)</f>
        <v>42565.76297</v>
      </c>
      <c r="J1404" s="19" t="s">
        <v>12</v>
      </c>
      <c r="K1404" s="22">
        <f t="shared" si="2"/>
        <v>0</v>
      </c>
    </row>
    <row r="1405">
      <c r="A1405" s="18">
        <v>5164.0</v>
      </c>
      <c r="B1405" s="18" t="s">
        <v>32</v>
      </c>
      <c r="C1405" s="18">
        <v>147.0</v>
      </c>
      <c r="D1405" s="18" t="s">
        <v>31</v>
      </c>
      <c r="E1405" s="27">
        <v>42565.85097222222</v>
      </c>
      <c r="F1405" s="19">
        <f>IFERROR(__xludf.DUMMYFUNCTION("IFERROR(TO_DATE(E1405), """")"),42565.85097222222)</f>
        <v>42565.85097</v>
      </c>
      <c r="G1405" s="20">
        <f t="shared" si="1"/>
        <v>20</v>
      </c>
      <c r="H1405" s="27">
        <v>42565.87086805556</v>
      </c>
      <c r="I1405" s="19">
        <f>IFERROR(__xludf.DUMMYFUNCTION("IFERROR(TO_DATE(H1405), """")"),42565.87086805556)</f>
        <v>42565.87087</v>
      </c>
      <c r="J1405" s="19" t="s">
        <v>13</v>
      </c>
      <c r="K1405" s="22">
        <f t="shared" si="2"/>
        <v>0</v>
      </c>
    </row>
    <row r="1406">
      <c r="A1406" s="18">
        <v>6702.0</v>
      </c>
      <c r="B1406" s="18" t="s">
        <v>32</v>
      </c>
      <c r="C1406" s="18">
        <v>147.0</v>
      </c>
      <c r="D1406" s="18" t="s">
        <v>31</v>
      </c>
      <c r="E1406" s="27">
        <v>42566.94987268518</v>
      </c>
      <c r="F1406" s="19">
        <f>IFERROR(__xludf.DUMMYFUNCTION("IFERROR(TO_DATE(E1406), """")"),42566.94987268518)</f>
        <v>42566.94987</v>
      </c>
      <c r="G1406" s="20">
        <f t="shared" si="1"/>
        <v>22</v>
      </c>
      <c r="H1406" s="27">
        <v>42566.97738425926</v>
      </c>
      <c r="I1406" s="19">
        <f>IFERROR(__xludf.DUMMYFUNCTION("IFERROR(TO_DATE(H1406), """")"),42566.97738425926)</f>
        <v>42566.97738</v>
      </c>
      <c r="J1406" s="19" t="s">
        <v>13</v>
      </c>
      <c r="K1406" s="22">
        <f t="shared" si="2"/>
        <v>0</v>
      </c>
    </row>
    <row r="1407">
      <c r="A1407" s="18">
        <v>429.0</v>
      </c>
      <c r="B1407" s="18" t="s">
        <v>32</v>
      </c>
      <c r="C1407" s="18">
        <v>148.0</v>
      </c>
      <c r="D1407" s="18" t="s">
        <v>31</v>
      </c>
      <c r="E1407" s="26">
        <v>42562.370833333334</v>
      </c>
      <c r="F1407" s="19">
        <f>IFERROR(__xludf.DUMMYFUNCTION("IFERROR(TO_DATE(E1407), """")"),42562.370833333334)</f>
        <v>42562.37083</v>
      </c>
      <c r="G1407" s="20">
        <f t="shared" si="1"/>
        <v>8</v>
      </c>
      <c r="H1407" s="26">
        <v>42562.407638888886</v>
      </c>
      <c r="I1407" s="19">
        <f>IFERROR(__xludf.DUMMYFUNCTION("IFERROR(TO_DATE(H1407), """")"),42562.407638888886)</f>
        <v>42562.40764</v>
      </c>
      <c r="J1407" s="19" t="s">
        <v>14</v>
      </c>
      <c r="K1407" s="22">
        <f t="shared" si="2"/>
        <v>0</v>
      </c>
    </row>
    <row r="1408">
      <c r="A1408" s="18">
        <v>2681.0</v>
      </c>
      <c r="B1408" s="18" t="s">
        <v>30</v>
      </c>
      <c r="C1408" s="18">
        <v>148.0</v>
      </c>
      <c r="D1408" s="18" t="s">
        <v>31</v>
      </c>
      <c r="E1408" s="26">
        <v>42563.006944444445</v>
      </c>
      <c r="F1408" s="19">
        <f>IFERROR(__xludf.DUMMYFUNCTION("IFERROR(TO_DATE(E1408), """")"),42563.006944444445)</f>
        <v>42563.00694</v>
      </c>
      <c r="G1408" s="20">
        <f t="shared" si="1"/>
        <v>0</v>
      </c>
      <c r="H1408" s="26">
        <v>42563.04583333333</v>
      </c>
      <c r="I1408" s="19">
        <f>IFERROR(__xludf.DUMMYFUNCTION("IFERROR(TO_DATE(H1408), """")"),42563.04583333333)</f>
        <v>42563.04583</v>
      </c>
      <c r="J1408" s="19" t="s">
        <v>15</v>
      </c>
      <c r="K1408" s="22">
        <f t="shared" si="2"/>
        <v>0</v>
      </c>
    </row>
    <row r="1409">
      <c r="A1409" s="18">
        <v>3160.0</v>
      </c>
      <c r="B1409" s="18" t="s">
        <v>32</v>
      </c>
      <c r="C1409" s="18">
        <v>148.0</v>
      </c>
      <c r="D1409" s="18" t="s">
        <v>31</v>
      </c>
      <c r="E1409" s="27">
        <v>42564.382881944446</v>
      </c>
      <c r="F1409" s="19">
        <f>IFERROR(__xludf.DUMMYFUNCTION("IFERROR(TO_DATE(E1409), """")"),42564.382881944446)</f>
        <v>42564.38288</v>
      </c>
      <c r="G1409" s="20">
        <f t="shared" si="1"/>
        <v>9</v>
      </c>
      <c r="H1409" s="27">
        <v>42564.39994212963</v>
      </c>
      <c r="I1409" s="19">
        <f>IFERROR(__xludf.DUMMYFUNCTION("IFERROR(TO_DATE(H1409), """")"),42564.39994212963)</f>
        <v>42564.39994</v>
      </c>
      <c r="J1409" s="19" t="s">
        <v>14</v>
      </c>
      <c r="K1409" s="22">
        <f t="shared" si="2"/>
        <v>0</v>
      </c>
    </row>
    <row r="1410">
      <c r="A1410" s="18">
        <v>3400.0</v>
      </c>
      <c r="B1410" s="18" t="s">
        <v>32</v>
      </c>
      <c r="C1410" s="18">
        <v>148.0</v>
      </c>
      <c r="D1410" s="18" t="s">
        <v>31</v>
      </c>
      <c r="E1410" s="27">
        <v>42564.62793981482</v>
      </c>
      <c r="F1410" s="19">
        <f>IFERROR(__xludf.DUMMYFUNCTION("IFERROR(TO_DATE(E1410), """")"),42564.62793981482)</f>
        <v>42564.62794</v>
      </c>
      <c r="G1410" s="20">
        <f t="shared" si="1"/>
        <v>15</v>
      </c>
      <c r="H1410" s="27">
        <v>42564.67327546296</v>
      </c>
      <c r="I1410" s="19">
        <f>IFERROR(__xludf.DUMMYFUNCTION("IFERROR(TO_DATE(H1410), """")"),42564.67327546296)</f>
        <v>42564.67328</v>
      </c>
      <c r="J1410" s="19" t="s">
        <v>10</v>
      </c>
      <c r="K1410" s="22">
        <f t="shared" si="2"/>
        <v>0</v>
      </c>
    </row>
    <row r="1411">
      <c r="A1411" s="18">
        <v>3889.0</v>
      </c>
      <c r="B1411" s="18" t="s">
        <v>30</v>
      </c>
      <c r="C1411" s="18">
        <v>148.0</v>
      </c>
      <c r="D1411" s="18" t="s">
        <v>31</v>
      </c>
      <c r="E1411" s="27">
        <v>42564.91228009259</v>
      </c>
      <c r="F1411" s="19">
        <f>IFERROR(__xludf.DUMMYFUNCTION("IFERROR(TO_DATE(E1411), """")"),42564.91228009259)</f>
        <v>42564.91228</v>
      </c>
      <c r="G1411" s="20">
        <f t="shared" si="1"/>
        <v>21</v>
      </c>
      <c r="H1411" s="27">
        <v>42564.93938657407</v>
      </c>
      <c r="I1411" s="19">
        <f>IFERROR(__xludf.DUMMYFUNCTION("IFERROR(TO_DATE(H1411), """")"),42564.93938657407)</f>
        <v>42564.93939</v>
      </c>
      <c r="J1411" s="19" t="s">
        <v>13</v>
      </c>
      <c r="K1411" s="22">
        <f t="shared" si="2"/>
        <v>0</v>
      </c>
    </row>
    <row r="1412">
      <c r="A1412" s="18">
        <v>4151.0</v>
      </c>
      <c r="B1412" s="18" t="s">
        <v>32</v>
      </c>
      <c r="C1412" s="18">
        <v>148.0</v>
      </c>
      <c r="D1412" s="18" t="s">
        <v>31</v>
      </c>
      <c r="E1412" s="27">
        <v>42565.207395833335</v>
      </c>
      <c r="F1412" s="19">
        <f>IFERROR(__xludf.DUMMYFUNCTION("IFERROR(TO_DATE(E1412), """")"),42565.207395833335)</f>
        <v>42565.2074</v>
      </c>
      <c r="G1412" s="20">
        <f t="shared" si="1"/>
        <v>4</v>
      </c>
      <c r="H1412" s="27">
        <v>42565.25599537037</v>
      </c>
      <c r="I1412" s="19">
        <f>IFERROR(__xludf.DUMMYFUNCTION("IFERROR(TO_DATE(H1412), """")"),42565.25599537037)</f>
        <v>42565.256</v>
      </c>
      <c r="J1412" s="19" t="s">
        <v>11</v>
      </c>
      <c r="K1412" s="22">
        <f t="shared" si="2"/>
        <v>0</v>
      </c>
    </row>
    <row r="1413">
      <c r="A1413" s="18">
        <v>4738.0</v>
      </c>
      <c r="B1413" s="18" t="s">
        <v>30</v>
      </c>
      <c r="C1413" s="18">
        <v>148.0</v>
      </c>
      <c r="D1413" s="18" t="s">
        <v>31</v>
      </c>
      <c r="E1413" s="27">
        <v>42565.61399305556</v>
      </c>
      <c r="F1413" s="19">
        <f>IFERROR(__xludf.DUMMYFUNCTION("IFERROR(TO_DATE(E1413), """")"),42565.61399305556)</f>
        <v>42565.61399</v>
      </c>
      <c r="G1413" s="20">
        <f t="shared" si="1"/>
        <v>14</v>
      </c>
      <c r="H1413" s="27">
        <v>42565.66547453704</v>
      </c>
      <c r="I1413" s="19">
        <f>IFERROR(__xludf.DUMMYFUNCTION("IFERROR(TO_DATE(H1413), """")"),42565.66547453704)</f>
        <v>42565.66547</v>
      </c>
      <c r="J1413" s="19" t="s">
        <v>10</v>
      </c>
      <c r="K1413" s="22">
        <f t="shared" si="2"/>
        <v>0</v>
      </c>
    </row>
    <row r="1414">
      <c r="A1414" s="18">
        <v>4963.0</v>
      </c>
      <c r="B1414" s="18" t="s">
        <v>30</v>
      </c>
      <c r="C1414" s="18">
        <v>148.0</v>
      </c>
      <c r="D1414" s="18" t="s">
        <v>31</v>
      </c>
      <c r="E1414" s="27">
        <v>42565.77447916667</v>
      </c>
      <c r="F1414" s="19">
        <f>IFERROR(__xludf.DUMMYFUNCTION("IFERROR(TO_DATE(E1414), """")"),42565.77447916667)</f>
        <v>42565.77448</v>
      </c>
      <c r="G1414" s="20">
        <f t="shared" si="1"/>
        <v>18</v>
      </c>
      <c r="H1414" s="27">
        <v>42565.826828703706</v>
      </c>
      <c r="I1414" s="19">
        <f>IFERROR(__xludf.DUMMYFUNCTION("IFERROR(TO_DATE(H1414), """")"),42565.826828703706)</f>
        <v>42565.82683</v>
      </c>
      <c r="J1414" s="19" t="s">
        <v>12</v>
      </c>
      <c r="K1414" s="22">
        <f t="shared" si="2"/>
        <v>0</v>
      </c>
    </row>
    <row r="1415">
      <c r="A1415" s="18">
        <v>311.0</v>
      </c>
      <c r="B1415" s="18" t="s">
        <v>30</v>
      </c>
      <c r="C1415" s="18">
        <v>149.0</v>
      </c>
      <c r="D1415" s="18" t="s">
        <v>31</v>
      </c>
      <c r="E1415" s="26">
        <v>42562.31041666667</v>
      </c>
      <c r="F1415" s="19">
        <f>IFERROR(__xludf.DUMMYFUNCTION("IFERROR(TO_DATE(E1415), """")"),42562.31041666667)</f>
        <v>42562.31042</v>
      </c>
      <c r="G1415" s="20">
        <f t="shared" si="1"/>
        <v>7</v>
      </c>
      <c r="H1415" s="26">
        <v>42562.33888888889</v>
      </c>
      <c r="I1415" s="19">
        <f>IFERROR(__xludf.DUMMYFUNCTION("IFERROR(TO_DATE(H1415), """")"),42562.33888888889)</f>
        <v>42562.33889</v>
      </c>
      <c r="J1415" s="19" t="s">
        <v>11</v>
      </c>
      <c r="K1415" s="22">
        <f t="shared" si="2"/>
        <v>0</v>
      </c>
    </row>
    <row r="1416">
      <c r="A1416" s="18">
        <v>928.0</v>
      </c>
      <c r="B1416" s="18" t="s">
        <v>32</v>
      </c>
      <c r="C1416" s="18">
        <v>149.0</v>
      </c>
      <c r="D1416" s="18" t="s">
        <v>31</v>
      </c>
      <c r="E1416" s="26">
        <v>42562.77013888889</v>
      </c>
      <c r="F1416" s="19">
        <f>IFERROR(__xludf.DUMMYFUNCTION("IFERROR(TO_DATE(E1416), """")"),42562.77013888889)</f>
        <v>42562.77014</v>
      </c>
      <c r="G1416" s="20">
        <f t="shared" si="1"/>
        <v>18</v>
      </c>
      <c r="H1416" s="26">
        <v>42562.802083333336</v>
      </c>
      <c r="I1416" s="19">
        <f>IFERROR(__xludf.DUMMYFUNCTION("IFERROR(TO_DATE(H1416), """")"),42562.802083333336)</f>
        <v>42562.80208</v>
      </c>
      <c r="J1416" s="19" t="s">
        <v>12</v>
      </c>
      <c r="K1416" s="22">
        <f t="shared" si="2"/>
        <v>0</v>
      </c>
    </row>
    <row r="1417">
      <c r="A1417" s="18">
        <v>1468.0</v>
      </c>
      <c r="B1417" s="18" t="s">
        <v>32</v>
      </c>
      <c r="C1417" s="18">
        <v>149.0</v>
      </c>
      <c r="D1417" s="18" t="s">
        <v>31</v>
      </c>
      <c r="E1417" s="26">
        <v>42563.214583333334</v>
      </c>
      <c r="F1417" s="19">
        <f>IFERROR(__xludf.DUMMYFUNCTION("IFERROR(TO_DATE(E1417), """")"),42563.214583333334)</f>
        <v>42563.21458</v>
      </c>
      <c r="G1417" s="20">
        <f t="shared" si="1"/>
        <v>5</v>
      </c>
      <c r="H1417" s="26">
        <v>42563.254166666666</v>
      </c>
      <c r="I1417" s="19">
        <f>IFERROR(__xludf.DUMMYFUNCTION("IFERROR(TO_DATE(H1417), """")"),42563.254166666666)</f>
        <v>42563.25417</v>
      </c>
      <c r="J1417" s="19" t="s">
        <v>11</v>
      </c>
      <c r="K1417" s="22">
        <f t="shared" si="2"/>
        <v>0</v>
      </c>
    </row>
    <row r="1418">
      <c r="A1418" s="18">
        <v>2677.0</v>
      </c>
      <c r="B1418" s="18" t="s">
        <v>32</v>
      </c>
      <c r="C1418" s="18">
        <v>149.0</v>
      </c>
      <c r="D1418" s="18" t="s">
        <v>31</v>
      </c>
      <c r="E1418" s="26">
        <v>42563.995833333334</v>
      </c>
      <c r="F1418" s="19">
        <f>IFERROR(__xludf.DUMMYFUNCTION("IFERROR(TO_DATE(E1418), """")"),42563.995833333334)</f>
        <v>42563.99583</v>
      </c>
      <c r="G1418" s="20">
        <f t="shared" si="1"/>
        <v>23</v>
      </c>
      <c r="H1418" s="27">
        <v>42564.02180555555</v>
      </c>
      <c r="I1418" s="19">
        <f>IFERROR(__xludf.DUMMYFUNCTION("IFERROR(TO_DATE(H1418), """")"),42564.02180555555)</f>
        <v>42564.02181</v>
      </c>
      <c r="J1418" s="19" t="s">
        <v>13</v>
      </c>
      <c r="K1418" s="22">
        <f t="shared" si="2"/>
        <v>0</v>
      </c>
    </row>
    <row r="1419">
      <c r="A1419" s="18">
        <v>2916.0</v>
      </c>
      <c r="B1419" s="18" t="s">
        <v>32</v>
      </c>
      <c r="C1419" s="18">
        <v>149.0</v>
      </c>
      <c r="D1419" s="18" t="s">
        <v>31</v>
      </c>
      <c r="E1419" s="27">
        <v>42564.25880787037</v>
      </c>
      <c r="F1419" s="19">
        <f>IFERROR(__xludf.DUMMYFUNCTION("IFERROR(TO_DATE(E1419), """")"),42564.25880787037)</f>
        <v>42564.25881</v>
      </c>
      <c r="G1419" s="20">
        <f t="shared" si="1"/>
        <v>6</v>
      </c>
      <c r="H1419" s="27">
        <v>42564.30829861111</v>
      </c>
      <c r="I1419" s="19">
        <f>IFERROR(__xludf.DUMMYFUNCTION("IFERROR(TO_DATE(H1419), """")"),42564.30829861111)</f>
        <v>42564.3083</v>
      </c>
      <c r="J1419" s="19" t="s">
        <v>11</v>
      </c>
      <c r="K1419" s="22">
        <f t="shared" si="2"/>
        <v>0</v>
      </c>
    </row>
    <row r="1420">
      <c r="A1420" s="18">
        <v>4663.0</v>
      </c>
      <c r="B1420" s="18" t="s">
        <v>32</v>
      </c>
      <c r="C1420" s="18">
        <v>149.0</v>
      </c>
      <c r="D1420" s="18" t="s">
        <v>31</v>
      </c>
      <c r="E1420" s="27">
        <v>42565.511770833335</v>
      </c>
      <c r="F1420" s="19">
        <f>IFERROR(__xludf.DUMMYFUNCTION("IFERROR(TO_DATE(E1420), """")"),42565.511770833335)</f>
        <v>42565.51177</v>
      </c>
      <c r="G1420" s="20">
        <f t="shared" si="1"/>
        <v>12</v>
      </c>
      <c r="H1420" s="27">
        <v>42565.54162037037</v>
      </c>
      <c r="I1420" s="19">
        <f>IFERROR(__xludf.DUMMYFUNCTION("IFERROR(TO_DATE(H1420), """")"),42565.54162037037)</f>
        <v>42565.54162</v>
      </c>
      <c r="J1420" s="19" t="s">
        <v>10</v>
      </c>
      <c r="K1420" s="22">
        <f t="shared" si="2"/>
        <v>0</v>
      </c>
    </row>
    <row r="1421">
      <c r="A1421" s="18">
        <v>6741.0</v>
      </c>
      <c r="B1421" s="18" t="s">
        <v>32</v>
      </c>
      <c r="C1421" s="18">
        <v>149.0</v>
      </c>
      <c r="D1421" s="18" t="s">
        <v>31</v>
      </c>
      <c r="E1421" s="27">
        <v>42566.98762731482</v>
      </c>
      <c r="F1421" s="19">
        <f>IFERROR(__xludf.DUMMYFUNCTION("IFERROR(TO_DATE(E1421), """")"),42566.98762731482)</f>
        <v>42566.98763</v>
      </c>
      <c r="G1421" s="20">
        <f t="shared" si="1"/>
        <v>23</v>
      </c>
      <c r="H1421" s="27">
        <v>42567.00635416667</v>
      </c>
      <c r="I1421" s="19">
        <f>IFERROR(__xludf.DUMMYFUNCTION("IFERROR(TO_DATE(H1421), """")"),42567.00635416667)</f>
        <v>42567.00635</v>
      </c>
      <c r="J1421" s="19" t="s">
        <v>13</v>
      </c>
      <c r="K1421" s="22">
        <f t="shared" si="2"/>
        <v>0</v>
      </c>
    </row>
    <row r="1422">
      <c r="A1422" s="18">
        <v>48.0</v>
      </c>
      <c r="B1422" s="18" t="s">
        <v>32</v>
      </c>
      <c r="C1422" s="18">
        <v>150.0</v>
      </c>
      <c r="D1422" s="18" t="s">
        <v>31</v>
      </c>
      <c r="E1422" s="26">
        <v>42562.134722222225</v>
      </c>
      <c r="F1422" s="19">
        <f>IFERROR(__xludf.DUMMYFUNCTION("IFERROR(TO_DATE(E1422), """")"),42562.134722222225)</f>
        <v>42562.13472</v>
      </c>
      <c r="G1422" s="20">
        <f t="shared" si="1"/>
        <v>3</v>
      </c>
      <c r="H1422" s="26">
        <v>42562.17986111111</v>
      </c>
      <c r="I1422" s="19">
        <f>IFERROR(__xludf.DUMMYFUNCTION("IFERROR(TO_DATE(H1422), """")"),42562.17986111111)</f>
        <v>42562.17986</v>
      </c>
      <c r="J1422" s="19" t="s">
        <v>15</v>
      </c>
      <c r="K1422" s="22">
        <f t="shared" si="2"/>
        <v>0</v>
      </c>
    </row>
    <row r="1423">
      <c r="A1423" s="18">
        <v>838.0</v>
      </c>
      <c r="B1423" s="18" t="s">
        <v>32</v>
      </c>
      <c r="C1423" s="18">
        <v>150.0</v>
      </c>
      <c r="D1423" s="18" t="s">
        <v>31</v>
      </c>
      <c r="E1423" s="26">
        <v>42562.73819444444</v>
      </c>
      <c r="F1423" s="19">
        <f>IFERROR(__xludf.DUMMYFUNCTION("IFERROR(TO_DATE(E1423), """")"),42562.73819444444)</f>
        <v>42562.73819</v>
      </c>
      <c r="G1423" s="20">
        <f t="shared" si="1"/>
        <v>17</v>
      </c>
      <c r="H1423" s="26">
        <v>42562.77847222222</v>
      </c>
      <c r="I1423" s="19">
        <f>IFERROR(__xludf.DUMMYFUNCTION("IFERROR(TO_DATE(H1423), """")"),42562.77847222222)</f>
        <v>42562.77847</v>
      </c>
      <c r="J1423" s="19" t="s">
        <v>12</v>
      </c>
      <c r="K1423" s="22">
        <f t="shared" si="2"/>
        <v>0</v>
      </c>
    </row>
    <row r="1424">
      <c r="A1424" s="18">
        <v>1657.0</v>
      </c>
      <c r="B1424" s="18" t="s">
        <v>30</v>
      </c>
      <c r="C1424" s="18">
        <v>150.0</v>
      </c>
      <c r="D1424" s="18" t="s">
        <v>31</v>
      </c>
      <c r="E1424" s="26">
        <v>42563.31180555555</v>
      </c>
      <c r="F1424" s="19">
        <f>IFERROR(__xludf.DUMMYFUNCTION("IFERROR(TO_DATE(E1424), """")"),42563.31180555555)</f>
        <v>42563.31181</v>
      </c>
      <c r="G1424" s="20">
        <f t="shared" si="1"/>
        <v>7</v>
      </c>
      <c r="H1424" s="26">
        <v>42563.34166666667</v>
      </c>
      <c r="I1424" s="19">
        <f>IFERROR(__xludf.DUMMYFUNCTION("IFERROR(TO_DATE(H1424), """")"),42563.34166666667)</f>
        <v>42563.34167</v>
      </c>
      <c r="J1424" s="19" t="s">
        <v>11</v>
      </c>
      <c r="K1424" s="22">
        <f t="shared" si="2"/>
        <v>0</v>
      </c>
    </row>
    <row r="1425">
      <c r="A1425" s="18">
        <v>2032.0</v>
      </c>
      <c r="B1425" s="18" t="s">
        <v>30</v>
      </c>
      <c r="C1425" s="18">
        <v>150.0</v>
      </c>
      <c r="D1425" s="18" t="s">
        <v>31</v>
      </c>
      <c r="E1425" s="26">
        <v>42563.59305555555</v>
      </c>
      <c r="F1425" s="19">
        <f>IFERROR(__xludf.DUMMYFUNCTION("IFERROR(TO_DATE(E1425), """")"),42563.59305555555)</f>
        <v>42563.59306</v>
      </c>
      <c r="G1425" s="20">
        <f t="shared" si="1"/>
        <v>14</v>
      </c>
      <c r="H1425" s="26">
        <v>42563.63888888889</v>
      </c>
      <c r="I1425" s="19">
        <f>IFERROR(__xludf.DUMMYFUNCTION("IFERROR(TO_DATE(H1425), """")"),42563.63888888889)</f>
        <v>42563.63889</v>
      </c>
      <c r="J1425" s="19" t="s">
        <v>10</v>
      </c>
      <c r="K1425" s="22">
        <f t="shared" si="2"/>
        <v>0</v>
      </c>
    </row>
    <row r="1426">
      <c r="A1426" s="18">
        <v>3507.0</v>
      </c>
      <c r="B1426" s="18" t="s">
        <v>32</v>
      </c>
      <c r="C1426" s="18">
        <v>150.0</v>
      </c>
      <c r="D1426" s="18" t="s">
        <v>31</v>
      </c>
      <c r="E1426" s="27">
        <v>42564.734826388885</v>
      </c>
      <c r="F1426" s="19">
        <f>IFERROR(__xludf.DUMMYFUNCTION("IFERROR(TO_DATE(E1426), """")"),42564.734826388885)</f>
        <v>42564.73483</v>
      </c>
      <c r="G1426" s="20">
        <f t="shared" si="1"/>
        <v>17</v>
      </c>
      <c r="H1426" s="27">
        <v>42564.765023148146</v>
      </c>
      <c r="I1426" s="19">
        <f>IFERROR(__xludf.DUMMYFUNCTION("IFERROR(TO_DATE(H1426), """")"),42564.765023148146)</f>
        <v>42564.76502</v>
      </c>
      <c r="J1426" s="19" t="s">
        <v>12</v>
      </c>
      <c r="K1426" s="22">
        <f t="shared" si="2"/>
        <v>0</v>
      </c>
    </row>
    <row r="1427">
      <c r="A1427" s="18">
        <v>3780.0</v>
      </c>
      <c r="B1427" s="18" t="s">
        <v>32</v>
      </c>
      <c r="C1427" s="18">
        <v>150.0</v>
      </c>
      <c r="D1427" s="18" t="s">
        <v>31</v>
      </c>
      <c r="E1427" s="27">
        <v>42564.86502314815</v>
      </c>
      <c r="F1427" s="19">
        <f>IFERROR(__xludf.DUMMYFUNCTION("IFERROR(TO_DATE(E1427), """")"),42564.86502314815)</f>
        <v>42564.86502</v>
      </c>
      <c r="G1427" s="20">
        <f t="shared" si="1"/>
        <v>20</v>
      </c>
      <c r="H1427" s="27">
        <v>42564.89383101852</v>
      </c>
      <c r="I1427" s="19">
        <f>IFERROR(__xludf.DUMMYFUNCTION("IFERROR(TO_DATE(H1427), """")"),42564.89383101852)</f>
        <v>42564.89383</v>
      </c>
      <c r="J1427" s="19" t="s">
        <v>13</v>
      </c>
      <c r="K1427" s="22">
        <f t="shared" si="2"/>
        <v>0</v>
      </c>
    </row>
    <row r="1428">
      <c r="A1428" s="18">
        <v>6180.0</v>
      </c>
      <c r="B1428" s="18" t="s">
        <v>32</v>
      </c>
      <c r="C1428" s="18">
        <v>150.0</v>
      </c>
      <c r="D1428" s="18" t="s">
        <v>31</v>
      </c>
      <c r="E1428" s="27">
        <v>42566.70997685185</v>
      </c>
      <c r="F1428" s="19">
        <f>IFERROR(__xludf.DUMMYFUNCTION("IFERROR(TO_DATE(E1428), """")"),42566.70997685185)</f>
        <v>42566.70998</v>
      </c>
      <c r="G1428" s="20">
        <f t="shared" si="1"/>
        <v>17</v>
      </c>
      <c r="H1428" s="27">
        <v>42566.741956018515</v>
      </c>
      <c r="I1428" s="19">
        <f>IFERROR(__xludf.DUMMYFUNCTION("IFERROR(TO_DATE(H1428), """")"),42566.741956018515)</f>
        <v>42566.74196</v>
      </c>
      <c r="J1428" s="19" t="s">
        <v>12</v>
      </c>
      <c r="K1428" s="22">
        <f t="shared" si="2"/>
        <v>0</v>
      </c>
    </row>
    <row r="1429">
      <c r="A1429" s="18">
        <v>6615.0</v>
      </c>
      <c r="B1429" s="18" t="s">
        <v>32</v>
      </c>
      <c r="C1429" s="18">
        <v>150.0</v>
      </c>
      <c r="D1429" s="18" t="s">
        <v>31</v>
      </c>
      <c r="E1429" s="27">
        <v>42566.906956018516</v>
      </c>
      <c r="F1429" s="19">
        <f>IFERROR(__xludf.DUMMYFUNCTION("IFERROR(TO_DATE(E1429), """")"),42566.906956018516)</f>
        <v>42566.90696</v>
      </c>
      <c r="G1429" s="20">
        <f t="shared" si="1"/>
        <v>21</v>
      </c>
      <c r="H1429" s="27">
        <v>42566.93216435185</v>
      </c>
      <c r="I1429" s="19">
        <f>IFERROR(__xludf.DUMMYFUNCTION("IFERROR(TO_DATE(H1429), """")"),42566.93216435185)</f>
        <v>42566.93216</v>
      </c>
      <c r="J1429" s="19" t="s">
        <v>13</v>
      </c>
      <c r="K1429" s="22">
        <f t="shared" si="2"/>
        <v>0</v>
      </c>
    </row>
    <row r="1430">
      <c r="A1430" s="18">
        <v>797.0</v>
      </c>
      <c r="B1430" s="18" t="s">
        <v>32</v>
      </c>
      <c r="C1430" s="18">
        <v>151.0</v>
      </c>
      <c r="D1430" s="18" t="s">
        <v>31</v>
      </c>
      <c r="E1430" s="26">
        <v>42562.71944444445</v>
      </c>
      <c r="F1430" s="19">
        <f>IFERROR(__xludf.DUMMYFUNCTION("IFERROR(TO_DATE(E1430), """")"),42562.71944444445)</f>
        <v>42562.71944</v>
      </c>
      <c r="G1430" s="20">
        <f t="shared" si="1"/>
        <v>17</v>
      </c>
      <c r="H1430" s="26">
        <v>42562.75833333333</v>
      </c>
      <c r="I1430" s="19">
        <f>IFERROR(__xludf.DUMMYFUNCTION("IFERROR(TO_DATE(H1430), """")"),42562.75833333333)</f>
        <v>42562.75833</v>
      </c>
      <c r="J1430" s="19" t="s">
        <v>12</v>
      </c>
      <c r="K1430" s="22">
        <f t="shared" si="2"/>
        <v>0</v>
      </c>
    </row>
    <row r="1431">
      <c r="A1431" s="18">
        <v>1564.0</v>
      </c>
      <c r="B1431" s="18" t="s">
        <v>32</v>
      </c>
      <c r="C1431" s="18">
        <v>151.0</v>
      </c>
      <c r="D1431" s="18" t="s">
        <v>31</v>
      </c>
      <c r="E1431" s="26">
        <v>42563.2625</v>
      </c>
      <c r="F1431" s="19">
        <f>IFERROR(__xludf.DUMMYFUNCTION("IFERROR(TO_DATE(E1431), """")"),42563.2625)</f>
        <v>42563.2625</v>
      </c>
      <c r="G1431" s="20">
        <f t="shared" si="1"/>
        <v>6</v>
      </c>
      <c r="H1431" s="26">
        <v>42563.30138888889</v>
      </c>
      <c r="I1431" s="19">
        <f>IFERROR(__xludf.DUMMYFUNCTION("IFERROR(TO_DATE(H1431), """")"),42563.30138888889)</f>
        <v>42563.30139</v>
      </c>
      <c r="J1431" s="19" t="s">
        <v>11</v>
      </c>
      <c r="K1431" s="22">
        <f t="shared" si="2"/>
        <v>0</v>
      </c>
    </row>
    <row r="1432">
      <c r="A1432" s="18">
        <v>2075.0</v>
      </c>
      <c r="B1432" s="18" t="s">
        <v>32</v>
      </c>
      <c r="C1432" s="18">
        <v>151.0</v>
      </c>
      <c r="D1432" s="18" t="s">
        <v>31</v>
      </c>
      <c r="E1432" s="26">
        <v>42563.646527777775</v>
      </c>
      <c r="F1432" s="19">
        <f>IFERROR(__xludf.DUMMYFUNCTION("IFERROR(TO_DATE(E1432), """")"),42563.646527777775)</f>
        <v>42563.64653</v>
      </c>
      <c r="G1432" s="20">
        <f t="shared" si="1"/>
        <v>15</v>
      </c>
      <c r="H1432" s="26">
        <v>42563.69930555556</v>
      </c>
      <c r="I1432" s="19">
        <f>IFERROR(__xludf.DUMMYFUNCTION("IFERROR(TO_DATE(H1432), """")"),42563.69930555556)</f>
        <v>42563.69931</v>
      </c>
      <c r="J1432" s="19" t="s">
        <v>10</v>
      </c>
      <c r="K1432" s="22">
        <f t="shared" si="2"/>
        <v>0</v>
      </c>
    </row>
    <row r="1433">
      <c r="A1433" s="18">
        <v>2822.0</v>
      </c>
      <c r="B1433" s="18" t="s">
        <v>32</v>
      </c>
      <c r="C1433" s="18">
        <v>151.0</v>
      </c>
      <c r="D1433" s="18" t="s">
        <v>31</v>
      </c>
      <c r="E1433" s="27">
        <v>42564.21871527778</v>
      </c>
      <c r="F1433" s="19">
        <f>IFERROR(__xludf.DUMMYFUNCTION("IFERROR(TO_DATE(E1433), """")"),42564.21871527778)</f>
        <v>42564.21872</v>
      </c>
      <c r="G1433" s="20">
        <f t="shared" si="1"/>
        <v>5</v>
      </c>
      <c r="H1433" s="27">
        <v>42564.24350694445</v>
      </c>
      <c r="I1433" s="19">
        <f>IFERROR(__xludf.DUMMYFUNCTION("IFERROR(TO_DATE(H1433), """")"),42564.24350694445)</f>
        <v>42564.24351</v>
      </c>
      <c r="J1433" s="19" t="s">
        <v>11</v>
      </c>
      <c r="K1433" s="22">
        <f t="shared" si="2"/>
        <v>0</v>
      </c>
    </row>
    <row r="1434">
      <c r="A1434" s="18">
        <v>3387.0</v>
      </c>
      <c r="B1434" s="18" t="s">
        <v>32</v>
      </c>
      <c r="C1434" s="18">
        <v>151.0</v>
      </c>
      <c r="D1434" s="18" t="s">
        <v>31</v>
      </c>
      <c r="E1434" s="27">
        <v>42564.60888888889</v>
      </c>
      <c r="F1434" s="19">
        <f>IFERROR(__xludf.DUMMYFUNCTION("IFERROR(TO_DATE(E1434), """")"),42564.60888888889)</f>
        <v>42564.60889</v>
      </c>
      <c r="G1434" s="20">
        <f t="shared" si="1"/>
        <v>14</v>
      </c>
      <c r="H1434" s="27">
        <v>42564.640543981484</v>
      </c>
      <c r="I1434" s="19">
        <f>IFERROR(__xludf.DUMMYFUNCTION("IFERROR(TO_DATE(H1434), """")"),42564.640543981484)</f>
        <v>42564.64054</v>
      </c>
      <c r="J1434" s="19" t="s">
        <v>10</v>
      </c>
      <c r="K1434" s="22">
        <f t="shared" si="2"/>
        <v>0</v>
      </c>
    </row>
    <row r="1435">
      <c r="A1435" s="18">
        <v>4315.0</v>
      </c>
      <c r="B1435" s="18" t="s">
        <v>32</v>
      </c>
      <c r="C1435" s="18">
        <v>151.0</v>
      </c>
      <c r="D1435" s="18" t="s">
        <v>31</v>
      </c>
      <c r="E1435" s="27">
        <v>42565.282546296294</v>
      </c>
      <c r="F1435" s="19">
        <f>IFERROR(__xludf.DUMMYFUNCTION("IFERROR(TO_DATE(E1435), """")"),42565.282546296294)</f>
        <v>42565.28255</v>
      </c>
      <c r="G1435" s="20">
        <f t="shared" si="1"/>
        <v>6</v>
      </c>
      <c r="H1435" s="27">
        <v>42565.3149537037</v>
      </c>
      <c r="I1435" s="19">
        <f>IFERROR(__xludf.DUMMYFUNCTION("IFERROR(TO_DATE(H1435), """")"),42565.3149537037)</f>
        <v>42565.31495</v>
      </c>
      <c r="J1435" s="19" t="s">
        <v>11</v>
      </c>
      <c r="K1435" s="22">
        <f t="shared" si="2"/>
        <v>0</v>
      </c>
    </row>
    <row r="1436">
      <c r="A1436" s="18">
        <v>5549.0</v>
      </c>
      <c r="B1436" s="18" t="s">
        <v>30</v>
      </c>
      <c r="C1436" s="18">
        <v>151.0</v>
      </c>
      <c r="D1436" s="18" t="s">
        <v>31</v>
      </c>
      <c r="E1436" s="27">
        <v>42566.228946759256</v>
      </c>
      <c r="F1436" s="19">
        <f>IFERROR(__xludf.DUMMYFUNCTION("IFERROR(TO_DATE(E1436), """")"),42566.228946759256)</f>
        <v>42566.22895</v>
      </c>
      <c r="G1436" s="20">
        <f t="shared" si="1"/>
        <v>5</v>
      </c>
      <c r="H1436" s="27">
        <v>42566.26086805556</v>
      </c>
      <c r="I1436" s="19">
        <f>IFERROR(__xludf.DUMMYFUNCTION("IFERROR(TO_DATE(H1436), """")"),42566.26086805556)</f>
        <v>42566.26087</v>
      </c>
      <c r="J1436" s="19" t="s">
        <v>11</v>
      </c>
      <c r="K1436" s="22">
        <f t="shared" si="2"/>
        <v>0</v>
      </c>
    </row>
    <row r="1437">
      <c r="A1437" s="18">
        <v>6284.0</v>
      </c>
      <c r="B1437" s="18" t="s">
        <v>32</v>
      </c>
      <c r="C1437" s="18">
        <v>151.0</v>
      </c>
      <c r="D1437" s="18" t="s">
        <v>31</v>
      </c>
      <c r="E1437" s="27">
        <v>42566.762870370374</v>
      </c>
      <c r="F1437" s="19">
        <f>IFERROR(__xludf.DUMMYFUNCTION("IFERROR(TO_DATE(E1437), """")"),42566.762870370374)</f>
        <v>42566.76287</v>
      </c>
      <c r="G1437" s="20">
        <f t="shared" si="1"/>
        <v>18</v>
      </c>
      <c r="H1437" s="27">
        <v>42566.79869212963</v>
      </c>
      <c r="I1437" s="19">
        <f>IFERROR(__xludf.DUMMYFUNCTION("IFERROR(TO_DATE(H1437), """")"),42566.79869212963)</f>
        <v>42566.79869</v>
      </c>
      <c r="J1437" s="19" t="s">
        <v>12</v>
      </c>
      <c r="K1437" s="22">
        <f t="shared" si="2"/>
        <v>0</v>
      </c>
    </row>
    <row r="1438">
      <c r="A1438" s="18">
        <v>6403.0</v>
      </c>
      <c r="B1438" s="18" t="s">
        <v>30</v>
      </c>
      <c r="C1438" s="18">
        <v>151.0</v>
      </c>
      <c r="D1438" s="18" t="s">
        <v>31</v>
      </c>
      <c r="E1438" s="27">
        <v>42566.8096875</v>
      </c>
      <c r="F1438" s="19">
        <f>IFERROR(__xludf.DUMMYFUNCTION("IFERROR(TO_DATE(E1438), """")"),42566.8096875)</f>
        <v>42566.80969</v>
      </c>
      <c r="G1438" s="20">
        <f t="shared" si="1"/>
        <v>19</v>
      </c>
      <c r="H1438" s="27">
        <v>42566.84431712963</v>
      </c>
      <c r="I1438" s="19">
        <f>IFERROR(__xludf.DUMMYFUNCTION("IFERROR(TO_DATE(H1438), """")"),42566.84431712963)</f>
        <v>42566.84432</v>
      </c>
      <c r="J1438" s="19" t="s">
        <v>12</v>
      </c>
      <c r="K1438" s="22">
        <f t="shared" si="2"/>
        <v>0</v>
      </c>
    </row>
    <row r="1439">
      <c r="A1439" s="18">
        <v>6684.0</v>
      </c>
      <c r="B1439" s="18" t="s">
        <v>30</v>
      </c>
      <c r="C1439" s="18">
        <v>151.0</v>
      </c>
      <c r="D1439" s="18" t="s">
        <v>31</v>
      </c>
      <c r="E1439" s="27">
        <v>42566.94032407407</v>
      </c>
      <c r="F1439" s="19">
        <f>IFERROR(__xludf.DUMMYFUNCTION("IFERROR(TO_DATE(E1439), """")"),42566.94032407407)</f>
        <v>42566.94032</v>
      </c>
      <c r="G1439" s="20">
        <f t="shared" si="1"/>
        <v>22</v>
      </c>
      <c r="H1439" s="27">
        <v>42566.97744212963</v>
      </c>
      <c r="I1439" s="19">
        <f>IFERROR(__xludf.DUMMYFUNCTION("IFERROR(TO_DATE(H1439), """")"),42566.97744212963)</f>
        <v>42566.97744</v>
      </c>
      <c r="J1439" s="19" t="s">
        <v>13</v>
      </c>
      <c r="K1439" s="22">
        <f t="shared" si="2"/>
        <v>0</v>
      </c>
    </row>
    <row r="1440">
      <c r="A1440" s="18">
        <v>451.0</v>
      </c>
      <c r="B1440" s="18" t="s">
        <v>32</v>
      </c>
      <c r="C1440" s="18">
        <v>152.0</v>
      </c>
      <c r="D1440" s="18" t="s">
        <v>31</v>
      </c>
      <c r="E1440" s="26">
        <v>42562.381944444445</v>
      </c>
      <c r="F1440" s="19">
        <f>IFERROR(__xludf.DUMMYFUNCTION("IFERROR(TO_DATE(E1440), """")"),42562.381944444445)</f>
        <v>42562.38194</v>
      </c>
      <c r="G1440" s="20">
        <f t="shared" si="1"/>
        <v>9</v>
      </c>
      <c r="H1440" s="26">
        <v>42562.42361111111</v>
      </c>
      <c r="I1440" s="19">
        <f>IFERROR(__xludf.DUMMYFUNCTION("IFERROR(TO_DATE(H1440), """")"),42562.42361111111)</f>
        <v>42562.42361</v>
      </c>
      <c r="J1440" s="19" t="s">
        <v>14</v>
      </c>
      <c r="K1440" s="22">
        <f t="shared" si="2"/>
        <v>0</v>
      </c>
    </row>
    <row r="1441">
      <c r="A1441" s="18">
        <v>588.0</v>
      </c>
      <c r="B1441" s="18" t="s">
        <v>32</v>
      </c>
      <c r="C1441" s="18">
        <v>152.0</v>
      </c>
      <c r="D1441" s="18" t="s">
        <v>31</v>
      </c>
      <c r="E1441" s="26">
        <v>42562.47222222222</v>
      </c>
      <c r="F1441" s="19">
        <f>IFERROR(__xludf.DUMMYFUNCTION("IFERROR(TO_DATE(E1441), """")"),42562.47222222222)</f>
        <v>42562.47222</v>
      </c>
      <c r="G1441" s="20">
        <f t="shared" si="1"/>
        <v>11</v>
      </c>
      <c r="H1441" s="26">
        <v>42562.49513888889</v>
      </c>
      <c r="I1441" s="19">
        <f>IFERROR(__xludf.DUMMYFUNCTION("IFERROR(TO_DATE(H1441), """")"),42562.49513888889)</f>
        <v>42562.49514</v>
      </c>
      <c r="J1441" s="19" t="s">
        <v>14</v>
      </c>
      <c r="K1441" s="22">
        <f t="shared" si="2"/>
        <v>0</v>
      </c>
    </row>
    <row r="1442">
      <c r="A1442" s="18">
        <v>671.0</v>
      </c>
      <c r="B1442" s="18" t="s">
        <v>30</v>
      </c>
      <c r="C1442" s="18">
        <v>152.0</v>
      </c>
      <c r="D1442" s="18" t="s">
        <v>31</v>
      </c>
      <c r="E1442" s="26">
        <v>42562.552777777775</v>
      </c>
      <c r="F1442" s="19">
        <f>IFERROR(__xludf.DUMMYFUNCTION("IFERROR(TO_DATE(E1442), """")"),42562.552777777775)</f>
        <v>42562.55278</v>
      </c>
      <c r="G1442" s="20">
        <f t="shared" si="1"/>
        <v>13</v>
      </c>
      <c r="H1442" s="26">
        <v>42562.58888888889</v>
      </c>
      <c r="I1442" s="19">
        <f>IFERROR(__xludf.DUMMYFUNCTION("IFERROR(TO_DATE(H1442), """")"),42562.58888888889)</f>
        <v>42562.58889</v>
      </c>
      <c r="J1442" s="19" t="s">
        <v>10</v>
      </c>
      <c r="K1442" s="22">
        <f t="shared" si="2"/>
        <v>0</v>
      </c>
    </row>
    <row r="1443">
      <c r="A1443" s="18">
        <v>1369.0</v>
      </c>
      <c r="B1443" s="18" t="s">
        <v>30</v>
      </c>
      <c r="C1443" s="18">
        <v>152.0</v>
      </c>
      <c r="D1443" s="18" t="s">
        <v>31</v>
      </c>
      <c r="E1443" s="26">
        <v>42563.010416666664</v>
      </c>
      <c r="F1443" s="19">
        <f>IFERROR(__xludf.DUMMYFUNCTION("IFERROR(TO_DATE(E1443), """")"),42563.010416666664)</f>
        <v>42563.01042</v>
      </c>
      <c r="G1443" s="20">
        <f t="shared" si="1"/>
        <v>0</v>
      </c>
      <c r="H1443" s="26">
        <v>42563.03680555556</v>
      </c>
      <c r="I1443" s="19">
        <f>IFERROR(__xludf.DUMMYFUNCTION("IFERROR(TO_DATE(H1443), """")"),42563.03680555556)</f>
        <v>42563.03681</v>
      </c>
      <c r="J1443" s="19" t="s">
        <v>15</v>
      </c>
      <c r="K1443" s="22">
        <f t="shared" si="2"/>
        <v>0</v>
      </c>
    </row>
    <row r="1444">
      <c r="A1444" s="18">
        <v>1688.0</v>
      </c>
      <c r="B1444" s="18" t="s">
        <v>32</v>
      </c>
      <c r="C1444" s="18">
        <v>152.0</v>
      </c>
      <c r="D1444" s="18" t="s">
        <v>31</v>
      </c>
      <c r="E1444" s="26">
        <v>42563.32708333333</v>
      </c>
      <c r="F1444" s="19">
        <f>IFERROR(__xludf.DUMMYFUNCTION("IFERROR(TO_DATE(E1444), """")"),42563.32708333333)</f>
        <v>42563.32708</v>
      </c>
      <c r="G1444" s="20">
        <f t="shared" si="1"/>
        <v>7</v>
      </c>
      <c r="H1444" s="26">
        <v>42563.347916666666</v>
      </c>
      <c r="I1444" s="19">
        <f>IFERROR(__xludf.DUMMYFUNCTION("IFERROR(TO_DATE(H1444), """")"),42563.347916666666)</f>
        <v>42563.34792</v>
      </c>
      <c r="J1444" s="19" t="s">
        <v>11</v>
      </c>
      <c r="K1444" s="22">
        <f t="shared" si="2"/>
        <v>0</v>
      </c>
    </row>
    <row r="1445">
      <c r="A1445" s="18">
        <v>2861.0</v>
      </c>
      <c r="B1445" s="18" t="s">
        <v>32</v>
      </c>
      <c r="C1445" s="18">
        <v>152.0</v>
      </c>
      <c r="D1445" s="18" t="s">
        <v>31</v>
      </c>
      <c r="E1445" s="27">
        <v>42564.23540509259</v>
      </c>
      <c r="F1445" s="19">
        <f>IFERROR(__xludf.DUMMYFUNCTION("IFERROR(TO_DATE(E1445), """")"),42564.23540509259)</f>
        <v>42564.23541</v>
      </c>
      <c r="G1445" s="20">
        <f t="shared" si="1"/>
        <v>5</v>
      </c>
      <c r="H1445" s="27">
        <v>42564.284050925926</v>
      </c>
      <c r="I1445" s="19">
        <f>IFERROR(__xludf.DUMMYFUNCTION("IFERROR(TO_DATE(H1445), """")"),42564.284050925926)</f>
        <v>42564.28405</v>
      </c>
      <c r="J1445" s="19" t="s">
        <v>11</v>
      </c>
      <c r="K1445" s="22">
        <f t="shared" si="2"/>
        <v>0</v>
      </c>
    </row>
    <row r="1446">
      <c r="A1446" s="18">
        <v>3354.0</v>
      </c>
      <c r="B1446" s="18" t="s">
        <v>32</v>
      </c>
      <c r="C1446" s="18">
        <v>152.0</v>
      </c>
      <c r="D1446" s="18" t="s">
        <v>31</v>
      </c>
      <c r="E1446" s="27">
        <v>42564.55905092593</v>
      </c>
      <c r="F1446" s="19">
        <f>IFERROR(__xludf.DUMMYFUNCTION("IFERROR(TO_DATE(E1446), """")"),42564.55905092593)</f>
        <v>42564.55905</v>
      </c>
      <c r="G1446" s="20">
        <f t="shared" si="1"/>
        <v>13</v>
      </c>
      <c r="H1446" s="27">
        <v>42564.610972222225</v>
      </c>
      <c r="I1446" s="19">
        <f>IFERROR(__xludf.DUMMYFUNCTION("IFERROR(TO_DATE(H1446), """")"),42564.610972222225)</f>
        <v>42564.61097</v>
      </c>
      <c r="J1446" s="19" t="s">
        <v>10</v>
      </c>
      <c r="K1446" s="22">
        <f t="shared" si="2"/>
        <v>0</v>
      </c>
    </row>
    <row r="1447">
      <c r="A1447" s="18">
        <v>5141.0</v>
      </c>
      <c r="B1447" s="18" t="s">
        <v>30</v>
      </c>
      <c r="C1447" s="18">
        <v>152.0</v>
      </c>
      <c r="D1447" s="18" t="s">
        <v>31</v>
      </c>
      <c r="E1447" s="27">
        <v>42565.84413194445</v>
      </c>
      <c r="F1447" s="19">
        <f>IFERROR(__xludf.DUMMYFUNCTION("IFERROR(TO_DATE(E1447), """")"),42565.84413194445)</f>
        <v>42565.84413</v>
      </c>
      <c r="G1447" s="20">
        <f t="shared" si="1"/>
        <v>20</v>
      </c>
      <c r="H1447" s="27">
        <v>42565.87540509259</v>
      </c>
      <c r="I1447" s="19">
        <f>IFERROR(__xludf.DUMMYFUNCTION("IFERROR(TO_DATE(H1447), """")"),42565.87540509259)</f>
        <v>42565.87541</v>
      </c>
      <c r="J1447" s="19" t="s">
        <v>13</v>
      </c>
      <c r="K1447" s="22">
        <f t="shared" si="2"/>
        <v>0</v>
      </c>
    </row>
    <row r="1448">
      <c r="A1448" s="18">
        <v>5460.0</v>
      </c>
      <c r="B1448" s="18" t="s">
        <v>30</v>
      </c>
      <c r="C1448" s="18">
        <v>152.0</v>
      </c>
      <c r="D1448" s="18" t="s">
        <v>31</v>
      </c>
      <c r="E1448" s="27">
        <v>42566.17141203704</v>
      </c>
      <c r="F1448" s="19">
        <f>IFERROR(__xludf.DUMMYFUNCTION("IFERROR(TO_DATE(E1448), """")"),42566.17141203704)</f>
        <v>42566.17141</v>
      </c>
      <c r="G1448" s="20">
        <f t="shared" si="1"/>
        <v>4</v>
      </c>
      <c r="H1448" s="27">
        <v>42566.203194444446</v>
      </c>
      <c r="I1448" s="19">
        <f>IFERROR(__xludf.DUMMYFUNCTION("IFERROR(TO_DATE(H1448), """")"),42566.203194444446)</f>
        <v>42566.20319</v>
      </c>
      <c r="J1448" s="19" t="s">
        <v>11</v>
      </c>
      <c r="K1448" s="22">
        <f t="shared" si="2"/>
        <v>0</v>
      </c>
    </row>
    <row r="1449">
      <c r="A1449" s="18">
        <v>5904.0</v>
      </c>
      <c r="B1449" s="18" t="s">
        <v>32</v>
      </c>
      <c r="C1449" s="18">
        <v>152.0</v>
      </c>
      <c r="D1449" s="18" t="s">
        <v>31</v>
      </c>
      <c r="E1449" s="27">
        <v>42566.41719907407</v>
      </c>
      <c r="F1449" s="19">
        <f>IFERROR(__xludf.DUMMYFUNCTION("IFERROR(TO_DATE(E1449), """")"),42566.41719907407)</f>
        <v>42566.4172</v>
      </c>
      <c r="G1449" s="20">
        <f t="shared" si="1"/>
        <v>10</v>
      </c>
      <c r="H1449" s="27">
        <v>42566.44060185185</v>
      </c>
      <c r="I1449" s="19">
        <f>IFERROR(__xludf.DUMMYFUNCTION("IFERROR(TO_DATE(H1449), """")"),42566.44060185185)</f>
        <v>42566.4406</v>
      </c>
      <c r="J1449" s="19" t="s">
        <v>14</v>
      </c>
      <c r="K1449" s="22">
        <f t="shared" si="2"/>
        <v>0</v>
      </c>
    </row>
    <row r="1450">
      <c r="A1450" s="18">
        <v>5973.0</v>
      </c>
      <c r="B1450" s="18" t="s">
        <v>30</v>
      </c>
      <c r="C1450" s="18">
        <v>152.0</v>
      </c>
      <c r="D1450" s="18" t="s">
        <v>31</v>
      </c>
      <c r="E1450" s="27">
        <v>42566.46560185185</v>
      </c>
      <c r="F1450" s="19">
        <f>IFERROR(__xludf.DUMMYFUNCTION("IFERROR(TO_DATE(E1450), """")"),42566.46560185185)</f>
        <v>42566.4656</v>
      </c>
      <c r="G1450" s="20">
        <f t="shared" si="1"/>
        <v>11</v>
      </c>
      <c r="H1450" s="27">
        <v>42566.50859953704</v>
      </c>
      <c r="I1450" s="19">
        <f>IFERROR(__xludf.DUMMYFUNCTION("IFERROR(TO_DATE(H1450), """")"),42566.50859953704)</f>
        <v>42566.5086</v>
      </c>
      <c r="J1450" s="19" t="s">
        <v>14</v>
      </c>
      <c r="K1450" s="22">
        <f t="shared" si="2"/>
        <v>0</v>
      </c>
    </row>
    <row r="1451">
      <c r="A1451" s="18">
        <v>704.0</v>
      </c>
      <c r="B1451" s="18" t="s">
        <v>30</v>
      </c>
      <c r="C1451" s="18">
        <v>153.0</v>
      </c>
      <c r="D1451" s="18" t="s">
        <v>31</v>
      </c>
      <c r="E1451" s="26">
        <v>42562.59166666667</v>
      </c>
      <c r="F1451" s="19">
        <f>IFERROR(__xludf.DUMMYFUNCTION("IFERROR(TO_DATE(E1451), """")"),42562.59166666667)</f>
        <v>42562.59167</v>
      </c>
      <c r="G1451" s="20">
        <f t="shared" si="1"/>
        <v>14</v>
      </c>
      <c r="H1451" s="26">
        <v>42562.629166666666</v>
      </c>
      <c r="I1451" s="19">
        <f>IFERROR(__xludf.DUMMYFUNCTION("IFERROR(TO_DATE(H1451), """")"),42562.629166666666)</f>
        <v>42562.62917</v>
      </c>
      <c r="J1451" s="19" t="s">
        <v>10</v>
      </c>
      <c r="K1451" s="22">
        <f t="shared" si="2"/>
        <v>0</v>
      </c>
    </row>
    <row r="1452">
      <c r="A1452" s="18">
        <v>785.0</v>
      </c>
      <c r="B1452" s="18" t="s">
        <v>32</v>
      </c>
      <c r="C1452" s="18">
        <v>153.0</v>
      </c>
      <c r="D1452" s="18" t="s">
        <v>31</v>
      </c>
      <c r="E1452" s="26">
        <v>42562.700694444444</v>
      </c>
      <c r="F1452" s="19">
        <f>IFERROR(__xludf.DUMMYFUNCTION("IFERROR(TO_DATE(E1452), """")"),42562.700694444444)</f>
        <v>42562.70069</v>
      </c>
      <c r="G1452" s="20">
        <f t="shared" si="1"/>
        <v>16</v>
      </c>
      <c r="H1452" s="26">
        <v>42562.725</v>
      </c>
      <c r="I1452" s="19">
        <f>IFERROR(__xludf.DUMMYFUNCTION("IFERROR(TO_DATE(H1452), """")"),42562.725)</f>
        <v>42562.725</v>
      </c>
      <c r="J1452" s="19" t="s">
        <v>12</v>
      </c>
      <c r="K1452" s="22">
        <f t="shared" si="2"/>
        <v>0</v>
      </c>
    </row>
    <row r="1453">
      <c r="A1453" s="18">
        <v>2631.0</v>
      </c>
      <c r="B1453" s="18" t="s">
        <v>30</v>
      </c>
      <c r="C1453" s="18">
        <v>153.0</v>
      </c>
      <c r="D1453" s="18" t="s">
        <v>31</v>
      </c>
      <c r="E1453" s="26">
        <v>42563.92916666667</v>
      </c>
      <c r="F1453" s="19">
        <f>IFERROR(__xludf.DUMMYFUNCTION("IFERROR(TO_DATE(E1453), """")"),42563.92916666667)</f>
        <v>42563.92917</v>
      </c>
      <c r="G1453" s="20">
        <f t="shared" si="1"/>
        <v>22</v>
      </c>
      <c r="H1453" s="26">
        <v>42563.96319444444</v>
      </c>
      <c r="I1453" s="19">
        <f>IFERROR(__xludf.DUMMYFUNCTION("IFERROR(TO_DATE(H1453), """")"),42563.96319444444)</f>
        <v>42563.96319</v>
      </c>
      <c r="J1453" s="19" t="s">
        <v>13</v>
      </c>
      <c r="K1453" s="22">
        <f t="shared" si="2"/>
        <v>0</v>
      </c>
    </row>
    <row r="1454">
      <c r="A1454" s="18">
        <v>2911.0</v>
      </c>
      <c r="B1454" s="18" t="s">
        <v>30</v>
      </c>
      <c r="C1454" s="18">
        <v>153.0</v>
      </c>
      <c r="D1454" s="18" t="s">
        <v>31</v>
      </c>
      <c r="E1454" s="27">
        <v>42564.25670138889</v>
      </c>
      <c r="F1454" s="19">
        <f>IFERROR(__xludf.DUMMYFUNCTION("IFERROR(TO_DATE(E1454), """")"),42564.25670138889)</f>
        <v>42564.2567</v>
      </c>
      <c r="G1454" s="20">
        <f t="shared" si="1"/>
        <v>6</v>
      </c>
      <c r="H1454" s="27">
        <v>42564.29145833333</v>
      </c>
      <c r="I1454" s="19">
        <f>IFERROR(__xludf.DUMMYFUNCTION("IFERROR(TO_DATE(H1454), """")"),42564.29145833333)</f>
        <v>42564.29146</v>
      </c>
      <c r="J1454" s="19" t="s">
        <v>11</v>
      </c>
      <c r="K1454" s="22">
        <f t="shared" si="2"/>
        <v>0</v>
      </c>
    </row>
    <row r="1455">
      <c r="A1455" s="18">
        <v>3360.0</v>
      </c>
      <c r="B1455" s="18" t="s">
        <v>30</v>
      </c>
      <c r="C1455" s="18">
        <v>153.0</v>
      </c>
      <c r="D1455" s="18" t="s">
        <v>31</v>
      </c>
      <c r="E1455" s="27">
        <v>42564.567453703705</v>
      </c>
      <c r="F1455" s="19">
        <f>IFERROR(__xludf.DUMMYFUNCTION("IFERROR(TO_DATE(E1455), """")"),42564.567453703705)</f>
        <v>42564.56745</v>
      </c>
      <c r="G1455" s="20">
        <f t="shared" si="1"/>
        <v>13</v>
      </c>
      <c r="H1455" s="27">
        <v>42564.59784722222</v>
      </c>
      <c r="I1455" s="19">
        <f>IFERROR(__xludf.DUMMYFUNCTION("IFERROR(TO_DATE(H1455), """")"),42564.59784722222)</f>
        <v>42564.59785</v>
      </c>
      <c r="J1455" s="19" t="s">
        <v>10</v>
      </c>
      <c r="K1455" s="22">
        <f t="shared" si="2"/>
        <v>0</v>
      </c>
    </row>
    <row r="1456">
      <c r="A1456" s="18">
        <v>3667.0</v>
      </c>
      <c r="B1456" s="18" t="s">
        <v>30</v>
      </c>
      <c r="C1456" s="18">
        <v>153.0</v>
      </c>
      <c r="D1456" s="18" t="s">
        <v>31</v>
      </c>
      <c r="E1456" s="27">
        <v>42564.80784722222</v>
      </c>
      <c r="F1456" s="19">
        <f>IFERROR(__xludf.DUMMYFUNCTION("IFERROR(TO_DATE(E1456), """")"),42564.80784722222)</f>
        <v>42564.80785</v>
      </c>
      <c r="G1456" s="20">
        <f t="shared" si="1"/>
        <v>19</v>
      </c>
      <c r="H1456" s="27">
        <v>42564.84122685185</v>
      </c>
      <c r="I1456" s="19">
        <f>IFERROR(__xludf.DUMMYFUNCTION("IFERROR(TO_DATE(H1456), """")"),42564.84122685185)</f>
        <v>42564.84123</v>
      </c>
      <c r="J1456" s="19" t="s">
        <v>12</v>
      </c>
      <c r="K1456" s="22">
        <f t="shared" si="2"/>
        <v>0</v>
      </c>
    </row>
    <row r="1457">
      <c r="A1457" s="18">
        <v>4624.0</v>
      </c>
      <c r="B1457" s="18" t="s">
        <v>30</v>
      </c>
      <c r="C1457" s="18">
        <v>153.0</v>
      </c>
      <c r="D1457" s="18" t="s">
        <v>31</v>
      </c>
      <c r="E1457" s="27">
        <v>42565.462233796294</v>
      </c>
      <c r="F1457" s="19">
        <f>IFERROR(__xludf.DUMMYFUNCTION("IFERROR(TO_DATE(E1457), """")"),42565.462233796294)</f>
        <v>42565.46223</v>
      </c>
      <c r="G1457" s="20">
        <f t="shared" si="1"/>
        <v>11</v>
      </c>
      <c r="H1457" s="27">
        <v>42565.49570601852</v>
      </c>
      <c r="I1457" s="19">
        <f>IFERROR(__xludf.DUMMYFUNCTION("IFERROR(TO_DATE(H1457), """")"),42565.49570601852)</f>
        <v>42565.49571</v>
      </c>
      <c r="J1457" s="19" t="s">
        <v>14</v>
      </c>
      <c r="K1457" s="22">
        <f t="shared" si="2"/>
        <v>0</v>
      </c>
    </row>
    <row r="1458">
      <c r="A1458" s="18">
        <v>604.0</v>
      </c>
      <c r="B1458" s="18" t="s">
        <v>32</v>
      </c>
      <c r="C1458" s="18">
        <v>154.0</v>
      </c>
      <c r="D1458" s="18" t="s">
        <v>31</v>
      </c>
      <c r="E1458" s="26">
        <v>42562.48888888889</v>
      </c>
      <c r="F1458" s="19">
        <f>IFERROR(__xludf.DUMMYFUNCTION("IFERROR(TO_DATE(E1458), """")"),42562.48888888889)</f>
        <v>42562.48889</v>
      </c>
      <c r="G1458" s="20">
        <f t="shared" si="1"/>
        <v>11</v>
      </c>
      <c r="H1458" s="26">
        <v>42562.53402777778</v>
      </c>
      <c r="I1458" s="19">
        <f>IFERROR(__xludf.DUMMYFUNCTION("IFERROR(TO_DATE(H1458), """")"),42562.53402777778)</f>
        <v>42562.53403</v>
      </c>
      <c r="J1458" s="19" t="s">
        <v>14</v>
      </c>
      <c r="K1458" s="22">
        <f t="shared" si="2"/>
        <v>0</v>
      </c>
    </row>
    <row r="1459">
      <c r="A1459" s="18">
        <v>1464.0</v>
      </c>
      <c r="B1459" s="18" t="s">
        <v>30</v>
      </c>
      <c r="C1459" s="18">
        <v>154.0</v>
      </c>
      <c r="D1459" s="18" t="s">
        <v>31</v>
      </c>
      <c r="E1459" s="26">
        <v>42563.21041666667</v>
      </c>
      <c r="F1459" s="19">
        <f>IFERROR(__xludf.DUMMYFUNCTION("IFERROR(TO_DATE(E1459), """")"),42563.21041666667)</f>
        <v>42563.21042</v>
      </c>
      <c r="G1459" s="20">
        <f t="shared" si="1"/>
        <v>5</v>
      </c>
      <c r="H1459" s="26">
        <v>42563.25208333333</v>
      </c>
      <c r="I1459" s="19">
        <f>IFERROR(__xludf.DUMMYFUNCTION("IFERROR(TO_DATE(H1459), """")"),42563.25208333333)</f>
        <v>42563.25208</v>
      </c>
      <c r="J1459" s="19" t="s">
        <v>11</v>
      </c>
      <c r="K1459" s="22">
        <f t="shared" si="2"/>
        <v>0</v>
      </c>
    </row>
    <row r="1460">
      <c r="A1460" s="18">
        <v>1810.0</v>
      </c>
      <c r="B1460" s="18" t="s">
        <v>32</v>
      </c>
      <c r="C1460" s="18">
        <v>154.0</v>
      </c>
      <c r="D1460" s="18" t="s">
        <v>31</v>
      </c>
      <c r="E1460" s="26">
        <v>42563.3875</v>
      </c>
      <c r="F1460" s="19">
        <f>IFERROR(__xludf.DUMMYFUNCTION("IFERROR(TO_DATE(E1460), """")"),42563.3875)</f>
        <v>42563.3875</v>
      </c>
      <c r="G1460" s="20">
        <f t="shared" si="1"/>
        <v>9</v>
      </c>
      <c r="H1460" s="26">
        <v>42563.4125</v>
      </c>
      <c r="I1460" s="19">
        <f>IFERROR(__xludf.DUMMYFUNCTION("IFERROR(TO_DATE(H1460), """")"),42563.4125)</f>
        <v>42563.4125</v>
      </c>
      <c r="J1460" s="19" t="s">
        <v>14</v>
      </c>
      <c r="K1460" s="22">
        <f t="shared" si="2"/>
        <v>0</v>
      </c>
    </row>
    <row r="1461">
      <c r="A1461" s="18">
        <v>2009.0</v>
      </c>
      <c r="B1461" s="18" t="s">
        <v>32</v>
      </c>
      <c r="C1461" s="18">
        <v>154.0</v>
      </c>
      <c r="D1461" s="18" t="s">
        <v>31</v>
      </c>
      <c r="E1461" s="26">
        <v>42563.55902777778</v>
      </c>
      <c r="F1461" s="19">
        <f>IFERROR(__xludf.DUMMYFUNCTION("IFERROR(TO_DATE(E1461), """")"),42563.55902777778)</f>
        <v>42563.55903</v>
      </c>
      <c r="G1461" s="20">
        <f t="shared" si="1"/>
        <v>13</v>
      </c>
      <c r="H1461" s="26">
        <v>42563.60625</v>
      </c>
      <c r="I1461" s="19">
        <f>IFERROR(__xludf.DUMMYFUNCTION("IFERROR(TO_DATE(H1461), """")"),42563.60625)</f>
        <v>42563.60625</v>
      </c>
      <c r="J1461" s="19" t="s">
        <v>10</v>
      </c>
      <c r="K1461" s="22">
        <f t="shared" si="2"/>
        <v>0</v>
      </c>
    </row>
    <row r="1462">
      <c r="A1462" s="18">
        <v>2166.0</v>
      </c>
      <c r="B1462" s="18" t="s">
        <v>32</v>
      </c>
      <c r="C1462" s="18">
        <v>154.0</v>
      </c>
      <c r="D1462" s="18" t="s">
        <v>31</v>
      </c>
      <c r="E1462" s="26">
        <v>42563.729166666664</v>
      </c>
      <c r="F1462" s="19">
        <f>IFERROR(__xludf.DUMMYFUNCTION("IFERROR(TO_DATE(E1462), """")"),42563.729166666664)</f>
        <v>42563.72917</v>
      </c>
      <c r="G1462" s="20">
        <f t="shared" si="1"/>
        <v>17</v>
      </c>
      <c r="H1462" s="26">
        <v>42563.774305555555</v>
      </c>
      <c r="I1462" s="19">
        <f>IFERROR(__xludf.DUMMYFUNCTION("IFERROR(TO_DATE(H1462), """")"),42563.774305555555)</f>
        <v>42563.77431</v>
      </c>
      <c r="J1462" s="19" t="s">
        <v>12</v>
      </c>
      <c r="K1462" s="22">
        <f t="shared" si="2"/>
        <v>0</v>
      </c>
    </row>
    <row r="1463">
      <c r="A1463" s="18">
        <v>5379.0</v>
      </c>
      <c r="B1463" s="18" t="s">
        <v>32</v>
      </c>
      <c r="C1463" s="18">
        <v>154.0</v>
      </c>
      <c r="D1463" s="18" t="s">
        <v>31</v>
      </c>
      <c r="E1463" s="27">
        <v>42565.994108796294</v>
      </c>
      <c r="F1463" s="19">
        <f>IFERROR(__xludf.DUMMYFUNCTION("IFERROR(TO_DATE(E1463), """")"),42565.994108796294)</f>
        <v>42565.99411</v>
      </c>
      <c r="G1463" s="20">
        <f t="shared" si="1"/>
        <v>23</v>
      </c>
      <c r="H1463" s="27">
        <v>42566.044907407406</v>
      </c>
      <c r="I1463" s="19">
        <f>IFERROR(__xludf.DUMMYFUNCTION("IFERROR(TO_DATE(H1463), """")"),42566.044907407406)</f>
        <v>42566.04491</v>
      </c>
      <c r="J1463" s="19" t="s">
        <v>13</v>
      </c>
      <c r="K1463" s="22">
        <f t="shared" si="2"/>
        <v>0</v>
      </c>
    </row>
    <row r="1464">
      <c r="A1464" s="18">
        <v>1367.0</v>
      </c>
      <c r="B1464" s="18" t="s">
        <v>32</v>
      </c>
      <c r="C1464" s="18">
        <v>155.0</v>
      </c>
      <c r="D1464" s="18" t="s">
        <v>31</v>
      </c>
      <c r="E1464" s="26">
        <v>42562.00347222222</v>
      </c>
      <c r="F1464" s="19">
        <f>IFERROR(__xludf.DUMMYFUNCTION("IFERROR(TO_DATE(E1464), """")"),42562.00347222222)</f>
        <v>42562.00347</v>
      </c>
      <c r="G1464" s="20">
        <f t="shared" si="1"/>
        <v>0</v>
      </c>
      <c r="H1464" s="26">
        <v>42562.04583333333</v>
      </c>
      <c r="I1464" s="19">
        <f>IFERROR(__xludf.DUMMYFUNCTION("IFERROR(TO_DATE(H1464), """")"),42562.04583333333)</f>
        <v>42562.04583</v>
      </c>
      <c r="J1464" s="19" t="s">
        <v>15</v>
      </c>
      <c r="K1464" s="22">
        <f t="shared" si="2"/>
        <v>0</v>
      </c>
    </row>
    <row r="1465">
      <c r="A1465" s="18">
        <v>447.0</v>
      </c>
      <c r="B1465" s="18" t="s">
        <v>32</v>
      </c>
      <c r="C1465" s="18">
        <v>155.0</v>
      </c>
      <c r="D1465" s="18" t="s">
        <v>31</v>
      </c>
      <c r="E1465" s="26">
        <v>42562.37986111111</v>
      </c>
      <c r="F1465" s="19">
        <f>IFERROR(__xludf.DUMMYFUNCTION("IFERROR(TO_DATE(E1465), """")"),42562.37986111111)</f>
        <v>42562.37986</v>
      </c>
      <c r="G1465" s="20">
        <f t="shared" si="1"/>
        <v>9</v>
      </c>
      <c r="H1465" s="26">
        <v>42562.41458333333</v>
      </c>
      <c r="I1465" s="19">
        <f>IFERROR(__xludf.DUMMYFUNCTION("IFERROR(TO_DATE(H1465), """")"),42562.41458333333)</f>
        <v>42562.41458</v>
      </c>
      <c r="J1465" s="19" t="s">
        <v>14</v>
      </c>
      <c r="K1465" s="22">
        <f t="shared" si="2"/>
        <v>0</v>
      </c>
    </row>
    <row r="1466">
      <c r="A1466" s="18">
        <v>1682.0</v>
      </c>
      <c r="B1466" s="18" t="s">
        <v>32</v>
      </c>
      <c r="C1466" s="18">
        <v>155.0</v>
      </c>
      <c r="D1466" s="18" t="s">
        <v>31</v>
      </c>
      <c r="E1466" s="26">
        <v>42563.32430555556</v>
      </c>
      <c r="F1466" s="19">
        <f>IFERROR(__xludf.DUMMYFUNCTION("IFERROR(TO_DATE(E1466), """")"),42563.32430555556)</f>
        <v>42563.32431</v>
      </c>
      <c r="G1466" s="20">
        <f t="shared" si="1"/>
        <v>7</v>
      </c>
      <c r="H1466" s="26">
        <v>42563.35972222222</v>
      </c>
      <c r="I1466" s="19">
        <f>IFERROR(__xludf.DUMMYFUNCTION("IFERROR(TO_DATE(H1466), """")"),42563.35972222222)</f>
        <v>42563.35972</v>
      </c>
      <c r="J1466" s="19" t="s">
        <v>11</v>
      </c>
      <c r="K1466" s="22">
        <f t="shared" si="2"/>
        <v>0</v>
      </c>
    </row>
    <row r="1467">
      <c r="A1467" s="18">
        <v>2043.0</v>
      </c>
      <c r="B1467" s="18" t="s">
        <v>30</v>
      </c>
      <c r="C1467" s="18">
        <v>155.0</v>
      </c>
      <c r="D1467" s="18" t="s">
        <v>31</v>
      </c>
      <c r="E1467" s="26">
        <v>42563.604166666664</v>
      </c>
      <c r="F1467" s="19">
        <f>IFERROR(__xludf.DUMMYFUNCTION("IFERROR(TO_DATE(E1467), """")"),42563.604166666664)</f>
        <v>42563.60417</v>
      </c>
      <c r="G1467" s="20">
        <f t="shared" si="1"/>
        <v>14</v>
      </c>
      <c r="H1467" s="26">
        <v>42563.63958333333</v>
      </c>
      <c r="I1467" s="19">
        <f>IFERROR(__xludf.DUMMYFUNCTION("IFERROR(TO_DATE(H1467), """")"),42563.63958333333)</f>
        <v>42563.63958</v>
      </c>
      <c r="J1467" s="19" t="s">
        <v>10</v>
      </c>
      <c r="K1467" s="22">
        <f t="shared" si="2"/>
        <v>0</v>
      </c>
    </row>
    <row r="1468">
      <c r="A1468" s="18">
        <v>2796.0</v>
      </c>
      <c r="B1468" s="18" t="s">
        <v>30</v>
      </c>
      <c r="C1468" s="18">
        <v>155.0</v>
      </c>
      <c r="D1468" s="18" t="s">
        <v>31</v>
      </c>
      <c r="E1468" s="27">
        <v>42564.20077546296</v>
      </c>
      <c r="F1468" s="19">
        <f>IFERROR(__xludf.DUMMYFUNCTION("IFERROR(TO_DATE(E1468), """")"),42564.20077546296)</f>
        <v>42564.20078</v>
      </c>
      <c r="G1468" s="20">
        <f t="shared" si="1"/>
        <v>4</v>
      </c>
      <c r="H1468" s="27">
        <v>42564.22893518519</v>
      </c>
      <c r="I1468" s="19">
        <f>IFERROR(__xludf.DUMMYFUNCTION("IFERROR(TO_DATE(H1468), """")"),42564.22893518519)</f>
        <v>42564.22894</v>
      </c>
      <c r="J1468" s="19" t="s">
        <v>11</v>
      </c>
      <c r="K1468" s="22">
        <f t="shared" si="2"/>
        <v>0</v>
      </c>
    </row>
    <row r="1469">
      <c r="A1469" s="18">
        <v>3945.0</v>
      </c>
      <c r="B1469" s="18" t="s">
        <v>32</v>
      </c>
      <c r="C1469" s="18">
        <v>155.0</v>
      </c>
      <c r="D1469" s="18" t="s">
        <v>31</v>
      </c>
      <c r="E1469" s="27">
        <v>42564.93994212963</v>
      </c>
      <c r="F1469" s="19">
        <f>IFERROR(__xludf.DUMMYFUNCTION("IFERROR(TO_DATE(E1469), """")"),42564.93994212963)</f>
        <v>42564.93994</v>
      </c>
      <c r="G1469" s="20">
        <f t="shared" si="1"/>
        <v>22</v>
      </c>
      <c r="H1469" s="27">
        <v>42564.96994212963</v>
      </c>
      <c r="I1469" s="19">
        <f>IFERROR(__xludf.DUMMYFUNCTION("IFERROR(TO_DATE(H1469), """")"),42564.96994212963)</f>
        <v>42564.96994</v>
      </c>
      <c r="J1469" s="19" t="s">
        <v>13</v>
      </c>
      <c r="K1469" s="22">
        <f t="shared" si="2"/>
        <v>0</v>
      </c>
    </row>
    <row r="1470">
      <c r="A1470" s="18">
        <v>4196.0</v>
      </c>
      <c r="B1470" s="18" t="s">
        <v>32</v>
      </c>
      <c r="C1470" s="18">
        <v>155.0</v>
      </c>
      <c r="D1470" s="18" t="s">
        <v>31</v>
      </c>
      <c r="E1470" s="27">
        <v>42565.22893518519</v>
      </c>
      <c r="F1470" s="19">
        <f>IFERROR(__xludf.DUMMYFUNCTION("IFERROR(TO_DATE(E1470), """")"),42565.22893518519)</f>
        <v>42565.22894</v>
      </c>
      <c r="G1470" s="20">
        <f t="shared" si="1"/>
        <v>5</v>
      </c>
      <c r="H1470" s="27">
        <v>42565.27545138889</v>
      </c>
      <c r="I1470" s="19">
        <f>IFERROR(__xludf.DUMMYFUNCTION("IFERROR(TO_DATE(H1470), """")"),42565.27545138889)</f>
        <v>42565.27545</v>
      </c>
      <c r="J1470" s="19" t="s">
        <v>11</v>
      </c>
      <c r="K1470" s="22">
        <f t="shared" si="2"/>
        <v>0</v>
      </c>
    </row>
    <row r="1471">
      <c r="A1471" s="18">
        <v>5174.0</v>
      </c>
      <c r="B1471" s="18" t="s">
        <v>32</v>
      </c>
      <c r="C1471" s="18">
        <v>155.0</v>
      </c>
      <c r="D1471" s="18" t="s">
        <v>31</v>
      </c>
      <c r="E1471" s="27">
        <v>42565.85396990741</v>
      </c>
      <c r="F1471" s="19">
        <f>IFERROR(__xludf.DUMMYFUNCTION("IFERROR(TO_DATE(E1471), """")"),42565.85396990741)</f>
        <v>42565.85397</v>
      </c>
      <c r="G1471" s="20">
        <f t="shared" si="1"/>
        <v>20</v>
      </c>
      <c r="H1471" s="27">
        <v>42565.89210648148</v>
      </c>
      <c r="I1471" s="19">
        <f>IFERROR(__xludf.DUMMYFUNCTION("IFERROR(TO_DATE(H1471), """")"),42565.89210648148)</f>
        <v>42565.89211</v>
      </c>
      <c r="J1471" s="19" t="s">
        <v>13</v>
      </c>
      <c r="K1471" s="22">
        <f t="shared" si="2"/>
        <v>0</v>
      </c>
    </row>
    <row r="1472">
      <c r="A1472" s="18">
        <v>5480.0</v>
      </c>
      <c r="B1472" s="18" t="s">
        <v>32</v>
      </c>
      <c r="C1472" s="18">
        <v>155.0</v>
      </c>
      <c r="D1472" s="18" t="s">
        <v>31</v>
      </c>
      <c r="E1472" s="27">
        <v>42566.20210648148</v>
      </c>
      <c r="F1472" s="19">
        <f>IFERROR(__xludf.DUMMYFUNCTION("IFERROR(TO_DATE(E1472), """")"),42566.20210648148)</f>
        <v>42566.20211</v>
      </c>
      <c r="G1472" s="20">
        <f t="shared" si="1"/>
        <v>4</v>
      </c>
      <c r="H1472" s="27">
        <v>42566.252604166664</v>
      </c>
      <c r="I1472" s="19">
        <f>IFERROR(__xludf.DUMMYFUNCTION("IFERROR(TO_DATE(H1472), """")"),42566.252604166664)</f>
        <v>42566.2526</v>
      </c>
      <c r="J1472" s="19" t="s">
        <v>11</v>
      </c>
      <c r="K1472" s="22">
        <f t="shared" si="2"/>
        <v>0</v>
      </c>
    </row>
    <row r="1473">
      <c r="A1473" s="18">
        <v>5883.0</v>
      </c>
      <c r="B1473" s="18" t="s">
        <v>30</v>
      </c>
      <c r="C1473" s="18">
        <v>155.0</v>
      </c>
      <c r="D1473" s="18" t="s">
        <v>31</v>
      </c>
      <c r="E1473" s="27">
        <v>42566.402708333335</v>
      </c>
      <c r="F1473" s="19">
        <f>IFERROR(__xludf.DUMMYFUNCTION("IFERROR(TO_DATE(E1473), """")"),42566.402708333335)</f>
        <v>42566.40271</v>
      </c>
      <c r="G1473" s="20">
        <f t="shared" si="1"/>
        <v>9</v>
      </c>
      <c r="H1473" s="27">
        <v>42566.45064814815</v>
      </c>
      <c r="I1473" s="19">
        <f>IFERROR(__xludf.DUMMYFUNCTION("IFERROR(TO_DATE(H1473), """")"),42566.45064814815)</f>
        <v>42566.45065</v>
      </c>
      <c r="J1473" s="19" t="s">
        <v>14</v>
      </c>
      <c r="K1473" s="22">
        <f t="shared" si="2"/>
        <v>0</v>
      </c>
    </row>
    <row r="1474">
      <c r="A1474" s="18">
        <v>6013.0</v>
      </c>
      <c r="B1474" s="18" t="s">
        <v>30</v>
      </c>
      <c r="C1474" s="18">
        <v>155.0</v>
      </c>
      <c r="D1474" s="18" t="s">
        <v>31</v>
      </c>
      <c r="E1474" s="27">
        <v>42566.518645833334</v>
      </c>
      <c r="F1474" s="19">
        <f>IFERROR(__xludf.DUMMYFUNCTION("IFERROR(TO_DATE(E1474), """")"),42566.518645833334)</f>
        <v>42566.51865</v>
      </c>
      <c r="G1474" s="20">
        <f t="shared" si="1"/>
        <v>12</v>
      </c>
      <c r="H1474" s="27">
        <v>42566.54414351852</v>
      </c>
      <c r="I1474" s="19">
        <f>IFERROR(__xludf.DUMMYFUNCTION("IFERROR(TO_DATE(H1474), """")"),42566.54414351852)</f>
        <v>42566.54414</v>
      </c>
      <c r="J1474" s="19" t="s">
        <v>10</v>
      </c>
      <c r="K1474" s="22">
        <f t="shared" si="2"/>
        <v>0</v>
      </c>
    </row>
    <row r="1475">
      <c r="A1475" s="18">
        <v>438.0</v>
      </c>
      <c r="B1475" s="18" t="s">
        <v>32</v>
      </c>
      <c r="C1475" s="18">
        <v>156.0</v>
      </c>
      <c r="D1475" s="18" t="s">
        <v>31</v>
      </c>
      <c r="E1475" s="26">
        <v>42562.37847222222</v>
      </c>
      <c r="F1475" s="19">
        <f>IFERROR(__xludf.DUMMYFUNCTION("IFERROR(TO_DATE(E1475), """")"),42562.37847222222)</f>
        <v>42562.37847</v>
      </c>
      <c r="G1475" s="20">
        <f t="shared" si="1"/>
        <v>9</v>
      </c>
      <c r="H1475" s="26">
        <v>42562.42638888889</v>
      </c>
      <c r="I1475" s="19">
        <f>IFERROR(__xludf.DUMMYFUNCTION("IFERROR(TO_DATE(H1475), """")"),42562.42638888889)</f>
        <v>42562.42639</v>
      </c>
      <c r="J1475" s="19" t="s">
        <v>14</v>
      </c>
      <c r="K1475" s="22">
        <f t="shared" si="2"/>
        <v>0</v>
      </c>
    </row>
    <row r="1476">
      <c r="A1476" s="18">
        <v>636.0</v>
      </c>
      <c r="B1476" s="18" t="s">
        <v>32</v>
      </c>
      <c r="C1476" s="18">
        <v>156.0</v>
      </c>
      <c r="D1476" s="18" t="s">
        <v>31</v>
      </c>
      <c r="E1476" s="26">
        <v>42562.51736111111</v>
      </c>
      <c r="F1476" s="19">
        <f>IFERROR(__xludf.DUMMYFUNCTION("IFERROR(TO_DATE(E1476), """")"),42562.51736111111)</f>
        <v>42562.51736</v>
      </c>
      <c r="G1476" s="20">
        <f t="shared" si="1"/>
        <v>12</v>
      </c>
      <c r="H1476" s="26">
        <v>42562.54791666667</v>
      </c>
      <c r="I1476" s="19">
        <f>IFERROR(__xludf.DUMMYFUNCTION("IFERROR(TO_DATE(H1476), """")"),42562.54791666667)</f>
        <v>42562.54792</v>
      </c>
      <c r="J1476" s="19" t="s">
        <v>10</v>
      </c>
      <c r="K1476" s="22">
        <f t="shared" si="2"/>
        <v>0</v>
      </c>
    </row>
    <row r="1477">
      <c r="A1477" s="18">
        <v>1938.0</v>
      </c>
      <c r="B1477" s="18" t="s">
        <v>30</v>
      </c>
      <c r="C1477" s="18">
        <v>156.0</v>
      </c>
      <c r="D1477" s="18" t="s">
        <v>31</v>
      </c>
      <c r="E1477" s="26">
        <v>42563.472916666666</v>
      </c>
      <c r="F1477" s="19">
        <f>IFERROR(__xludf.DUMMYFUNCTION("IFERROR(TO_DATE(E1477), """")"),42563.472916666666)</f>
        <v>42563.47292</v>
      </c>
      <c r="G1477" s="20">
        <f t="shared" si="1"/>
        <v>11</v>
      </c>
      <c r="H1477" s="26">
        <v>42563.50208333333</v>
      </c>
      <c r="I1477" s="19">
        <f>IFERROR(__xludf.DUMMYFUNCTION("IFERROR(TO_DATE(H1477), """")"),42563.50208333333)</f>
        <v>42563.50208</v>
      </c>
      <c r="J1477" s="19" t="s">
        <v>14</v>
      </c>
      <c r="K1477" s="22">
        <f t="shared" si="2"/>
        <v>0</v>
      </c>
    </row>
    <row r="1478">
      <c r="A1478" s="18">
        <v>2129.0</v>
      </c>
      <c r="B1478" s="18" t="s">
        <v>30</v>
      </c>
      <c r="C1478" s="18">
        <v>156.0</v>
      </c>
      <c r="D1478" s="18" t="s">
        <v>31</v>
      </c>
      <c r="E1478" s="26">
        <v>42563.7125</v>
      </c>
      <c r="F1478" s="19">
        <f>IFERROR(__xludf.DUMMYFUNCTION("IFERROR(TO_DATE(E1478), """")"),42563.7125)</f>
        <v>42563.7125</v>
      </c>
      <c r="G1478" s="20">
        <f t="shared" si="1"/>
        <v>17</v>
      </c>
      <c r="H1478" s="26">
        <v>42563.7625</v>
      </c>
      <c r="I1478" s="19">
        <f>IFERROR(__xludf.DUMMYFUNCTION("IFERROR(TO_DATE(H1478), """")"),42563.7625)</f>
        <v>42563.7625</v>
      </c>
      <c r="J1478" s="19" t="s">
        <v>12</v>
      </c>
      <c r="K1478" s="22">
        <f t="shared" si="2"/>
        <v>0</v>
      </c>
    </row>
    <row r="1479">
      <c r="A1479" s="18">
        <v>3337.0</v>
      </c>
      <c r="B1479" s="18" t="s">
        <v>30</v>
      </c>
      <c r="C1479" s="18">
        <v>156.0</v>
      </c>
      <c r="D1479" s="18" t="s">
        <v>31</v>
      </c>
      <c r="E1479" s="27">
        <v>42564.5296875</v>
      </c>
      <c r="F1479" s="19">
        <f>IFERROR(__xludf.DUMMYFUNCTION("IFERROR(TO_DATE(E1479), """")"),42564.5296875)</f>
        <v>42564.52969</v>
      </c>
      <c r="G1479" s="20">
        <f t="shared" si="1"/>
        <v>12</v>
      </c>
      <c r="H1479" s="27">
        <v>42564.57699074074</v>
      </c>
      <c r="I1479" s="19">
        <f>IFERROR(__xludf.DUMMYFUNCTION("IFERROR(TO_DATE(H1479), """")"),42564.57699074074)</f>
        <v>42564.57699</v>
      </c>
      <c r="J1479" s="19" t="s">
        <v>10</v>
      </c>
      <c r="K1479" s="22">
        <f t="shared" si="2"/>
        <v>0</v>
      </c>
    </row>
    <row r="1480">
      <c r="A1480" s="18">
        <v>3472.0</v>
      </c>
      <c r="B1480" s="18" t="s">
        <v>32</v>
      </c>
      <c r="C1480" s="18">
        <v>156.0</v>
      </c>
      <c r="D1480" s="18" t="s">
        <v>31</v>
      </c>
      <c r="E1480" s="27">
        <v>42564.719988425924</v>
      </c>
      <c r="F1480" s="19">
        <f>IFERROR(__xludf.DUMMYFUNCTION("IFERROR(TO_DATE(E1480), """")"),42564.719988425924)</f>
        <v>42564.71999</v>
      </c>
      <c r="G1480" s="20">
        <f t="shared" si="1"/>
        <v>17</v>
      </c>
      <c r="H1480" s="27">
        <v>42564.75443287037</v>
      </c>
      <c r="I1480" s="19">
        <f>IFERROR(__xludf.DUMMYFUNCTION("IFERROR(TO_DATE(H1480), """")"),42564.75443287037)</f>
        <v>42564.75443</v>
      </c>
      <c r="J1480" s="19" t="s">
        <v>12</v>
      </c>
      <c r="K1480" s="22">
        <f t="shared" si="2"/>
        <v>0</v>
      </c>
    </row>
    <row r="1481">
      <c r="A1481" s="18">
        <v>3991.0</v>
      </c>
      <c r="B1481" s="18" t="s">
        <v>32</v>
      </c>
      <c r="C1481" s="18">
        <v>156.0</v>
      </c>
      <c r="D1481" s="18" t="s">
        <v>31</v>
      </c>
      <c r="E1481" s="27">
        <v>42564.97542824074</v>
      </c>
      <c r="F1481" s="19">
        <f>IFERROR(__xludf.DUMMYFUNCTION("IFERROR(TO_DATE(E1481), """")"),42564.97542824074)</f>
        <v>42564.97543</v>
      </c>
      <c r="G1481" s="20">
        <f t="shared" si="1"/>
        <v>23</v>
      </c>
      <c r="H1481" s="27">
        <v>42565.004745370374</v>
      </c>
      <c r="I1481" s="19">
        <f>IFERROR(__xludf.DUMMYFUNCTION("IFERROR(TO_DATE(H1481), """")"),42565.004745370374)</f>
        <v>42565.00475</v>
      </c>
      <c r="J1481" s="19" t="s">
        <v>13</v>
      </c>
      <c r="K1481" s="22">
        <f t="shared" si="2"/>
        <v>0</v>
      </c>
    </row>
    <row r="1482">
      <c r="A1482" s="18">
        <v>4221.0</v>
      </c>
      <c r="B1482" s="18" t="s">
        <v>30</v>
      </c>
      <c r="C1482" s="18">
        <v>156.0</v>
      </c>
      <c r="D1482" s="18" t="s">
        <v>31</v>
      </c>
      <c r="E1482" s="27">
        <v>42565.24074074074</v>
      </c>
      <c r="F1482" s="19">
        <f>IFERROR(__xludf.DUMMYFUNCTION("IFERROR(TO_DATE(E1482), """")"),42565.24074074074)</f>
        <v>42565.24074</v>
      </c>
      <c r="G1482" s="20">
        <f t="shared" si="1"/>
        <v>5</v>
      </c>
      <c r="H1482" s="27">
        <v>42565.27449074074</v>
      </c>
      <c r="I1482" s="19">
        <f>IFERROR(__xludf.DUMMYFUNCTION("IFERROR(TO_DATE(H1482), """")"),42565.27449074074)</f>
        <v>42565.27449</v>
      </c>
      <c r="J1482" s="19" t="s">
        <v>11</v>
      </c>
      <c r="K1482" s="22">
        <f t="shared" si="2"/>
        <v>0</v>
      </c>
    </row>
    <row r="1483">
      <c r="A1483" s="18">
        <v>5719.0</v>
      </c>
      <c r="B1483" s="18" t="s">
        <v>30</v>
      </c>
      <c r="C1483" s="18">
        <v>156.0</v>
      </c>
      <c r="D1483" s="18" t="s">
        <v>31</v>
      </c>
      <c r="E1483" s="27">
        <v>42566.32349537037</v>
      </c>
      <c r="F1483" s="19">
        <f>IFERROR(__xludf.DUMMYFUNCTION("IFERROR(TO_DATE(E1483), """")"),42566.32349537037)</f>
        <v>42566.3235</v>
      </c>
      <c r="G1483" s="20">
        <f t="shared" si="1"/>
        <v>7</v>
      </c>
      <c r="H1483" s="27">
        <v>42566.34824074074</v>
      </c>
      <c r="I1483" s="19">
        <f>IFERROR(__xludf.DUMMYFUNCTION("IFERROR(TO_DATE(H1483), """")"),42566.34824074074)</f>
        <v>42566.34824</v>
      </c>
      <c r="J1483" s="19" t="s">
        <v>11</v>
      </c>
      <c r="K1483" s="22">
        <f t="shared" si="2"/>
        <v>0</v>
      </c>
    </row>
    <row r="1484">
      <c r="A1484" s="18">
        <v>143.0</v>
      </c>
      <c r="B1484" s="18" t="s">
        <v>30</v>
      </c>
      <c r="C1484" s="18">
        <v>157.0</v>
      </c>
      <c r="D1484" s="18" t="s">
        <v>31</v>
      </c>
      <c r="E1484" s="26">
        <v>42562.225</v>
      </c>
      <c r="F1484" s="19">
        <f>IFERROR(__xludf.DUMMYFUNCTION("IFERROR(TO_DATE(E1484), """")"),42562.225)</f>
        <v>42562.225</v>
      </c>
      <c r="G1484" s="20">
        <f t="shared" si="1"/>
        <v>5</v>
      </c>
      <c r="H1484" s="26">
        <v>42562.25069444445</v>
      </c>
      <c r="I1484" s="19">
        <f>IFERROR(__xludf.DUMMYFUNCTION("IFERROR(TO_DATE(H1484), """")"),42562.25069444445)</f>
        <v>42562.25069</v>
      </c>
      <c r="J1484" s="19" t="s">
        <v>11</v>
      </c>
      <c r="K1484" s="22">
        <f t="shared" si="2"/>
        <v>0</v>
      </c>
    </row>
    <row r="1485">
      <c r="A1485" s="18">
        <v>784.0</v>
      </c>
      <c r="B1485" s="18" t="s">
        <v>32</v>
      </c>
      <c r="C1485" s="18">
        <v>157.0</v>
      </c>
      <c r="D1485" s="18" t="s">
        <v>31</v>
      </c>
      <c r="E1485" s="26">
        <v>42562.70138888889</v>
      </c>
      <c r="F1485" s="19">
        <f>IFERROR(__xludf.DUMMYFUNCTION("IFERROR(TO_DATE(E1485), """")"),42562.70138888889)</f>
        <v>42562.70139</v>
      </c>
      <c r="G1485" s="20">
        <f t="shared" si="1"/>
        <v>16</v>
      </c>
      <c r="H1485" s="26">
        <v>42562.72430555556</v>
      </c>
      <c r="I1485" s="19">
        <f>IFERROR(__xludf.DUMMYFUNCTION("IFERROR(TO_DATE(H1485), """")"),42562.72430555556)</f>
        <v>42562.72431</v>
      </c>
      <c r="J1485" s="19" t="s">
        <v>12</v>
      </c>
      <c r="K1485" s="22">
        <f t="shared" si="2"/>
        <v>0</v>
      </c>
    </row>
    <row r="1486">
      <c r="A1486" s="18">
        <v>1020.0</v>
      </c>
      <c r="B1486" s="18" t="s">
        <v>30</v>
      </c>
      <c r="C1486" s="18">
        <v>157.0</v>
      </c>
      <c r="D1486" s="18" t="s">
        <v>31</v>
      </c>
      <c r="E1486" s="26">
        <v>42562.80347222222</v>
      </c>
      <c r="F1486" s="19">
        <f>IFERROR(__xludf.DUMMYFUNCTION("IFERROR(TO_DATE(E1486), """")"),42562.80347222222)</f>
        <v>42562.80347</v>
      </c>
      <c r="G1486" s="20">
        <f t="shared" si="1"/>
        <v>19</v>
      </c>
      <c r="H1486" s="26">
        <v>42562.83888888889</v>
      </c>
      <c r="I1486" s="19">
        <f>IFERROR(__xludf.DUMMYFUNCTION("IFERROR(TO_DATE(H1486), """")"),42562.83888888889)</f>
        <v>42562.83889</v>
      </c>
      <c r="J1486" s="19" t="s">
        <v>12</v>
      </c>
      <c r="K1486" s="22">
        <f t="shared" si="2"/>
        <v>0</v>
      </c>
    </row>
    <row r="1487">
      <c r="A1487" s="18">
        <v>2934.0</v>
      </c>
      <c r="B1487" s="18" t="s">
        <v>32</v>
      </c>
      <c r="C1487" s="18">
        <v>157.0</v>
      </c>
      <c r="D1487" s="18" t="s">
        <v>31</v>
      </c>
      <c r="E1487" s="27">
        <v>42564.269583333335</v>
      </c>
      <c r="F1487" s="19">
        <f>IFERROR(__xludf.DUMMYFUNCTION("IFERROR(TO_DATE(E1487), """")"),42564.269583333335)</f>
        <v>42564.26958</v>
      </c>
      <c r="G1487" s="20">
        <f t="shared" si="1"/>
        <v>6</v>
      </c>
      <c r="H1487" s="27">
        <v>42564.2987037037</v>
      </c>
      <c r="I1487" s="19">
        <f>IFERROR(__xludf.DUMMYFUNCTION("IFERROR(TO_DATE(H1487), """")"),42564.2987037037)</f>
        <v>42564.2987</v>
      </c>
      <c r="J1487" s="19" t="s">
        <v>11</v>
      </c>
      <c r="K1487" s="22">
        <f t="shared" si="2"/>
        <v>0</v>
      </c>
    </row>
    <row r="1488">
      <c r="A1488" s="18">
        <v>4073.0</v>
      </c>
      <c r="B1488" s="18" t="s">
        <v>32</v>
      </c>
      <c r="C1488" s="18">
        <v>157.0</v>
      </c>
      <c r="D1488" s="18" t="s">
        <v>31</v>
      </c>
      <c r="E1488" s="27">
        <v>42565.09069444444</v>
      </c>
      <c r="F1488" s="19">
        <f>IFERROR(__xludf.DUMMYFUNCTION("IFERROR(TO_DATE(E1488), """")"),42565.09069444444)</f>
        <v>42565.09069</v>
      </c>
      <c r="G1488" s="20">
        <f t="shared" si="1"/>
        <v>2</v>
      </c>
      <c r="H1488" s="27">
        <v>42565.12107638889</v>
      </c>
      <c r="I1488" s="19">
        <f>IFERROR(__xludf.DUMMYFUNCTION("IFERROR(TO_DATE(H1488), """")"),42565.12107638889)</f>
        <v>42565.12108</v>
      </c>
      <c r="J1488" s="19" t="s">
        <v>15</v>
      </c>
      <c r="K1488" s="22">
        <f t="shared" si="2"/>
        <v>0</v>
      </c>
    </row>
    <row r="1489">
      <c r="A1489" s="18">
        <v>4751.0</v>
      </c>
      <c r="B1489" s="18" t="s">
        <v>32</v>
      </c>
      <c r="C1489" s="18">
        <v>157.0</v>
      </c>
      <c r="D1489" s="18" t="s">
        <v>31</v>
      </c>
      <c r="E1489" s="27">
        <v>42565.6378587963</v>
      </c>
      <c r="F1489" s="19">
        <f>IFERROR(__xludf.DUMMYFUNCTION("IFERROR(TO_DATE(E1489), """")"),42565.6378587963)</f>
        <v>42565.63786</v>
      </c>
      <c r="G1489" s="20">
        <f t="shared" si="1"/>
        <v>15</v>
      </c>
      <c r="H1489" s="27">
        <v>42565.67550925926</v>
      </c>
      <c r="I1489" s="19">
        <f>IFERROR(__xludf.DUMMYFUNCTION("IFERROR(TO_DATE(H1489), """")"),42565.67550925926)</f>
        <v>42565.67551</v>
      </c>
      <c r="J1489" s="19" t="s">
        <v>10</v>
      </c>
      <c r="K1489" s="22">
        <f t="shared" si="2"/>
        <v>0</v>
      </c>
    </row>
    <row r="1490">
      <c r="A1490" s="18">
        <v>5275.0</v>
      </c>
      <c r="B1490" s="18" t="s">
        <v>32</v>
      </c>
      <c r="C1490" s="18">
        <v>157.0</v>
      </c>
      <c r="D1490" s="18" t="s">
        <v>31</v>
      </c>
      <c r="E1490" s="27">
        <v>42565.901504629626</v>
      </c>
      <c r="F1490" s="19">
        <f>IFERROR(__xludf.DUMMYFUNCTION("IFERROR(TO_DATE(E1490), """")"),42565.901504629626)</f>
        <v>42565.9015</v>
      </c>
      <c r="G1490" s="20">
        <f t="shared" si="1"/>
        <v>21</v>
      </c>
      <c r="H1490" s="27">
        <v>42565.93185185185</v>
      </c>
      <c r="I1490" s="19">
        <f>IFERROR(__xludf.DUMMYFUNCTION("IFERROR(TO_DATE(H1490), """")"),42565.93185185185)</f>
        <v>42565.93185</v>
      </c>
      <c r="J1490" s="19" t="s">
        <v>13</v>
      </c>
      <c r="K1490" s="22">
        <f t="shared" si="2"/>
        <v>0</v>
      </c>
    </row>
    <row r="1491">
      <c r="A1491" s="18">
        <v>1262.0</v>
      </c>
      <c r="B1491" s="18" t="s">
        <v>30</v>
      </c>
      <c r="C1491" s="18">
        <v>158.0</v>
      </c>
      <c r="D1491" s="18" t="s">
        <v>31</v>
      </c>
      <c r="E1491" s="26">
        <v>42562.916666666664</v>
      </c>
      <c r="F1491" s="19">
        <f>IFERROR(__xludf.DUMMYFUNCTION("IFERROR(TO_DATE(E1491), """")"),42562.916666666664)</f>
        <v>42562.91667</v>
      </c>
      <c r="G1491" s="20">
        <f t="shared" si="1"/>
        <v>22</v>
      </c>
      <c r="H1491" s="26">
        <v>42562.96111111111</v>
      </c>
      <c r="I1491" s="19">
        <f>IFERROR(__xludf.DUMMYFUNCTION("IFERROR(TO_DATE(H1491), """")"),42562.96111111111)</f>
        <v>42562.96111</v>
      </c>
      <c r="J1491" s="19" t="s">
        <v>13</v>
      </c>
      <c r="K1491" s="22">
        <f t="shared" si="2"/>
        <v>0</v>
      </c>
    </row>
    <row r="1492">
      <c r="A1492" s="18">
        <v>1600.0</v>
      </c>
      <c r="B1492" s="18" t="s">
        <v>32</v>
      </c>
      <c r="C1492" s="18">
        <v>158.0</v>
      </c>
      <c r="D1492" s="18" t="s">
        <v>31</v>
      </c>
      <c r="E1492" s="26">
        <v>42563.277083333334</v>
      </c>
      <c r="F1492" s="19">
        <f>IFERROR(__xludf.DUMMYFUNCTION("IFERROR(TO_DATE(E1492), """")"),42563.277083333334)</f>
        <v>42563.27708</v>
      </c>
      <c r="G1492" s="20">
        <f t="shared" si="1"/>
        <v>6</v>
      </c>
      <c r="H1492" s="26">
        <v>42563.30069444444</v>
      </c>
      <c r="I1492" s="19">
        <f>IFERROR(__xludf.DUMMYFUNCTION("IFERROR(TO_DATE(H1492), """")"),42563.30069444444)</f>
        <v>42563.30069</v>
      </c>
      <c r="J1492" s="19" t="s">
        <v>11</v>
      </c>
      <c r="K1492" s="22">
        <f t="shared" si="2"/>
        <v>0</v>
      </c>
    </row>
    <row r="1493">
      <c r="A1493" s="18">
        <v>2016.0</v>
      </c>
      <c r="B1493" s="18" t="s">
        <v>32</v>
      </c>
      <c r="C1493" s="18">
        <v>158.0</v>
      </c>
      <c r="D1493" s="18" t="s">
        <v>31</v>
      </c>
      <c r="E1493" s="26">
        <v>42563.56527777778</v>
      </c>
      <c r="F1493" s="19">
        <f>IFERROR(__xludf.DUMMYFUNCTION("IFERROR(TO_DATE(E1493), """")"),42563.56527777778)</f>
        <v>42563.56528</v>
      </c>
      <c r="G1493" s="20">
        <f t="shared" si="1"/>
        <v>13</v>
      </c>
      <c r="H1493" s="26">
        <v>42563.60833333333</v>
      </c>
      <c r="I1493" s="19">
        <f>IFERROR(__xludf.DUMMYFUNCTION("IFERROR(TO_DATE(H1493), """")"),42563.60833333333)</f>
        <v>42563.60833</v>
      </c>
      <c r="J1493" s="19" t="s">
        <v>10</v>
      </c>
      <c r="K1493" s="22">
        <f t="shared" si="2"/>
        <v>0</v>
      </c>
    </row>
    <row r="1494">
      <c r="A1494" s="18">
        <v>2370.0</v>
      </c>
      <c r="B1494" s="18" t="s">
        <v>30</v>
      </c>
      <c r="C1494" s="18">
        <v>158.0</v>
      </c>
      <c r="D1494" s="18" t="s">
        <v>31</v>
      </c>
      <c r="E1494" s="26">
        <v>42563.81736111111</v>
      </c>
      <c r="F1494" s="19">
        <f>IFERROR(__xludf.DUMMYFUNCTION("IFERROR(TO_DATE(E1494), """")"),42563.81736111111)</f>
        <v>42563.81736</v>
      </c>
      <c r="G1494" s="20">
        <f t="shared" si="1"/>
        <v>19</v>
      </c>
      <c r="H1494" s="26">
        <v>42563.84097222222</v>
      </c>
      <c r="I1494" s="19">
        <f>IFERROR(__xludf.DUMMYFUNCTION("IFERROR(TO_DATE(H1494), """")"),42563.84097222222)</f>
        <v>42563.84097</v>
      </c>
      <c r="J1494" s="19" t="s">
        <v>12</v>
      </c>
      <c r="K1494" s="22">
        <f t="shared" si="2"/>
        <v>0</v>
      </c>
    </row>
    <row r="1495">
      <c r="A1495" s="18">
        <v>3192.0</v>
      </c>
      <c r="B1495" s="18" t="s">
        <v>30</v>
      </c>
      <c r="C1495" s="18">
        <v>158.0</v>
      </c>
      <c r="D1495" s="18" t="s">
        <v>31</v>
      </c>
      <c r="E1495" s="27">
        <v>42564.397511574076</v>
      </c>
      <c r="F1495" s="19">
        <f>IFERROR(__xludf.DUMMYFUNCTION("IFERROR(TO_DATE(E1495), """")"),42564.397511574076)</f>
        <v>42564.39751</v>
      </c>
      <c r="G1495" s="20">
        <f t="shared" si="1"/>
        <v>9</v>
      </c>
      <c r="H1495" s="27">
        <v>42564.44608796296</v>
      </c>
      <c r="I1495" s="19">
        <f>IFERROR(__xludf.DUMMYFUNCTION("IFERROR(TO_DATE(H1495), """")"),42564.44608796296)</f>
        <v>42564.44609</v>
      </c>
      <c r="J1495" s="19" t="s">
        <v>14</v>
      </c>
      <c r="K1495" s="22">
        <f t="shared" si="2"/>
        <v>0</v>
      </c>
    </row>
    <row r="1496">
      <c r="A1496" s="18">
        <v>3367.0</v>
      </c>
      <c r="B1496" s="18" t="s">
        <v>30</v>
      </c>
      <c r="C1496" s="18">
        <v>158.0</v>
      </c>
      <c r="D1496" s="18" t="s">
        <v>31</v>
      </c>
      <c r="E1496" s="27">
        <v>42564.57708333333</v>
      </c>
      <c r="F1496" s="19">
        <f>IFERROR(__xludf.DUMMYFUNCTION("IFERROR(TO_DATE(E1496), """")"),42564.57708333333)</f>
        <v>42564.57708</v>
      </c>
      <c r="G1496" s="20">
        <f t="shared" si="1"/>
        <v>13</v>
      </c>
      <c r="H1496" s="27">
        <v>42564.60381944444</v>
      </c>
      <c r="I1496" s="19">
        <f>IFERROR(__xludf.DUMMYFUNCTION("IFERROR(TO_DATE(H1496), """")"),42564.60381944444)</f>
        <v>42564.60382</v>
      </c>
      <c r="J1496" s="19" t="s">
        <v>10</v>
      </c>
      <c r="K1496" s="22">
        <f t="shared" si="2"/>
        <v>0</v>
      </c>
    </row>
    <row r="1497">
      <c r="A1497" s="18">
        <v>3952.0</v>
      </c>
      <c r="B1497" s="18" t="s">
        <v>32</v>
      </c>
      <c r="C1497" s="18">
        <v>158.0</v>
      </c>
      <c r="D1497" s="18" t="s">
        <v>31</v>
      </c>
      <c r="E1497" s="27">
        <v>42564.94802083333</v>
      </c>
      <c r="F1497" s="19">
        <f>IFERROR(__xludf.DUMMYFUNCTION("IFERROR(TO_DATE(E1497), """")"),42564.94802083333)</f>
        <v>42564.94802</v>
      </c>
      <c r="G1497" s="20">
        <f t="shared" si="1"/>
        <v>22</v>
      </c>
      <c r="H1497" s="27">
        <v>42564.9868287037</v>
      </c>
      <c r="I1497" s="19">
        <f>IFERROR(__xludf.DUMMYFUNCTION("IFERROR(TO_DATE(H1497), """")"),42564.9868287037)</f>
        <v>42564.98683</v>
      </c>
      <c r="J1497" s="19" t="s">
        <v>13</v>
      </c>
      <c r="K1497" s="22">
        <f t="shared" si="2"/>
        <v>0</v>
      </c>
    </row>
    <row r="1498">
      <c r="A1498" s="18">
        <v>4517.0</v>
      </c>
      <c r="B1498" s="18" t="s">
        <v>30</v>
      </c>
      <c r="C1498" s="18">
        <v>158.0</v>
      </c>
      <c r="D1498" s="18" t="s">
        <v>31</v>
      </c>
      <c r="E1498" s="27">
        <v>42565.39082175926</v>
      </c>
      <c r="F1498" s="19">
        <f>IFERROR(__xludf.DUMMYFUNCTION("IFERROR(TO_DATE(E1498), """")"),42565.39082175926)</f>
        <v>42565.39082</v>
      </c>
      <c r="G1498" s="20">
        <f t="shared" si="1"/>
        <v>9</v>
      </c>
      <c r="H1498" s="27">
        <v>42565.419953703706</v>
      </c>
      <c r="I1498" s="19">
        <f>IFERROR(__xludf.DUMMYFUNCTION("IFERROR(TO_DATE(H1498), """")"),42565.419953703706)</f>
        <v>42565.41995</v>
      </c>
      <c r="J1498" s="19" t="s">
        <v>14</v>
      </c>
      <c r="K1498" s="22">
        <f t="shared" si="2"/>
        <v>0</v>
      </c>
    </row>
    <row r="1499">
      <c r="A1499" s="18">
        <v>4944.0</v>
      </c>
      <c r="B1499" s="18" t="s">
        <v>32</v>
      </c>
      <c r="C1499" s="18">
        <v>158.0</v>
      </c>
      <c r="D1499" s="18" t="s">
        <v>31</v>
      </c>
      <c r="E1499" s="27">
        <v>42565.77295138889</v>
      </c>
      <c r="F1499" s="19">
        <f>IFERROR(__xludf.DUMMYFUNCTION("IFERROR(TO_DATE(E1499), """")"),42565.77295138889)</f>
        <v>42565.77295</v>
      </c>
      <c r="G1499" s="20">
        <f t="shared" si="1"/>
        <v>18</v>
      </c>
      <c r="H1499" s="27">
        <v>42565.79503472222</v>
      </c>
      <c r="I1499" s="19">
        <f>IFERROR(__xludf.DUMMYFUNCTION("IFERROR(TO_DATE(H1499), """")"),42565.79503472222)</f>
        <v>42565.79503</v>
      </c>
      <c r="J1499" s="19" t="s">
        <v>12</v>
      </c>
      <c r="K1499" s="22">
        <f t="shared" si="2"/>
        <v>0</v>
      </c>
    </row>
    <row r="1500">
      <c r="A1500" s="18">
        <v>6037.0</v>
      </c>
      <c r="B1500" s="18" t="s">
        <v>30</v>
      </c>
      <c r="C1500" s="18">
        <v>158.0</v>
      </c>
      <c r="D1500" s="18" t="s">
        <v>31</v>
      </c>
      <c r="E1500" s="27">
        <v>42566.54403935185</v>
      </c>
      <c r="F1500" s="19">
        <f>IFERROR(__xludf.DUMMYFUNCTION("IFERROR(TO_DATE(E1500), """")"),42566.54403935185)</f>
        <v>42566.54404</v>
      </c>
      <c r="G1500" s="20">
        <f t="shared" si="1"/>
        <v>13</v>
      </c>
      <c r="H1500" s="27">
        <v>42566.58440972222</v>
      </c>
      <c r="I1500" s="19">
        <f>IFERROR(__xludf.DUMMYFUNCTION("IFERROR(TO_DATE(H1500), """")"),42566.58440972222)</f>
        <v>42566.58441</v>
      </c>
      <c r="J1500" s="19" t="s">
        <v>10</v>
      </c>
      <c r="K1500" s="22">
        <f t="shared" si="2"/>
        <v>0</v>
      </c>
    </row>
    <row r="1501">
      <c r="A1501" s="18">
        <v>6385.0</v>
      </c>
      <c r="B1501" s="18" t="s">
        <v>30</v>
      </c>
      <c r="C1501" s="18">
        <v>158.0</v>
      </c>
      <c r="D1501" s="18" t="s">
        <v>31</v>
      </c>
      <c r="E1501" s="27">
        <v>42566.80540509259</v>
      </c>
      <c r="F1501" s="19">
        <f>IFERROR(__xludf.DUMMYFUNCTION("IFERROR(TO_DATE(E1501), """")"),42566.80540509259)</f>
        <v>42566.80541</v>
      </c>
      <c r="G1501" s="20">
        <f t="shared" si="1"/>
        <v>19</v>
      </c>
      <c r="H1501" s="27">
        <v>42566.847916666666</v>
      </c>
      <c r="I1501" s="19">
        <f>IFERROR(__xludf.DUMMYFUNCTION("IFERROR(TO_DATE(H1501), """")"),42566.847916666666)</f>
        <v>42566.84792</v>
      </c>
      <c r="J1501" s="19" t="s">
        <v>12</v>
      </c>
      <c r="K1501" s="22">
        <f t="shared" si="2"/>
        <v>0</v>
      </c>
    </row>
    <row r="1502">
      <c r="A1502" s="18">
        <v>398.0</v>
      </c>
      <c r="B1502" s="18" t="s">
        <v>32</v>
      </c>
      <c r="C1502" s="18">
        <v>159.0</v>
      </c>
      <c r="D1502" s="18" t="s">
        <v>31</v>
      </c>
      <c r="E1502" s="26">
        <v>42562.35138888889</v>
      </c>
      <c r="F1502" s="19">
        <f>IFERROR(__xludf.DUMMYFUNCTION("IFERROR(TO_DATE(E1502), """")"),42562.35138888889)</f>
        <v>42562.35139</v>
      </c>
      <c r="G1502" s="20">
        <f t="shared" si="1"/>
        <v>8</v>
      </c>
      <c r="H1502" s="26">
        <v>42562.39722222222</v>
      </c>
      <c r="I1502" s="19">
        <f>IFERROR(__xludf.DUMMYFUNCTION("IFERROR(TO_DATE(H1502), """")"),42562.39722222222)</f>
        <v>42562.39722</v>
      </c>
      <c r="J1502" s="19" t="s">
        <v>14</v>
      </c>
      <c r="K1502" s="22">
        <f t="shared" si="2"/>
        <v>0</v>
      </c>
    </row>
    <row r="1503">
      <c r="A1503" s="18">
        <v>2163.0</v>
      </c>
      <c r="B1503" s="18" t="s">
        <v>30</v>
      </c>
      <c r="C1503" s="18">
        <v>159.0</v>
      </c>
      <c r="D1503" s="18" t="s">
        <v>31</v>
      </c>
      <c r="E1503" s="26">
        <v>42563.729166666664</v>
      </c>
      <c r="F1503" s="19">
        <f>IFERROR(__xludf.DUMMYFUNCTION("IFERROR(TO_DATE(E1503), """")"),42563.729166666664)</f>
        <v>42563.72917</v>
      </c>
      <c r="G1503" s="20">
        <f t="shared" si="1"/>
        <v>17</v>
      </c>
      <c r="H1503" s="26">
        <v>42563.75486111111</v>
      </c>
      <c r="I1503" s="19">
        <f>IFERROR(__xludf.DUMMYFUNCTION("IFERROR(TO_DATE(H1503), """")"),42563.75486111111)</f>
        <v>42563.75486</v>
      </c>
      <c r="J1503" s="19" t="s">
        <v>12</v>
      </c>
      <c r="K1503" s="22">
        <f t="shared" si="2"/>
        <v>0</v>
      </c>
    </row>
    <row r="1504">
      <c r="A1504" s="18">
        <v>3985.0</v>
      </c>
      <c r="B1504" s="18" t="s">
        <v>30</v>
      </c>
      <c r="C1504" s="18">
        <v>159.0</v>
      </c>
      <c r="D1504" s="18" t="s">
        <v>31</v>
      </c>
      <c r="E1504" s="27">
        <v>42564.96895833333</v>
      </c>
      <c r="F1504" s="19">
        <f>IFERROR(__xludf.DUMMYFUNCTION("IFERROR(TO_DATE(E1504), """")"),42564.96895833333)</f>
        <v>42564.96896</v>
      </c>
      <c r="G1504" s="20">
        <f t="shared" si="1"/>
        <v>23</v>
      </c>
      <c r="H1504" s="27">
        <v>42565.02327546296</v>
      </c>
      <c r="I1504" s="19">
        <f>IFERROR(__xludf.DUMMYFUNCTION("IFERROR(TO_DATE(H1504), """")"),42565.02327546296)</f>
        <v>42565.02328</v>
      </c>
      <c r="J1504" s="19" t="s">
        <v>13</v>
      </c>
      <c r="K1504" s="22">
        <f t="shared" si="2"/>
        <v>0</v>
      </c>
    </row>
    <row r="1505">
      <c r="A1505" s="18">
        <v>4780.0</v>
      </c>
      <c r="B1505" s="18" t="s">
        <v>32</v>
      </c>
      <c r="C1505" s="18">
        <v>159.0</v>
      </c>
      <c r="D1505" s="18" t="s">
        <v>31</v>
      </c>
      <c r="E1505" s="27">
        <v>42565.687268518515</v>
      </c>
      <c r="F1505" s="19">
        <f>IFERROR(__xludf.DUMMYFUNCTION("IFERROR(TO_DATE(E1505), """")"),42565.687268518515)</f>
        <v>42565.68727</v>
      </c>
      <c r="G1505" s="20">
        <f t="shared" si="1"/>
        <v>16</v>
      </c>
      <c r="H1505" s="27">
        <v>42565.707407407404</v>
      </c>
      <c r="I1505" s="19">
        <f>IFERROR(__xludf.DUMMYFUNCTION("IFERROR(TO_DATE(H1505), """")"),42565.707407407404)</f>
        <v>42565.70741</v>
      </c>
      <c r="J1505" s="19" t="s">
        <v>12</v>
      </c>
      <c r="K1505" s="22">
        <f t="shared" si="2"/>
        <v>0</v>
      </c>
    </row>
    <row r="1506">
      <c r="A1506" s="18">
        <v>5453.0</v>
      </c>
      <c r="B1506" s="18" t="s">
        <v>32</v>
      </c>
      <c r="C1506" s="18">
        <v>159.0</v>
      </c>
      <c r="D1506" s="18" t="s">
        <v>31</v>
      </c>
      <c r="E1506" s="27">
        <v>42566.151412037034</v>
      </c>
      <c r="F1506" s="19">
        <f>IFERROR(__xludf.DUMMYFUNCTION("IFERROR(TO_DATE(E1506), """")"),42566.151412037034)</f>
        <v>42566.15141</v>
      </c>
      <c r="G1506" s="20">
        <f t="shared" si="1"/>
        <v>3</v>
      </c>
      <c r="H1506" s="27">
        <v>42566.186215277776</v>
      </c>
      <c r="I1506" s="19">
        <f>IFERROR(__xludf.DUMMYFUNCTION("IFERROR(TO_DATE(H1506), """")"),42566.186215277776)</f>
        <v>42566.18622</v>
      </c>
      <c r="J1506" s="19" t="s">
        <v>15</v>
      </c>
      <c r="K1506" s="22">
        <f t="shared" si="2"/>
        <v>0</v>
      </c>
    </row>
    <row r="1507">
      <c r="A1507" s="18">
        <v>5807.0</v>
      </c>
      <c r="B1507" s="18" t="s">
        <v>32</v>
      </c>
      <c r="C1507" s="18">
        <v>159.0</v>
      </c>
      <c r="D1507" s="18" t="s">
        <v>31</v>
      </c>
      <c r="E1507" s="27">
        <v>42566.36221064815</v>
      </c>
      <c r="F1507" s="19">
        <f>IFERROR(__xludf.DUMMYFUNCTION("IFERROR(TO_DATE(E1507), """")"),42566.36221064815)</f>
        <v>42566.36221</v>
      </c>
      <c r="G1507" s="20">
        <f t="shared" si="1"/>
        <v>8</v>
      </c>
      <c r="H1507" s="27">
        <v>42566.383310185185</v>
      </c>
      <c r="I1507" s="19">
        <f>IFERROR(__xludf.DUMMYFUNCTION("IFERROR(TO_DATE(H1507), """")"),42566.383310185185)</f>
        <v>42566.38331</v>
      </c>
      <c r="J1507" s="19" t="s">
        <v>14</v>
      </c>
      <c r="K1507" s="22">
        <f t="shared" si="2"/>
        <v>0</v>
      </c>
    </row>
    <row r="1508">
      <c r="A1508" s="18">
        <v>6074.0</v>
      </c>
      <c r="B1508" s="18" t="s">
        <v>30</v>
      </c>
      <c r="C1508" s="18">
        <v>159.0</v>
      </c>
      <c r="D1508" s="18" t="s">
        <v>31</v>
      </c>
      <c r="E1508" s="27">
        <v>42566.58831018519</v>
      </c>
      <c r="F1508" s="19">
        <f>IFERROR(__xludf.DUMMYFUNCTION("IFERROR(TO_DATE(E1508), """")"),42566.58831018519)</f>
        <v>42566.58831</v>
      </c>
      <c r="G1508" s="20">
        <f t="shared" si="1"/>
        <v>14</v>
      </c>
      <c r="H1508" s="27">
        <v>42566.62244212963</v>
      </c>
      <c r="I1508" s="19">
        <f>IFERROR(__xludf.DUMMYFUNCTION("IFERROR(TO_DATE(H1508), """")"),42566.62244212963)</f>
        <v>42566.62244</v>
      </c>
      <c r="J1508" s="19" t="s">
        <v>10</v>
      </c>
      <c r="K1508" s="22">
        <f t="shared" si="2"/>
        <v>0</v>
      </c>
    </row>
    <row r="1509">
      <c r="A1509" s="18">
        <v>6651.0</v>
      </c>
      <c r="B1509" s="18" t="s">
        <v>32</v>
      </c>
      <c r="C1509" s="18">
        <v>159.0</v>
      </c>
      <c r="D1509" s="18" t="s">
        <v>31</v>
      </c>
      <c r="E1509" s="27">
        <v>42566.92144675926</v>
      </c>
      <c r="F1509" s="19">
        <f>IFERROR(__xludf.DUMMYFUNCTION("IFERROR(TO_DATE(E1509), """")"),42566.92144675926)</f>
        <v>42566.92145</v>
      </c>
      <c r="G1509" s="20">
        <f t="shared" si="1"/>
        <v>22</v>
      </c>
      <c r="H1509" s="27">
        <v>42566.94886574074</v>
      </c>
      <c r="I1509" s="19">
        <f>IFERROR(__xludf.DUMMYFUNCTION("IFERROR(TO_DATE(H1509), """")"),42566.94886574074)</f>
        <v>42566.94887</v>
      </c>
      <c r="J1509" s="19" t="s">
        <v>13</v>
      </c>
      <c r="K1509" s="22">
        <f t="shared" si="2"/>
        <v>0</v>
      </c>
    </row>
    <row r="1510">
      <c r="A1510" s="18">
        <v>223.0</v>
      </c>
      <c r="B1510" s="18" t="s">
        <v>30</v>
      </c>
      <c r="C1510" s="18">
        <v>160.0</v>
      </c>
      <c r="D1510" s="18" t="s">
        <v>31</v>
      </c>
      <c r="E1510" s="26">
        <v>42562.25902777778</v>
      </c>
      <c r="F1510" s="19">
        <f>IFERROR(__xludf.DUMMYFUNCTION("IFERROR(TO_DATE(E1510), """")"),42562.25902777778)</f>
        <v>42562.25903</v>
      </c>
      <c r="G1510" s="20">
        <f t="shared" si="1"/>
        <v>6</v>
      </c>
      <c r="H1510" s="26">
        <v>42562.29513888889</v>
      </c>
      <c r="I1510" s="19">
        <f>IFERROR(__xludf.DUMMYFUNCTION("IFERROR(TO_DATE(H1510), """")"),42562.29513888889)</f>
        <v>42562.29514</v>
      </c>
      <c r="J1510" s="19" t="s">
        <v>11</v>
      </c>
      <c r="K1510" s="22">
        <f t="shared" si="2"/>
        <v>0</v>
      </c>
    </row>
    <row r="1511">
      <c r="A1511" s="18">
        <v>680.0</v>
      </c>
      <c r="B1511" s="18" t="s">
        <v>32</v>
      </c>
      <c r="C1511" s="18">
        <v>160.0</v>
      </c>
      <c r="D1511" s="18" t="s">
        <v>31</v>
      </c>
      <c r="E1511" s="26">
        <v>42562.5625</v>
      </c>
      <c r="F1511" s="19">
        <f>IFERROR(__xludf.DUMMYFUNCTION("IFERROR(TO_DATE(E1511), """")"),42562.5625)</f>
        <v>42562.5625</v>
      </c>
      <c r="G1511" s="20">
        <f t="shared" si="1"/>
        <v>13</v>
      </c>
      <c r="H1511" s="26">
        <v>42562.60972222222</v>
      </c>
      <c r="I1511" s="19">
        <f>IFERROR(__xludf.DUMMYFUNCTION("IFERROR(TO_DATE(H1511), """")"),42562.60972222222)</f>
        <v>42562.60972</v>
      </c>
      <c r="J1511" s="19" t="s">
        <v>10</v>
      </c>
      <c r="K1511" s="22">
        <f t="shared" si="2"/>
        <v>0</v>
      </c>
    </row>
    <row r="1512">
      <c r="A1512" s="18">
        <v>887.0</v>
      </c>
      <c r="B1512" s="18" t="s">
        <v>30</v>
      </c>
      <c r="C1512" s="18">
        <v>160.0</v>
      </c>
      <c r="D1512" s="18" t="s">
        <v>31</v>
      </c>
      <c r="E1512" s="26">
        <v>42562.756944444445</v>
      </c>
      <c r="F1512" s="19">
        <f>IFERROR(__xludf.DUMMYFUNCTION("IFERROR(TO_DATE(E1512), """")"),42562.756944444445)</f>
        <v>42562.75694</v>
      </c>
      <c r="G1512" s="20">
        <f t="shared" si="1"/>
        <v>18</v>
      </c>
      <c r="H1512" s="26">
        <v>42562.782638888886</v>
      </c>
      <c r="I1512" s="19">
        <f>IFERROR(__xludf.DUMMYFUNCTION("IFERROR(TO_DATE(H1512), """")"),42562.782638888886)</f>
        <v>42562.78264</v>
      </c>
      <c r="J1512" s="19" t="s">
        <v>12</v>
      </c>
      <c r="K1512" s="22">
        <f t="shared" si="2"/>
        <v>0</v>
      </c>
    </row>
    <row r="1513">
      <c r="A1513" s="18">
        <v>1689.0</v>
      </c>
      <c r="B1513" s="18" t="s">
        <v>30</v>
      </c>
      <c r="C1513" s="18">
        <v>160.0</v>
      </c>
      <c r="D1513" s="18" t="s">
        <v>31</v>
      </c>
      <c r="E1513" s="26">
        <v>42563.32708333333</v>
      </c>
      <c r="F1513" s="19">
        <f>IFERROR(__xludf.DUMMYFUNCTION("IFERROR(TO_DATE(E1513), """")"),42563.32708333333)</f>
        <v>42563.32708</v>
      </c>
      <c r="G1513" s="20">
        <f t="shared" si="1"/>
        <v>7</v>
      </c>
      <c r="H1513" s="26">
        <v>42563.35555555556</v>
      </c>
      <c r="I1513" s="19">
        <f>IFERROR(__xludf.DUMMYFUNCTION("IFERROR(TO_DATE(H1513), """")"),42563.35555555556)</f>
        <v>42563.35556</v>
      </c>
      <c r="J1513" s="19" t="s">
        <v>11</v>
      </c>
      <c r="K1513" s="22">
        <f t="shared" si="2"/>
        <v>0</v>
      </c>
    </row>
    <row r="1514">
      <c r="A1514" s="18">
        <v>1939.0</v>
      </c>
      <c r="B1514" s="18" t="s">
        <v>32</v>
      </c>
      <c r="C1514" s="18">
        <v>160.0</v>
      </c>
      <c r="D1514" s="18" t="s">
        <v>31</v>
      </c>
      <c r="E1514" s="26">
        <v>42563.47083333333</v>
      </c>
      <c r="F1514" s="19">
        <f>IFERROR(__xludf.DUMMYFUNCTION("IFERROR(TO_DATE(E1514), """")"),42563.47083333333)</f>
        <v>42563.47083</v>
      </c>
      <c r="G1514" s="20">
        <f t="shared" si="1"/>
        <v>11</v>
      </c>
      <c r="H1514" s="26">
        <v>42563.495833333334</v>
      </c>
      <c r="I1514" s="19">
        <f>IFERROR(__xludf.DUMMYFUNCTION("IFERROR(TO_DATE(H1514), """")"),42563.495833333334)</f>
        <v>42563.49583</v>
      </c>
      <c r="J1514" s="19" t="s">
        <v>14</v>
      </c>
      <c r="K1514" s="22">
        <f t="shared" si="2"/>
        <v>0</v>
      </c>
    </row>
    <row r="1515">
      <c r="A1515" s="18">
        <v>2182.0</v>
      </c>
      <c r="B1515" s="18" t="s">
        <v>32</v>
      </c>
      <c r="C1515" s="18">
        <v>160.0</v>
      </c>
      <c r="D1515" s="18" t="s">
        <v>31</v>
      </c>
      <c r="E1515" s="26">
        <v>42563.7375</v>
      </c>
      <c r="F1515" s="19">
        <f>IFERROR(__xludf.DUMMYFUNCTION("IFERROR(TO_DATE(E1515), """")"),42563.7375)</f>
        <v>42563.7375</v>
      </c>
      <c r="G1515" s="20">
        <f t="shared" si="1"/>
        <v>17</v>
      </c>
      <c r="H1515" s="26">
        <v>42563.770833333336</v>
      </c>
      <c r="I1515" s="19">
        <f>IFERROR(__xludf.DUMMYFUNCTION("IFERROR(TO_DATE(H1515), """")"),42563.770833333336)</f>
        <v>42563.77083</v>
      </c>
      <c r="J1515" s="19" t="s">
        <v>12</v>
      </c>
      <c r="K1515" s="22">
        <f t="shared" si="2"/>
        <v>0</v>
      </c>
    </row>
    <row r="1516">
      <c r="A1516" s="18">
        <v>3223.0</v>
      </c>
      <c r="B1516" s="18" t="s">
        <v>30</v>
      </c>
      <c r="C1516" s="18">
        <v>160.0</v>
      </c>
      <c r="D1516" s="18" t="s">
        <v>31</v>
      </c>
      <c r="E1516" s="27">
        <v>42564.408680555556</v>
      </c>
      <c r="F1516" s="19">
        <f>IFERROR(__xludf.DUMMYFUNCTION("IFERROR(TO_DATE(E1516), """")"),42564.408680555556)</f>
        <v>42564.40868</v>
      </c>
      <c r="G1516" s="20">
        <f t="shared" si="1"/>
        <v>9</v>
      </c>
      <c r="H1516" s="27">
        <v>42564.43866898148</v>
      </c>
      <c r="I1516" s="19">
        <f>IFERROR(__xludf.DUMMYFUNCTION("IFERROR(TO_DATE(H1516), """")"),42564.43866898148)</f>
        <v>42564.43867</v>
      </c>
      <c r="J1516" s="19" t="s">
        <v>14</v>
      </c>
      <c r="K1516" s="22">
        <f t="shared" si="2"/>
        <v>0</v>
      </c>
    </row>
    <row r="1517">
      <c r="A1517" s="18">
        <v>3819.0</v>
      </c>
      <c r="B1517" s="18" t="s">
        <v>30</v>
      </c>
      <c r="C1517" s="18">
        <v>160.0</v>
      </c>
      <c r="D1517" s="18" t="s">
        <v>31</v>
      </c>
      <c r="E1517" s="27">
        <v>42564.8806712963</v>
      </c>
      <c r="F1517" s="19">
        <f>IFERROR(__xludf.DUMMYFUNCTION("IFERROR(TO_DATE(E1517), """")"),42564.8806712963)</f>
        <v>42564.88067</v>
      </c>
      <c r="G1517" s="20">
        <f t="shared" si="1"/>
        <v>21</v>
      </c>
      <c r="H1517" s="27">
        <v>42564.908842592595</v>
      </c>
      <c r="I1517" s="19">
        <f>IFERROR(__xludf.DUMMYFUNCTION("IFERROR(TO_DATE(H1517), """")"),42564.908842592595)</f>
        <v>42564.90884</v>
      </c>
      <c r="J1517" s="19" t="s">
        <v>13</v>
      </c>
      <c r="K1517" s="22">
        <f t="shared" si="2"/>
        <v>0</v>
      </c>
    </row>
    <row r="1518">
      <c r="A1518" s="18">
        <v>4823.0</v>
      </c>
      <c r="B1518" s="18" t="s">
        <v>30</v>
      </c>
      <c r="C1518" s="18">
        <v>160.0</v>
      </c>
      <c r="D1518" s="18" t="s">
        <v>31</v>
      </c>
      <c r="E1518" s="27">
        <v>42565.72384259259</v>
      </c>
      <c r="F1518" s="19">
        <f>IFERROR(__xludf.DUMMYFUNCTION("IFERROR(TO_DATE(E1518), """")"),42565.72384259259)</f>
        <v>42565.72384</v>
      </c>
      <c r="G1518" s="20">
        <f t="shared" si="1"/>
        <v>17</v>
      </c>
      <c r="H1518" s="27">
        <v>42565.776724537034</v>
      </c>
      <c r="I1518" s="19">
        <f>IFERROR(__xludf.DUMMYFUNCTION("IFERROR(TO_DATE(H1518), """")"),42565.776724537034)</f>
        <v>42565.77672</v>
      </c>
      <c r="J1518" s="19" t="s">
        <v>12</v>
      </c>
      <c r="K1518" s="22">
        <f t="shared" si="2"/>
        <v>0</v>
      </c>
    </row>
    <row r="1519">
      <c r="A1519" s="18">
        <v>5431.0</v>
      </c>
      <c r="B1519" s="18" t="s">
        <v>30</v>
      </c>
      <c r="C1519" s="18">
        <v>160.0</v>
      </c>
      <c r="D1519" s="18" t="s">
        <v>31</v>
      </c>
      <c r="E1519" s="27">
        <v>42566.11006944445</v>
      </c>
      <c r="F1519" s="19">
        <f>IFERROR(__xludf.DUMMYFUNCTION("IFERROR(TO_DATE(E1519), """")"),42566.11006944445)</f>
        <v>42566.11007</v>
      </c>
      <c r="G1519" s="20">
        <f t="shared" si="1"/>
        <v>2</v>
      </c>
      <c r="H1519" s="27">
        <v>42566.141597222224</v>
      </c>
      <c r="I1519" s="19">
        <f>IFERROR(__xludf.DUMMYFUNCTION("IFERROR(TO_DATE(H1519), """")"),42566.141597222224)</f>
        <v>42566.1416</v>
      </c>
      <c r="J1519" s="19" t="s">
        <v>15</v>
      </c>
      <c r="K1519" s="22">
        <f t="shared" si="2"/>
        <v>0</v>
      </c>
    </row>
    <row r="1520">
      <c r="A1520" s="18">
        <v>6353.0</v>
      </c>
      <c r="B1520" s="18" t="s">
        <v>30</v>
      </c>
      <c r="C1520" s="18">
        <v>160.0</v>
      </c>
      <c r="D1520" s="18" t="s">
        <v>31</v>
      </c>
      <c r="E1520" s="27">
        <v>42566.78959490741</v>
      </c>
      <c r="F1520" s="19">
        <f>IFERROR(__xludf.DUMMYFUNCTION("IFERROR(TO_DATE(E1520), """")"),42566.78959490741)</f>
        <v>42566.78959</v>
      </c>
      <c r="G1520" s="20">
        <f t="shared" si="1"/>
        <v>18</v>
      </c>
      <c r="H1520" s="27">
        <v>42566.81107638889</v>
      </c>
      <c r="I1520" s="19">
        <f>IFERROR(__xludf.DUMMYFUNCTION("IFERROR(TO_DATE(H1520), """")"),42566.81107638889)</f>
        <v>42566.81108</v>
      </c>
      <c r="J1520" s="19" t="s">
        <v>12</v>
      </c>
      <c r="K1520" s="22">
        <f t="shared" si="2"/>
        <v>0</v>
      </c>
    </row>
    <row r="1521">
      <c r="A1521" s="18">
        <v>163.0</v>
      </c>
      <c r="B1521" s="18" t="s">
        <v>32</v>
      </c>
      <c r="C1521" s="18">
        <v>161.0</v>
      </c>
      <c r="D1521" s="18" t="s">
        <v>31</v>
      </c>
      <c r="E1521" s="26">
        <v>42562.23263888889</v>
      </c>
      <c r="F1521" s="19">
        <f>IFERROR(__xludf.DUMMYFUNCTION("IFERROR(TO_DATE(E1521), """")"),42562.23263888889)</f>
        <v>42562.23264</v>
      </c>
      <c r="G1521" s="20">
        <f t="shared" si="1"/>
        <v>5</v>
      </c>
      <c r="H1521" s="26">
        <v>42562.28402777778</v>
      </c>
      <c r="I1521" s="19">
        <f>IFERROR(__xludf.DUMMYFUNCTION("IFERROR(TO_DATE(H1521), """")"),42562.28402777778)</f>
        <v>42562.28403</v>
      </c>
      <c r="J1521" s="19" t="s">
        <v>11</v>
      </c>
      <c r="K1521" s="22">
        <f t="shared" si="2"/>
        <v>0</v>
      </c>
    </row>
    <row r="1522">
      <c r="A1522" s="18">
        <v>706.0</v>
      </c>
      <c r="B1522" s="18" t="s">
        <v>30</v>
      </c>
      <c r="C1522" s="18">
        <v>161.0</v>
      </c>
      <c r="D1522" s="18" t="s">
        <v>31</v>
      </c>
      <c r="E1522" s="26">
        <v>42562.59166666667</v>
      </c>
      <c r="F1522" s="19">
        <f>IFERROR(__xludf.DUMMYFUNCTION("IFERROR(TO_DATE(E1522), """")"),42562.59166666667)</f>
        <v>42562.59167</v>
      </c>
      <c r="G1522" s="20">
        <f t="shared" si="1"/>
        <v>14</v>
      </c>
      <c r="H1522" s="26">
        <v>42562.64375</v>
      </c>
      <c r="I1522" s="19">
        <f>IFERROR(__xludf.DUMMYFUNCTION("IFERROR(TO_DATE(H1522), """")"),42562.64375)</f>
        <v>42562.64375</v>
      </c>
      <c r="J1522" s="19" t="s">
        <v>10</v>
      </c>
      <c r="K1522" s="22">
        <f t="shared" si="2"/>
        <v>0</v>
      </c>
    </row>
    <row r="1523">
      <c r="A1523" s="18">
        <v>1214.0</v>
      </c>
      <c r="B1523" s="18" t="s">
        <v>30</v>
      </c>
      <c r="C1523" s="18">
        <v>161.0</v>
      </c>
      <c r="D1523" s="18" t="s">
        <v>31</v>
      </c>
      <c r="E1523" s="26">
        <v>42562.895833333336</v>
      </c>
      <c r="F1523" s="19">
        <f>IFERROR(__xludf.DUMMYFUNCTION("IFERROR(TO_DATE(E1523), """")"),42562.895833333336)</f>
        <v>42562.89583</v>
      </c>
      <c r="G1523" s="20">
        <f t="shared" si="1"/>
        <v>21</v>
      </c>
      <c r="H1523" s="26">
        <v>42562.91458333333</v>
      </c>
      <c r="I1523" s="19">
        <f>IFERROR(__xludf.DUMMYFUNCTION("IFERROR(TO_DATE(H1523), """")"),42562.91458333333)</f>
        <v>42562.91458</v>
      </c>
      <c r="J1523" s="19" t="s">
        <v>13</v>
      </c>
      <c r="K1523" s="22">
        <f t="shared" si="2"/>
        <v>0</v>
      </c>
    </row>
    <row r="1524">
      <c r="A1524" s="18">
        <v>1399.0</v>
      </c>
      <c r="B1524" s="18" t="s">
        <v>32</v>
      </c>
      <c r="C1524" s="18">
        <v>161.0</v>
      </c>
      <c r="D1524" s="18" t="s">
        <v>31</v>
      </c>
      <c r="E1524" s="26">
        <v>42563.10763888889</v>
      </c>
      <c r="F1524" s="19">
        <f>IFERROR(__xludf.DUMMYFUNCTION("IFERROR(TO_DATE(E1524), """")"),42563.10763888889)</f>
        <v>42563.10764</v>
      </c>
      <c r="G1524" s="20">
        <f t="shared" si="1"/>
        <v>2</v>
      </c>
      <c r="H1524" s="26">
        <v>42563.15416666667</v>
      </c>
      <c r="I1524" s="19">
        <f>IFERROR(__xludf.DUMMYFUNCTION("IFERROR(TO_DATE(H1524), """")"),42563.15416666667)</f>
        <v>42563.15417</v>
      </c>
      <c r="J1524" s="19" t="s">
        <v>15</v>
      </c>
      <c r="K1524" s="22">
        <f t="shared" si="2"/>
        <v>0</v>
      </c>
    </row>
    <row r="1525">
      <c r="A1525" s="18">
        <v>1574.0</v>
      </c>
      <c r="B1525" s="18" t="s">
        <v>30</v>
      </c>
      <c r="C1525" s="18">
        <v>161.0</v>
      </c>
      <c r="D1525" s="18" t="s">
        <v>31</v>
      </c>
      <c r="E1525" s="26">
        <v>42563.268055555556</v>
      </c>
      <c r="F1525" s="19">
        <f>IFERROR(__xludf.DUMMYFUNCTION("IFERROR(TO_DATE(E1525), """")"),42563.268055555556)</f>
        <v>42563.26806</v>
      </c>
      <c r="G1525" s="20">
        <f t="shared" si="1"/>
        <v>6</v>
      </c>
      <c r="H1525" s="26">
        <v>42563.302083333336</v>
      </c>
      <c r="I1525" s="19">
        <f>IFERROR(__xludf.DUMMYFUNCTION("IFERROR(TO_DATE(H1525), """")"),42563.302083333336)</f>
        <v>42563.30208</v>
      </c>
      <c r="J1525" s="19" t="s">
        <v>11</v>
      </c>
      <c r="K1525" s="22">
        <f t="shared" si="2"/>
        <v>0</v>
      </c>
    </row>
    <row r="1526">
      <c r="A1526" s="18">
        <v>1870.0</v>
      </c>
      <c r="B1526" s="18" t="s">
        <v>32</v>
      </c>
      <c r="C1526" s="18">
        <v>161.0</v>
      </c>
      <c r="D1526" s="18" t="s">
        <v>31</v>
      </c>
      <c r="E1526" s="26">
        <v>42563.41736111111</v>
      </c>
      <c r="F1526" s="19">
        <f>IFERROR(__xludf.DUMMYFUNCTION("IFERROR(TO_DATE(E1526), """")"),42563.41736111111)</f>
        <v>42563.41736</v>
      </c>
      <c r="G1526" s="20">
        <f t="shared" si="1"/>
        <v>10</v>
      </c>
      <c r="H1526" s="26">
        <v>42563.44583333333</v>
      </c>
      <c r="I1526" s="19">
        <f>IFERROR(__xludf.DUMMYFUNCTION("IFERROR(TO_DATE(H1526), """")"),42563.44583333333)</f>
        <v>42563.44583</v>
      </c>
      <c r="J1526" s="19" t="s">
        <v>14</v>
      </c>
      <c r="K1526" s="22">
        <f t="shared" si="2"/>
        <v>0</v>
      </c>
    </row>
    <row r="1527">
      <c r="A1527" s="18">
        <v>2267.0</v>
      </c>
      <c r="B1527" s="18" t="s">
        <v>30</v>
      </c>
      <c r="C1527" s="18">
        <v>161.0</v>
      </c>
      <c r="D1527" s="18" t="s">
        <v>31</v>
      </c>
      <c r="E1527" s="26">
        <v>42563.77291666667</v>
      </c>
      <c r="F1527" s="19">
        <f>IFERROR(__xludf.DUMMYFUNCTION("IFERROR(TO_DATE(E1527), """")"),42563.77291666667)</f>
        <v>42563.77292</v>
      </c>
      <c r="G1527" s="20">
        <f t="shared" si="1"/>
        <v>18</v>
      </c>
      <c r="H1527" s="26">
        <v>42563.816666666666</v>
      </c>
      <c r="I1527" s="19">
        <f>IFERROR(__xludf.DUMMYFUNCTION("IFERROR(TO_DATE(H1527), """")"),42563.816666666666)</f>
        <v>42563.81667</v>
      </c>
      <c r="J1527" s="19" t="s">
        <v>12</v>
      </c>
      <c r="K1527" s="22">
        <f t="shared" si="2"/>
        <v>0</v>
      </c>
    </row>
    <row r="1528">
      <c r="A1528" s="18">
        <v>2658.0</v>
      </c>
      <c r="B1528" s="18" t="s">
        <v>30</v>
      </c>
      <c r="C1528" s="18">
        <v>161.0</v>
      </c>
      <c r="D1528" s="18" t="s">
        <v>31</v>
      </c>
      <c r="E1528" s="26">
        <v>42563.97083333333</v>
      </c>
      <c r="F1528" s="19">
        <f>IFERROR(__xludf.DUMMYFUNCTION("IFERROR(TO_DATE(E1528), """")"),42563.97083333333)</f>
        <v>42563.97083</v>
      </c>
      <c r="G1528" s="20">
        <f t="shared" si="1"/>
        <v>23</v>
      </c>
      <c r="H1528" s="27">
        <v>42564.00232638889</v>
      </c>
      <c r="I1528" s="19">
        <f>IFERROR(__xludf.DUMMYFUNCTION("IFERROR(TO_DATE(H1528), """")"),42564.00232638889)</f>
        <v>42564.00233</v>
      </c>
      <c r="J1528" s="19" t="s">
        <v>13</v>
      </c>
      <c r="K1528" s="22">
        <f t="shared" si="2"/>
        <v>0</v>
      </c>
    </row>
    <row r="1529">
      <c r="A1529" s="18">
        <v>3048.0</v>
      </c>
      <c r="B1529" s="18" t="s">
        <v>30</v>
      </c>
      <c r="C1529" s="18">
        <v>161.0</v>
      </c>
      <c r="D1529" s="18" t="s">
        <v>31</v>
      </c>
      <c r="E1529" s="27">
        <v>42564.320335648146</v>
      </c>
      <c r="F1529" s="19">
        <f>IFERROR(__xludf.DUMMYFUNCTION("IFERROR(TO_DATE(E1529), """")"),42564.320335648146)</f>
        <v>42564.32034</v>
      </c>
      <c r="G1529" s="20">
        <f t="shared" si="1"/>
        <v>7</v>
      </c>
      <c r="H1529" s="27">
        <v>42564.34327546296</v>
      </c>
      <c r="I1529" s="19">
        <f>IFERROR(__xludf.DUMMYFUNCTION("IFERROR(TO_DATE(H1529), """")"),42564.34327546296)</f>
        <v>42564.34328</v>
      </c>
      <c r="J1529" s="19" t="s">
        <v>11</v>
      </c>
      <c r="K1529" s="22">
        <f t="shared" si="2"/>
        <v>0</v>
      </c>
    </row>
    <row r="1530">
      <c r="A1530" s="18">
        <v>3301.0</v>
      </c>
      <c r="B1530" s="18" t="s">
        <v>30</v>
      </c>
      <c r="C1530" s="18">
        <v>161.0</v>
      </c>
      <c r="D1530" s="18" t="s">
        <v>31</v>
      </c>
      <c r="E1530" s="27">
        <v>42564.48726851852</v>
      </c>
      <c r="F1530" s="19">
        <f>IFERROR(__xludf.DUMMYFUNCTION("IFERROR(TO_DATE(E1530), """")"),42564.48726851852)</f>
        <v>42564.48727</v>
      </c>
      <c r="G1530" s="20">
        <f t="shared" si="1"/>
        <v>11</v>
      </c>
      <c r="H1530" s="27">
        <v>42564.51988425926</v>
      </c>
      <c r="I1530" s="19">
        <f>IFERROR(__xludf.DUMMYFUNCTION("IFERROR(TO_DATE(H1530), """")"),42564.51988425926)</f>
        <v>42564.51988</v>
      </c>
      <c r="J1530" s="19" t="s">
        <v>14</v>
      </c>
      <c r="K1530" s="22">
        <f t="shared" si="2"/>
        <v>0</v>
      </c>
    </row>
    <row r="1531">
      <c r="A1531" s="18">
        <v>3477.0</v>
      </c>
      <c r="B1531" s="18" t="s">
        <v>32</v>
      </c>
      <c r="C1531" s="18">
        <v>161.0</v>
      </c>
      <c r="D1531" s="18" t="s">
        <v>31</v>
      </c>
      <c r="E1531" s="27">
        <v>42564.7208912037</v>
      </c>
      <c r="F1531" s="19">
        <f>IFERROR(__xludf.DUMMYFUNCTION("IFERROR(TO_DATE(E1531), """")"),42564.7208912037)</f>
        <v>42564.72089</v>
      </c>
      <c r="G1531" s="20">
        <f t="shared" si="1"/>
        <v>17</v>
      </c>
      <c r="H1531" s="27">
        <v>42564.75693287037</v>
      </c>
      <c r="I1531" s="19">
        <f>IFERROR(__xludf.DUMMYFUNCTION("IFERROR(TO_DATE(H1531), """")"),42564.75693287037)</f>
        <v>42564.75693</v>
      </c>
      <c r="J1531" s="19" t="s">
        <v>12</v>
      </c>
      <c r="K1531" s="22">
        <f t="shared" si="2"/>
        <v>0</v>
      </c>
    </row>
    <row r="1532">
      <c r="A1532" s="18">
        <v>4371.0</v>
      </c>
      <c r="B1532" s="18" t="s">
        <v>32</v>
      </c>
      <c r="C1532" s="18">
        <v>161.0</v>
      </c>
      <c r="D1532" s="18" t="s">
        <v>31</v>
      </c>
      <c r="E1532" s="27">
        <v>42565.3159375</v>
      </c>
      <c r="F1532" s="19">
        <f>IFERROR(__xludf.DUMMYFUNCTION("IFERROR(TO_DATE(E1532), """")"),42565.3159375)</f>
        <v>42565.31594</v>
      </c>
      <c r="G1532" s="20">
        <f t="shared" si="1"/>
        <v>7</v>
      </c>
      <c r="H1532" s="27">
        <v>42565.350381944445</v>
      </c>
      <c r="I1532" s="19">
        <f>IFERROR(__xludf.DUMMYFUNCTION("IFERROR(TO_DATE(H1532), """")"),42565.350381944445)</f>
        <v>42565.35038</v>
      </c>
      <c r="J1532" s="19" t="s">
        <v>11</v>
      </c>
      <c r="K1532" s="22">
        <f t="shared" si="2"/>
        <v>0</v>
      </c>
    </row>
    <row r="1533">
      <c r="A1533" s="18">
        <v>445.0</v>
      </c>
      <c r="B1533" s="18" t="s">
        <v>32</v>
      </c>
      <c r="C1533" s="18">
        <v>162.0</v>
      </c>
      <c r="D1533" s="18" t="s">
        <v>31</v>
      </c>
      <c r="E1533" s="26">
        <v>42562.379166666666</v>
      </c>
      <c r="F1533" s="19">
        <f>IFERROR(__xludf.DUMMYFUNCTION("IFERROR(TO_DATE(E1533), """")"),42562.379166666666)</f>
        <v>42562.37917</v>
      </c>
      <c r="G1533" s="20">
        <f t="shared" si="1"/>
        <v>9</v>
      </c>
      <c r="H1533" s="26">
        <v>42562.42013888889</v>
      </c>
      <c r="I1533" s="19">
        <f>IFERROR(__xludf.DUMMYFUNCTION("IFERROR(TO_DATE(H1533), """")"),42562.42013888889)</f>
        <v>42562.42014</v>
      </c>
      <c r="J1533" s="19" t="s">
        <v>14</v>
      </c>
      <c r="K1533" s="22">
        <f t="shared" si="2"/>
        <v>0</v>
      </c>
    </row>
    <row r="1534">
      <c r="A1534" s="18">
        <v>1100.0</v>
      </c>
      <c r="B1534" s="18" t="s">
        <v>30</v>
      </c>
      <c r="C1534" s="18">
        <v>162.0</v>
      </c>
      <c r="D1534" s="18" t="s">
        <v>31</v>
      </c>
      <c r="E1534" s="26">
        <v>42562.84027777778</v>
      </c>
      <c r="F1534" s="19">
        <f>IFERROR(__xludf.DUMMYFUNCTION("IFERROR(TO_DATE(E1534), """")"),42562.84027777778)</f>
        <v>42562.84028</v>
      </c>
      <c r="G1534" s="20">
        <f t="shared" si="1"/>
        <v>20</v>
      </c>
      <c r="H1534" s="26">
        <v>42562.86944444444</v>
      </c>
      <c r="I1534" s="19">
        <f>IFERROR(__xludf.DUMMYFUNCTION("IFERROR(TO_DATE(H1534), """")"),42562.86944444444)</f>
        <v>42562.86944</v>
      </c>
      <c r="J1534" s="19" t="s">
        <v>13</v>
      </c>
      <c r="K1534" s="22">
        <f t="shared" si="2"/>
        <v>0</v>
      </c>
    </row>
    <row r="1535">
      <c r="A1535" s="18">
        <v>1961.0</v>
      </c>
      <c r="B1535" s="18" t="s">
        <v>32</v>
      </c>
      <c r="C1535" s="18">
        <v>162.0</v>
      </c>
      <c r="D1535" s="18" t="s">
        <v>31</v>
      </c>
      <c r="E1535" s="26">
        <v>42563.49513888889</v>
      </c>
      <c r="F1535" s="19">
        <f>IFERROR(__xludf.DUMMYFUNCTION("IFERROR(TO_DATE(E1535), """")"),42563.49513888889)</f>
        <v>42563.49514</v>
      </c>
      <c r="G1535" s="20">
        <f t="shared" si="1"/>
        <v>11</v>
      </c>
      <c r="H1535" s="26">
        <v>42563.51875</v>
      </c>
      <c r="I1535" s="19">
        <f>IFERROR(__xludf.DUMMYFUNCTION("IFERROR(TO_DATE(H1535), """")"),42563.51875)</f>
        <v>42563.51875</v>
      </c>
      <c r="J1535" s="19" t="s">
        <v>14</v>
      </c>
      <c r="K1535" s="22">
        <f t="shared" si="2"/>
        <v>0</v>
      </c>
    </row>
    <row r="1536">
      <c r="A1536" s="18">
        <v>3215.0</v>
      </c>
      <c r="B1536" s="18" t="s">
        <v>30</v>
      </c>
      <c r="C1536" s="18">
        <v>162.0</v>
      </c>
      <c r="D1536" s="18" t="s">
        <v>31</v>
      </c>
      <c r="E1536" s="27">
        <v>42564.40939814815</v>
      </c>
      <c r="F1536" s="19">
        <f>IFERROR(__xludf.DUMMYFUNCTION("IFERROR(TO_DATE(E1536), """")"),42564.40939814815)</f>
        <v>42564.4094</v>
      </c>
      <c r="G1536" s="20">
        <f t="shared" si="1"/>
        <v>9</v>
      </c>
      <c r="H1536" s="27">
        <v>42564.45659722222</v>
      </c>
      <c r="I1536" s="19">
        <f>IFERROR(__xludf.DUMMYFUNCTION("IFERROR(TO_DATE(H1536), """")"),42564.45659722222)</f>
        <v>42564.4566</v>
      </c>
      <c r="J1536" s="19" t="s">
        <v>14</v>
      </c>
      <c r="K1536" s="22">
        <f t="shared" si="2"/>
        <v>0</v>
      </c>
    </row>
    <row r="1537">
      <c r="A1537" s="18">
        <v>3997.0</v>
      </c>
      <c r="B1537" s="18" t="s">
        <v>30</v>
      </c>
      <c r="C1537" s="18">
        <v>162.0</v>
      </c>
      <c r="D1537" s="18" t="s">
        <v>31</v>
      </c>
      <c r="E1537" s="27">
        <v>42564.98359953704</v>
      </c>
      <c r="F1537" s="19">
        <f>IFERROR(__xludf.DUMMYFUNCTION("IFERROR(TO_DATE(E1537), """")"),42564.98359953704)</f>
        <v>42564.9836</v>
      </c>
      <c r="G1537" s="20">
        <f t="shared" si="1"/>
        <v>23</v>
      </c>
      <c r="H1537" s="27">
        <v>42565.0155787037</v>
      </c>
      <c r="I1537" s="19">
        <f>IFERROR(__xludf.DUMMYFUNCTION("IFERROR(TO_DATE(H1537), """")"),42565.0155787037)</f>
        <v>42565.01558</v>
      </c>
      <c r="J1537" s="19" t="s">
        <v>13</v>
      </c>
      <c r="K1537" s="22">
        <f t="shared" si="2"/>
        <v>0</v>
      </c>
    </row>
    <row r="1538">
      <c r="A1538" s="18">
        <v>4385.0</v>
      </c>
      <c r="B1538" s="18" t="s">
        <v>32</v>
      </c>
      <c r="C1538" s="18">
        <v>162.0</v>
      </c>
      <c r="D1538" s="18" t="s">
        <v>31</v>
      </c>
      <c r="E1538" s="27">
        <v>42565.32776620371</v>
      </c>
      <c r="F1538" s="19">
        <f>IFERROR(__xludf.DUMMYFUNCTION("IFERROR(TO_DATE(E1538), """")"),42565.32776620371)</f>
        <v>42565.32777</v>
      </c>
      <c r="G1538" s="20">
        <f t="shared" si="1"/>
        <v>7</v>
      </c>
      <c r="H1538" s="27">
        <v>42565.35009259259</v>
      </c>
      <c r="I1538" s="19">
        <f>IFERROR(__xludf.DUMMYFUNCTION("IFERROR(TO_DATE(H1538), """")"),42565.35009259259)</f>
        <v>42565.35009</v>
      </c>
      <c r="J1538" s="19" t="s">
        <v>11</v>
      </c>
      <c r="K1538" s="22">
        <f t="shared" si="2"/>
        <v>0</v>
      </c>
    </row>
    <row r="1539">
      <c r="A1539" s="18">
        <v>4736.0</v>
      </c>
      <c r="B1539" s="18" t="s">
        <v>32</v>
      </c>
      <c r="C1539" s="18">
        <v>162.0</v>
      </c>
      <c r="D1539" s="18" t="s">
        <v>31</v>
      </c>
      <c r="E1539" s="27">
        <v>42565.605092592596</v>
      </c>
      <c r="F1539" s="19">
        <f>IFERROR(__xludf.DUMMYFUNCTION("IFERROR(TO_DATE(E1539), """")"),42565.605092592596)</f>
        <v>42565.60509</v>
      </c>
      <c r="G1539" s="20">
        <f t="shared" si="1"/>
        <v>14</v>
      </c>
      <c r="H1539" s="27">
        <v>42565.66039351852</v>
      </c>
      <c r="I1539" s="19">
        <f>IFERROR(__xludf.DUMMYFUNCTION("IFERROR(TO_DATE(H1539), """")"),42565.66039351852)</f>
        <v>42565.66039</v>
      </c>
      <c r="J1539" s="19" t="s">
        <v>10</v>
      </c>
      <c r="K1539" s="22">
        <f t="shared" si="2"/>
        <v>0</v>
      </c>
    </row>
    <row r="1540">
      <c r="A1540" s="18">
        <v>5291.0</v>
      </c>
      <c r="B1540" s="18" t="s">
        <v>30</v>
      </c>
      <c r="C1540" s="18">
        <v>162.0</v>
      </c>
      <c r="D1540" s="18" t="s">
        <v>31</v>
      </c>
      <c r="E1540" s="27">
        <v>42565.90840277778</v>
      </c>
      <c r="F1540" s="19">
        <f>IFERROR(__xludf.DUMMYFUNCTION("IFERROR(TO_DATE(E1540), """")"),42565.90840277778)</f>
        <v>42565.9084</v>
      </c>
      <c r="G1540" s="20">
        <f t="shared" si="1"/>
        <v>21</v>
      </c>
      <c r="H1540" s="27">
        <v>42565.94818287037</v>
      </c>
      <c r="I1540" s="19">
        <f>IFERROR(__xludf.DUMMYFUNCTION("IFERROR(TO_DATE(H1540), """")"),42565.94818287037)</f>
        <v>42565.94818</v>
      </c>
      <c r="J1540" s="19" t="s">
        <v>13</v>
      </c>
      <c r="K1540" s="22">
        <f t="shared" si="2"/>
        <v>0</v>
      </c>
    </row>
    <row r="1541">
      <c r="A1541" s="18">
        <v>5350.0</v>
      </c>
      <c r="B1541" s="18" t="s">
        <v>32</v>
      </c>
      <c r="C1541" s="18">
        <v>162.0</v>
      </c>
      <c r="D1541" s="18" t="s">
        <v>31</v>
      </c>
      <c r="E1541" s="27">
        <v>42565.95318287037</v>
      </c>
      <c r="F1541" s="19">
        <f>IFERROR(__xludf.DUMMYFUNCTION("IFERROR(TO_DATE(E1541), """")"),42565.95318287037)</f>
        <v>42565.95318</v>
      </c>
      <c r="G1541" s="20">
        <f t="shared" si="1"/>
        <v>22</v>
      </c>
      <c r="H1541" s="27">
        <v>42565.98809027778</v>
      </c>
      <c r="I1541" s="19">
        <f>IFERROR(__xludf.DUMMYFUNCTION("IFERROR(TO_DATE(H1541), """")"),42565.98809027778)</f>
        <v>42565.98809</v>
      </c>
      <c r="J1541" s="19" t="s">
        <v>13</v>
      </c>
      <c r="K1541" s="22">
        <f t="shared" si="2"/>
        <v>0</v>
      </c>
    </row>
    <row r="1542">
      <c r="A1542" s="18">
        <v>5768.0</v>
      </c>
      <c r="B1542" s="18" t="s">
        <v>32</v>
      </c>
      <c r="C1542" s="18">
        <v>162.0</v>
      </c>
      <c r="D1542" s="18" t="s">
        <v>31</v>
      </c>
      <c r="E1542" s="27">
        <v>42566.35209490741</v>
      </c>
      <c r="F1542" s="19">
        <f>IFERROR(__xludf.DUMMYFUNCTION("IFERROR(TO_DATE(E1542), """")"),42566.35209490741)</f>
        <v>42566.35209</v>
      </c>
      <c r="G1542" s="20">
        <f t="shared" si="1"/>
        <v>8</v>
      </c>
      <c r="H1542" s="27">
        <v>42566.3959837963</v>
      </c>
      <c r="I1542" s="19">
        <f>IFERROR(__xludf.DUMMYFUNCTION("IFERROR(TO_DATE(H1542), """")"),42566.3959837963)</f>
        <v>42566.39598</v>
      </c>
      <c r="J1542" s="19" t="s">
        <v>14</v>
      </c>
      <c r="K1542" s="22">
        <f t="shared" si="2"/>
        <v>0</v>
      </c>
    </row>
    <row r="1543">
      <c r="A1543" s="18">
        <v>675.0</v>
      </c>
      <c r="B1543" s="18" t="s">
        <v>32</v>
      </c>
      <c r="C1543" s="18">
        <v>163.0</v>
      </c>
      <c r="D1543" s="18" t="s">
        <v>31</v>
      </c>
      <c r="E1543" s="26">
        <v>42562.558333333334</v>
      </c>
      <c r="F1543" s="19">
        <f>IFERROR(__xludf.DUMMYFUNCTION("IFERROR(TO_DATE(E1543), """")"),42562.558333333334)</f>
        <v>42562.55833</v>
      </c>
      <c r="G1543" s="20">
        <f t="shared" si="1"/>
        <v>13</v>
      </c>
      <c r="H1543" s="26">
        <v>42562.57986111111</v>
      </c>
      <c r="I1543" s="19">
        <f>IFERROR(__xludf.DUMMYFUNCTION("IFERROR(TO_DATE(H1543), """")"),42562.57986111111)</f>
        <v>42562.57986</v>
      </c>
      <c r="J1543" s="19" t="s">
        <v>10</v>
      </c>
      <c r="K1543" s="22">
        <f t="shared" si="2"/>
        <v>0</v>
      </c>
    </row>
    <row r="1544">
      <c r="A1544" s="18">
        <v>1996.0</v>
      </c>
      <c r="B1544" s="18" t="s">
        <v>30</v>
      </c>
      <c r="C1544" s="18">
        <v>163.0</v>
      </c>
      <c r="D1544" s="18" t="s">
        <v>31</v>
      </c>
      <c r="E1544" s="26">
        <v>42563.53958333333</v>
      </c>
      <c r="F1544" s="19">
        <f>IFERROR(__xludf.DUMMYFUNCTION("IFERROR(TO_DATE(E1544), """")"),42563.53958333333)</f>
        <v>42563.53958</v>
      </c>
      <c r="G1544" s="20">
        <f t="shared" si="1"/>
        <v>12</v>
      </c>
      <c r="H1544" s="26">
        <v>42563.5875</v>
      </c>
      <c r="I1544" s="19">
        <f>IFERROR(__xludf.DUMMYFUNCTION("IFERROR(TO_DATE(H1544), """")"),42563.5875)</f>
        <v>42563.5875</v>
      </c>
      <c r="J1544" s="19" t="s">
        <v>10</v>
      </c>
      <c r="K1544" s="22">
        <f t="shared" si="2"/>
        <v>0</v>
      </c>
    </row>
    <row r="1545">
      <c r="A1545" s="18">
        <v>2510.0</v>
      </c>
      <c r="B1545" s="18" t="s">
        <v>32</v>
      </c>
      <c r="C1545" s="18">
        <v>163.0</v>
      </c>
      <c r="D1545" s="18" t="s">
        <v>31</v>
      </c>
      <c r="E1545" s="26">
        <v>42563.87569444445</v>
      </c>
      <c r="F1545" s="19">
        <f>IFERROR(__xludf.DUMMYFUNCTION("IFERROR(TO_DATE(E1545), """")"),42563.87569444445)</f>
        <v>42563.87569</v>
      </c>
      <c r="G1545" s="20">
        <f t="shared" si="1"/>
        <v>21</v>
      </c>
      <c r="H1545" s="26">
        <v>42563.90972222222</v>
      </c>
      <c r="I1545" s="19">
        <f>IFERROR(__xludf.DUMMYFUNCTION("IFERROR(TO_DATE(H1545), """")"),42563.90972222222)</f>
        <v>42563.90972</v>
      </c>
      <c r="J1545" s="19" t="s">
        <v>13</v>
      </c>
      <c r="K1545" s="22">
        <f t="shared" si="2"/>
        <v>0</v>
      </c>
    </row>
    <row r="1546">
      <c r="A1546" s="18">
        <v>3969.0</v>
      </c>
      <c r="B1546" s="18" t="s">
        <v>30</v>
      </c>
      <c r="C1546" s="18">
        <v>163.0</v>
      </c>
      <c r="D1546" s="18" t="s">
        <v>31</v>
      </c>
      <c r="E1546" s="27">
        <v>42564.95719907407</v>
      </c>
      <c r="F1546" s="19">
        <f>IFERROR(__xludf.DUMMYFUNCTION("IFERROR(TO_DATE(E1546), """")"),42564.95719907407)</f>
        <v>42564.9572</v>
      </c>
      <c r="G1546" s="20">
        <f t="shared" si="1"/>
        <v>22</v>
      </c>
      <c r="H1546" s="27">
        <v>42564.998611111114</v>
      </c>
      <c r="I1546" s="19">
        <f>IFERROR(__xludf.DUMMYFUNCTION("IFERROR(TO_DATE(H1546), """")"),42564.998611111114)</f>
        <v>42564.99861</v>
      </c>
      <c r="J1546" s="19" t="s">
        <v>13</v>
      </c>
      <c r="K1546" s="22">
        <f t="shared" si="2"/>
        <v>0</v>
      </c>
    </row>
    <row r="1547">
      <c r="A1547" s="18">
        <v>4397.0</v>
      </c>
      <c r="B1547" s="18" t="s">
        <v>32</v>
      </c>
      <c r="C1547" s="18">
        <v>163.0</v>
      </c>
      <c r="D1547" s="18" t="s">
        <v>31</v>
      </c>
      <c r="E1547" s="27">
        <v>42565.330613425926</v>
      </c>
      <c r="F1547" s="19">
        <f>IFERROR(__xludf.DUMMYFUNCTION("IFERROR(TO_DATE(E1547), """")"),42565.330613425926)</f>
        <v>42565.33061</v>
      </c>
      <c r="G1547" s="20">
        <f t="shared" si="1"/>
        <v>7</v>
      </c>
      <c r="H1547" s="27">
        <v>42565.37326388889</v>
      </c>
      <c r="I1547" s="19">
        <f>IFERROR(__xludf.DUMMYFUNCTION("IFERROR(TO_DATE(H1547), """")"),42565.37326388889)</f>
        <v>42565.37326</v>
      </c>
      <c r="J1547" s="19" t="s">
        <v>11</v>
      </c>
      <c r="K1547" s="22">
        <f t="shared" si="2"/>
        <v>0</v>
      </c>
    </row>
    <row r="1548">
      <c r="A1548" s="18">
        <v>5326.0</v>
      </c>
      <c r="B1548" s="18" t="s">
        <v>32</v>
      </c>
      <c r="C1548" s="18">
        <v>163.0</v>
      </c>
      <c r="D1548" s="18" t="s">
        <v>31</v>
      </c>
      <c r="E1548" s="27">
        <v>42565.923263888886</v>
      </c>
      <c r="F1548" s="19">
        <f>IFERROR(__xludf.DUMMYFUNCTION("IFERROR(TO_DATE(E1548), """")"),42565.923263888886)</f>
        <v>42565.92326</v>
      </c>
      <c r="G1548" s="20">
        <f t="shared" si="1"/>
        <v>22</v>
      </c>
      <c r="H1548" s="27">
        <v>42565.9675462963</v>
      </c>
      <c r="I1548" s="19">
        <f>IFERROR(__xludf.DUMMYFUNCTION("IFERROR(TO_DATE(H1548), """")"),42565.9675462963)</f>
        <v>42565.96755</v>
      </c>
      <c r="J1548" s="19" t="s">
        <v>13</v>
      </c>
      <c r="K1548" s="22">
        <f t="shared" si="2"/>
        <v>0</v>
      </c>
    </row>
    <row r="1549">
      <c r="A1549" s="18">
        <v>5987.0</v>
      </c>
      <c r="B1549" s="18" t="s">
        <v>32</v>
      </c>
      <c r="C1549" s="18">
        <v>163.0</v>
      </c>
      <c r="D1549" s="18" t="s">
        <v>31</v>
      </c>
      <c r="E1549" s="27">
        <v>42566.487662037034</v>
      </c>
      <c r="F1549" s="19">
        <f>IFERROR(__xludf.DUMMYFUNCTION("IFERROR(TO_DATE(E1549), """")"),42566.487662037034)</f>
        <v>42566.48766</v>
      </c>
      <c r="G1549" s="20">
        <f t="shared" si="1"/>
        <v>11</v>
      </c>
      <c r="H1549" s="27">
        <v>42566.534479166665</v>
      </c>
      <c r="I1549" s="19">
        <f>IFERROR(__xludf.DUMMYFUNCTION("IFERROR(TO_DATE(H1549), """")"),42566.534479166665)</f>
        <v>42566.53448</v>
      </c>
      <c r="J1549" s="19" t="s">
        <v>14</v>
      </c>
      <c r="K1549" s="22">
        <f t="shared" si="2"/>
        <v>0</v>
      </c>
    </row>
    <row r="1550">
      <c r="A1550" s="18">
        <v>6152.0</v>
      </c>
      <c r="B1550" s="18" t="s">
        <v>30</v>
      </c>
      <c r="C1550" s="18">
        <v>163.0</v>
      </c>
      <c r="D1550" s="18" t="s">
        <v>31</v>
      </c>
      <c r="E1550" s="27">
        <v>42566.67747685185</v>
      </c>
      <c r="F1550" s="19">
        <f>IFERROR(__xludf.DUMMYFUNCTION("IFERROR(TO_DATE(E1550), """")"),42566.67747685185)</f>
        <v>42566.67748</v>
      </c>
      <c r="G1550" s="20">
        <f t="shared" si="1"/>
        <v>16</v>
      </c>
      <c r="H1550" s="27">
        <v>42566.71996527778</v>
      </c>
      <c r="I1550" s="19">
        <f>IFERROR(__xludf.DUMMYFUNCTION("IFERROR(TO_DATE(H1550), """")"),42566.71996527778)</f>
        <v>42566.71997</v>
      </c>
      <c r="J1550" s="19" t="s">
        <v>12</v>
      </c>
      <c r="K1550" s="22">
        <f t="shared" si="2"/>
        <v>0</v>
      </c>
    </row>
    <row r="1551">
      <c r="A1551" s="18">
        <v>6317.0</v>
      </c>
      <c r="B1551" s="18" t="s">
        <v>32</v>
      </c>
      <c r="C1551" s="18">
        <v>163.0</v>
      </c>
      <c r="D1551" s="18" t="s">
        <v>31</v>
      </c>
      <c r="E1551" s="27">
        <v>42566.77496527778</v>
      </c>
      <c r="F1551" s="19">
        <f>IFERROR(__xludf.DUMMYFUNCTION("IFERROR(TO_DATE(E1551), """")"),42566.77496527778)</f>
        <v>42566.77497</v>
      </c>
      <c r="G1551" s="20">
        <f t="shared" si="1"/>
        <v>18</v>
      </c>
      <c r="H1551" s="27">
        <v>42566.79520833334</v>
      </c>
      <c r="I1551" s="19">
        <f>IFERROR(__xludf.DUMMYFUNCTION("IFERROR(TO_DATE(H1551), """")"),42566.79520833334)</f>
        <v>42566.79521</v>
      </c>
      <c r="J1551" s="19" t="s">
        <v>12</v>
      </c>
      <c r="K1551" s="22">
        <f t="shared" si="2"/>
        <v>0</v>
      </c>
    </row>
    <row r="1552">
      <c r="A1552" s="18">
        <v>602.0</v>
      </c>
      <c r="B1552" s="18" t="s">
        <v>32</v>
      </c>
      <c r="C1552" s="18">
        <v>164.0</v>
      </c>
      <c r="D1552" s="18" t="s">
        <v>31</v>
      </c>
      <c r="E1552" s="26">
        <v>42562.48472222222</v>
      </c>
      <c r="F1552" s="19">
        <f>IFERROR(__xludf.DUMMYFUNCTION("IFERROR(TO_DATE(E1552), """")"),42562.48472222222)</f>
        <v>42562.48472</v>
      </c>
      <c r="G1552" s="20">
        <f t="shared" si="1"/>
        <v>11</v>
      </c>
      <c r="H1552" s="26">
        <v>42562.53958333333</v>
      </c>
      <c r="I1552" s="19">
        <f>IFERROR(__xludf.DUMMYFUNCTION("IFERROR(TO_DATE(H1552), """")"),42562.53958333333)</f>
        <v>42562.53958</v>
      </c>
      <c r="J1552" s="19" t="s">
        <v>14</v>
      </c>
      <c r="K1552" s="22">
        <f t="shared" si="2"/>
        <v>0</v>
      </c>
    </row>
    <row r="1553">
      <c r="A1553" s="18">
        <v>981.0</v>
      </c>
      <c r="B1553" s="18" t="s">
        <v>32</v>
      </c>
      <c r="C1553" s="18">
        <v>164.0</v>
      </c>
      <c r="D1553" s="18" t="s">
        <v>31</v>
      </c>
      <c r="E1553" s="26">
        <v>42562.79236111111</v>
      </c>
      <c r="F1553" s="19">
        <f>IFERROR(__xludf.DUMMYFUNCTION("IFERROR(TO_DATE(E1553), """")"),42562.79236111111)</f>
        <v>42562.79236</v>
      </c>
      <c r="G1553" s="20">
        <f t="shared" si="1"/>
        <v>19</v>
      </c>
      <c r="H1553" s="26">
        <v>42562.81875</v>
      </c>
      <c r="I1553" s="19">
        <f>IFERROR(__xludf.DUMMYFUNCTION("IFERROR(TO_DATE(H1553), """")"),42562.81875)</f>
        <v>42562.81875</v>
      </c>
      <c r="J1553" s="19" t="s">
        <v>12</v>
      </c>
      <c r="K1553" s="22">
        <f t="shared" si="2"/>
        <v>0</v>
      </c>
    </row>
    <row r="1554">
      <c r="A1554" s="18">
        <v>1317.0</v>
      </c>
      <c r="B1554" s="18" t="s">
        <v>30</v>
      </c>
      <c r="C1554" s="18">
        <v>164.0</v>
      </c>
      <c r="D1554" s="18" t="s">
        <v>31</v>
      </c>
      <c r="E1554" s="26">
        <v>42562.95625</v>
      </c>
      <c r="F1554" s="19">
        <f>IFERROR(__xludf.DUMMYFUNCTION("IFERROR(TO_DATE(E1554), """")"),42562.95625)</f>
        <v>42562.95625</v>
      </c>
      <c r="G1554" s="20">
        <f t="shared" si="1"/>
        <v>22</v>
      </c>
      <c r="H1554" s="26">
        <v>42562.99444444444</v>
      </c>
      <c r="I1554" s="19">
        <f>IFERROR(__xludf.DUMMYFUNCTION("IFERROR(TO_DATE(H1554), """")"),42562.99444444444)</f>
        <v>42562.99444</v>
      </c>
      <c r="J1554" s="19" t="s">
        <v>13</v>
      </c>
      <c r="K1554" s="22">
        <f t="shared" si="2"/>
        <v>0</v>
      </c>
    </row>
    <row r="1555">
      <c r="A1555" s="18">
        <v>2112.0</v>
      </c>
      <c r="B1555" s="18" t="s">
        <v>30</v>
      </c>
      <c r="C1555" s="18">
        <v>164.0</v>
      </c>
      <c r="D1555" s="18" t="s">
        <v>31</v>
      </c>
      <c r="E1555" s="26">
        <v>42563.688888888886</v>
      </c>
      <c r="F1555" s="19">
        <f>IFERROR(__xludf.DUMMYFUNCTION("IFERROR(TO_DATE(E1555), """")"),42563.688888888886)</f>
        <v>42563.68889</v>
      </c>
      <c r="G1555" s="20">
        <f t="shared" si="1"/>
        <v>16</v>
      </c>
      <c r="H1555" s="26">
        <v>42563.71041666667</v>
      </c>
      <c r="I1555" s="19">
        <f>IFERROR(__xludf.DUMMYFUNCTION("IFERROR(TO_DATE(H1555), """")"),42563.71041666667)</f>
        <v>42563.71042</v>
      </c>
      <c r="J1555" s="19" t="s">
        <v>12</v>
      </c>
      <c r="K1555" s="22">
        <f t="shared" si="2"/>
        <v>0</v>
      </c>
    </row>
    <row r="1556">
      <c r="A1556" s="18">
        <v>2365.0</v>
      </c>
      <c r="B1556" s="18" t="s">
        <v>32</v>
      </c>
      <c r="C1556" s="18">
        <v>164.0</v>
      </c>
      <c r="D1556" s="18" t="s">
        <v>31</v>
      </c>
      <c r="E1556" s="26">
        <v>42563.81527777778</v>
      </c>
      <c r="F1556" s="19">
        <f>IFERROR(__xludf.DUMMYFUNCTION("IFERROR(TO_DATE(E1556), """")"),42563.81527777778)</f>
        <v>42563.81528</v>
      </c>
      <c r="G1556" s="20">
        <f t="shared" si="1"/>
        <v>19</v>
      </c>
      <c r="H1556" s="26">
        <v>42563.84166666667</v>
      </c>
      <c r="I1556" s="19">
        <f>IFERROR(__xludf.DUMMYFUNCTION("IFERROR(TO_DATE(H1556), """")"),42563.84166666667)</f>
        <v>42563.84167</v>
      </c>
      <c r="J1556" s="19" t="s">
        <v>12</v>
      </c>
      <c r="K1556" s="22">
        <f t="shared" si="2"/>
        <v>0</v>
      </c>
    </row>
    <row r="1557">
      <c r="A1557" s="18">
        <v>2849.0</v>
      </c>
      <c r="B1557" s="18" t="s">
        <v>32</v>
      </c>
      <c r="C1557" s="18">
        <v>164.0</v>
      </c>
      <c r="D1557" s="18" t="s">
        <v>31</v>
      </c>
      <c r="E1557" s="27">
        <v>42564.22895833333</v>
      </c>
      <c r="F1557" s="19">
        <f>IFERROR(__xludf.DUMMYFUNCTION("IFERROR(TO_DATE(E1557), """")"),42564.22895833333)</f>
        <v>42564.22896</v>
      </c>
      <c r="G1557" s="20">
        <f t="shared" si="1"/>
        <v>5</v>
      </c>
      <c r="H1557" s="27">
        <v>42564.27392361111</v>
      </c>
      <c r="I1557" s="19">
        <f>IFERROR(__xludf.DUMMYFUNCTION("IFERROR(TO_DATE(H1557), """")"),42564.27392361111)</f>
        <v>42564.27392</v>
      </c>
      <c r="J1557" s="19" t="s">
        <v>11</v>
      </c>
      <c r="K1557" s="22">
        <f t="shared" si="2"/>
        <v>0</v>
      </c>
    </row>
    <row r="1558">
      <c r="A1558" s="18">
        <v>4573.0</v>
      </c>
      <c r="B1558" s="18" t="s">
        <v>32</v>
      </c>
      <c r="C1558" s="18">
        <v>164.0</v>
      </c>
      <c r="D1558" s="18" t="s">
        <v>31</v>
      </c>
      <c r="E1558" s="27">
        <v>42565.40825231482</v>
      </c>
      <c r="F1558" s="19">
        <f>IFERROR(__xludf.DUMMYFUNCTION("IFERROR(TO_DATE(E1558), """")"),42565.40825231482)</f>
        <v>42565.40825</v>
      </c>
      <c r="G1558" s="20">
        <f t="shared" si="1"/>
        <v>9</v>
      </c>
      <c r="H1558" s="27">
        <v>42565.44936342593</v>
      </c>
      <c r="I1558" s="19">
        <f>IFERROR(__xludf.DUMMYFUNCTION("IFERROR(TO_DATE(H1558), """")"),42565.44936342593)</f>
        <v>42565.44936</v>
      </c>
      <c r="J1558" s="19" t="s">
        <v>14</v>
      </c>
      <c r="K1558" s="22">
        <f t="shared" si="2"/>
        <v>0</v>
      </c>
    </row>
    <row r="1559">
      <c r="A1559" s="18">
        <v>5095.0</v>
      </c>
      <c r="B1559" s="18" t="s">
        <v>32</v>
      </c>
      <c r="C1559" s="18">
        <v>164.0</v>
      </c>
      <c r="D1559" s="18" t="s">
        <v>31</v>
      </c>
      <c r="E1559" s="27">
        <v>42565.825520833336</v>
      </c>
      <c r="F1559" s="19">
        <f>IFERROR(__xludf.DUMMYFUNCTION("IFERROR(TO_DATE(E1559), """")"),42565.825520833336)</f>
        <v>42565.82552</v>
      </c>
      <c r="G1559" s="20">
        <f t="shared" si="1"/>
        <v>19</v>
      </c>
      <c r="H1559" s="27">
        <v>42565.87194444444</v>
      </c>
      <c r="I1559" s="19">
        <f>IFERROR(__xludf.DUMMYFUNCTION("IFERROR(TO_DATE(H1559), """")"),42565.87194444444)</f>
        <v>42565.87194</v>
      </c>
      <c r="J1559" s="19" t="s">
        <v>12</v>
      </c>
      <c r="K1559" s="22">
        <f t="shared" si="2"/>
        <v>0</v>
      </c>
    </row>
    <row r="1560">
      <c r="A1560" s="18">
        <v>741.0</v>
      </c>
      <c r="B1560" s="18" t="s">
        <v>30</v>
      </c>
      <c r="C1560" s="18">
        <v>165.0</v>
      </c>
      <c r="D1560" s="18" t="s">
        <v>31</v>
      </c>
      <c r="E1560" s="26">
        <v>42562.652083333334</v>
      </c>
      <c r="F1560" s="19">
        <f>IFERROR(__xludf.DUMMYFUNCTION("IFERROR(TO_DATE(E1560), """")"),42562.652083333334)</f>
        <v>42562.65208</v>
      </c>
      <c r="G1560" s="20">
        <f t="shared" si="1"/>
        <v>15</v>
      </c>
      <c r="H1560" s="26">
        <v>42562.68541666667</v>
      </c>
      <c r="I1560" s="19">
        <f>IFERROR(__xludf.DUMMYFUNCTION("IFERROR(TO_DATE(H1560), """")"),42562.68541666667)</f>
        <v>42562.68542</v>
      </c>
      <c r="J1560" s="19" t="s">
        <v>10</v>
      </c>
      <c r="K1560" s="22">
        <f t="shared" si="2"/>
        <v>0</v>
      </c>
    </row>
    <row r="1561">
      <c r="A1561" s="18">
        <v>1873.0</v>
      </c>
      <c r="B1561" s="18" t="s">
        <v>32</v>
      </c>
      <c r="C1561" s="18">
        <v>165.0</v>
      </c>
      <c r="D1561" s="18" t="s">
        <v>31</v>
      </c>
      <c r="E1561" s="26">
        <v>42563.415972222225</v>
      </c>
      <c r="F1561" s="19">
        <f>IFERROR(__xludf.DUMMYFUNCTION("IFERROR(TO_DATE(E1561), """")"),42563.415972222225)</f>
        <v>42563.41597</v>
      </c>
      <c r="G1561" s="20">
        <f t="shared" si="1"/>
        <v>9</v>
      </c>
      <c r="H1561" s="26">
        <v>42563.447222222225</v>
      </c>
      <c r="I1561" s="19">
        <f>IFERROR(__xludf.DUMMYFUNCTION("IFERROR(TO_DATE(H1561), """")"),42563.447222222225)</f>
        <v>42563.44722</v>
      </c>
      <c r="J1561" s="19" t="s">
        <v>14</v>
      </c>
      <c r="K1561" s="22">
        <f t="shared" si="2"/>
        <v>0</v>
      </c>
    </row>
    <row r="1562">
      <c r="A1562" s="18">
        <v>2134.0</v>
      </c>
      <c r="B1562" s="18" t="s">
        <v>30</v>
      </c>
      <c r="C1562" s="18">
        <v>165.0</v>
      </c>
      <c r="D1562" s="18" t="s">
        <v>31</v>
      </c>
      <c r="E1562" s="26">
        <v>42563.71805555555</v>
      </c>
      <c r="F1562" s="19">
        <f>IFERROR(__xludf.DUMMYFUNCTION("IFERROR(TO_DATE(E1562), """")"),42563.71805555555)</f>
        <v>42563.71806</v>
      </c>
      <c r="G1562" s="20">
        <f t="shared" si="1"/>
        <v>17</v>
      </c>
      <c r="H1562" s="26">
        <v>42563.73888888889</v>
      </c>
      <c r="I1562" s="19">
        <f>IFERROR(__xludf.DUMMYFUNCTION("IFERROR(TO_DATE(H1562), """")"),42563.73888888889)</f>
        <v>42563.73889</v>
      </c>
      <c r="J1562" s="19" t="s">
        <v>12</v>
      </c>
      <c r="K1562" s="22">
        <f t="shared" si="2"/>
        <v>0</v>
      </c>
    </row>
    <row r="1563">
      <c r="A1563" s="18">
        <v>3461.0</v>
      </c>
      <c r="B1563" s="18" t="s">
        <v>30</v>
      </c>
      <c r="C1563" s="18">
        <v>165.0</v>
      </c>
      <c r="D1563" s="18" t="s">
        <v>31</v>
      </c>
      <c r="E1563" s="27">
        <v>42564.711331018516</v>
      </c>
      <c r="F1563" s="19">
        <f>IFERROR(__xludf.DUMMYFUNCTION("IFERROR(TO_DATE(E1563), """")"),42564.711331018516)</f>
        <v>42564.71133</v>
      </c>
      <c r="G1563" s="20">
        <f t="shared" si="1"/>
        <v>17</v>
      </c>
      <c r="H1563" s="27">
        <v>42564.755474537036</v>
      </c>
      <c r="I1563" s="19">
        <f>IFERROR(__xludf.DUMMYFUNCTION("IFERROR(TO_DATE(H1563), """")"),42564.755474537036)</f>
        <v>42564.75547</v>
      </c>
      <c r="J1563" s="19" t="s">
        <v>12</v>
      </c>
      <c r="K1563" s="22">
        <f t="shared" si="2"/>
        <v>0</v>
      </c>
    </row>
    <row r="1564">
      <c r="A1564" s="18">
        <v>3711.0</v>
      </c>
      <c r="B1564" s="18" t="s">
        <v>30</v>
      </c>
      <c r="C1564" s="18">
        <v>165.0</v>
      </c>
      <c r="D1564" s="18" t="s">
        <v>31</v>
      </c>
      <c r="E1564" s="27">
        <v>42564.824479166666</v>
      </c>
      <c r="F1564" s="19">
        <f>IFERROR(__xludf.DUMMYFUNCTION("IFERROR(TO_DATE(E1564), """")"),42564.824479166666)</f>
        <v>42564.82448</v>
      </c>
      <c r="G1564" s="20">
        <f t="shared" si="1"/>
        <v>19</v>
      </c>
      <c r="H1564" s="27">
        <v>42564.86528935185</v>
      </c>
      <c r="I1564" s="19">
        <f>IFERROR(__xludf.DUMMYFUNCTION("IFERROR(TO_DATE(H1564), """")"),42564.86528935185)</f>
        <v>42564.86529</v>
      </c>
      <c r="J1564" s="19" t="s">
        <v>12</v>
      </c>
      <c r="K1564" s="22">
        <f t="shared" si="2"/>
        <v>0</v>
      </c>
    </row>
    <row r="1565">
      <c r="A1565" s="18">
        <v>5001.0</v>
      </c>
      <c r="B1565" s="18" t="s">
        <v>30</v>
      </c>
      <c r="C1565" s="18">
        <v>165.0</v>
      </c>
      <c r="D1565" s="18" t="s">
        <v>31</v>
      </c>
      <c r="E1565" s="27">
        <v>42565.791030092594</v>
      </c>
      <c r="F1565" s="19">
        <f>IFERROR(__xludf.DUMMYFUNCTION("IFERROR(TO_DATE(E1565), """")"),42565.791030092594)</f>
        <v>42565.79103</v>
      </c>
      <c r="G1565" s="20">
        <f t="shared" si="1"/>
        <v>18</v>
      </c>
      <c r="H1565" s="27">
        <v>42565.81597222222</v>
      </c>
      <c r="I1565" s="19">
        <f>IFERROR(__xludf.DUMMYFUNCTION("IFERROR(TO_DATE(H1565), """")"),42565.81597222222)</f>
        <v>42565.81597</v>
      </c>
      <c r="J1565" s="19" t="s">
        <v>12</v>
      </c>
      <c r="K1565" s="22">
        <f t="shared" si="2"/>
        <v>0</v>
      </c>
    </row>
    <row r="1566">
      <c r="A1566" s="18">
        <v>248.0</v>
      </c>
      <c r="B1566" s="18" t="s">
        <v>32</v>
      </c>
      <c r="C1566" s="18">
        <v>166.0</v>
      </c>
      <c r="D1566" s="18" t="s">
        <v>31</v>
      </c>
      <c r="E1566" s="26">
        <v>42562.27638888889</v>
      </c>
      <c r="F1566" s="19">
        <f>IFERROR(__xludf.DUMMYFUNCTION("IFERROR(TO_DATE(E1566), """")"),42562.27638888889)</f>
        <v>42562.27639</v>
      </c>
      <c r="G1566" s="20">
        <f t="shared" si="1"/>
        <v>6</v>
      </c>
      <c r="H1566" s="26">
        <v>42562.322916666664</v>
      </c>
      <c r="I1566" s="19">
        <f>IFERROR(__xludf.DUMMYFUNCTION("IFERROR(TO_DATE(H1566), """")"),42562.322916666664)</f>
        <v>42562.32292</v>
      </c>
      <c r="J1566" s="19" t="s">
        <v>11</v>
      </c>
      <c r="K1566" s="22">
        <f t="shared" si="2"/>
        <v>0</v>
      </c>
    </row>
    <row r="1567">
      <c r="A1567" s="18">
        <v>1321.0</v>
      </c>
      <c r="B1567" s="18" t="s">
        <v>30</v>
      </c>
      <c r="C1567" s="18">
        <v>166.0</v>
      </c>
      <c r="D1567" s="18" t="s">
        <v>31</v>
      </c>
      <c r="E1567" s="26">
        <v>42562.959027777775</v>
      </c>
      <c r="F1567" s="19">
        <f>IFERROR(__xludf.DUMMYFUNCTION("IFERROR(TO_DATE(E1567), """")"),42562.959027777775)</f>
        <v>42562.95903</v>
      </c>
      <c r="G1567" s="20">
        <f t="shared" si="1"/>
        <v>23</v>
      </c>
      <c r="H1567" s="26">
        <v>42563.00347222222</v>
      </c>
      <c r="I1567" s="19">
        <f>IFERROR(__xludf.DUMMYFUNCTION("IFERROR(TO_DATE(H1567), """")"),42563.00347222222)</f>
        <v>42563.00347</v>
      </c>
      <c r="J1567" s="19" t="s">
        <v>13</v>
      </c>
      <c r="K1567" s="22">
        <f t="shared" si="2"/>
        <v>0</v>
      </c>
    </row>
    <row r="1568">
      <c r="A1568" s="18">
        <v>1997.0</v>
      </c>
      <c r="B1568" s="18" t="s">
        <v>32</v>
      </c>
      <c r="C1568" s="18">
        <v>166.0</v>
      </c>
      <c r="D1568" s="18" t="s">
        <v>31</v>
      </c>
      <c r="E1568" s="26">
        <v>42563.54305555556</v>
      </c>
      <c r="F1568" s="19">
        <f>IFERROR(__xludf.DUMMYFUNCTION("IFERROR(TO_DATE(E1568), """")"),42563.54305555556)</f>
        <v>42563.54306</v>
      </c>
      <c r="G1568" s="20">
        <f t="shared" si="1"/>
        <v>13</v>
      </c>
      <c r="H1568" s="26">
        <v>42563.58125</v>
      </c>
      <c r="I1568" s="19">
        <f>IFERROR(__xludf.DUMMYFUNCTION("IFERROR(TO_DATE(H1568), """")"),42563.58125)</f>
        <v>42563.58125</v>
      </c>
      <c r="J1568" s="19" t="s">
        <v>10</v>
      </c>
      <c r="K1568" s="22">
        <f t="shared" si="2"/>
        <v>0</v>
      </c>
    </row>
    <row r="1569">
      <c r="A1569" s="18">
        <v>2544.0</v>
      </c>
      <c r="B1569" s="18" t="s">
        <v>32</v>
      </c>
      <c r="C1569" s="18">
        <v>166.0</v>
      </c>
      <c r="D1569" s="18" t="s">
        <v>31</v>
      </c>
      <c r="E1569" s="26">
        <v>42563.89027777778</v>
      </c>
      <c r="F1569" s="19">
        <f>IFERROR(__xludf.DUMMYFUNCTION("IFERROR(TO_DATE(E1569), """")"),42563.89027777778)</f>
        <v>42563.89028</v>
      </c>
      <c r="G1569" s="20">
        <f t="shared" si="1"/>
        <v>21</v>
      </c>
      <c r="H1569" s="26">
        <v>42563.910416666666</v>
      </c>
      <c r="I1569" s="19">
        <f>IFERROR(__xludf.DUMMYFUNCTION("IFERROR(TO_DATE(H1569), """")"),42563.910416666666)</f>
        <v>42563.91042</v>
      </c>
      <c r="J1569" s="19" t="s">
        <v>13</v>
      </c>
      <c r="K1569" s="22">
        <f t="shared" si="2"/>
        <v>0</v>
      </c>
    </row>
    <row r="1570">
      <c r="A1570" s="18">
        <v>3863.0</v>
      </c>
      <c r="B1570" s="18" t="s">
        <v>32</v>
      </c>
      <c r="C1570" s="18">
        <v>166.0</v>
      </c>
      <c r="D1570" s="18" t="s">
        <v>31</v>
      </c>
      <c r="E1570" s="27">
        <v>42564.90611111111</v>
      </c>
      <c r="F1570" s="19">
        <f>IFERROR(__xludf.DUMMYFUNCTION("IFERROR(TO_DATE(E1570), """")"),42564.90611111111)</f>
        <v>42564.90611</v>
      </c>
      <c r="G1570" s="20">
        <f t="shared" si="1"/>
        <v>21</v>
      </c>
      <c r="H1570" s="27">
        <v>42564.951828703706</v>
      </c>
      <c r="I1570" s="19">
        <f>IFERROR(__xludf.DUMMYFUNCTION("IFERROR(TO_DATE(H1570), """")"),42564.951828703706)</f>
        <v>42564.95183</v>
      </c>
      <c r="J1570" s="19" t="s">
        <v>13</v>
      </c>
      <c r="K1570" s="22">
        <f t="shared" si="2"/>
        <v>0</v>
      </c>
    </row>
    <row r="1571">
      <c r="A1571" s="18">
        <v>4336.0</v>
      </c>
      <c r="B1571" s="18" t="s">
        <v>32</v>
      </c>
      <c r="C1571" s="18">
        <v>166.0</v>
      </c>
      <c r="D1571" s="18" t="s">
        <v>31</v>
      </c>
      <c r="E1571" s="27">
        <v>42565.30144675926</v>
      </c>
      <c r="F1571" s="19">
        <f>IFERROR(__xludf.DUMMYFUNCTION("IFERROR(TO_DATE(E1571), """")"),42565.30144675926)</f>
        <v>42565.30145</v>
      </c>
      <c r="G1571" s="20">
        <f t="shared" si="1"/>
        <v>7</v>
      </c>
      <c r="H1571" s="27">
        <v>42565.3571875</v>
      </c>
      <c r="I1571" s="19">
        <f>IFERROR(__xludf.DUMMYFUNCTION("IFERROR(TO_DATE(H1571), """")"),42565.3571875)</f>
        <v>42565.35719</v>
      </c>
      <c r="J1571" s="19" t="s">
        <v>11</v>
      </c>
      <c r="K1571" s="22">
        <f t="shared" si="2"/>
        <v>0</v>
      </c>
    </row>
    <row r="1572">
      <c r="A1572" s="18">
        <v>4754.0</v>
      </c>
      <c r="B1572" s="18" t="s">
        <v>32</v>
      </c>
      <c r="C1572" s="18">
        <v>166.0</v>
      </c>
      <c r="D1572" s="18" t="s">
        <v>31</v>
      </c>
      <c r="E1572" s="27">
        <v>42565.6421875</v>
      </c>
      <c r="F1572" s="19">
        <f>IFERROR(__xludf.DUMMYFUNCTION("IFERROR(TO_DATE(E1572), """")"),42565.6421875)</f>
        <v>42565.64219</v>
      </c>
      <c r="G1572" s="20">
        <f t="shared" si="1"/>
        <v>15</v>
      </c>
      <c r="H1572" s="27">
        <v>42565.679456018515</v>
      </c>
      <c r="I1572" s="19">
        <f>IFERROR(__xludf.DUMMYFUNCTION("IFERROR(TO_DATE(H1572), """")"),42565.679456018515)</f>
        <v>42565.67946</v>
      </c>
      <c r="J1572" s="19" t="s">
        <v>10</v>
      </c>
      <c r="K1572" s="22">
        <f t="shared" si="2"/>
        <v>0</v>
      </c>
    </row>
    <row r="1573">
      <c r="A1573" s="18">
        <v>6620.0</v>
      </c>
      <c r="B1573" s="18" t="s">
        <v>32</v>
      </c>
      <c r="C1573" s="18">
        <v>166.0</v>
      </c>
      <c r="D1573" s="18" t="s">
        <v>31</v>
      </c>
      <c r="E1573" s="27">
        <v>42566.90835648148</v>
      </c>
      <c r="F1573" s="19">
        <f>IFERROR(__xludf.DUMMYFUNCTION("IFERROR(TO_DATE(E1573), """")"),42566.90835648148)</f>
        <v>42566.90836</v>
      </c>
      <c r="G1573" s="20">
        <f t="shared" si="1"/>
        <v>21</v>
      </c>
      <c r="H1573" s="27">
        <v>42566.94175925926</v>
      </c>
      <c r="I1573" s="19">
        <f>IFERROR(__xludf.DUMMYFUNCTION("IFERROR(TO_DATE(H1573), """")"),42566.94175925926)</f>
        <v>42566.94176</v>
      </c>
      <c r="J1573" s="19" t="s">
        <v>13</v>
      </c>
      <c r="K1573" s="22">
        <f t="shared" si="2"/>
        <v>0</v>
      </c>
    </row>
    <row r="1574">
      <c r="A1574" s="18">
        <v>500.0</v>
      </c>
      <c r="B1574" s="18" t="s">
        <v>30</v>
      </c>
      <c r="C1574" s="18">
        <v>167.0</v>
      </c>
      <c r="D1574" s="18" t="s">
        <v>31</v>
      </c>
      <c r="E1574" s="26">
        <v>42562.40138888889</v>
      </c>
      <c r="F1574" s="19">
        <f>IFERROR(__xludf.DUMMYFUNCTION("IFERROR(TO_DATE(E1574), """")"),42562.40138888889)</f>
        <v>42562.40139</v>
      </c>
      <c r="G1574" s="20">
        <f t="shared" si="1"/>
        <v>9</v>
      </c>
      <c r="H1574" s="26">
        <v>42562.425</v>
      </c>
      <c r="I1574" s="19">
        <f>IFERROR(__xludf.DUMMYFUNCTION("IFERROR(TO_DATE(H1574), """")"),42562.425)</f>
        <v>42562.425</v>
      </c>
      <c r="J1574" s="19" t="s">
        <v>14</v>
      </c>
      <c r="K1574" s="22">
        <f t="shared" si="2"/>
        <v>0</v>
      </c>
    </row>
    <row r="1575">
      <c r="A1575" s="18">
        <v>1518.0</v>
      </c>
      <c r="B1575" s="18" t="s">
        <v>32</v>
      </c>
      <c r="C1575" s="18">
        <v>167.0</v>
      </c>
      <c r="D1575" s="18" t="s">
        <v>31</v>
      </c>
      <c r="E1575" s="26">
        <v>42563.243055555555</v>
      </c>
      <c r="F1575" s="19">
        <f>IFERROR(__xludf.DUMMYFUNCTION("IFERROR(TO_DATE(E1575), """")"),42563.243055555555)</f>
        <v>42563.24306</v>
      </c>
      <c r="G1575" s="20">
        <f t="shared" si="1"/>
        <v>5</v>
      </c>
      <c r="H1575" s="26">
        <v>42563.27638888889</v>
      </c>
      <c r="I1575" s="19">
        <f>IFERROR(__xludf.DUMMYFUNCTION("IFERROR(TO_DATE(H1575), """")"),42563.27638888889)</f>
        <v>42563.27639</v>
      </c>
      <c r="J1575" s="19" t="s">
        <v>11</v>
      </c>
      <c r="K1575" s="22">
        <f t="shared" si="2"/>
        <v>0</v>
      </c>
    </row>
    <row r="1576">
      <c r="A1576" s="18">
        <v>3082.0</v>
      </c>
      <c r="B1576" s="18" t="s">
        <v>32</v>
      </c>
      <c r="C1576" s="18">
        <v>167.0</v>
      </c>
      <c r="D1576" s="18" t="s">
        <v>31</v>
      </c>
      <c r="E1576" s="27">
        <v>42564.3403125</v>
      </c>
      <c r="F1576" s="19">
        <f>IFERROR(__xludf.DUMMYFUNCTION("IFERROR(TO_DATE(E1576), """")"),42564.3403125)</f>
        <v>42564.34031</v>
      </c>
      <c r="G1576" s="20">
        <f t="shared" si="1"/>
        <v>8</v>
      </c>
      <c r="H1576" s="27">
        <v>42564.368483796294</v>
      </c>
      <c r="I1576" s="19">
        <f>IFERROR(__xludf.DUMMYFUNCTION("IFERROR(TO_DATE(H1576), """")"),42564.368483796294)</f>
        <v>42564.36848</v>
      </c>
      <c r="J1576" s="19" t="s">
        <v>14</v>
      </c>
      <c r="K1576" s="22">
        <f t="shared" si="2"/>
        <v>0</v>
      </c>
    </row>
    <row r="1577">
      <c r="A1577" s="18">
        <v>3478.0</v>
      </c>
      <c r="B1577" s="18" t="s">
        <v>30</v>
      </c>
      <c r="C1577" s="18">
        <v>167.0</v>
      </c>
      <c r="D1577" s="18" t="s">
        <v>31</v>
      </c>
      <c r="E1577" s="27">
        <v>42564.7221875</v>
      </c>
      <c r="F1577" s="19">
        <f>IFERROR(__xludf.DUMMYFUNCTION("IFERROR(TO_DATE(E1577), """")"),42564.7221875)</f>
        <v>42564.72219</v>
      </c>
      <c r="G1577" s="20">
        <f t="shared" si="1"/>
        <v>17</v>
      </c>
      <c r="H1577" s="27">
        <v>42564.745787037034</v>
      </c>
      <c r="I1577" s="19">
        <f>IFERROR(__xludf.DUMMYFUNCTION("IFERROR(TO_DATE(H1577), """")"),42564.745787037034)</f>
        <v>42564.74579</v>
      </c>
      <c r="J1577" s="19" t="s">
        <v>12</v>
      </c>
      <c r="K1577" s="22">
        <f t="shared" si="2"/>
        <v>0</v>
      </c>
    </row>
    <row r="1578">
      <c r="A1578" s="18">
        <v>4539.0</v>
      </c>
      <c r="B1578" s="18" t="s">
        <v>32</v>
      </c>
      <c r="C1578" s="18">
        <v>167.0</v>
      </c>
      <c r="D1578" s="18" t="s">
        <v>31</v>
      </c>
      <c r="E1578" s="27">
        <v>42565.39979166666</v>
      </c>
      <c r="F1578" s="19">
        <f>IFERROR(__xludf.DUMMYFUNCTION("IFERROR(TO_DATE(E1578), """")"),42565.39979166666)</f>
        <v>42565.39979</v>
      </c>
      <c r="G1578" s="20">
        <f t="shared" si="1"/>
        <v>9</v>
      </c>
      <c r="H1578" s="27">
        <v>42565.44863425926</v>
      </c>
      <c r="I1578" s="19">
        <f>IFERROR(__xludf.DUMMYFUNCTION("IFERROR(TO_DATE(H1578), """")"),42565.44863425926)</f>
        <v>42565.44863</v>
      </c>
      <c r="J1578" s="19" t="s">
        <v>14</v>
      </c>
      <c r="K1578" s="22">
        <f t="shared" si="2"/>
        <v>0</v>
      </c>
    </row>
    <row r="1579">
      <c r="A1579" s="18">
        <v>4791.0</v>
      </c>
      <c r="B1579" s="18" t="s">
        <v>32</v>
      </c>
      <c r="C1579" s="18">
        <v>167.0</v>
      </c>
      <c r="D1579" s="18" t="s">
        <v>31</v>
      </c>
      <c r="E1579" s="27">
        <v>42565.69664351852</v>
      </c>
      <c r="F1579" s="19">
        <f>IFERROR(__xludf.DUMMYFUNCTION("IFERROR(TO_DATE(E1579), """")"),42565.69664351852)</f>
        <v>42565.69664</v>
      </c>
      <c r="G1579" s="20">
        <f t="shared" si="1"/>
        <v>16</v>
      </c>
      <c r="H1579" s="27">
        <v>42565.73122685185</v>
      </c>
      <c r="I1579" s="19">
        <f>IFERROR(__xludf.DUMMYFUNCTION("IFERROR(TO_DATE(H1579), """")"),42565.73122685185)</f>
        <v>42565.73123</v>
      </c>
      <c r="J1579" s="19" t="s">
        <v>12</v>
      </c>
      <c r="K1579" s="22">
        <f t="shared" si="2"/>
        <v>0</v>
      </c>
    </row>
    <row r="1580">
      <c r="A1580" s="18">
        <v>5263.0</v>
      </c>
      <c r="B1580" s="18" t="s">
        <v>32</v>
      </c>
      <c r="C1580" s="18">
        <v>167.0</v>
      </c>
      <c r="D1580" s="18" t="s">
        <v>31</v>
      </c>
      <c r="E1580" s="27">
        <v>42565.89622685185</v>
      </c>
      <c r="F1580" s="19">
        <f>IFERROR(__xludf.DUMMYFUNCTION("IFERROR(TO_DATE(E1580), """")"),42565.89622685185)</f>
        <v>42565.89623</v>
      </c>
      <c r="G1580" s="20">
        <f t="shared" si="1"/>
        <v>21</v>
      </c>
      <c r="H1580" s="27">
        <v>42565.91627314815</v>
      </c>
      <c r="I1580" s="19">
        <f>IFERROR(__xludf.DUMMYFUNCTION("IFERROR(TO_DATE(H1580), """")"),42565.91627314815)</f>
        <v>42565.91627</v>
      </c>
      <c r="J1580" s="19" t="s">
        <v>13</v>
      </c>
      <c r="K1580" s="22">
        <f t="shared" si="2"/>
        <v>0</v>
      </c>
    </row>
    <row r="1581">
      <c r="A1581" s="18">
        <v>1679.0</v>
      </c>
      <c r="B1581" s="18" t="s">
        <v>32</v>
      </c>
      <c r="C1581" s="18">
        <v>168.0</v>
      </c>
      <c r="D1581" s="18" t="s">
        <v>31</v>
      </c>
      <c r="E1581" s="26">
        <v>42563.32361111111</v>
      </c>
      <c r="F1581" s="19">
        <f>IFERROR(__xludf.DUMMYFUNCTION("IFERROR(TO_DATE(E1581), """")"),42563.32361111111)</f>
        <v>42563.32361</v>
      </c>
      <c r="G1581" s="20">
        <f t="shared" si="1"/>
        <v>7</v>
      </c>
      <c r="H1581" s="26">
        <v>42563.35</v>
      </c>
      <c r="I1581" s="19">
        <f>IFERROR(__xludf.DUMMYFUNCTION("IFERROR(TO_DATE(H1581), """")"),42563.35)</f>
        <v>42563.35</v>
      </c>
      <c r="J1581" s="19" t="s">
        <v>11</v>
      </c>
      <c r="K1581" s="22">
        <f t="shared" si="2"/>
        <v>0</v>
      </c>
    </row>
    <row r="1582">
      <c r="A1582" s="18">
        <v>2276.0</v>
      </c>
      <c r="B1582" s="18" t="s">
        <v>30</v>
      </c>
      <c r="C1582" s="18">
        <v>168.0</v>
      </c>
      <c r="D1582" s="18" t="s">
        <v>31</v>
      </c>
      <c r="E1582" s="26">
        <v>42563.77638888889</v>
      </c>
      <c r="F1582" s="19">
        <f>IFERROR(__xludf.DUMMYFUNCTION("IFERROR(TO_DATE(E1582), """")"),42563.77638888889)</f>
        <v>42563.77639</v>
      </c>
      <c r="G1582" s="20">
        <f t="shared" si="1"/>
        <v>18</v>
      </c>
      <c r="H1582" s="26">
        <v>42563.82361111111</v>
      </c>
      <c r="I1582" s="19">
        <f>IFERROR(__xludf.DUMMYFUNCTION("IFERROR(TO_DATE(H1582), """")"),42563.82361111111)</f>
        <v>42563.82361</v>
      </c>
      <c r="J1582" s="19" t="s">
        <v>12</v>
      </c>
      <c r="K1582" s="22">
        <f t="shared" si="2"/>
        <v>0</v>
      </c>
    </row>
    <row r="1583">
      <c r="A1583" s="18">
        <v>2747.0</v>
      </c>
      <c r="B1583" s="18" t="s">
        <v>30</v>
      </c>
      <c r="C1583" s="18">
        <v>168.0</v>
      </c>
      <c r="D1583" s="18" t="s">
        <v>31</v>
      </c>
      <c r="E1583" s="27">
        <v>42564.13680555556</v>
      </c>
      <c r="F1583" s="19">
        <f>IFERROR(__xludf.DUMMYFUNCTION("IFERROR(TO_DATE(E1583), """")"),42564.13680555556)</f>
        <v>42564.13681</v>
      </c>
      <c r="G1583" s="20">
        <f t="shared" si="1"/>
        <v>3</v>
      </c>
      <c r="H1583" s="27">
        <v>42564.163125</v>
      </c>
      <c r="I1583" s="19">
        <f>IFERROR(__xludf.DUMMYFUNCTION("IFERROR(TO_DATE(H1583), """")"),42564.163125)</f>
        <v>42564.16313</v>
      </c>
      <c r="J1583" s="19" t="s">
        <v>15</v>
      </c>
      <c r="K1583" s="22">
        <f t="shared" si="2"/>
        <v>0</v>
      </c>
    </row>
    <row r="1584">
      <c r="A1584" s="18">
        <v>3370.0</v>
      </c>
      <c r="B1584" s="18" t="s">
        <v>32</v>
      </c>
      <c r="C1584" s="18">
        <v>168.0</v>
      </c>
      <c r="D1584" s="18" t="s">
        <v>31</v>
      </c>
      <c r="E1584" s="27">
        <v>42564.58113425926</v>
      </c>
      <c r="F1584" s="19">
        <f>IFERROR(__xludf.DUMMYFUNCTION("IFERROR(TO_DATE(E1584), """")"),42564.58113425926)</f>
        <v>42564.58113</v>
      </c>
      <c r="G1584" s="20">
        <f t="shared" si="1"/>
        <v>13</v>
      </c>
      <c r="H1584" s="27">
        <v>42564.62230324074</v>
      </c>
      <c r="I1584" s="19">
        <f>IFERROR(__xludf.DUMMYFUNCTION("IFERROR(TO_DATE(H1584), """")"),42564.62230324074)</f>
        <v>42564.6223</v>
      </c>
      <c r="J1584" s="19" t="s">
        <v>10</v>
      </c>
      <c r="K1584" s="22">
        <f t="shared" si="2"/>
        <v>0</v>
      </c>
    </row>
    <row r="1585">
      <c r="A1585" s="18">
        <v>3741.0</v>
      </c>
      <c r="B1585" s="18" t="s">
        <v>30</v>
      </c>
      <c r="C1585" s="18">
        <v>168.0</v>
      </c>
      <c r="D1585" s="18" t="s">
        <v>31</v>
      </c>
      <c r="E1585" s="27">
        <v>42564.843298611115</v>
      </c>
      <c r="F1585" s="19">
        <f>IFERROR(__xludf.DUMMYFUNCTION("IFERROR(TO_DATE(E1585), """")"),42564.843298611115)</f>
        <v>42564.8433</v>
      </c>
      <c r="G1585" s="20">
        <f t="shared" si="1"/>
        <v>20</v>
      </c>
      <c r="H1585" s="27">
        <v>42564.88998842592</v>
      </c>
      <c r="I1585" s="19">
        <f>IFERROR(__xludf.DUMMYFUNCTION("IFERROR(TO_DATE(H1585), """")"),42564.88998842592)</f>
        <v>42564.88999</v>
      </c>
      <c r="J1585" s="19" t="s">
        <v>13</v>
      </c>
      <c r="K1585" s="22">
        <f t="shared" si="2"/>
        <v>0</v>
      </c>
    </row>
    <row r="1586">
      <c r="A1586" s="18">
        <v>4266.0</v>
      </c>
      <c r="B1586" s="18" t="s">
        <v>30</v>
      </c>
      <c r="C1586" s="18">
        <v>168.0</v>
      </c>
      <c r="D1586" s="18" t="s">
        <v>31</v>
      </c>
      <c r="E1586" s="27">
        <v>42565.25697916667</v>
      </c>
      <c r="F1586" s="19">
        <f>IFERROR(__xludf.DUMMYFUNCTION("IFERROR(TO_DATE(E1586), """")"),42565.25697916667)</f>
        <v>42565.25698</v>
      </c>
      <c r="G1586" s="20">
        <f t="shared" si="1"/>
        <v>6</v>
      </c>
      <c r="H1586" s="27">
        <v>42565.288935185185</v>
      </c>
      <c r="I1586" s="19">
        <f>IFERROR(__xludf.DUMMYFUNCTION("IFERROR(TO_DATE(H1586), """")"),42565.288935185185)</f>
        <v>42565.28894</v>
      </c>
      <c r="J1586" s="19" t="s">
        <v>11</v>
      </c>
      <c r="K1586" s="22">
        <f t="shared" si="2"/>
        <v>0</v>
      </c>
    </row>
    <row r="1587">
      <c r="A1587" s="18">
        <v>5596.0</v>
      </c>
      <c r="B1587" s="18" t="s">
        <v>32</v>
      </c>
      <c r="C1587" s="18">
        <v>168.0</v>
      </c>
      <c r="D1587" s="18" t="s">
        <v>31</v>
      </c>
      <c r="E1587" s="27">
        <v>42566.2559375</v>
      </c>
      <c r="F1587" s="19">
        <f>IFERROR(__xludf.DUMMYFUNCTION("IFERROR(TO_DATE(E1587), """")"),42566.2559375)</f>
        <v>42566.25594</v>
      </c>
      <c r="G1587" s="20">
        <f t="shared" si="1"/>
        <v>6</v>
      </c>
      <c r="H1587" s="27">
        <v>42566.285462962966</v>
      </c>
      <c r="I1587" s="19">
        <f>IFERROR(__xludf.DUMMYFUNCTION("IFERROR(TO_DATE(H1587), """")"),42566.285462962966)</f>
        <v>42566.28546</v>
      </c>
      <c r="J1587" s="19" t="s">
        <v>11</v>
      </c>
      <c r="K1587" s="22">
        <f t="shared" si="2"/>
        <v>0</v>
      </c>
    </row>
    <row r="1588">
      <c r="A1588" s="18">
        <v>5961.0</v>
      </c>
      <c r="B1588" s="18" t="s">
        <v>30</v>
      </c>
      <c r="C1588" s="18">
        <v>168.0</v>
      </c>
      <c r="D1588" s="18" t="s">
        <v>31</v>
      </c>
      <c r="E1588" s="27">
        <v>42566.455462962964</v>
      </c>
      <c r="F1588" s="19">
        <f>IFERROR(__xludf.DUMMYFUNCTION("IFERROR(TO_DATE(E1588), """")"),42566.455462962964)</f>
        <v>42566.45546</v>
      </c>
      <c r="G1588" s="20">
        <f t="shared" si="1"/>
        <v>10</v>
      </c>
      <c r="H1588" s="27">
        <v>42566.49623842593</v>
      </c>
      <c r="I1588" s="19">
        <f>IFERROR(__xludf.DUMMYFUNCTION("IFERROR(TO_DATE(H1588), """")"),42566.49623842593)</f>
        <v>42566.49624</v>
      </c>
      <c r="J1588" s="19" t="s">
        <v>14</v>
      </c>
      <c r="K1588" s="22">
        <f t="shared" si="2"/>
        <v>0</v>
      </c>
    </row>
    <row r="1589">
      <c r="A1589" s="18">
        <v>6418.0</v>
      </c>
      <c r="B1589" s="18" t="s">
        <v>32</v>
      </c>
      <c r="C1589" s="18">
        <v>168.0</v>
      </c>
      <c r="D1589" s="18" t="s">
        <v>31</v>
      </c>
      <c r="E1589" s="27">
        <v>42566.82324074074</v>
      </c>
      <c r="F1589" s="19">
        <f>IFERROR(__xludf.DUMMYFUNCTION("IFERROR(TO_DATE(E1589), """")"),42566.82324074074)</f>
        <v>42566.82324</v>
      </c>
      <c r="G1589" s="20">
        <f t="shared" si="1"/>
        <v>19</v>
      </c>
      <c r="H1589" s="27">
        <v>42566.84925925926</v>
      </c>
      <c r="I1589" s="19">
        <f>IFERROR(__xludf.DUMMYFUNCTION("IFERROR(TO_DATE(H1589), """")"),42566.84925925926)</f>
        <v>42566.84926</v>
      </c>
      <c r="J1589" s="19" t="s">
        <v>12</v>
      </c>
      <c r="K1589" s="22">
        <f t="shared" si="2"/>
        <v>0</v>
      </c>
    </row>
    <row r="1590">
      <c r="A1590" s="18">
        <v>759.0</v>
      </c>
      <c r="B1590" s="18" t="s">
        <v>32</v>
      </c>
      <c r="C1590" s="18">
        <v>169.0</v>
      </c>
      <c r="D1590" s="18" t="s">
        <v>31</v>
      </c>
      <c r="E1590" s="26">
        <v>42562.677777777775</v>
      </c>
      <c r="F1590" s="19">
        <f>IFERROR(__xludf.DUMMYFUNCTION("IFERROR(TO_DATE(E1590), """")"),42562.677777777775)</f>
        <v>42562.67778</v>
      </c>
      <c r="G1590" s="20">
        <f t="shared" si="1"/>
        <v>16</v>
      </c>
      <c r="H1590" s="26">
        <v>42562.69930555556</v>
      </c>
      <c r="I1590" s="19">
        <f>IFERROR(__xludf.DUMMYFUNCTION("IFERROR(TO_DATE(H1590), """")"),42562.69930555556)</f>
        <v>42562.69931</v>
      </c>
      <c r="J1590" s="19" t="s">
        <v>12</v>
      </c>
      <c r="K1590" s="22">
        <f t="shared" si="2"/>
        <v>0</v>
      </c>
    </row>
    <row r="1591">
      <c r="A1591" s="18">
        <v>2524.0</v>
      </c>
      <c r="B1591" s="18" t="s">
        <v>30</v>
      </c>
      <c r="C1591" s="18">
        <v>169.0</v>
      </c>
      <c r="D1591" s="18" t="s">
        <v>31</v>
      </c>
      <c r="E1591" s="26">
        <v>42563.88125</v>
      </c>
      <c r="F1591" s="19">
        <f>IFERROR(__xludf.DUMMYFUNCTION("IFERROR(TO_DATE(E1591), """")"),42563.88125)</f>
        <v>42563.88125</v>
      </c>
      <c r="G1591" s="20">
        <f t="shared" si="1"/>
        <v>21</v>
      </c>
      <c r="H1591" s="26">
        <v>42563.913194444445</v>
      </c>
      <c r="I1591" s="19">
        <f>IFERROR(__xludf.DUMMYFUNCTION("IFERROR(TO_DATE(H1591), """")"),42563.913194444445)</f>
        <v>42563.91319</v>
      </c>
      <c r="J1591" s="19" t="s">
        <v>13</v>
      </c>
      <c r="K1591" s="22">
        <f t="shared" si="2"/>
        <v>0</v>
      </c>
    </row>
    <row r="1592">
      <c r="A1592" s="18">
        <v>2769.0</v>
      </c>
      <c r="B1592" s="18" t="s">
        <v>30</v>
      </c>
      <c r="C1592" s="18">
        <v>169.0</v>
      </c>
      <c r="D1592" s="18" t="s">
        <v>31</v>
      </c>
      <c r="E1592" s="27">
        <v>42564.17634259259</v>
      </c>
      <c r="F1592" s="19">
        <f>IFERROR(__xludf.DUMMYFUNCTION("IFERROR(TO_DATE(E1592), """")"),42564.17634259259)</f>
        <v>42564.17634</v>
      </c>
      <c r="G1592" s="20">
        <f t="shared" si="1"/>
        <v>4</v>
      </c>
      <c r="H1592" s="27">
        <v>42564.21295138889</v>
      </c>
      <c r="I1592" s="19">
        <f>IFERROR(__xludf.DUMMYFUNCTION("IFERROR(TO_DATE(H1592), """")"),42564.21295138889)</f>
        <v>42564.21295</v>
      </c>
      <c r="J1592" s="19" t="s">
        <v>11</v>
      </c>
      <c r="K1592" s="22">
        <f t="shared" si="2"/>
        <v>0</v>
      </c>
    </row>
    <row r="1593">
      <c r="A1593" s="18">
        <v>5071.0</v>
      </c>
      <c r="B1593" s="18" t="s">
        <v>30</v>
      </c>
      <c r="C1593" s="18">
        <v>169.0</v>
      </c>
      <c r="D1593" s="18" t="s">
        <v>31</v>
      </c>
      <c r="E1593" s="27">
        <v>42565.81288194445</v>
      </c>
      <c r="F1593" s="19">
        <f>IFERROR(__xludf.DUMMYFUNCTION("IFERROR(TO_DATE(E1593), """")"),42565.81288194445)</f>
        <v>42565.81288</v>
      </c>
      <c r="G1593" s="20">
        <f t="shared" si="1"/>
        <v>19</v>
      </c>
      <c r="H1593" s="27">
        <v>42565.84546296296</v>
      </c>
      <c r="I1593" s="19">
        <f>IFERROR(__xludf.DUMMYFUNCTION("IFERROR(TO_DATE(H1593), """")"),42565.84546296296)</f>
        <v>42565.84546</v>
      </c>
      <c r="J1593" s="19" t="s">
        <v>12</v>
      </c>
      <c r="K1593" s="22">
        <f t="shared" si="2"/>
        <v>0</v>
      </c>
    </row>
    <row r="1594">
      <c r="A1594" s="18">
        <v>5287.0</v>
      </c>
      <c r="B1594" s="18" t="s">
        <v>32</v>
      </c>
      <c r="C1594" s="18">
        <v>169.0</v>
      </c>
      <c r="D1594" s="18" t="s">
        <v>31</v>
      </c>
      <c r="E1594" s="27">
        <v>42565.90746527778</v>
      </c>
      <c r="F1594" s="19">
        <f>IFERROR(__xludf.DUMMYFUNCTION("IFERROR(TO_DATE(E1594), """")"),42565.90746527778)</f>
        <v>42565.90747</v>
      </c>
      <c r="G1594" s="20">
        <f t="shared" si="1"/>
        <v>21</v>
      </c>
      <c r="H1594" s="27">
        <v>42565.94142361111</v>
      </c>
      <c r="I1594" s="19">
        <f>IFERROR(__xludf.DUMMYFUNCTION("IFERROR(TO_DATE(H1594), """")"),42565.94142361111)</f>
        <v>42565.94142</v>
      </c>
      <c r="J1594" s="19" t="s">
        <v>13</v>
      </c>
      <c r="K1594" s="22">
        <f t="shared" si="2"/>
        <v>0</v>
      </c>
    </row>
    <row r="1595">
      <c r="A1595" s="18">
        <v>33.0</v>
      </c>
      <c r="B1595" s="18" t="s">
        <v>30</v>
      </c>
      <c r="C1595" s="18">
        <v>170.0</v>
      </c>
      <c r="D1595" s="18" t="s">
        <v>31</v>
      </c>
      <c r="E1595" s="26">
        <v>42562.095138888886</v>
      </c>
      <c r="F1595" s="19">
        <f>IFERROR(__xludf.DUMMYFUNCTION("IFERROR(TO_DATE(E1595), """")"),42562.095138888886)</f>
        <v>42562.09514</v>
      </c>
      <c r="G1595" s="20">
        <f t="shared" si="1"/>
        <v>2</v>
      </c>
      <c r="H1595" s="26">
        <v>42562.146527777775</v>
      </c>
      <c r="I1595" s="19">
        <f>IFERROR(__xludf.DUMMYFUNCTION("IFERROR(TO_DATE(H1595), """")"),42562.146527777775)</f>
        <v>42562.14653</v>
      </c>
      <c r="J1595" s="19" t="s">
        <v>15</v>
      </c>
      <c r="K1595" s="22">
        <f t="shared" si="2"/>
        <v>0</v>
      </c>
    </row>
    <row r="1596">
      <c r="A1596" s="18">
        <v>2692.0</v>
      </c>
      <c r="B1596" s="18" t="s">
        <v>32</v>
      </c>
      <c r="C1596" s="18">
        <v>170.0</v>
      </c>
      <c r="D1596" s="18" t="s">
        <v>31</v>
      </c>
      <c r="E1596" s="27">
        <v>42564.029398148145</v>
      </c>
      <c r="F1596" s="19">
        <f>IFERROR(__xludf.DUMMYFUNCTION("IFERROR(TO_DATE(E1596), """")"),42564.029398148145)</f>
        <v>42564.0294</v>
      </c>
      <c r="G1596" s="20">
        <f t="shared" si="1"/>
        <v>0</v>
      </c>
      <c r="H1596" s="27">
        <v>42564.070069444446</v>
      </c>
      <c r="I1596" s="19">
        <f>IFERROR(__xludf.DUMMYFUNCTION("IFERROR(TO_DATE(H1596), """")"),42564.070069444446)</f>
        <v>42564.07007</v>
      </c>
      <c r="J1596" s="19" t="s">
        <v>15</v>
      </c>
      <c r="K1596" s="22">
        <f t="shared" si="2"/>
        <v>0</v>
      </c>
    </row>
    <row r="1597">
      <c r="A1597" s="18">
        <v>2835.0</v>
      </c>
      <c r="B1597" s="18" t="s">
        <v>32</v>
      </c>
      <c r="C1597" s="18">
        <v>170.0</v>
      </c>
      <c r="D1597" s="18" t="s">
        <v>31</v>
      </c>
      <c r="E1597" s="27">
        <v>42564.22207175926</v>
      </c>
      <c r="F1597" s="19">
        <f>IFERROR(__xludf.DUMMYFUNCTION("IFERROR(TO_DATE(E1597), """")"),42564.22207175926)</f>
        <v>42564.22207</v>
      </c>
      <c r="G1597" s="20">
        <f t="shared" si="1"/>
        <v>5</v>
      </c>
      <c r="H1597" s="27">
        <v>42564.267175925925</v>
      </c>
      <c r="I1597" s="19">
        <f>IFERROR(__xludf.DUMMYFUNCTION("IFERROR(TO_DATE(H1597), """")"),42564.267175925925)</f>
        <v>42564.26718</v>
      </c>
      <c r="J1597" s="19" t="s">
        <v>11</v>
      </c>
      <c r="K1597" s="22">
        <f t="shared" si="2"/>
        <v>0</v>
      </c>
    </row>
    <row r="1598">
      <c r="A1598" s="18">
        <v>3122.0</v>
      </c>
      <c r="B1598" s="18" t="s">
        <v>30</v>
      </c>
      <c r="C1598" s="18">
        <v>170.0</v>
      </c>
      <c r="D1598" s="18" t="s">
        <v>31</v>
      </c>
      <c r="E1598" s="27">
        <v>42564.35917824074</v>
      </c>
      <c r="F1598" s="19">
        <f>IFERROR(__xludf.DUMMYFUNCTION("IFERROR(TO_DATE(E1598), """")"),42564.35917824074)</f>
        <v>42564.35918</v>
      </c>
      <c r="G1598" s="20">
        <f t="shared" si="1"/>
        <v>8</v>
      </c>
      <c r="H1598" s="27">
        <v>42564.384409722225</v>
      </c>
      <c r="I1598" s="19">
        <f>IFERROR(__xludf.DUMMYFUNCTION("IFERROR(TO_DATE(H1598), """")"),42564.384409722225)</f>
        <v>42564.38441</v>
      </c>
      <c r="J1598" s="19" t="s">
        <v>14</v>
      </c>
      <c r="K1598" s="22">
        <f t="shared" si="2"/>
        <v>0</v>
      </c>
    </row>
    <row r="1599">
      <c r="A1599" s="18">
        <v>3465.0</v>
      </c>
      <c r="B1599" s="18" t="s">
        <v>32</v>
      </c>
      <c r="C1599" s="18">
        <v>170.0</v>
      </c>
      <c r="D1599" s="18" t="s">
        <v>31</v>
      </c>
      <c r="E1599" s="27">
        <v>42564.716898148145</v>
      </c>
      <c r="F1599" s="19">
        <f>IFERROR(__xludf.DUMMYFUNCTION("IFERROR(TO_DATE(E1599), """")"),42564.716898148145)</f>
        <v>42564.7169</v>
      </c>
      <c r="G1599" s="20">
        <f t="shared" si="1"/>
        <v>17</v>
      </c>
      <c r="H1599" s="27">
        <v>42564.75266203703</v>
      </c>
      <c r="I1599" s="19">
        <f>IFERROR(__xludf.DUMMYFUNCTION("IFERROR(TO_DATE(H1599), """")"),42564.75266203703)</f>
        <v>42564.75266</v>
      </c>
      <c r="J1599" s="19" t="s">
        <v>12</v>
      </c>
      <c r="K1599" s="22">
        <f t="shared" si="2"/>
        <v>0</v>
      </c>
    </row>
    <row r="1600">
      <c r="A1600" s="18">
        <v>3857.0</v>
      </c>
      <c r="B1600" s="18" t="s">
        <v>32</v>
      </c>
      <c r="C1600" s="18">
        <v>170.0</v>
      </c>
      <c r="D1600" s="18" t="s">
        <v>31</v>
      </c>
      <c r="E1600" s="27">
        <v>42564.898668981485</v>
      </c>
      <c r="F1600" s="19">
        <f>IFERROR(__xludf.DUMMYFUNCTION("IFERROR(TO_DATE(E1600), """")"),42564.898668981485)</f>
        <v>42564.89867</v>
      </c>
      <c r="G1600" s="20">
        <f t="shared" si="1"/>
        <v>21</v>
      </c>
      <c r="H1600" s="27">
        <v>42564.94886574074</v>
      </c>
      <c r="I1600" s="19">
        <f>IFERROR(__xludf.DUMMYFUNCTION("IFERROR(TO_DATE(H1600), """")"),42564.94886574074)</f>
        <v>42564.94887</v>
      </c>
      <c r="J1600" s="19" t="s">
        <v>13</v>
      </c>
      <c r="K1600" s="22">
        <f t="shared" si="2"/>
        <v>0</v>
      </c>
    </row>
    <row r="1601">
      <c r="A1601" s="18">
        <v>4343.0</v>
      </c>
      <c r="B1601" s="18" t="s">
        <v>30</v>
      </c>
      <c r="C1601" s="18">
        <v>170.0</v>
      </c>
      <c r="D1601" s="18" t="s">
        <v>31</v>
      </c>
      <c r="E1601" s="27">
        <v>42565.30386574074</v>
      </c>
      <c r="F1601" s="19">
        <f>IFERROR(__xludf.DUMMYFUNCTION("IFERROR(TO_DATE(E1601), """")"),42565.30386574074)</f>
        <v>42565.30387</v>
      </c>
      <c r="G1601" s="20">
        <f t="shared" si="1"/>
        <v>7</v>
      </c>
      <c r="H1601" s="27">
        <v>42565.338784722226</v>
      </c>
      <c r="I1601" s="19">
        <f>IFERROR(__xludf.DUMMYFUNCTION("IFERROR(TO_DATE(H1601), """")"),42565.338784722226)</f>
        <v>42565.33878</v>
      </c>
      <c r="J1601" s="19" t="s">
        <v>11</v>
      </c>
      <c r="K1601" s="22">
        <f t="shared" si="2"/>
        <v>0</v>
      </c>
    </row>
    <row r="1602">
      <c r="A1602" s="18">
        <v>4417.0</v>
      </c>
      <c r="B1602" s="18" t="s">
        <v>32</v>
      </c>
      <c r="C1602" s="18">
        <v>170.0</v>
      </c>
      <c r="D1602" s="18" t="s">
        <v>31</v>
      </c>
      <c r="E1602" s="27">
        <v>42565.34278935185</v>
      </c>
      <c r="F1602" s="19">
        <f>IFERROR(__xludf.DUMMYFUNCTION("IFERROR(TO_DATE(E1602), """")"),42565.34278935185)</f>
        <v>42565.34279</v>
      </c>
      <c r="G1602" s="20">
        <f t="shared" si="1"/>
        <v>8</v>
      </c>
      <c r="H1602" s="27">
        <v>42565.38030092593</v>
      </c>
      <c r="I1602" s="19">
        <f>IFERROR(__xludf.DUMMYFUNCTION("IFERROR(TO_DATE(H1602), """")"),42565.38030092593)</f>
        <v>42565.3803</v>
      </c>
      <c r="J1602" s="19" t="s">
        <v>14</v>
      </c>
      <c r="K1602" s="22">
        <f t="shared" si="2"/>
        <v>0</v>
      </c>
    </row>
    <row r="1603">
      <c r="A1603" s="18">
        <v>5756.0</v>
      </c>
      <c r="B1603" s="18" t="s">
        <v>32</v>
      </c>
      <c r="C1603" s="18">
        <v>170.0</v>
      </c>
      <c r="D1603" s="18" t="s">
        <v>31</v>
      </c>
      <c r="E1603" s="27">
        <v>42566.33542824074</v>
      </c>
      <c r="F1603" s="19">
        <f>IFERROR(__xludf.DUMMYFUNCTION("IFERROR(TO_DATE(E1603), """")"),42566.33542824074)</f>
        <v>42566.33543</v>
      </c>
      <c r="G1603" s="20">
        <f t="shared" si="1"/>
        <v>8</v>
      </c>
      <c r="H1603" s="27">
        <v>42566.36929398148</v>
      </c>
      <c r="I1603" s="19">
        <f>IFERROR(__xludf.DUMMYFUNCTION("IFERROR(TO_DATE(H1603), """")"),42566.36929398148)</f>
        <v>42566.36929</v>
      </c>
      <c r="J1603" s="19" t="s">
        <v>14</v>
      </c>
      <c r="K1603" s="22">
        <f t="shared" si="2"/>
        <v>0</v>
      </c>
    </row>
    <row r="1604">
      <c r="A1604" s="18">
        <v>5907.0</v>
      </c>
      <c r="B1604" s="18" t="s">
        <v>30</v>
      </c>
      <c r="C1604" s="18">
        <v>170.0</v>
      </c>
      <c r="D1604" s="18" t="s">
        <v>31</v>
      </c>
      <c r="E1604" s="27">
        <v>42566.414293981485</v>
      </c>
      <c r="F1604" s="19">
        <f>IFERROR(__xludf.DUMMYFUNCTION("IFERROR(TO_DATE(E1604), """")"),42566.414293981485)</f>
        <v>42566.41429</v>
      </c>
      <c r="G1604" s="20">
        <f t="shared" si="1"/>
        <v>9</v>
      </c>
      <c r="H1604" s="27">
        <v>42566.46160879629</v>
      </c>
      <c r="I1604" s="19">
        <f>IFERROR(__xludf.DUMMYFUNCTION("IFERROR(TO_DATE(H1604), """")"),42566.46160879629)</f>
        <v>42566.46161</v>
      </c>
      <c r="J1604" s="19" t="s">
        <v>14</v>
      </c>
      <c r="K1604" s="22">
        <f t="shared" si="2"/>
        <v>0</v>
      </c>
    </row>
    <row r="1605">
      <c r="A1605" s="18">
        <v>699.0</v>
      </c>
      <c r="B1605" s="18" t="s">
        <v>30</v>
      </c>
      <c r="C1605" s="18">
        <v>171.0</v>
      </c>
      <c r="D1605" s="18" t="s">
        <v>31</v>
      </c>
      <c r="E1605" s="26">
        <v>42562.58472222222</v>
      </c>
      <c r="F1605" s="19">
        <f>IFERROR(__xludf.DUMMYFUNCTION("IFERROR(TO_DATE(E1605), """")"),42562.58472222222)</f>
        <v>42562.58472</v>
      </c>
      <c r="G1605" s="20">
        <f t="shared" si="1"/>
        <v>14</v>
      </c>
      <c r="H1605" s="26">
        <v>42562.626388888886</v>
      </c>
      <c r="I1605" s="19">
        <f>IFERROR(__xludf.DUMMYFUNCTION("IFERROR(TO_DATE(H1605), """")"),42562.626388888886)</f>
        <v>42562.62639</v>
      </c>
      <c r="J1605" s="19" t="s">
        <v>10</v>
      </c>
      <c r="K1605" s="22">
        <f t="shared" si="2"/>
        <v>0</v>
      </c>
    </row>
    <row r="1606">
      <c r="A1606" s="18">
        <v>821.0</v>
      </c>
      <c r="B1606" s="18" t="s">
        <v>32</v>
      </c>
      <c r="C1606" s="18">
        <v>171.0</v>
      </c>
      <c r="D1606" s="18" t="s">
        <v>31</v>
      </c>
      <c r="E1606" s="26">
        <v>42562.731944444444</v>
      </c>
      <c r="F1606" s="19">
        <f>IFERROR(__xludf.DUMMYFUNCTION("IFERROR(TO_DATE(E1606), """")"),42562.731944444444)</f>
        <v>42562.73194</v>
      </c>
      <c r="G1606" s="20">
        <f t="shared" si="1"/>
        <v>17</v>
      </c>
      <c r="H1606" s="26">
        <v>42562.74791666667</v>
      </c>
      <c r="I1606" s="19">
        <f>IFERROR(__xludf.DUMMYFUNCTION("IFERROR(TO_DATE(H1606), """")"),42562.74791666667)</f>
        <v>42562.74792</v>
      </c>
      <c r="J1606" s="19" t="s">
        <v>12</v>
      </c>
      <c r="K1606" s="22">
        <f t="shared" si="2"/>
        <v>0</v>
      </c>
    </row>
    <row r="1607">
      <c r="A1607" s="18">
        <v>2085.0</v>
      </c>
      <c r="B1607" s="18" t="s">
        <v>32</v>
      </c>
      <c r="C1607" s="18">
        <v>171.0</v>
      </c>
      <c r="D1607" s="18" t="s">
        <v>31</v>
      </c>
      <c r="E1607" s="26">
        <v>42563.65347222222</v>
      </c>
      <c r="F1607" s="19">
        <f>IFERROR(__xludf.DUMMYFUNCTION("IFERROR(TO_DATE(E1607), """")"),42563.65347222222)</f>
        <v>42563.65347</v>
      </c>
      <c r="G1607" s="20">
        <f t="shared" si="1"/>
        <v>15</v>
      </c>
      <c r="H1607" s="26">
        <v>42563.68541666667</v>
      </c>
      <c r="I1607" s="19">
        <f>IFERROR(__xludf.DUMMYFUNCTION("IFERROR(TO_DATE(H1607), """")"),42563.68541666667)</f>
        <v>42563.68542</v>
      </c>
      <c r="J1607" s="19" t="s">
        <v>10</v>
      </c>
      <c r="K1607" s="22">
        <f t="shared" si="2"/>
        <v>0</v>
      </c>
    </row>
    <row r="1608">
      <c r="A1608" s="18">
        <v>2346.0</v>
      </c>
      <c r="B1608" s="18" t="s">
        <v>30</v>
      </c>
      <c r="C1608" s="18">
        <v>171.0</v>
      </c>
      <c r="D1608" s="18" t="s">
        <v>31</v>
      </c>
      <c r="E1608" s="26">
        <v>42563.80347222222</v>
      </c>
      <c r="F1608" s="19">
        <f>IFERROR(__xludf.DUMMYFUNCTION("IFERROR(TO_DATE(E1608), """")"),42563.80347222222)</f>
        <v>42563.80347</v>
      </c>
      <c r="G1608" s="20">
        <f t="shared" si="1"/>
        <v>19</v>
      </c>
      <c r="H1608" s="26">
        <v>42563.83611111111</v>
      </c>
      <c r="I1608" s="19">
        <f>IFERROR(__xludf.DUMMYFUNCTION("IFERROR(TO_DATE(H1608), """")"),42563.83611111111)</f>
        <v>42563.83611</v>
      </c>
      <c r="J1608" s="19" t="s">
        <v>12</v>
      </c>
      <c r="K1608" s="22">
        <f t="shared" si="2"/>
        <v>0</v>
      </c>
    </row>
    <row r="1609">
      <c r="A1609" s="18">
        <v>2704.0</v>
      </c>
      <c r="B1609" s="18" t="s">
        <v>32</v>
      </c>
      <c r="C1609" s="18">
        <v>171.0</v>
      </c>
      <c r="D1609" s="18" t="s">
        <v>31</v>
      </c>
      <c r="E1609" s="27">
        <v>42564.05037037037</v>
      </c>
      <c r="F1609" s="19">
        <f>IFERROR(__xludf.DUMMYFUNCTION("IFERROR(TO_DATE(E1609), """")"),42564.05037037037)</f>
        <v>42564.05037</v>
      </c>
      <c r="G1609" s="20">
        <f t="shared" si="1"/>
        <v>1</v>
      </c>
      <c r="H1609" s="27">
        <v>42564.08204861111</v>
      </c>
      <c r="I1609" s="19">
        <f>IFERROR(__xludf.DUMMYFUNCTION("IFERROR(TO_DATE(H1609), """")"),42564.08204861111)</f>
        <v>42564.08205</v>
      </c>
      <c r="J1609" s="19" t="s">
        <v>15</v>
      </c>
      <c r="K1609" s="22">
        <f t="shared" si="2"/>
        <v>0</v>
      </c>
    </row>
    <row r="1610">
      <c r="A1610" s="18">
        <v>2901.0</v>
      </c>
      <c r="B1610" s="18" t="s">
        <v>30</v>
      </c>
      <c r="C1610" s="18">
        <v>171.0</v>
      </c>
      <c r="D1610" s="18" t="s">
        <v>31</v>
      </c>
      <c r="E1610" s="27">
        <v>42564.25305555556</v>
      </c>
      <c r="F1610" s="19">
        <f>IFERROR(__xludf.DUMMYFUNCTION("IFERROR(TO_DATE(E1610), """")"),42564.25305555556)</f>
        <v>42564.25306</v>
      </c>
      <c r="G1610" s="20">
        <f t="shared" si="1"/>
        <v>6</v>
      </c>
      <c r="H1610" s="27">
        <v>42564.30388888889</v>
      </c>
      <c r="I1610" s="19">
        <f>IFERROR(__xludf.DUMMYFUNCTION("IFERROR(TO_DATE(H1610), """")"),42564.30388888889)</f>
        <v>42564.30389</v>
      </c>
      <c r="J1610" s="19" t="s">
        <v>11</v>
      </c>
      <c r="K1610" s="22">
        <f t="shared" si="2"/>
        <v>0</v>
      </c>
    </row>
    <row r="1611">
      <c r="A1611" s="18">
        <v>3475.0</v>
      </c>
      <c r="B1611" s="18" t="s">
        <v>32</v>
      </c>
      <c r="C1611" s="18">
        <v>171.0</v>
      </c>
      <c r="D1611" s="18" t="s">
        <v>31</v>
      </c>
      <c r="E1611" s="27">
        <v>42564.72216435185</v>
      </c>
      <c r="F1611" s="19">
        <f>IFERROR(__xludf.DUMMYFUNCTION("IFERROR(TO_DATE(E1611), """")"),42564.72216435185)</f>
        <v>42564.72216</v>
      </c>
      <c r="G1611" s="20">
        <f t="shared" si="1"/>
        <v>17</v>
      </c>
      <c r="H1611" s="27">
        <v>42564.74710648148</v>
      </c>
      <c r="I1611" s="19">
        <f>IFERROR(__xludf.DUMMYFUNCTION("IFERROR(TO_DATE(H1611), """")"),42564.74710648148)</f>
        <v>42564.74711</v>
      </c>
      <c r="J1611" s="19" t="s">
        <v>12</v>
      </c>
      <c r="K1611" s="22">
        <f t="shared" si="2"/>
        <v>0</v>
      </c>
    </row>
    <row r="1612">
      <c r="A1612" s="18">
        <v>3743.0</v>
      </c>
      <c r="B1612" s="18" t="s">
        <v>30</v>
      </c>
      <c r="C1612" s="18">
        <v>171.0</v>
      </c>
      <c r="D1612" s="18" t="s">
        <v>31</v>
      </c>
      <c r="E1612" s="27">
        <v>42564.84710648148</v>
      </c>
      <c r="F1612" s="19">
        <f>IFERROR(__xludf.DUMMYFUNCTION("IFERROR(TO_DATE(E1612), """")"),42564.84710648148)</f>
        <v>42564.84711</v>
      </c>
      <c r="G1612" s="20">
        <f t="shared" si="1"/>
        <v>20</v>
      </c>
      <c r="H1612" s="27">
        <v>42564.88214120371</v>
      </c>
      <c r="I1612" s="19">
        <f>IFERROR(__xludf.DUMMYFUNCTION("IFERROR(TO_DATE(H1612), """")"),42564.88214120371)</f>
        <v>42564.88214</v>
      </c>
      <c r="J1612" s="19" t="s">
        <v>13</v>
      </c>
      <c r="K1612" s="22">
        <f t="shared" si="2"/>
        <v>0</v>
      </c>
    </row>
    <row r="1613">
      <c r="A1613" s="18">
        <v>5209.0</v>
      </c>
      <c r="B1613" s="18" t="s">
        <v>30</v>
      </c>
      <c r="C1613" s="18">
        <v>171.0</v>
      </c>
      <c r="D1613" s="18" t="s">
        <v>31</v>
      </c>
      <c r="E1613" s="27">
        <v>42565.87385416667</v>
      </c>
      <c r="F1613" s="19">
        <f>IFERROR(__xludf.DUMMYFUNCTION("IFERROR(TO_DATE(E1613), """")"),42565.87385416667)</f>
        <v>42565.87385</v>
      </c>
      <c r="G1613" s="20">
        <f t="shared" si="1"/>
        <v>20</v>
      </c>
      <c r="H1613" s="27">
        <v>42565.916400462964</v>
      </c>
      <c r="I1613" s="19">
        <f>IFERROR(__xludf.DUMMYFUNCTION("IFERROR(TO_DATE(H1613), """")"),42565.916400462964)</f>
        <v>42565.9164</v>
      </c>
      <c r="J1613" s="19" t="s">
        <v>13</v>
      </c>
      <c r="K1613" s="22">
        <f t="shared" si="2"/>
        <v>0</v>
      </c>
    </row>
    <row r="1614">
      <c r="A1614" s="18">
        <v>6674.0</v>
      </c>
      <c r="B1614" s="18" t="s">
        <v>30</v>
      </c>
      <c r="C1614" s="18">
        <v>171.0</v>
      </c>
      <c r="D1614" s="18" t="s">
        <v>31</v>
      </c>
      <c r="E1614" s="27">
        <v>42566.93439814815</v>
      </c>
      <c r="F1614" s="19">
        <f>IFERROR(__xludf.DUMMYFUNCTION("IFERROR(TO_DATE(E1614), """")"),42566.93439814815)</f>
        <v>42566.9344</v>
      </c>
      <c r="G1614" s="20">
        <f t="shared" si="1"/>
        <v>22</v>
      </c>
      <c r="H1614" s="27">
        <v>42566.964270833334</v>
      </c>
      <c r="I1614" s="19">
        <f>IFERROR(__xludf.DUMMYFUNCTION("IFERROR(TO_DATE(H1614), """")"),42566.964270833334)</f>
        <v>42566.96427</v>
      </c>
      <c r="J1614" s="19" t="s">
        <v>13</v>
      </c>
      <c r="K1614" s="22">
        <f t="shared" si="2"/>
        <v>0</v>
      </c>
    </row>
    <row r="1615">
      <c r="A1615" s="18">
        <v>714.0</v>
      </c>
      <c r="B1615" s="18" t="s">
        <v>32</v>
      </c>
      <c r="C1615" s="18">
        <v>172.0</v>
      </c>
      <c r="D1615" s="18" t="s">
        <v>31</v>
      </c>
      <c r="E1615" s="26">
        <v>42562.60277777778</v>
      </c>
      <c r="F1615" s="19">
        <f>IFERROR(__xludf.DUMMYFUNCTION("IFERROR(TO_DATE(E1615), """")"),42562.60277777778)</f>
        <v>42562.60278</v>
      </c>
      <c r="G1615" s="20">
        <f t="shared" si="1"/>
        <v>14</v>
      </c>
      <c r="H1615" s="26">
        <v>42562.64861111111</v>
      </c>
      <c r="I1615" s="19">
        <f>IFERROR(__xludf.DUMMYFUNCTION("IFERROR(TO_DATE(H1615), """")"),42562.64861111111)</f>
        <v>42562.64861</v>
      </c>
      <c r="J1615" s="19" t="s">
        <v>10</v>
      </c>
      <c r="K1615" s="22">
        <f t="shared" si="2"/>
        <v>0</v>
      </c>
    </row>
    <row r="1616">
      <c r="A1616" s="18">
        <v>792.0</v>
      </c>
      <c r="B1616" s="18" t="s">
        <v>30</v>
      </c>
      <c r="C1616" s="18">
        <v>172.0</v>
      </c>
      <c r="D1616" s="18" t="s">
        <v>31</v>
      </c>
      <c r="E1616" s="26">
        <v>42562.709027777775</v>
      </c>
      <c r="F1616" s="19">
        <f>IFERROR(__xludf.DUMMYFUNCTION("IFERROR(TO_DATE(E1616), """")"),42562.709027777775)</f>
        <v>42562.70903</v>
      </c>
      <c r="G1616" s="20">
        <f t="shared" si="1"/>
        <v>17</v>
      </c>
      <c r="H1616" s="26">
        <v>42562.73888888889</v>
      </c>
      <c r="I1616" s="19">
        <f>IFERROR(__xludf.DUMMYFUNCTION("IFERROR(TO_DATE(H1616), """")"),42562.73888888889)</f>
        <v>42562.73889</v>
      </c>
      <c r="J1616" s="19" t="s">
        <v>12</v>
      </c>
      <c r="K1616" s="22">
        <f t="shared" si="2"/>
        <v>0</v>
      </c>
    </row>
    <row r="1617">
      <c r="A1617" s="18">
        <v>1341.0</v>
      </c>
      <c r="B1617" s="18" t="s">
        <v>30</v>
      </c>
      <c r="C1617" s="18">
        <v>172.0</v>
      </c>
      <c r="D1617" s="18" t="s">
        <v>31</v>
      </c>
      <c r="E1617" s="26">
        <v>42562.97638888889</v>
      </c>
      <c r="F1617" s="19">
        <f>IFERROR(__xludf.DUMMYFUNCTION("IFERROR(TO_DATE(E1617), """")"),42562.97638888889)</f>
        <v>42562.97639</v>
      </c>
      <c r="G1617" s="20">
        <f t="shared" si="1"/>
        <v>23</v>
      </c>
      <c r="H1617" s="26">
        <v>42563.004166666666</v>
      </c>
      <c r="I1617" s="19">
        <f>IFERROR(__xludf.DUMMYFUNCTION("IFERROR(TO_DATE(H1617), """")"),42563.004166666666)</f>
        <v>42563.00417</v>
      </c>
      <c r="J1617" s="19" t="s">
        <v>13</v>
      </c>
      <c r="K1617" s="22">
        <f t="shared" si="2"/>
        <v>0</v>
      </c>
    </row>
    <row r="1618">
      <c r="A1618" s="18">
        <v>1745.0</v>
      </c>
      <c r="B1618" s="18" t="s">
        <v>32</v>
      </c>
      <c r="C1618" s="18">
        <v>172.0</v>
      </c>
      <c r="D1618" s="18" t="s">
        <v>31</v>
      </c>
      <c r="E1618" s="26">
        <v>42563.34861111111</v>
      </c>
      <c r="F1618" s="19">
        <f>IFERROR(__xludf.DUMMYFUNCTION("IFERROR(TO_DATE(E1618), """")"),42563.34861111111)</f>
        <v>42563.34861</v>
      </c>
      <c r="G1618" s="20">
        <f t="shared" si="1"/>
        <v>8</v>
      </c>
      <c r="H1618" s="26">
        <v>42563.38402777778</v>
      </c>
      <c r="I1618" s="19">
        <f>IFERROR(__xludf.DUMMYFUNCTION("IFERROR(TO_DATE(H1618), """")"),42563.38402777778)</f>
        <v>42563.38403</v>
      </c>
      <c r="J1618" s="19" t="s">
        <v>14</v>
      </c>
      <c r="K1618" s="22">
        <f t="shared" si="2"/>
        <v>0</v>
      </c>
    </row>
    <row r="1619">
      <c r="A1619" s="18">
        <v>1971.0</v>
      </c>
      <c r="B1619" s="18" t="s">
        <v>32</v>
      </c>
      <c r="C1619" s="18">
        <v>172.0</v>
      </c>
      <c r="D1619" s="18" t="s">
        <v>31</v>
      </c>
      <c r="E1619" s="26">
        <v>42563.50555555556</v>
      </c>
      <c r="F1619" s="19">
        <f>IFERROR(__xludf.DUMMYFUNCTION("IFERROR(TO_DATE(E1619), """")"),42563.50555555556)</f>
        <v>42563.50556</v>
      </c>
      <c r="G1619" s="20">
        <f t="shared" si="1"/>
        <v>12</v>
      </c>
      <c r="H1619" s="26">
        <v>42563.55902777778</v>
      </c>
      <c r="I1619" s="19">
        <f>IFERROR(__xludf.DUMMYFUNCTION("IFERROR(TO_DATE(H1619), """")"),42563.55902777778)</f>
        <v>42563.55903</v>
      </c>
      <c r="J1619" s="19" t="s">
        <v>10</v>
      </c>
      <c r="K1619" s="22">
        <f t="shared" si="2"/>
        <v>0</v>
      </c>
    </row>
    <row r="1620">
      <c r="A1620" s="18">
        <v>2632.0</v>
      </c>
      <c r="B1620" s="18" t="s">
        <v>32</v>
      </c>
      <c r="C1620" s="18">
        <v>172.0</v>
      </c>
      <c r="D1620" s="18" t="s">
        <v>31</v>
      </c>
      <c r="E1620" s="26">
        <v>42563.92986111111</v>
      </c>
      <c r="F1620" s="19">
        <f>IFERROR(__xludf.DUMMYFUNCTION("IFERROR(TO_DATE(E1620), """")"),42563.92986111111)</f>
        <v>42563.92986</v>
      </c>
      <c r="G1620" s="20">
        <f t="shared" si="1"/>
        <v>22</v>
      </c>
      <c r="H1620" s="26">
        <v>42563.972916666666</v>
      </c>
      <c r="I1620" s="19">
        <f>IFERROR(__xludf.DUMMYFUNCTION("IFERROR(TO_DATE(H1620), """")"),42563.972916666666)</f>
        <v>42563.97292</v>
      </c>
      <c r="J1620" s="19" t="s">
        <v>13</v>
      </c>
      <c r="K1620" s="22">
        <f t="shared" si="2"/>
        <v>0</v>
      </c>
    </row>
    <row r="1621">
      <c r="A1621" s="18">
        <v>2935.0</v>
      </c>
      <c r="B1621" s="18" t="s">
        <v>32</v>
      </c>
      <c r="C1621" s="18">
        <v>172.0</v>
      </c>
      <c r="D1621" s="18" t="s">
        <v>31</v>
      </c>
      <c r="E1621" s="27">
        <v>42564.27092592593</v>
      </c>
      <c r="F1621" s="19">
        <f>IFERROR(__xludf.DUMMYFUNCTION("IFERROR(TO_DATE(E1621), """")"),42564.27092592593)</f>
        <v>42564.27093</v>
      </c>
      <c r="G1621" s="20">
        <f t="shared" si="1"/>
        <v>6</v>
      </c>
      <c r="H1621" s="27">
        <v>42564.29284722222</v>
      </c>
      <c r="I1621" s="19">
        <f>IFERROR(__xludf.DUMMYFUNCTION("IFERROR(TO_DATE(H1621), """")"),42564.29284722222)</f>
        <v>42564.29285</v>
      </c>
      <c r="J1621" s="19" t="s">
        <v>11</v>
      </c>
      <c r="K1621" s="22">
        <f t="shared" si="2"/>
        <v>0</v>
      </c>
    </row>
    <row r="1622">
      <c r="A1622" s="18">
        <v>3142.0</v>
      </c>
      <c r="B1622" s="18" t="s">
        <v>30</v>
      </c>
      <c r="C1622" s="18">
        <v>172.0</v>
      </c>
      <c r="D1622" s="18" t="s">
        <v>31</v>
      </c>
      <c r="E1622" s="27">
        <v>42564.368576388886</v>
      </c>
      <c r="F1622" s="19">
        <f>IFERROR(__xludf.DUMMYFUNCTION("IFERROR(TO_DATE(E1622), """")"),42564.368576388886)</f>
        <v>42564.36858</v>
      </c>
      <c r="G1622" s="20">
        <f t="shared" si="1"/>
        <v>8</v>
      </c>
      <c r="H1622" s="27">
        <v>42564.416030092594</v>
      </c>
      <c r="I1622" s="19">
        <f>IFERROR(__xludf.DUMMYFUNCTION("IFERROR(TO_DATE(H1622), """")"),42564.416030092594)</f>
        <v>42564.41603</v>
      </c>
      <c r="J1622" s="19" t="s">
        <v>14</v>
      </c>
      <c r="K1622" s="22">
        <f t="shared" si="2"/>
        <v>0</v>
      </c>
    </row>
    <row r="1623">
      <c r="A1623" s="18">
        <v>4516.0</v>
      </c>
      <c r="B1623" s="18" t="s">
        <v>32</v>
      </c>
      <c r="C1623" s="18">
        <v>172.0</v>
      </c>
      <c r="D1623" s="18" t="s">
        <v>31</v>
      </c>
      <c r="E1623" s="27">
        <v>42565.38266203704</v>
      </c>
      <c r="F1623" s="19">
        <f>IFERROR(__xludf.DUMMYFUNCTION("IFERROR(TO_DATE(E1623), """")"),42565.38266203704)</f>
        <v>42565.38266</v>
      </c>
      <c r="G1623" s="20">
        <f t="shared" si="1"/>
        <v>9</v>
      </c>
      <c r="H1623" s="27">
        <v>42565.41480324074</v>
      </c>
      <c r="I1623" s="19">
        <f>IFERROR(__xludf.DUMMYFUNCTION("IFERROR(TO_DATE(H1623), """")"),42565.41480324074)</f>
        <v>42565.4148</v>
      </c>
      <c r="J1623" s="19" t="s">
        <v>14</v>
      </c>
      <c r="K1623" s="22">
        <f t="shared" si="2"/>
        <v>0</v>
      </c>
    </row>
    <row r="1624">
      <c r="A1624" s="18">
        <v>4605.0</v>
      </c>
      <c r="B1624" s="18" t="s">
        <v>30</v>
      </c>
      <c r="C1624" s="18">
        <v>172.0</v>
      </c>
      <c r="D1624" s="18" t="s">
        <v>31</v>
      </c>
      <c r="E1624" s="27">
        <v>42565.42680555556</v>
      </c>
      <c r="F1624" s="19">
        <f>IFERROR(__xludf.DUMMYFUNCTION("IFERROR(TO_DATE(E1624), """")"),42565.42680555556)</f>
        <v>42565.42681</v>
      </c>
      <c r="G1624" s="20">
        <f t="shared" si="1"/>
        <v>10</v>
      </c>
      <c r="H1624" s="27">
        <v>42565.47592592592</v>
      </c>
      <c r="I1624" s="19">
        <f>IFERROR(__xludf.DUMMYFUNCTION("IFERROR(TO_DATE(H1624), """")"),42565.47592592592)</f>
        <v>42565.47593</v>
      </c>
      <c r="J1624" s="19" t="s">
        <v>14</v>
      </c>
      <c r="K1624" s="22">
        <f t="shared" si="2"/>
        <v>0</v>
      </c>
    </row>
    <row r="1625">
      <c r="A1625" s="18">
        <v>5936.0</v>
      </c>
      <c r="B1625" s="18" t="s">
        <v>30</v>
      </c>
      <c r="C1625" s="18">
        <v>172.0</v>
      </c>
      <c r="D1625" s="18" t="s">
        <v>31</v>
      </c>
      <c r="E1625" s="27">
        <v>42566.428923611114</v>
      </c>
      <c r="F1625" s="19">
        <f>IFERROR(__xludf.DUMMYFUNCTION("IFERROR(TO_DATE(E1625), """")"),42566.428923611114)</f>
        <v>42566.42892</v>
      </c>
      <c r="G1625" s="20">
        <f t="shared" si="1"/>
        <v>10</v>
      </c>
      <c r="H1625" s="27">
        <v>42566.461481481485</v>
      </c>
      <c r="I1625" s="19">
        <f>IFERROR(__xludf.DUMMYFUNCTION("IFERROR(TO_DATE(H1625), """")"),42566.461481481485)</f>
        <v>42566.46148</v>
      </c>
      <c r="J1625" s="19" t="s">
        <v>14</v>
      </c>
      <c r="K1625" s="22">
        <f t="shared" si="2"/>
        <v>0</v>
      </c>
    </row>
    <row r="1626">
      <c r="A1626" s="18">
        <v>6621.0</v>
      </c>
      <c r="B1626" s="18" t="s">
        <v>32</v>
      </c>
      <c r="C1626" s="18">
        <v>172.0</v>
      </c>
      <c r="D1626" s="18" t="s">
        <v>31</v>
      </c>
      <c r="E1626" s="27">
        <v>42566.909479166665</v>
      </c>
      <c r="F1626" s="19">
        <f>IFERROR(__xludf.DUMMYFUNCTION("IFERROR(TO_DATE(E1626), """")"),42566.909479166665)</f>
        <v>42566.90948</v>
      </c>
      <c r="G1626" s="20">
        <f t="shared" si="1"/>
        <v>21</v>
      </c>
      <c r="H1626" s="27">
        <v>42566.93775462963</v>
      </c>
      <c r="I1626" s="19">
        <f>IFERROR(__xludf.DUMMYFUNCTION("IFERROR(TO_DATE(H1626), """")"),42566.93775462963)</f>
        <v>42566.93775</v>
      </c>
      <c r="J1626" s="19" t="s">
        <v>13</v>
      </c>
      <c r="K1626" s="22">
        <f t="shared" si="2"/>
        <v>0</v>
      </c>
    </row>
    <row r="1627">
      <c r="A1627" s="18">
        <v>752.0</v>
      </c>
      <c r="B1627" s="18" t="s">
        <v>30</v>
      </c>
      <c r="C1627" s="18">
        <v>173.0</v>
      </c>
      <c r="D1627" s="18" t="s">
        <v>31</v>
      </c>
      <c r="E1627" s="26">
        <v>42562.66875</v>
      </c>
      <c r="F1627" s="19">
        <f>IFERROR(__xludf.DUMMYFUNCTION("IFERROR(TO_DATE(E1627), """")"),42562.66875)</f>
        <v>42562.66875</v>
      </c>
      <c r="G1627" s="20">
        <f t="shared" si="1"/>
        <v>16</v>
      </c>
      <c r="H1627" s="26">
        <v>42562.71388888889</v>
      </c>
      <c r="I1627" s="19">
        <f>IFERROR(__xludf.DUMMYFUNCTION("IFERROR(TO_DATE(H1627), """")"),42562.71388888889)</f>
        <v>42562.71389</v>
      </c>
      <c r="J1627" s="19" t="s">
        <v>12</v>
      </c>
      <c r="K1627" s="22">
        <f t="shared" si="2"/>
        <v>0</v>
      </c>
    </row>
    <row r="1628">
      <c r="A1628" s="18">
        <v>1336.0</v>
      </c>
      <c r="B1628" s="18" t="s">
        <v>32</v>
      </c>
      <c r="C1628" s="18">
        <v>173.0</v>
      </c>
      <c r="D1628" s="18" t="s">
        <v>31</v>
      </c>
      <c r="E1628" s="26">
        <v>42562.970138888886</v>
      </c>
      <c r="F1628" s="19">
        <f>IFERROR(__xludf.DUMMYFUNCTION("IFERROR(TO_DATE(E1628), """")"),42562.970138888886)</f>
        <v>42562.97014</v>
      </c>
      <c r="G1628" s="20">
        <f t="shared" si="1"/>
        <v>23</v>
      </c>
      <c r="H1628" s="26">
        <v>42562.99444444444</v>
      </c>
      <c r="I1628" s="19">
        <f>IFERROR(__xludf.DUMMYFUNCTION("IFERROR(TO_DATE(H1628), """")"),42562.99444444444)</f>
        <v>42562.99444</v>
      </c>
      <c r="J1628" s="19" t="s">
        <v>13</v>
      </c>
      <c r="K1628" s="22">
        <f t="shared" si="2"/>
        <v>0</v>
      </c>
    </row>
    <row r="1629">
      <c r="A1629" s="18">
        <v>1836.0</v>
      </c>
      <c r="B1629" s="18" t="s">
        <v>30</v>
      </c>
      <c r="C1629" s="18">
        <v>173.0</v>
      </c>
      <c r="D1629" s="18" t="s">
        <v>31</v>
      </c>
      <c r="E1629" s="26">
        <v>42563.40069444444</v>
      </c>
      <c r="F1629" s="19">
        <f>IFERROR(__xludf.DUMMYFUNCTION("IFERROR(TO_DATE(E1629), """")"),42563.40069444444)</f>
        <v>42563.40069</v>
      </c>
      <c r="G1629" s="20">
        <f t="shared" si="1"/>
        <v>9</v>
      </c>
      <c r="H1629" s="26">
        <v>42563.42986111111</v>
      </c>
      <c r="I1629" s="19">
        <f>IFERROR(__xludf.DUMMYFUNCTION("IFERROR(TO_DATE(H1629), """")"),42563.42986111111)</f>
        <v>42563.42986</v>
      </c>
      <c r="J1629" s="19" t="s">
        <v>14</v>
      </c>
      <c r="K1629" s="22">
        <f t="shared" si="2"/>
        <v>0</v>
      </c>
    </row>
    <row r="1630">
      <c r="A1630" s="18">
        <v>2447.0</v>
      </c>
      <c r="B1630" s="18" t="s">
        <v>30</v>
      </c>
      <c r="C1630" s="18">
        <v>173.0</v>
      </c>
      <c r="D1630" s="18" t="s">
        <v>31</v>
      </c>
      <c r="E1630" s="26">
        <v>42563.85</v>
      </c>
      <c r="F1630" s="19">
        <f>IFERROR(__xludf.DUMMYFUNCTION("IFERROR(TO_DATE(E1630), """")"),42563.85)</f>
        <v>42563.85</v>
      </c>
      <c r="G1630" s="20">
        <f t="shared" si="1"/>
        <v>20</v>
      </c>
      <c r="H1630" s="26">
        <v>42563.9</v>
      </c>
      <c r="I1630" s="19">
        <f>IFERROR(__xludf.DUMMYFUNCTION("IFERROR(TO_DATE(H1630), """")"),42563.9)</f>
        <v>42563.9</v>
      </c>
      <c r="J1630" s="19" t="s">
        <v>13</v>
      </c>
      <c r="K1630" s="22">
        <f t="shared" si="2"/>
        <v>0</v>
      </c>
    </row>
    <row r="1631">
      <c r="A1631" s="18">
        <v>3517.0</v>
      </c>
      <c r="B1631" s="18" t="s">
        <v>30</v>
      </c>
      <c r="C1631" s="18">
        <v>173.0</v>
      </c>
      <c r="D1631" s="18" t="s">
        <v>31</v>
      </c>
      <c r="E1631" s="27">
        <v>42564.740625</v>
      </c>
      <c r="F1631" s="19">
        <f>IFERROR(__xludf.DUMMYFUNCTION("IFERROR(TO_DATE(E1631), """")"),42564.740625)</f>
        <v>42564.74063</v>
      </c>
      <c r="G1631" s="20">
        <f t="shared" si="1"/>
        <v>17</v>
      </c>
      <c r="H1631" s="27">
        <v>42564.77449074074</v>
      </c>
      <c r="I1631" s="19">
        <f>IFERROR(__xludf.DUMMYFUNCTION("IFERROR(TO_DATE(H1631), """")"),42564.77449074074)</f>
        <v>42564.77449</v>
      </c>
      <c r="J1631" s="19" t="s">
        <v>12</v>
      </c>
      <c r="K1631" s="22">
        <f t="shared" si="2"/>
        <v>0</v>
      </c>
    </row>
    <row r="1632">
      <c r="A1632" s="18">
        <v>3831.0</v>
      </c>
      <c r="B1632" s="18" t="s">
        <v>30</v>
      </c>
      <c r="C1632" s="18">
        <v>173.0</v>
      </c>
      <c r="D1632" s="18" t="s">
        <v>31</v>
      </c>
      <c r="E1632" s="27">
        <v>42564.88649305556</v>
      </c>
      <c r="F1632" s="19">
        <f>IFERROR(__xludf.DUMMYFUNCTION("IFERROR(TO_DATE(E1632), """")"),42564.88649305556)</f>
        <v>42564.88649</v>
      </c>
      <c r="G1632" s="20">
        <f t="shared" si="1"/>
        <v>21</v>
      </c>
      <c r="H1632" s="27">
        <v>42564.92780092593</v>
      </c>
      <c r="I1632" s="19">
        <f>IFERROR(__xludf.DUMMYFUNCTION("IFERROR(TO_DATE(H1632), """")"),42564.92780092593)</f>
        <v>42564.9278</v>
      </c>
      <c r="J1632" s="19" t="s">
        <v>13</v>
      </c>
      <c r="K1632" s="22">
        <f t="shared" si="2"/>
        <v>0</v>
      </c>
    </row>
    <row r="1633">
      <c r="A1633" s="18">
        <v>4136.0</v>
      </c>
      <c r="B1633" s="18" t="s">
        <v>32</v>
      </c>
      <c r="C1633" s="18">
        <v>173.0</v>
      </c>
      <c r="D1633" s="18" t="s">
        <v>31</v>
      </c>
      <c r="E1633" s="27">
        <v>42565.19880787037</v>
      </c>
      <c r="F1633" s="19">
        <f>IFERROR(__xludf.DUMMYFUNCTION("IFERROR(TO_DATE(E1633), """")"),42565.19880787037)</f>
        <v>42565.19881</v>
      </c>
      <c r="G1633" s="20">
        <f t="shared" si="1"/>
        <v>4</v>
      </c>
      <c r="H1633" s="27">
        <v>42565.22340277778</v>
      </c>
      <c r="I1633" s="19">
        <f>IFERROR(__xludf.DUMMYFUNCTION("IFERROR(TO_DATE(H1633), """")"),42565.22340277778)</f>
        <v>42565.2234</v>
      </c>
      <c r="J1633" s="19" t="s">
        <v>11</v>
      </c>
      <c r="K1633" s="22">
        <f t="shared" si="2"/>
        <v>0</v>
      </c>
    </row>
    <row r="1634">
      <c r="A1634" s="18">
        <v>4700.0</v>
      </c>
      <c r="B1634" s="18" t="s">
        <v>30</v>
      </c>
      <c r="C1634" s="18">
        <v>173.0</v>
      </c>
      <c r="D1634" s="18" t="s">
        <v>31</v>
      </c>
      <c r="E1634" s="27">
        <v>42565.54739583333</v>
      </c>
      <c r="F1634" s="19">
        <f>IFERROR(__xludf.DUMMYFUNCTION("IFERROR(TO_DATE(E1634), """")"),42565.54739583333)</f>
        <v>42565.5474</v>
      </c>
      <c r="G1634" s="20">
        <f t="shared" si="1"/>
        <v>13</v>
      </c>
      <c r="H1634" s="27">
        <v>42565.57984953704</v>
      </c>
      <c r="I1634" s="19">
        <f>IFERROR(__xludf.DUMMYFUNCTION("IFERROR(TO_DATE(H1634), """")"),42565.57984953704)</f>
        <v>42565.57985</v>
      </c>
      <c r="J1634" s="19" t="s">
        <v>10</v>
      </c>
      <c r="K1634" s="22">
        <f t="shared" si="2"/>
        <v>0</v>
      </c>
    </row>
    <row r="1635">
      <c r="A1635" s="18">
        <v>5484.0</v>
      </c>
      <c r="B1635" s="18" t="s">
        <v>32</v>
      </c>
      <c r="C1635" s="18">
        <v>173.0</v>
      </c>
      <c r="D1635" s="18" t="s">
        <v>31</v>
      </c>
      <c r="E1635" s="27">
        <v>42566.20484953704</v>
      </c>
      <c r="F1635" s="19">
        <f>IFERROR(__xludf.DUMMYFUNCTION("IFERROR(TO_DATE(E1635), """")"),42566.20484953704)</f>
        <v>42566.20485</v>
      </c>
      <c r="G1635" s="20">
        <f t="shared" si="1"/>
        <v>4</v>
      </c>
      <c r="H1635" s="27">
        <v>42566.24115740741</v>
      </c>
      <c r="I1635" s="19">
        <f>IFERROR(__xludf.DUMMYFUNCTION("IFERROR(TO_DATE(H1635), """")"),42566.24115740741)</f>
        <v>42566.24116</v>
      </c>
      <c r="J1635" s="19" t="s">
        <v>11</v>
      </c>
      <c r="K1635" s="22">
        <f t="shared" si="2"/>
        <v>0</v>
      </c>
    </row>
    <row r="1636">
      <c r="A1636" s="18">
        <v>5900.0</v>
      </c>
      <c r="B1636" s="18" t="s">
        <v>32</v>
      </c>
      <c r="C1636" s="18">
        <v>173.0</v>
      </c>
      <c r="D1636" s="18" t="s">
        <v>31</v>
      </c>
      <c r="E1636" s="27">
        <v>42566.412152777775</v>
      </c>
      <c r="F1636" s="19">
        <f>IFERROR(__xludf.DUMMYFUNCTION("IFERROR(TO_DATE(E1636), """")"),42566.412152777775)</f>
        <v>42566.41215</v>
      </c>
      <c r="G1636" s="20">
        <f t="shared" si="1"/>
        <v>9</v>
      </c>
      <c r="H1636" s="27">
        <v>42566.447743055556</v>
      </c>
      <c r="I1636" s="19">
        <f>IFERROR(__xludf.DUMMYFUNCTION("IFERROR(TO_DATE(H1636), """")"),42566.447743055556)</f>
        <v>42566.44774</v>
      </c>
      <c r="J1636" s="19" t="s">
        <v>14</v>
      </c>
      <c r="K1636" s="22">
        <f t="shared" si="2"/>
        <v>0</v>
      </c>
    </row>
    <row r="1637">
      <c r="A1637" s="18">
        <v>6634.0</v>
      </c>
      <c r="B1637" s="18" t="s">
        <v>30</v>
      </c>
      <c r="C1637" s="18">
        <v>173.0</v>
      </c>
      <c r="D1637" s="18" t="s">
        <v>31</v>
      </c>
      <c r="E1637" s="27">
        <v>42566.91875</v>
      </c>
      <c r="F1637" s="19">
        <f>IFERROR(__xludf.DUMMYFUNCTION("IFERROR(TO_DATE(E1637), """")"),42566.91875)</f>
        <v>42566.91875</v>
      </c>
      <c r="G1637" s="20">
        <f t="shared" si="1"/>
        <v>22</v>
      </c>
      <c r="H1637" s="27">
        <v>42566.947696759256</v>
      </c>
      <c r="I1637" s="19">
        <f>IFERROR(__xludf.DUMMYFUNCTION("IFERROR(TO_DATE(H1637), """")"),42566.947696759256)</f>
        <v>42566.9477</v>
      </c>
      <c r="J1637" s="19" t="s">
        <v>13</v>
      </c>
      <c r="K1637" s="22">
        <f t="shared" si="2"/>
        <v>0</v>
      </c>
    </row>
    <row r="1638">
      <c r="A1638" s="18">
        <v>426.0</v>
      </c>
      <c r="B1638" s="18" t="s">
        <v>32</v>
      </c>
      <c r="C1638" s="18">
        <v>174.0</v>
      </c>
      <c r="D1638" s="18" t="s">
        <v>31</v>
      </c>
      <c r="E1638" s="26">
        <v>42562.36666666667</v>
      </c>
      <c r="F1638" s="19">
        <f>IFERROR(__xludf.DUMMYFUNCTION("IFERROR(TO_DATE(E1638), """")"),42562.36666666667)</f>
        <v>42562.36667</v>
      </c>
      <c r="G1638" s="20">
        <f t="shared" si="1"/>
        <v>8</v>
      </c>
      <c r="H1638" s="26">
        <v>42562.41180555556</v>
      </c>
      <c r="I1638" s="19">
        <f>IFERROR(__xludf.DUMMYFUNCTION("IFERROR(TO_DATE(H1638), """")"),42562.41180555556)</f>
        <v>42562.41181</v>
      </c>
      <c r="J1638" s="19" t="s">
        <v>14</v>
      </c>
      <c r="K1638" s="22">
        <f t="shared" si="2"/>
        <v>0</v>
      </c>
    </row>
    <row r="1639">
      <c r="A1639" s="18">
        <v>1320.0</v>
      </c>
      <c r="B1639" s="18" t="s">
        <v>32</v>
      </c>
      <c r="C1639" s="18">
        <v>174.0</v>
      </c>
      <c r="D1639" s="18" t="s">
        <v>31</v>
      </c>
      <c r="E1639" s="26">
        <v>42562.95277777778</v>
      </c>
      <c r="F1639" s="19">
        <f>IFERROR(__xludf.DUMMYFUNCTION("IFERROR(TO_DATE(E1639), """")"),42562.95277777778)</f>
        <v>42562.95278</v>
      </c>
      <c r="G1639" s="20">
        <f t="shared" si="1"/>
        <v>22</v>
      </c>
      <c r="H1639" s="26">
        <v>42563.004166666666</v>
      </c>
      <c r="I1639" s="19">
        <f>IFERROR(__xludf.DUMMYFUNCTION("IFERROR(TO_DATE(H1639), """")"),42563.004166666666)</f>
        <v>42563.00417</v>
      </c>
      <c r="J1639" s="19" t="s">
        <v>13</v>
      </c>
      <c r="K1639" s="22">
        <f t="shared" si="2"/>
        <v>0</v>
      </c>
    </row>
    <row r="1640">
      <c r="A1640" s="18">
        <v>1588.0</v>
      </c>
      <c r="B1640" s="18" t="s">
        <v>32</v>
      </c>
      <c r="C1640" s="18">
        <v>174.0</v>
      </c>
      <c r="D1640" s="18" t="s">
        <v>31</v>
      </c>
      <c r="E1640" s="26">
        <v>42563.27222222222</v>
      </c>
      <c r="F1640" s="19">
        <f>IFERROR(__xludf.DUMMYFUNCTION("IFERROR(TO_DATE(E1640), """")"),42563.27222222222)</f>
        <v>42563.27222</v>
      </c>
      <c r="G1640" s="20">
        <f t="shared" si="1"/>
        <v>6</v>
      </c>
      <c r="H1640" s="26">
        <v>42563.30486111111</v>
      </c>
      <c r="I1640" s="19">
        <f>IFERROR(__xludf.DUMMYFUNCTION("IFERROR(TO_DATE(H1640), """")"),42563.30486111111)</f>
        <v>42563.30486</v>
      </c>
      <c r="J1640" s="19" t="s">
        <v>11</v>
      </c>
      <c r="K1640" s="22">
        <f t="shared" si="2"/>
        <v>0</v>
      </c>
    </row>
    <row r="1641">
      <c r="A1641" s="18">
        <v>2375.0</v>
      </c>
      <c r="B1641" s="18" t="s">
        <v>30</v>
      </c>
      <c r="C1641" s="18">
        <v>174.0</v>
      </c>
      <c r="D1641" s="18" t="s">
        <v>31</v>
      </c>
      <c r="E1641" s="26">
        <v>42563.81805555556</v>
      </c>
      <c r="F1641" s="19">
        <f>IFERROR(__xludf.DUMMYFUNCTION("IFERROR(TO_DATE(E1641), """")"),42563.81805555556)</f>
        <v>42563.81806</v>
      </c>
      <c r="G1641" s="20">
        <f t="shared" si="1"/>
        <v>19</v>
      </c>
      <c r="H1641" s="26">
        <v>42563.85972222222</v>
      </c>
      <c r="I1641" s="19">
        <f>IFERROR(__xludf.DUMMYFUNCTION("IFERROR(TO_DATE(H1641), """")"),42563.85972222222)</f>
        <v>42563.85972</v>
      </c>
      <c r="J1641" s="19" t="s">
        <v>12</v>
      </c>
      <c r="K1641" s="22">
        <f t="shared" si="2"/>
        <v>0</v>
      </c>
    </row>
    <row r="1642">
      <c r="A1642" s="18">
        <v>4411.0</v>
      </c>
      <c r="B1642" s="18" t="s">
        <v>30</v>
      </c>
      <c r="C1642" s="18">
        <v>174.0</v>
      </c>
      <c r="D1642" s="18" t="s">
        <v>31</v>
      </c>
      <c r="E1642" s="27">
        <v>42565.340046296296</v>
      </c>
      <c r="F1642" s="19">
        <f>IFERROR(__xludf.DUMMYFUNCTION("IFERROR(TO_DATE(E1642), """")"),42565.340046296296)</f>
        <v>42565.34005</v>
      </c>
      <c r="G1642" s="20">
        <f t="shared" si="1"/>
        <v>8</v>
      </c>
      <c r="H1642" s="27">
        <v>42565.369571759256</v>
      </c>
      <c r="I1642" s="19">
        <f>IFERROR(__xludf.DUMMYFUNCTION("IFERROR(TO_DATE(H1642), """")"),42565.369571759256)</f>
        <v>42565.36957</v>
      </c>
      <c r="J1642" s="19" t="s">
        <v>14</v>
      </c>
      <c r="K1642" s="22">
        <f t="shared" si="2"/>
        <v>0</v>
      </c>
    </row>
    <row r="1643">
      <c r="A1643" s="18">
        <v>4769.0</v>
      </c>
      <c r="B1643" s="18" t="s">
        <v>30</v>
      </c>
      <c r="C1643" s="18">
        <v>174.0</v>
      </c>
      <c r="D1643" s="18" t="s">
        <v>31</v>
      </c>
      <c r="E1643" s="27">
        <v>42565.65457175926</v>
      </c>
      <c r="F1643" s="19">
        <f>IFERROR(__xludf.DUMMYFUNCTION("IFERROR(TO_DATE(E1643), """")"),42565.65457175926)</f>
        <v>42565.65457</v>
      </c>
      <c r="G1643" s="20">
        <f t="shared" si="1"/>
        <v>15</v>
      </c>
      <c r="H1643" s="27">
        <v>42565.69519675926</v>
      </c>
      <c r="I1643" s="19">
        <f>IFERROR(__xludf.DUMMYFUNCTION("IFERROR(TO_DATE(H1643), """")"),42565.69519675926)</f>
        <v>42565.6952</v>
      </c>
      <c r="J1643" s="19" t="s">
        <v>10</v>
      </c>
      <c r="K1643" s="22">
        <f t="shared" si="2"/>
        <v>0</v>
      </c>
    </row>
    <row r="1644">
      <c r="A1644" s="18">
        <v>5149.0</v>
      </c>
      <c r="B1644" s="18" t="s">
        <v>32</v>
      </c>
      <c r="C1644" s="18">
        <v>174.0</v>
      </c>
      <c r="D1644" s="18" t="s">
        <v>31</v>
      </c>
      <c r="E1644" s="27">
        <v>42565.85219907408</v>
      </c>
      <c r="F1644" s="19">
        <f>IFERROR(__xludf.DUMMYFUNCTION("IFERROR(TO_DATE(E1644), """")"),42565.85219907408)</f>
        <v>42565.8522</v>
      </c>
      <c r="G1644" s="20">
        <f t="shared" si="1"/>
        <v>20</v>
      </c>
      <c r="H1644" s="27">
        <v>42565.89331018519</v>
      </c>
      <c r="I1644" s="19">
        <f>IFERROR(__xludf.DUMMYFUNCTION("IFERROR(TO_DATE(H1644), """")"),42565.89331018519)</f>
        <v>42565.89331</v>
      </c>
      <c r="J1644" s="19" t="s">
        <v>13</v>
      </c>
      <c r="K1644" s="22">
        <f t="shared" si="2"/>
        <v>0</v>
      </c>
    </row>
    <row r="1645">
      <c r="A1645" s="18">
        <v>5659.0</v>
      </c>
      <c r="B1645" s="18" t="s">
        <v>32</v>
      </c>
      <c r="C1645" s="18">
        <v>174.0</v>
      </c>
      <c r="D1645" s="18" t="s">
        <v>31</v>
      </c>
      <c r="E1645" s="27">
        <v>42566.29431712963</v>
      </c>
      <c r="F1645" s="19">
        <f>IFERROR(__xludf.DUMMYFUNCTION("IFERROR(TO_DATE(E1645), """")"),42566.29431712963)</f>
        <v>42566.29432</v>
      </c>
      <c r="G1645" s="20">
        <f t="shared" si="1"/>
        <v>7</v>
      </c>
      <c r="H1645" s="27">
        <v>42566.33944444444</v>
      </c>
      <c r="I1645" s="19">
        <f>IFERROR(__xludf.DUMMYFUNCTION("IFERROR(TO_DATE(H1645), """")"),42566.33944444444)</f>
        <v>42566.33944</v>
      </c>
      <c r="J1645" s="19" t="s">
        <v>11</v>
      </c>
      <c r="K1645" s="22">
        <f t="shared" si="2"/>
        <v>0</v>
      </c>
    </row>
    <row r="1646">
      <c r="A1646" s="18">
        <v>545.0</v>
      </c>
      <c r="B1646" s="18" t="s">
        <v>32</v>
      </c>
      <c r="C1646" s="18">
        <v>175.0</v>
      </c>
      <c r="D1646" s="18" t="s">
        <v>31</v>
      </c>
      <c r="E1646" s="26">
        <v>42562.42083333333</v>
      </c>
      <c r="F1646" s="19">
        <f>IFERROR(__xludf.DUMMYFUNCTION("IFERROR(TO_DATE(E1646), """")"),42562.42083333333)</f>
        <v>42562.42083</v>
      </c>
      <c r="G1646" s="20">
        <f t="shared" si="1"/>
        <v>10</v>
      </c>
      <c r="H1646" s="26">
        <v>42562.44583333333</v>
      </c>
      <c r="I1646" s="19">
        <f>IFERROR(__xludf.DUMMYFUNCTION("IFERROR(TO_DATE(H1646), """")"),42562.44583333333)</f>
        <v>42562.44583</v>
      </c>
      <c r="J1646" s="19" t="s">
        <v>14</v>
      </c>
      <c r="K1646" s="22">
        <f t="shared" si="2"/>
        <v>0</v>
      </c>
    </row>
    <row r="1647">
      <c r="A1647" s="18">
        <v>778.0</v>
      </c>
      <c r="B1647" s="18" t="s">
        <v>32</v>
      </c>
      <c r="C1647" s="18">
        <v>175.0</v>
      </c>
      <c r="D1647" s="18" t="s">
        <v>31</v>
      </c>
      <c r="E1647" s="26">
        <v>42562.69375</v>
      </c>
      <c r="F1647" s="19">
        <f>IFERROR(__xludf.DUMMYFUNCTION("IFERROR(TO_DATE(E1647), """")"),42562.69375)</f>
        <v>42562.69375</v>
      </c>
      <c r="G1647" s="20">
        <f t="shared" si="1"/>
        <v>16</v>
      </c>
      <c r="H1647" s="26">
        <v>42562.72083333333</v>
      </c>
      <c r="I1647" s="19">
        <f>IFERROR(__xludf.DUMMYFUNCTION("IFERROR(TO_DATE(H1647), """")"),42562.72083333333)</f>
        <v>42562.72083</v>
      </c>
      <c r="J1647" s="19" t="s">
        <v>12</v>
      </c>
      <c r="K1647" s="22">
        <f t="shared" si="2"/>
        <v>0</v>
      </c>
    </row>
    <row r="1648">
      <c r="A1648" s="18">
        <v>1289.0</v>
      </c>
      <c r="B1648" s="18" t="s">
        <v>32</v>
      </c>
      <c r="C1648" s="18">
        <v>175.0</v>
      </c>
      <c r="D1648" s="18" t="s">
        <v>31</v>
      </c>
      <c r="E1648" s="26">
        <v>42562.93472222222</v>
      </c>
      <c r="F1648" s="19">
        <f>IFERROR(__xludf.DUMMYFUNCTION("IFERROR(TO_DATE(E1648), """")"),42562.93472222222)</f>
        <v>42562.93472</v>
      </c>
      <c r="G1648" s="20">
        <f t="shared" si="1"/>
        <v>22</v>
      </c>
      <c r="H1648" s="26">
        <v>42562.95486111111</v>
      </c>
      <c r="I1648" s="19">
        <f>IFERROR(__xludf.DUMMYFUNCTION("IFERROR(TO_DATE(H1648), """")"),42562.95486111111)</f>
        <v>42562.95486</v>
      </c>
      <c r="J1648" s="19" t="s">
        <v>13</v>
      </c>
      <c r="K1648" s="22">
        <f t="shared" si="2"/>
        <v>0</v>
      </c>
    </row>
    <row r="1649">
      <c r="A1649" s="18">
        <v>1654.0</v>
      </c>
      <c r="B1649" s="18" t="s">
        <v>30</v>
      </c>
      <c r="C1649" s="18">
        <v>175.0</v>
      </c>
      <c r="D1649" s="18" t="s">
        <v>31</v>
      </c>
      <c r="E1649" s="26">
        <v>42563.30763888889</v>
      </c>
      <c r="F1649" s="19">
        <f>IFERROR(__xludf.DUMMYFUNCTION("IFERROR(TO_DATE(E1649), """")"),42563.30763888889)</f>
        <v>42563.30764</v>
      </c>
      <c r="G1649" s="20">
        <f t="shared" si="1"/>
        <v>7</v>
      </c>
      <c r="H1649" s="26">
        <v>42563.3375</v>
      </c>
      <c r="I1649" s="19">
        <f>IFERROR(__xludf.DUMMYFUNCTION("IFERROR(TO_DATE(H1649), """")"),42563.3375)</f>
        <v>42563.3375</v>
      </c>
      <c r="J1649" s="19" t="s">
        <v>11</v>
      </c>
      <c r="K1649" s="22">
        <f t="shared" si="2"/>
        <v>0</v>
      </c>
    </row>
    <row r="1650">
      <c r="A1650" s="18">
        <v>1945.0</v>
      </c>
      <c r="B1650" s="18" t="s">
        <v>30</v>
      </c>
      <c r="C1650" s="18">
        <v>175.0</v>
      </c>
      <c r="D1650" s="18" t="s">
        <v>31</v>
      </c>
      <c r="E1650" s="26">
        <v>42563.48125</v>
      </c>
      <c r="F1650" s="19">
        <f>IFERROR(__xludf.DUMMYFUNCTION("IFERROR(TO_DATE(E1650), """")"),42563.48125)</f>
        <v>42563.48125</v>
      </c>
      <c r="G1650" s="20">
        <f t="shared" si="1"/>
        <v>11</v>
      </c>
      <c r="H1650" s="26">
        <v>42563.53055555555</v>
      </c>
      <c r="I1650" s="19">
        <f>IFERROR(__xludf.DUMMYFUNCTION("IFERROR(TO_DATE(H1650), """")"),42563.53055555555)</f>
        <v>42563.53056</v>
      </c>
      <c r="J1650" s="19" t="s">
        <v>14</v>
      </c>
      <c r="K1650" s="22">
        <f t="shared" si="2"/>
        <v>0</v>
      </c>
    </row>
    <row r="1651">
      <c r="A1651" s="18">
        <v>2460.0</v>
      </c>
      <c r="B1651" s="18" t="s">
        <v>32</v>
      </c>
      <c r="C1651" s="18">
        <v>175.0</v>
      </c>
      <c r="D1651" s="18" t="s">
        <v>31</v>
      </c>
      <c r="E1651" s="26">
        <v>42563.853472222225</v>
      </c>
      <c r="F1651" s="19">
        <f>IFERROR(__xludf.DUMMYFUNCTION("IFERROR(TO_DATE(E1651), """")"),42563.853472222225)</f>
        <v>42563.85347</v>
      </c>
      <c r="G1651" s="20">
        <f t="shared" si="1"/>
        <v>20</v>
      </c>
      <c r="H1651" s="26">
        <v>42563.90277777778</v>
      </c>
      <c r="I1651" s="19">
        <f>IFERROR(__xludf.DUMMYFUNCTION("IFERROR(TO_DATE(H1651), """")"),42563.90277777778)</f>
        <v>42563.90278</v>
      </c>
      <c r="J1651" s="19" t="s">
        <v>13</v>
      </c>
      <c r="K1651" s="22">
        <f t="shared" si="2"/>
        <v>0</v>
      </c>
    </row>
    <row r="1652">
      <c r="A1652" s="18">
        <v>2877.0</v>
      </c>
      <c r="B1652" s="18" t="s">
        <v>30</v>
      </c>
      <c r="C1652" s="18">
        <v>175.0</v>
      </c>
      <c r="D1652" s="18" t="s">
        <v>31</v>
      </c>
      <c r="E1652" s="27">
        <v>42564.24296296296</v>
      </c>
      <c r="F1652" s="19">
        <f>IFERROR(__xludf.DUMMYFUNCTION("IFERROR(TO_DATE(E1652), """")"),42564.24296296296)</f>
        <v>42564.24296</v>
      </c>
      <c r="G1652" s="20">
        <f t="shared" si="1"/>
        <v>5</v>
      </c>
      <c r="H1652" s="27">
        <v>42564.29429398148</v>
      </c>
      <c r="I1652" s="19">
        <f>IFERROR(__xludf.DUMMYFUNCTION("IFERROR(TO_DATE(H1652), """")"),42564.29429398148)</f>
        <v>42564.29429</v>
      </c>
      <c r="J1652" s="19" t="s">
        <v>11</v>
      </c>
      <c r="K1652" s="22">
        <f t="shared" si="2"/>
        <v>0</v>
      </c>
    </row>
    <row r="1653">
      <c r="A1653" s="18">
        <v>3264.0</v>
      </c>
      <c r="B1653" s="18" t="s">
        <v>32</v>
      </c>
      <c r="C1653" s="18">
        <v>175.0</v>
      </c>
      <c r="D1653" s="18" t="s">
        <v>31</v>
      </c>
      <c r="E1653" s="27">
        <v>42564.431296296294</v>
      </c>
      <c r="F1653" s="19">
        <f>IFERROR(__xludf.DUMMYFUNCTION("IFERROR(TO_DATE(E1653), """")"),42564.431296296294)</f>
        <v>42564.4313</v>
      </c>
      <c r="G1653" s="20">
        <f t="shared" si="1"/>
        <v>10</v>
      </c>
      <c r="H1653" s="27">
        <v>42564.480474537035</v>
      </c>
      <c r="I1653" s="19">
        <f>IFERROR(__xludf.DUMMYFUNCTION("IFERROR(TO_DATE(H1653), """")"),42564.480474537035)</f>
        <v>42564.48047</v>
      </c>
      <c r="J1653" s="19" t="s">
        <v>14</v>
      </c>
      <c r="K1653" s="22">
        <f t="shared" si="2"/>
        <v>0</v>
      </c>
    </row>
    <row r="1654">
      <c r="A1654" s="18">
        <v>3927.0</v>
      </c>
      <c r="B1654" s="18" t="s">
        <v>32</v>
      </c>
      <c r="C1654" s="18">
        <v>175.0</v>
      </c>
      <c r="D1654" s="18" t="s">
        <v>31</v>
      </c>
      <c r="E1654" s="27">
        <v>42564.93247685185</v>
      </c>
      <c r="F1654" s="19">
        <f>IFERROR(__xludf.DUMMYFUNCTION("IFERROR(TO_DATE(E1654), """")"),42564.93247685185)</f>
        <v>42564.93248</v>
      </c>
      <c r="G1654" s="20">
        <f t="shared" si="1"/>
        <v>22</v>
      </c>
      <c r="H1654" s="27">
        <v>42564.97324074074</v>
      </c>
      <c r="I1654" s="19">
        <f>IFERROR(__xludf.DUMMYFUNCTION("IFERROR(TO_DATE(H1654), """")"),42564.97324074074)</f>
        <v>42564.97324</v>
      </c>
      <c r="J1654" s="19" t="s">
        <v>13</v>
      </c>
      <c r="K1654" s="22">
        <f t="shared" si="2"/>
        <v>0</v>
      </c>
    </row>
    <row r="1655">
      <c r="A1655" s="18">
        <v>5774.0</v>
      </c>
      <c r="B1655" s="18" t="s">
        <v>32</v>
      </c>
      <c r="C1655" s="18">
        <v>175.0</v>
      </c>
      <c r="D1655" s="18" t="s">
        <v>31</v>
      </c>
      <c r="E1655" s="27">
        <v>42566.35376157407</v>
      </c>
      <c r="F1655" s="19">
        <f>IFERROR(__xludf.DUMMYFUNCTION("IFERROR(TO_DATE(E1655), """")"),42566.35376157407)</f>
        <v>42566.35376</v>
      </c>
      <c r="G1655" s="20">
        <f t="shared" si="1"/>
        <v>8</v>
      </c>
      <c r="H1655" s="27">
        <v>42566.39063657408</v>
      </c>
      <c r="I1655" s="19">
        <f>IFERROR(__xludf.DUMMYFUNCTION("IFERROR(TO_DATE(H1655), """")"),42566.39063657408)</f>
        <v>42566.39064</v>
      </c>
      <c r="J1655" s="19" t="s">
        <v>14</v>
      </c>
      <c r="K1655" s="22">
        <f t="shared" si="2"/>
        <v>0</v>
      </c>
    </row>
    <row r="1656">
      <c r="A1656" s="18">
        <v>923.0</v>
      </c>
      <c r="B1656" s="18" t="s">
        <v>32</v>
      </c>
      <c r="C1656" s="18">
        <v>176.0</v>
      </c>
      <c r="D1656" s="18" t="s">
        <v>31</v>
      </c>
      <c r="E1656" s="26">
        <v>42562.768055555556</v>
      </c>
      <c r="F1656" s="19">
        <f>IFERROR(__xludf.DUMMYFUNCTION("IFERROR(TO_DATE(E1656), """")"),42562.768055555556)</f>
        <v>42562.76806</v>
      </c>
      <c r="G1656" s="20">
        <f t="shared" si="1"/>
        <v>18</v>
      </c>
      <c r="H1656" s="26">
        <v>42562.81736111111</v>
      </c>
      <c r="I1656" s="19">
        <f>IFERROR(__xludf.DUMMYFUNCTION("IFERROR(TO_DATE(H1656), """")"),42562.81736111111)</f>
        <v>42562.81736</v>
      </c>
      <c r="J1656" s="19" t="s">
        <v>12</v>
      </c>
      <c r="K1656" s="22">
        <f t="shared" si="2"/>
        <v>0</v>
      </c>
    </row>
    <row r="1657">
      <c r="A1657" s="18">
        <v>1439.0</v>
      </c>
      <c r="B1657" s="18" t="s">
        <v>32</v>
      </c>
      <c r="C1657" s="18">
        <v>176.0</v>
      </c>
      <c r="D1657" s="18" t="s">
        <v>31</v>
      </c>
      <c r="E1657" s="26">
        <v>42563.197916666664</v>
      </c>
      <c r="F1657" s="19">
        <f>IFERROR(__xludf.DUMMYFUNCTION("IFERROR(TO_DATE(E1657), """")"),42563.197916666664)</f>
        <v>42563.19792</v>
      </c>
      <c r="G1657" s="20">
        <f t="shared" si="1"/>
        <v>4</v>
      </c>
      <c r="H1657" s="26">
        <v>42563.22152777778</v>
      </c>
      <c r="I1657" s="19">
        <f>IFERROR(__xludf.DUMMYFUNCTION("IFERROR(TO_DATE(H1657), """")"),42563.22152777778)</f>
        <v>42563.22153</v>
      </c>
      <c r="J1657" s="19" t="s">
        <v>11</v>
      </c>
      <c r="K1657" s="22">
        <f t="shared" si="2"/>
        <v>0</v>
      </c>
    </row>
    <row r="1658">
      <c r="A1658" s="18">
        <v>2130.0</v>
      </c>
      <c r="B1658" s="18" t="s">
        <v>32</v>
      </c>
      <c r="C1658" s="18">
        <v>176.0</v>
      </c>
      <c r="D1658" s="18" t="s">
        <v>31</v>
      </c>
      <c r="E1658" s="26">
        <v>42563.71111111111</v>
      </c>
      <c r="F1658" s="19">
        <f>IFERROR(__xludf.DUMMYFUNCTION("IFERROR(TO_DATE(E1658), """")"),42563.71111111111)</f>
        <v>42563.71111</v>
      </c>
      <c r="G1658" s="20">
        <f t="shared" si="1"/>
        <v>17</v>
      </c>
      <c r="H1658" s="26">
        <v>42563.740277777775</v>
      </c>
      <c r="I1658" s="19">
        <f>IFERROR(__xludf.DUMMYFUNCTION("IFERROR(TO_DATE(H1658), """")"),42563.740277777775)</f>
        <v>42563.74028</v>
      </c>
      <c r="J1658" s="19" t="s">
        <v>12</v>
      </c>
      <c r="K1658" s="22">
        <f t="shared" si="2"/>
        <v>0</v>
      </c>
    </row>
    <row r="1659">
      <c r="A1659" s="18">
        <v>2797.0</v>
      </c>
      <c r="B1659" s="18" t="s">
        <v>32</v>
      </c>
      <c r="C1659" s="18">
        <v>176.0</v>
      </c>
      <c r="D1659" s="18" t="s">
        <v>31</v>
      </c>
      <c r="E1659" s="27">
        <v>42564.203888888886</v>
      </c>
      <c r="F1659" s="19">
        <f>IFERROR(__xludf.DUMMYFUNCTION("IFERROR(TO_DATE(E1659), """")"),42564.203888888886)</f>
        <v>42564.20389</v>
      </c>
      <c r="G1659" s="20">
        <f t="shared" si="1"/>
        <v>4</v>
      </c>
      <c r="H1659" s="27">
        <v>42564.25497685185</v>
      </c>
      <c r="I1659" s="19">
        <f>IFERROR(__xludf.DUMMYFUNCTION("IFERROR(TO_DATE(H1659), """")"),42564.25497685185)</f>
        <v>42564.25498</v>
      </c>
      <c r="J1659" s="19" t="s">
        <v>11</v>
      </c>
      <c r="K1659" s="22">
        <f t="shared" si="2"/>
        <v>0</v>
      </c>
    </row>
    <row r="1660">
      <c r="A1660" s="18">
        <v>3135.0</v>
      </c>
      <c r="B1660" s="18" t="s">
        <v>30</v>
      </c>
      <c r="C1660" s="18">
        <v>176.0</v>
      </c>
      <c r="D1660" s="18" t="s">
        <v>31</v>
      </c>
      <c r="E1660" s="27">
        <v>42564.36697916667</v>
      </c>
      <c r="F1660" s="19">
        <f>IFERROR(__xludf.DUMMYFUNCTION("IFERROR(TO_DATE(E1660), """")"),42564.36697916667)</f>
        <v>42564.36698</v>
      </c>
      <c r="G1660" s="20">
        <f t="shared" si="1"/>
        <v>8</v>
      </c>
      <c r="H1660" s="27">
        <v>42564.389965277776</v>
      </c>
      <c r="I1660" s="19">
        <f>IFERROR(__xludf.DUMMYFUNCTION("IFERROR(TO_DATE(H1660), """")"),42564.389965277776)</f>
        <v>42564.38997</v>
      </c>
      <c r="J1660" s="19" t="s">
        <v>14</v>
      </c>
      <c r="K1660" s="22">
        <f t="shared" si="2"/>
        <v>0</v>
      </c>
    </row>
    <row r="1661">
      <c r="A1661" s="18">
        <v>3525.0</v>
      </c>
      <c r="B1661" s="18" t="s">
        <v>30</v>
      </c>
      <c r="C1661" s="18">
        <v>176.0</v>
      </c>
      <c r="D1661" s="18" t="s">
        <v>31</v>
      </c>
      <c r="E1661" s="27">
        <v>42564.74196759259</v>
      </c>
      <c r="F1661" s="19">
        <f>IFERROR(__xludf.DUMMYFUNCTION("IFERROR(TO_DATE(E1661), """")"),42564.74196759259)</f>
        <v>42564.74197</v>
      </c>
      <c r="G1661" s="20">
        <f t="shared" si="1"/>
        <v>17</v>
      </c>
      <c r="H1661" s="27">
        <v>42564.78505787037</v>
      </c>
      <c r="I1661" s="19">
        <f>IFERROR(__xludf.DUMMYFUNCTION("IFERROR(TO_DATE(H1661), """")"),42564.78505787037)</f>
        <v>42564.78506</v>
      </c>
      <c r="J1661" s="19" t="s">
        <v>12</v>
      </c>
      <c r="K1661" s="22">
        <f t="shared" si="2"/>
        <v>0</v>
      </c>
    </row>
    <row r="1662">
      <c r="A1662" s="18">
        <v>3925.0</v>
      </c>
      <c r="B1662" s="18" t="s">
        <v>30</v>
      </c>
      <c r="C1662" s="18">
        <v>176.0</v>
      </c>
      <c r="D1662" s="18" t="s">
        <v>31</v>
      </c>
      <c r="E1662" s="27">
        <v>42564.93505787037</v>
      </c>
      <c r="F1662" s="19">
        <f>IFERROR(__xludf.DUMMYFUNCTION("IFERROR(TO_DATE(E1662), """")"),42564.93505787037)</f>
        <v>42564.93506</v>
      </c>
      <c r="G1662" s="20">
        <f t="shared" si="1"/>
        <v>22</v>
      </c>
      <c r="H1662" s="27">
        <v>42564.975902777776</v>
      </c>
      <c r="I1662" s="19">
        <f>IFERROR(__xludf.DUMMYFUNCTION("IFERROR(TO_DATE(H1662), """")"),42564.975902777776)</f>
        <v>42564.9759</v>
      </c>
      <c r="J1662" s="19" t="s">
        <v>13</v>
      </c>
      <c r="K1662" s="22">
        <f t="shared" si="2"/>
        <v>0</v>
      </c>
    </row>
    <row r="1663">
      <c r="A1663" s="18">
        <v>4087.0</v>
      </c>
      <c r="B1663" s="18" t="s">
        <v>32</v>
      </c>
      <c r="C1663" s="18">
        <v>176.0</v>
      </c>
      <c r="D1663" s="18" t="s">
        <v>31</v>
      </c>
      <c r="E1663" s="27">
        <v>42565.11989583333</v>
      </c>
      <c r="F1663" s="19">
        <f>IFERROR(__xludf.DUMMYFUNCTION("IFERROR(TO_DATE(E1663), """")"),42565.11989583333)</f>
        <v>42565.1199</v>
      </c>
      <c r="G1663" s="20">
        <f t="shared" si="1"/>
        <v>2</v>
      </c>
      <c r="H1663" s="27">
        <v>42565.16488425926</v>
      </c>
      <c r="I1663" s="19">
        <f>IFERROR(__xludf.DUMMYFUNCTION("IFERROR(TO_DATE(H1663), """")"),42565.16488425926)</f>
        <v>42565.16488</v>
      </c>
      <c r="J1663" s="19" t="s">
        <v>15</v>
      </c>
      <c r="K1663" s="22">
        <f t="shared" si="2"/>
        <v>0</v>
      </c>
    </row>
    <row r="1664">
      <c r="A1664" s="18">
        <v>4706.0</v>
      </c>
      <c r="B1664" s="18" t="s">
        <v>32</v>
      </c>
      <c r="C1664" s="18">
        <v>176.0</v>
      </c>
      <c r="D1664" s="18" t="s">
        <v>31</v>
      </c>
      <c r="E1664" s="27">
        <v>42565.55189814815</v>
      </c>
      <c r="F1664" s="19">
        <f>IFERROR(__xludf.DUMMYFUNCTION("IFERROR(TO_DATE(E1664), """")"),42565.55189814815)</f>
        <v>42565.5519</v>
      </c>
      <c r="G1664" s="20">
        <f t="shared" si="1"/>
        <v>13</v>
      </c>
      <c r="H1664" s="27">
        <v>42565.58358796296</v>
      </c>
      <c r="I1664" s="19">
        <f>IFERROR(__xludf.DUMMYFUNCTION("IFERROR(TO_DATE(H1664), """")"),42565.58358796296)</f>
        <v>42565.58359</v>
      </c>
      <c r="J1664" s="19" t="s">
        <v>10</v>
      </c>
      <c r="K1664" s="22">
        <f t="shared" si="2"/>
        <v>0</v>
      </c>
    </row>
    <row r="1665">
      <c r="A1665" s="18">
        <v>5448.0</v>
      </c>
      <c r="B1665" s="18" t="s">
        <v>30</v>
      </c>
      <c r="C1665" s="18">
        <v>176.0</v>
      </c>
      <c r="D1665" s="18" t="s">
        <v>31</v>
      </c>
      <c r="E1665" s="27">
        <v>42566.14059027778</v>
      </c>
      <c r="F1665" s="19">
        <f>IFERROR(__xludf.DUMMYFUNCTION("IFERROR(TO_DATE(E1665), """")"),42566.14059027778)</f>
        <v>42566.14059</v>
      </c>
      <c r="G1665" s="20">
        <f t="shared" si="1"/>
        <v>3</v>
      </c>
      <c r="H1665" s="27">
        <v>42566.185532407406</v>
      </c>
      <c r="I1665" s="19">
        <f>IFERROR(__xludf.DUMMYFUNCTION("IFERROR(TO_DATE(H1665), """")"),42566.185532407406)</f>
        <v>42566.18553</v>
      </c>
      <c r="J1665" s="19" t="s">
        <v>15</v>
      </c>
      <c r="K1665" s="22">
        <f t="shared" si="2"/>
        <v>0</v>
      </c>
    </row>
    <row r="1666">
      <c r="A1666" s="18">
        <v>5645.0</v>
      </c>
      <c r="B1666" s="18" t="s">
        <v>32</v>
      </c>
      <c r="C1666" s="18">
        <v>176.0</v>
      </c>
      <c r="D1666" s="18" t="s">
        <v>31</v>
      </c>
      <c r="E1666" s="27">
        <v>42566.285532407404</v>
      </c>
      <c r="F1666" s="19">
        <f>IFERROR(__xludf.DUMMYFUNCTION("IFERROR(TO_DATE(E1666), """")"),42566.285532407404)</f>
        <v>42566.28553</v>
      </c>
      <c r="G1666" s="20">
        <f t="shared" si="1"/>
        <v>6</v>
      </c>
      <c r="H1666" s="27">
        <v>42566.31652777778</v>
      </c>
      <c r="I1666" s="19">
        <f>IFERROR(__xludf.DUMMYFUNCTION("IFERROR(TO_DATE(H1666), """")"),42566.31652777778)</f>
        <v>42566.31653</v>
      </c>
      <c r="J1666" s="19" t="s">
        <v>11</v>
      </c>
      <c r="K1666" s="22">
        <f t="shared" si="2"/>
        <v>0</v>
      </c>
    </row>
    <row r="1667">
      <c r="A1667" s="18">
        <v>5862.0</v>
      </c>
      <c r="B1667" s="18" t="s">
        <v>32</v>
      </c>
      <c r="C1667" s="18">
        <v>176.0</v>
      </c>
      <c r="D1667" s="18" t="s">
        <v>31</v>
      </c>
      <c r="E1667" s="27">
        <v>42566.38853009259</v>
      </c>
      <c r="F1667" s="19">
        <f>IFERROR(__xludf.DUMMYFUNCTION("IFERROR(TO_DATE(E1667), """")"),42566.38853009259)</f>
        <v>42566.38853</v>
      </c>
      <c r="G1667" s="20">
        <f t="shared" si="1"/>
        <v>9</v>
      </c>
      <c r="H1667" s="27">
        <v>42566.414502314816</v>
      </c>
      <c r="I1667" s="19">
        <f>IFERROR(__xludf.DUMMYFUNCTION("IFERROR(TO_DATE(H1667), """")"),42566.414502314816)</f>
        <v>42566.4145</v>
      </c>
      <c r="J1667" s="19" t="s">
        <v>14</v>
      </c>
      <c r="K1667" s="22">
        <f t="shared" si="2"/>
        <v>0</v>
      </c>
    </row>
    <row r="1668">
      <c r="A1668" s="18">
        <v>6079.0</v>
      </c>
      <c r="B1668" s="18" t="s">
        <v>30</v>
      </c>
      <c r="C1668" s="18">
        <v>176.0</v>
      </c>
      <c r="D1668" s="18" t="s">
        <v>31</v>
      </c>
      <c r="E1668" s="27">
        <v>42566.598495370374</v>
      </c>
      <c r="F1668" s="19">
        <f>IFERROR(__xludf.DUMMYFUNCTION("IFERROR(TO_DATE(E1668), """")"),42566.598495370374)</f>
        <v>42566.5985</v>
      </c>
      <c r="G1668" s="20">
        <f t="shared" si="1"/>
        <v>14</v>
      </c>
      <c r="H1668" s="27">
        <v>42566.6300462963</v>
      </c>
      <c r="I1668" s="19">
        <f>IFERROR(__xludf.DUMMYFUNCTION("IFERROR(TO_DATE(H1668), """")"),42566.6300462963)</f>
        <v>42566.63005</v>
      </c>
      <c r="J1668" s="19" t="s">
        <v>10</v>
      </c>
      <c r="K1668" s="22">
        <f t="shared" si="2"/>
        <v>0</v>
      </c>
    </row>
    <row r="1669">
      <c r="A1669" s="18">
        <v>6648.0</v>
      </c>
      <c r="B1669" s="18" t="s">
        <v>30</v>
      </c>
      <c r="C1669" s="18">
        <v>176.0</v>
      </c>
      <c r="D1669" s="18" t="s">
        <v>31</v>
      </c>
      <c r="E1669" s="27">
        <v>42566.9200462963</v>
      </c>
      <c r="F1669" s="19">
        <f>IFERROR(__xludf.DUMMYFUNCTION("IFERROR(TO_DATE(E1669), """")"),42566.9200462963)</f>
        <v>42566.92005</v>
      </c>
      <c r="G1669" s="20">
        <f t="shared" si="1"/>
        <v>22</v>
      </c>
      <c r="H1669" s="27">
        <v>42566.968506944446</v>
      </c>
      <c r="I1669" s="19">
        <f>IFERROR(__xludf.DUMMYFUNCTION("IFERROR(TO_DATE(H1669), """")"),42566.968506944446)</f>
        <v>42566.96851</v>
      </c>
      <c r="J1669" s="19" t="s">
        <v>13</v>
      </c>
      <c r="K1669" s="22">
        <f t="shared" si="2"/>
        <v>0</v>
      </c>
    </row>
    <row r="1670">
      <c r="A1670" s="18">
        <v>863.0</v>
      </c>
      <c r="B1670" s="18" t="s">
        <v>32</v>
      </c>
      <c r="C1670" s="18">
        <v>177.0</v>
      </c>
      <c r="D1670" s="18" t="s">
        <v>31</v>
      </c>
      <c r="E1670" s="26">
        <v>42562.74652777778</v>
      </c>
      <c r="F1670" s="19">
        <f>IFERROR(__xludf.DUMMYFUNCTION("IFERROR(TO_DATE(E1670), """")"),42562.74652777778)</f>
        <v>42562.74653</v>
      </c>
      <c r="G1670" s="20">
        <f t="shared" si="1"/>
        <v>17</v>
      </c>
      <c r="H1670" s="26">
        <v>42562.779861111114</v>
      </c>
      <c r="I1670" s="19">
        <f>IFERROR(__xludf.DUMMYFUNCTION("IFERROR(TO_DATE(H1670), """")"),42562.779861111114)</f>
        <v>42562.77986</v>
      </c>
      <c r="J1670" s="19" t="s">
        <v>12</v>
      </c>
      <c r="K1670" s="22">
        <f t="shared" si="2"/>
        <v>0</v>
      </c>
    </row>
    <row r="1671">
      <c r="A1671" s="18">
        <v>1324.0</v>
      </c>
      <c r="B1671" s="18" t="s">
        <v>32</v>
      </c>
      <c r="C1671" s="18">
        <v>177.0</v>
      </c>
      <c r="D1671" s="18" t="s">
        <v>31</v>
      </c>
      <c r="E1671" s="26">
        <v>42562.95763888889</v>
      </c>
      <c r="F1671" s="19">
        <f>IFERROR(__xludf.DUMMYFUNCTION("IFERROR(TO_DATE(E1671), """")"),42562.95763888889)</f>
        <v>42562.95764</v>
      </c>
      <c r="G1671" s="20">
        <f t="shared" si="1"/>
        <v>22</v>
      </c>
      <c r="H1671" s="26">
        <v>42563.00347222222</v>
      </c>
      <c r="I1671" s="19">
        <f>IFERROR(__xludf.DUMMYFUNCTION("IFERROR(TO_DATE(H1671), """")"),42563.00347222222)</f>
        <v>42563.00347</v>
      </c>
      <c r="J1671" s="19" t="s">
        <v>13</v>
      </c>
      <c r="K1671" s="22">
        <f t="shared" si="2"/>
        <v>0</v>
      </c>
    </row>
    <row r="1672">
      <c r="A1672" s="18">
        <v>1666.0</v>
      </c>
      <c r="B1672" s="18" t="s">
        <v>32</v>
      </c>
      <c r="C1672" s="18">
        <v>177.0</v>
      </c>
      <c r="D1672" s="18" t="s">
        <v>31</v>
      </c>
      <c r="E1672" s="26">
        <v>42563.31736111111</v>
      </c>
      <c r="F1672" s="19">
        <f>IFERROR(__xludf.DUMMYFUNCTION("IFERROR(TO_DATE(E1672), """")"),42563.31736111111)</f>
        <v>42563.31736</v>
      </c>
      <c r="G1672" s="20">
        <f t="shared" si="1"/>
        <v>7</v>
      </c>
      <c r="H1672" s="26">
        <v>42563.36736111111</v>
      </c>
      <c r="I1672" s="19">
        <f>IFERROR(__xludf.DUMMYFUNCTION("IFERROR(TO_DATE(H1672), """")"),42563.36736111111)</f>
        <v>42563.36736</v>
      </c>
      <c r="J1672" s="19" t="s">
        <v>11</v>
      </c>
      <c r="K1672" s="22">
        <f t="shared" si="2"/>
        <v>0</v>
      </c>
    </row>
    <row r="1673">
      <c r="A1673" s="18">
        <v>1797.0</v>
      </c>
      <c r="B1673" s="18" t="s">
        <v>30</v>
      </c>
      <c r="C1673" s="18">
        <v>177.0</v>
      </c>
      <c r="D1673" s="18" t="s">
        <v>31</v>
      </c>
      <c r="E1673" s="26">
        <v>42563.385416666664</v>
      </c>
      <c r="F1673" s="19">
        <f>IFERROR(__xludf.DUMMYFUNCTION("IFERROR(TO_DATE(E1673), """")"),42563.385416666664)</f>
        <v>42563.38542</v>
      </c>
      <c r="G1673" s="20">
        <f t="shared" si="1"/>
        <v>9</v>
      </c>
      <c r="H1673" s="26">
        <v>42563.40347222222</v>
      </c>
      <c r="I1673" s="19">
        <f>IFERROR(__xludf.DUMMYFUNCTION("IFERROR(TO_DATE(H1673), """")"),42563.40347222222)</f>
        <v>42563.40347</v>
      </c>
      <c r="J1673" s="19" t="s">
        <v>14</v>
      </c>
      <c r="K1673" s="22">
        <f t="shared" si="2"/>
        <v>0</v>
      </c>
    </row>
    <row r="1674">
      <c r="A1674" s="18">
        <v>2279.0</v>
      </c>
      <c r="B1674" s="18" t="s">
        <v>30</v>
      </c>
      <c r="C1674" s="18">
        <v>177.0</v>
      </c>
      <c r="D1674" s="18" t="s">
        <v>31</v>
      </c>
      <c r="E1674" s="26">
        <v>42563.77638888889</v>
      </c>
      <c r="F1674" s="19">
        <f>IFERROR(__xludf.DUMMYFUNCTION("IFERROR(TO_DATE(E1674), """")"),42563.77638888889)</f>
        <v>42563.77639</v>
      </c>
      <c r="G1674" s="20">
        <f t="shared" si="1"/>
        <v>18</v>
      </c>
      <c r="H1674" s="26">
        <v>42563.80972222222</v>
      </c>
      <c r="I1674" s="19">
        <f>IFERROR(__xludf.DUMMYFUNCTION("IFERROR(TO_DATE(H1674), """")"),42563.80972222222)</f>
        <v>42563.80972</v>
      </c>
      <c r="J1674" s="19" t="s">
        <v>12</v>
      </c>
      <c r="K1674" s="22">
        <f t="shared" si="2"/>
        <v>0</v>
      </c>
    </row>
    <row r="1675">
      <c r="A1675" s="18">
        <v>2997.0</v>
      </c>
      <c r="B1675" s="18" t="s">
        <v>32</v>
      </c>
      <c r="C1675" s="18">
        <v>177.0</v>
      </c>
      <c r="D1675" s="18" t="s">
        <v>31</v>
      </c>
      <c r="E1675" s="27">
        <v>42564.29913194444</v>
      </c>
      <c r="F1675" s="19">
        <f>IFERROR(__xludf.DUMMYFUNCTION("IFERROR(TO_DATE(E1675), """")"),42564.29913194444)</f>
        <v>42564.29913</v>
      </c>
      <c r="G1675" s="20">
        <f t="shared" si="1"/>
        <v>7</v>
      </c>
      <c r="H1675" s="27">
        <v>42564.325787037036</v>
      </c>
      <c r="I1675" s="19">
        <f>IFERROR(__xludf.DUMMYFUNCTION("IFERROR(TO_DATE(H1675), """")"),42564.325787037036)</f>
        <v>42564.32579</v>
      </c>
      <c r="J1675" s="19" t="s">
        <v>11</v>
      </c>
      <c r="K1675" s="22">
        <f t="shared" si="2"/>
        <v>0</v>
      </c>
    </row>
    <row r="1676">
      <c r="A1676" s="18">
        <v>3343.0</v>
      </c>
      <c r="B1676" s="18" t="s">
        <v>30</v>
      </c>
      <c r="C1676" s="18">
        <v>177.0</v>
      </c>
      <c r="D1676" s="18" t="s">
        <v>31</v>
      </c>
      <c r="E1676" s="27">
        <v>42564.539976851855</v>
      </c>
      <c r="F1676" s="19">
        <f>IFERROR(__xludf.DUMMYFUNCTION("IFERROR(TO_DATE(E1676), """")"),42564.539976851855)</f>
        <v>42564.53998</v>
      </c>
      <c r="G1676" s="20">
        <f t="shared" si="1"/>
        <v>12</v>
      </c>
      <c r="H1676" s="27">
        <v>42564.570856481485</v>
      </c>
      <c r="I1676" s="19">
        <f>IFERROR(__xludf.DUMMYFUNCTION("IFERROR(TO_DATE(H1676), """")"),42564.570856481485)</f>
        <v>42564.57086</v>
      </c>
      <c r="J1676" s="19" t="s">
        <v>10</v>
      </c>
      <c r="K1676" s="22">
        <f t="shared" si="2"/>
        <v>0</v>
      </c>
    </row>
    <row r="1677">
      <c r="A1677" s="18">
        <v>3625.0</v>
      </c>
      <c r="B1677" s="18" t="s">
        <v>30</v>
      </c>
      <c r="C1677" s="18">
        <v>177.0</v>
      </c>
      <c r="D1677" s="18" t="s">
        <v>31</v>
      </c>
      <c r="E1677" s="27">
        <v>42564.78986111111</v>
      </c>
      <c r="F1677" s="19">
        <f>IFERROR(__xludf.DUMMYFUNCTION("IFERROR(TO_DATE(E1677), """")"),42564.78986111111)</f>
        <v>42564.78986</v>
      </c>
      <c r="G1677" s="20">
        <f t="shared" si="1"/>
        <v>18</v>
      </c>
      <c r="H1677" s="27">
        <v>42564.83427083334</v>
      </c>
      <c r="I1677" s="19">
        <f>IFERROR(__xludf.DUMMYFUNCTION("IFERROR(TO_DATE(H1677), """")"),42564.83427083334)</f>
        <v>42564.83427</v>
      </c>
      <c r="J1677" s="19" t="s">
        <v>12</v>
      </c>
      <c r="K1677" s="22">
        <f t="shared" si="2"/>
        <v>0</v>
      </c>
    </row>
    <row r="1678">
      <c r="A1678" s="18">
        <v>4310.0</v>
      </c>
      <c r="B1678" s="18" t="s">
        <v>32</v>
      </c>
      <c r="C1678" s="18">
        <v>177.0</v>
      </c>
      <c r="D1678" s="18" t="s">
        <v>31</v>
      </c>
      <c r="E1678" s="27">
        <v>42565.28392361111</v>
      </c>
      <c r="F1678" s="19">
        <f>IFERROR(__xludf.DUMMYFUNCTION("IFERROR(TO_DATE(E1678), """")"),42565.28392361111)</f>
        <v>42565.28392</v>
      </c>
      <c r="G1678" s="20">
        <f t="shared" si="1"/>
        <v>6</v>
      </c>
      <c r="H1678" s="27">
        <v>42565.32119212963</v>
      </c>
      <c r="I1678" s="19">
        <f>IFERROR(__xludf.DUMMYFUNCTION("IFERROR(TO_DATE(H1678), """")"),42565.32119212963)</f>
        <v>42565.32119</v>
      </c>
      <c r="J1678" s="19" t="s">
        <v>11</v>
      </c>
      <c r="K1678" s="22">
        <f t="shared" si="2"/>
        <v>0</v>
      </c>
    </row>
    <row r="1679">
      <c r="A1679" s="18">
        <v>4750.0</v>
      </c>
      <c r="B1679" s="18" t="s">
        <v>30</v>
      </c>
      <c r="C1679" s="18">
        <v>177.0</v>
      </c>
      <c r="D1679" s="18" t="s">
        <v>31</v>
      </c>
      <c r="E1679" s="27">
        <v>42565.63150462963</v>
      </c>
      <c r="F1679" s="19">
        <f>IFERROR(__xludf.DUMMYFUNCTION("IFERROR(TO_DATE(E1679), """")"),42565.63150462963)</f>
        <v>42565.6315</v>
      </c>
      <c r="G1679" s="20">
        <f t="shared" si="1"/>
        <v>15</v>
      </c>
      <c r="H1679" s="27">
        <v>42565.680983796294</v>
      </c>
      <c r="I1679" s="19">
        <f>IFERROR(__xludf.DUMMYFUNCTION("IFERROR(TO_DATE(H1679), """")"),42565.680983796294)</f>
        <v>42565.68098</v>
      </c>
      <c r="J1679" s="19" t="s">
        <v>10</v>
      </c>
      <c r="K1679" s="22">
        <f t="shared" si="2"/>
        <v>0</v>
      </c>
    </row>
    <row r="1680">
      <c r="A1680" s="18">
        <v>5185.0</v>
      </c>
      <c r="B1680" s="18" t="s">
        <v>30</v>
      </c>
      <c r="C1680" s="18">
        <v>177.0</v>
      </c>
      <c r="D1680" s="18" t="s">
        <v>31</v>
      </c>
      <c r="E1680" s="27">
        <v>42565.857986111114</v>
      </c>
      <c r="F1680" s="19">
        <f>IFERROR(__xludf.DUMMYFUNCTION("IFERROR(TO_DATE(E1680), """")"),42565.857986111114)</f>
        <v>42565.85799</v>
      </c>
      <c r="G1680" s="20">
        <f t="shared" si="1"/>
        <v>20</v>
      </c>
      <c r="H1680" s="27">
        <v>42565.90943287037</v>
      </c>
      <c r="I1680" s="19">
        <f>IFERROR(__xludf.DUMMYFUNCTION("IFERROR(TO_DATE(H1680), """")"),42565.90943287037)</f>
        <v>42565.90943</v>
      </c>
      <c r="J1680" s="19" t="s">
        <v>13</v>
      </c>
      <c r="K1680" s="22">
        <f t="shared" si="2"/>
        <v>0</v>
      </c>
    </row>
    <row r="1681">
      <c r="A1681" s="18">
        <v>5978.0</v>
      </c>
      <c r="B1681" s="18" t="s">
        <v>30</v>
      </c>
      <c r="C1681" s="18">
        <v>177.0</v>
      </c>
      <c r="D1681" s="18" t="s">
        <v>31</v>
      </c>
      <c r="E1681" s="27">
        <v>42566.47729166667</v>
      </c>
      <c r="F1681" s="19">
        <f>IFERROR(__xludf.DUMMYFUNCTION("IFERROR(TO_DATE(E1681), """")"),42566.47729166667)</f>
        <v>42566.47729</v>
      </c>
      <c r="G1681" s="20">
        <f t="shared" si="1"/>
        <v>11</v>
      </c>
      <c r="H1681" s="27">
        <v>42566.50712962963</v>
      </c>
      <c r="I1681" s="19">
        <f>IFERROR(__xludf.DUMMYFUNCTION("IFERROR(TO_DATE(H1681), """")"),42566.50712962963)</f>
        <v>42566.50713</v>
      </c>
      <c r="J1681" s="19" t="s">
        <v>14</v>
      </c>
      <c r="K1681" s="22">
        <f t="shared" si="2"/>
        <v>0</v>
      </c>
    </row>
    <row r="1682">
      <c r="A1682" s="18">
        <v>6073.0</v>
      </c>
      <c r="B1682" s="18" t="s">
        <v>32</v>
      </c>
      <c r="C1682" s="18">
        <v>177.0</v>
      </c>
      <c r="D1682" s="18" t="s">
        <v>31</v>
      </c>
      <c r="E1682" s="27">
        <v>42566.585127314815</v>
      </c>
      <c r="F1682" s="19">
        <f>IFERROR(__xludf.DUMMYFUNCTION("IFERROR(TO_DATE(E1682), """")"),42566.585127314815)</f>
        <v>42566.58513</v>
      </c>
      <c r="G1682" s="20">
        <f t="shared" si="1"/>
        <v>14</v>
      </c>
      <c r="H1682" s="27">
        <v>42566.61834490741</v>
      </c>
      <c r="I1682" s="19">
        <f>IFERROR(__xludf.DUMMYFUNCTION("IFERROR(TO_DATE(H1682), """")"),42566.61834490741)</f>
        <v>42566.61834</v>
      </c>
      <c r="J1682" s="19" t="s">
        <v>10</v>
      </c>
      <c r="K1682" s="22">
        <f t="shared" si="2"/>
        <v>0</v>
      </c>
    </row>
    <row r="1683">
      <c r="A1683" s="18">
        <v>455.0</v>
      </c>
      <c r="B1683" s="18" t="s">
        <v>32</v>
      </c>
      <c r="C1683" s="18">
        <v>178.0</v>
      </c>
      <c r="D1683" s="18" t="s">
        <v>31</v>
      </c>
      <c r="E1683" s="26">
        <v>42562.38680555556</v>
      </c>
      <c r="F1683" s="19">
        <f>IFERROR(__xludf.DUMMYFUNCTION("IFERROR(TO_DATE(E1683), """")"),42562.38680555556)</f>
        <v>42562.38681</v>
      </c>
      <c r="G1683" s="20">
        <f t="shared" si="1"/>
        <v>9</v>
      </c>
      <c r="H1683" s="26">
        <v>42562.425</v>
      </c>
      <c r="I1683" s="19">
        <f>IFERROR(__xludf.DUMMYFUNCTION("IFERROR(TO_DATE(H1683), """")"),42562.425)</f>
        <v>42562.425</v>
      </c>
      <c r="J1683" s="19" t="s">
        <v>14</v>
      </c>
      <c r="K1683" s="22">
        <f t="shared" si="2"/>
        <v>0</v>
      </c>
    </row>
    <row r="1684">
      <c r="A1684" s="18">
        <v>651.0</v>
      </c>
      <c r="B1684" s="18" t="s">
        <v>30</v>
      </c>
      <c r="C1684" s="18">
        <v>178.0</v>
      </c>
      <c r="D1684" s="18" t="s">
        <v>31</v>
      </c>
      <c r="E1684" s="26">
        <v>42562.53125</v>
      </c>
      <c r="F1684" s="19">
        <f>IFERROR(__xludf.DUMMYFUNCTION("IFERROR(TO_DATE(E1684), """")"),42562.53125)</f>
        <v>42562.53125</v>
      </c>
      <c r="G1684" s="20">
        <f t="shared" si="1"/>
        <v>12</v>
      </c>
      <c r="H1684" s="26">
        <v>42562.55902777778</v>
      </c>
      <c r="I1684" s="19">
        <f>IFERROR(__xludf.DUMMYFUNCTION("IFERROR(TO_DATE(H1684), """")"),42562.55902777778)</f>
        <v>42562.55903</v>
      </c>
      <c r="J1684" s="19" t="s">
        <v>10</v>
      </c>
      <c r="K1684" s="22">
        <f t="shared" si="2"/>
        <v>0</v>
      </c>
    </row>
    <row r="1685">
      <c r="A1685" s="18">
        <v>742.0</v>
      </c>
      <c r="B1685" s="18" t="s">
        <v>32</v>
      </c>
      <c r="C1685" s="18">
        <v>178.0</v>
      </c>
      <c r="D1685" s="18" t="s">
        <v>31</v>
      </c>
      <c r="E1685" s="26">
        <v>42562.65138888889</v>
      </c>
      <c r="F1685" s="19">
        <f>IFERROR(__xludf.DUMMYFUNCTION("IFERROR(TO_DATE(E1685), """")"),42562.65138888889)</f>
        <v>42562.65139</v>
      </c>
      <c r="G1685" s="20">
        <f t="shared" si="1"/>
        <v>15</v>
      </c>
      <c r="H1685" s="26">
        <v>42562.68402777778</v>
      </c>
      <c r="I1685" s="19">
        <f>IFERROR(__xludf.DUMMYFUNCTION("IFERROR(TO_DATE(H1685), """")"),42562.68402777778)</f>
        <v>42562.68403</v>
      </c>
      <c r="J1685" s="19" t="s">
        <v>10</v>
      </c>
      <c r="K1685" s="22">
        <f t="shared" si="2"/>
        <v>0</v>
      </c>
    </row>
    <row r="1686">
      <c r="A1686" s="18">
        <v>828.0</v>
      </c>
      <c r="B1686" s="18" t="s">
        <v>30</v>
      </c>
      <c r="C1686" s="18">
        <v>178.0</v>
      </c>
      <c r="D1686" s="18" t="s">
        <v>31</v>
      </c>
      <c r="E1686" s="26">
        <v>42562.73263888889</v>
      </c>
      <c r="F1686" s="19">
        <f>IFERROR(__xludf.DUMMYFUNCTION("IFERROR(TO_DATE(E1686), """")"),42562.73263888889)</f>
        <v>42562.73264</v>
      </c>
      <c r="G1686" s="20">
        <f t="shared" si="1"/>
        <v>17</v>
      </c>
      <c r="H1686" s="26">
        <v>42562.75486111111</v>
      </c>
      <c r="I1686" s="19">
        <f>IFERROR(__xludf.DUMMYFUNCTION("IFERROR(TO_DATE(H1686), """")"),42562.75486111111)</f>
        <v>42562.75486</v>
      </c>
      <c r="J1686" s="19" t="s">
        <v>12</v>
      </c>
      <c r="K1686" s="22">
        <f t="shared" si="2"/>
        <v>0</v>
      </c>
    </row>
    <row r="1687">
      <c r="A1687" s="18">
        <v>1701.0</v>
      </c>
      <c r="B1687" s="18" t="s">
        <v>32</v>
      </c>
      <c r="C1687" s="18">
        <v>178.0</v>
      </c>
      <c r="D1687" s="18" t="s">
        <v>31</v>
      </c>
      <c r="E1687" s="26">
        <v>42563.33194444444</v>
      </c>
      <c r="F1687" s="19">
        <f>IFERROR(__xludf.DUMMYFUNCTION("IFERROR(TO_DATE(E1687), """")"),42563.33194444444)</f>
        <v>42563.33194</v>
      </c>
      <c r="G1687" s="20">
        <f t="shared" si="1"/>
        <v>7</v>
      </c>
      <c r="H1687" s="26">
        <v>42563.36597222222</v>
      </c>
      <c r="I1687" s="19">
        <f>IFERROR(__xludf.DUMMYFUNCTION("IFERROR(TO_DATE(H1687), """")"),42563.36597222222)</f>
        <v>42563.36597</v>
      </c>
      <c r="J1687" s="19" t="s">
        <v>11</v>
      </c>
      <c r="K1687" s="22">
        <f t="shared" si="2"/>
        <v>0</v>
      </c>
    </row>
    <row r="1688">
      <c r="A1688" s="18">
        <v>1985.0</v>
      </c>
      <c r="B1688" s="18" t="s">
        <v>32</v>
      </c>
      <c r="C1688" s="18">
        <v>178.0</v>
      </c>
      <c r="D1688" s="18" t="s">
        <v>31</v>
      </c>
      <c r="E1688" s="26">
        <v>42563.51666666667</v>
      </c>
      <c r="F1688" s="19">
        <f>IFERROR(__xludf.DUMMYFUNCTION("IFERROR(TO_DATE(E1688), """")"),42563.51666666667)</f>
        <v>42563.51667</v>
      </c>
      <c r="G1688" s="20">
        <f t="shared" si="1"/>
        <v>12</v>
      </c>
      <c r="H1688" s="26">
        <v>42563.56180555555</v>
      </c>
      <c r="I1688" s="19">
        <f>IFERROR(__xludf.DUMMYFUNCTION("IFERROR(TO_DATE(H1688), """")"),42563.56180555555)</f>
        <v>42563.56181</v>
      </c>
      <c r="J1688" s="19" t="s">
        <v>10</v>
      </c>
      <c r="K1688" s="22">
        <f t="shared" si="2"/>
        <v>0</v>
      </c>
    </row>
    <row r="1689">
      <c r="A1689" s="18">
        <v>2277.0</v>
      </c>
      <c r="B1689" s="18" t="s">
        <v>32</v>
      </c>
      <c r="C1689" s="18">
        <v>178.0</v>
      </c>
      <c r="D1689" s="18" t="s">
        <v>31</v>
      </c>
      <c r="E1689" s="26">
        <v>42563.777083333334</v>
      </c>
      <c r="F1689" s="19">
        <f>IFERROR(__xludf.DUMMYFUNCTION("IFERROR(TO_DATE(E1689), """")"),42563.777083333334)</f>
        <v>42563.77708</v>
      </c>
      <c r="G1689" s="20">
        <f t="shared" si="1"/>
        <v>18</v>
      </c>
      <c r="H1689" s="26">
        <v>42563.81527777778</v>
      </c>
      <c r="I1689" s="19">
        <f>IFERROR(__xludf.DUMMYFUNCTION("IFERROR(TO_DATE(H1689), """")"),42563.81527777778)</f>
        <v>42563.81528</v>
      </c>
      <c r="J1689" s="19" t="s">
        <v>12</v>
      </c>
      <c r="K1689" s="22">
        <f t="shared" si="2"/>
        <v>0</v>
      </c>
    </row>
    <row r="1690">
      <c r="A1690" s="18">
        <v>3108.0</v>
      </c>
      <c r="B1690" s="18" t="s">
        <v>30</v>
      </c>
      <c r="C1690" s="18">
        <v>178.0</v>
      </c>
      <c r="D1690" s="18" t="s">
        <v>31</v>
      </c>
      <c r="E1690" s="27">
        <v>42564.35089120371</v>
      </c>
      <c r="F1690" s="19">
        <f>IFERROR(__xludf.DUMMYFUNCTION("IFERROR(TO_DATE(E1690), """")"),42564.35089120371)</f>
        <v>42564.35089</v>
      </c>
      <c r="G1690" s="20">
        <f t="shared" si="1"/>
        <v>8</v>
      </c>
      <c r="H1690" s="27">
        <v>42564.39959490741</v>
      </c>
      <c r="I1690" s="19">
        <f>IFERROR(__xludf.DUMMYFUNCTION("IFERROR(TO_DATE(H1690), """")"),42564.39959490741)</f>
        <v>42564.39959</v>
      </c>
      <c r="J1690" s="19" t="s">
        <v>14</v>
      </c>
      <c r="K1690" s="22">
        <f t="shared" si="2"/>
        <v>0</v>
      </c>
    </row>
    <row r="1691">
      <c r="A1691" s="18">
        <v>3880.0</v>
      </c>
      <c r="B1691" s="18" t="s">
        <v>30</v>
      </c>
      <c r="C1691" s="18">
        <v>178.0</v>
      </c>
      <c r="D1691" s="18" t="s">
        <v>31</v>
      </c>
      <c r="E1691" s="27">
        <v>42564.91260416667</v>
      </c>
      <c r="F1691" s="19">
        <f>IFERROR(__xludf.DUMMYFUNCTION("IFERROR(TO_DATE(E1691), """")"),42564.91260416667)</f>
        <v>42564.9126</v>
      </c>
      <c r="G1691" s="20">
        <f t="shared" si="1"/>
        <v>21</v>
      </c>
      <c r="H1691" s="27">
        <v>42564.94163194444</v>
      </c>
      <c r="I1691" s="19">
        <f>IFERROR(__xludf.DUMMYFUNCTION("IFERROR(TO_DATE(H1691), """")"),42564.94163194444)</f>
        <v>42564.94163</v>
      </c>
      <c r="J1691" s="19" t="s">
        <v>13</v>
      </c>
      <c r="K1691" s="22">
        <f t="shared" si="2"/>
        <v>0</v>
      </c>
    </row>
    <row r="1692">
      <c r="A1692" s="18">
        <v>4252.0</v>
      </c>
      <c r="B1692" s="18" t="s">
        <v>32</v>
      </c>
      <c r="C1692" s="18">
        <v>178.0</v>
      </c>
      <c r="D1692" s="18" t="s">
        <v>31</v>
      </c>
      <c r="E1692" s="27">
        <v>42565.25363425926</v>
      </c>
      <c r="F1692" s="19">
        <f>IFERROR(__xludf.DUMMYFUNCTION("IFERROR(TO_DATE(E1692), """")"),42565.25363425926)</f>
        <v>42565.25363</v>
      </c>
      <c r="G1692" s="20">
        <f t="shared" si="1"/>
        <v>6</v>
      </c>
      <c r="H1692" s="27">
        <v>42565.282372685186</v>
      </c>
      <c r="I1692" s="19">
        <f>IFERROR(__xludf.DUMMYFUNCTION("IFERROR(TO_DATE(H1692), """")"),42565.282372685186)</f>
        <v>42565.28237</v>
      </c>
      <c r="J1692" s="19" t="s">
        <v>11</v>
      </c>
      <c r="K1692" s="22">
        <f t="shared" si="2"/>
        <v>0</v>
      </c>
    </row>
    <row r="1693">
      <c r="A1693" s="18">
        <v>4646.0</v>
      </c>
      <c r="B1693" s="18" t="s">
        <v>30</v>
      </c>
      <c r="C1693" s="18">
        <v>178.0</v>
      </c>
      <c r="D1693" s="18" t="s">
        <v>31</v>
      </c>
      <c r="E1693" s="27">
        <v>42565.492372685185</v>
      </c>
      <c r="F1693" s="19">
        <f>IFERROR(__xludf.DUMMYFUNCTION("IFERROR(TO_DATE(E1693), """")"),42565.492372685185)</f>
        <v>42565.49237</v>
      </c>
      <c r="G1693" s="20">
        <f t="shared" si="1"/>
        <v>11</v>
      </c>
      <c r="H1693" s="27">
        <v>42565.53884259259</v>
      </c>
      <c r="I1693" s="19">
        <f>IFERROR(__xludf.DUMMYFUNCTION("IFERROR(TO_DATE(H1693), """")"),42565.53884259259)</f>
        <v>42565.53884</v>
      </c>
      <c r="J1693" s="19" t="s">
        <v>14</v>
      </c>
      <c r="K1693" s="22">
        <f t="shared" si="2"/>
        <v>0</v>
      </c>
    </row>
    <row r="1694">
      <c r="A1694" s="18">
        <v>5560.0</v>
      </c>
      <c r="B1694" s="18" t="s">
        <v>30</v>
      </c>
      <c r="C1694" s="18">
        <v>178.0</v>
      </c>
      <c r="D1694" s="18" t="s">
        <v>31</v>
      </c>
      <c r="E1694" s="27">
        <v>42566.23315972222</v>
      </c>
      <c r="F1694" s="19">
        <f>IFERROR(__xludf.DUMMYFUNCTION("IFERROR(TO_DATE(E1694), """")"),42566.23315972222)</f>
        <v>42566.23316</v>
      </c>
      <c r="G1694" s="20">
        <f t="shared" si="1"/>
        <v>5</v>
      </c>
      <c r="H1694" s="27">
        <v>42566.263703703706</v>
      </c>
      <c r="I1694" s="19">
        <f>IFERROR(__xludf.DUMMYFUNCTION("IFERROR(TO_DATE(H1694), """")"),42566.263703703706)</f>
        <v>42566.2637</v>
      </c>
      <c r="J1694" s="19" t="s">
        <v>11</v>
      </c>
      <c r="K1694" s="22">
        <f t="shared" si="2"/>
        <v>0</v>
      </c>
    </row>
    <row r="1695">
      <c r="A1695" s="18">
        <v>483.0</v>
      </c>
      <c r="B1695" s="18" t="s">
        <v>32</v>
      </c>
      <c r="C1695" s="18">
        <v>179.0</v>
      </c>
      <c r="D1695" s="18" t="s">
        <v>31</v>
      </c>
      <c r="E1695" s="26">
        <v>42562.393055555556</v>
      </c>
      <c r="F1695" s="19">
        <f>IFERROR(__xludf.DUMMYFUNCTION("IFERROR(TO_DATE(E1695), """")"),42562.393055555556)</f>
        <v>42562.39306</v>
      </c>
      <c r="G1695" s="20">
        <f t="shared" si="1"/>
        <v>9</v>
      </c>
      <c r="H1695" s="26">
        <v>42562.419444444444</v>
      </c>
      <c r="I1695" s="19">
        <f>IFERROR(__xludf.DUMMYFUNCTION("IFERROR(TO_DATE(H1695), """")"),42562.419444444444)</f>
        <v>42562.41944</v>
      </c>
      <c r="J1695" s="19" t="s">
        <v>14</v>
      </c>
      <c r="K1695" s="22">
        <f t="shared" si="2"/>
        <v>0</v>
      </c>
    </row>
    <row r="1696">
      <c r="A1696" s="18">
        <v>628.0</v>
      </c>
      <c r="B1696" s="18" t="s">
        <v>30</v>
      </c>
      <c r="C1696" s="18">
        <v>179.0</v>
      </c>
      <c r="D1696" s="18" t="s">
        <v>31</v>
      </c>
      <c r="E1696" s="26">
        <v>42562.513194444444</v>
      </c>
      <c r="F1696" s="19">
        <f>IFERROR(__xludf.DUMMYFUNCTION("IFERROR(TO_DATE(E1696), """")"),42562.513194444444)</f>
        <v>42562.51319</v>
      </c>
      <c r="G1696" s="20">
        <f t="shared" si="1"/>
        <v>12</v>
      </c>
      <c r="H1696" s="26">
        <v>42562.541666666664</v>
      </c>
      <c r="I1696" s="19">
        <f>IFERROR(__xludf.DUMMYFUNCTION("IFERROR(TO_DATE(H1696), """")"),42562.541666666664)</f>
        <v>42562.54167</v>
      </c>
      <c r="J1696" s="19" t="s">
        <v>10</v>
      </c>
      <c r="K1696" s="22">
        <f t="shared" si="2"/>
        <v>0</v>
      </c>
    </row>
    <row r="1697">
      <c r="A1697" s="18">
        <v>2285.0</v>
      </c>
      <c r="B1697" s="18" t="s">
        <v>32</v>
      </c>
      <c r="C1697" s="18">
        <v>179.0</v>
      </c>
      <c r="D1697" s="18" t="s">
        <v>31</v>
      </c>
      <c r="E1697" s="26">
        <v>42563.77361111111</v>
      </c>
      <c r="F1697" s="19">
        <f>IFERROR(__xludf.DUMMYFUNCTION("IFERROR(TO_DATE(E1697), """")"),42563.77361111111)</f>
        <v>42563.77361</v>
      </c>
      <c r="G1697" s="20">
        <f t="shared" si="1"/>
        <v>18</v>
      </c>
      <c r="H1697" s="26">
        <v>42563.80138888889</v>
      </c>
      <c r="I1697" s="19">
        <f>IFERROR(__xludf.DUMMYFUNCTION("IFERROR(TO_DATE(H1697), """")"),42563.80138888889)</f>
        <v>42563.80139</v>
      </c>
      <c r="J1697" s="19" t="s">
        <v>12</v>
      </c>
      <c r="K1697" s="22">
        <f t="shared" si="2"/>
        <v>0</v>
      </c>
    </row>
    <row r="1698">
      <c r="A1698" s="18">
        <v>4024.0</v>
      </c>
      <c r="B1698" s="18" t="s">
        <v>30</v>
      </c>
      <c r="C1698" s="18">
        <v>179.0</v>
      </c>
      <c r="D1698" s="18" t="s">
        <v>31</v>
      </c>
      <c r="E1698" s="27">
        <v>42564.00456018518</v>
      </c>
      <c r="F1698" s="19">
        <f>IFERROR(__xludf.DUMMYFUNCTION("IFERROR(TO_DATE(E1698), """")"),42564.00456018518)</f>
        <v>42564.00456</v>
      </c>
      <c r="G1698" s="20">
        <f t="shared" si="1"/>
        <v>0</v>
      </c>
      <c r="H1698" s="27">
        <v>42564.02940972222</v>
      </c>
      <c r="I1698" s="19">
        <f>IFERROR(__xludf.DUMMYFUNCTION("IFERROR(TO_DATE(H1698), """")"),42564.02940972222)</f>
        <v>42564.02941</v>
      </c>
      <c r="J1698" s="19" t="s">
        <v>15</v>
      </c>
      <c r="K1698" s="22">
        <f t="shared" si="2"/>
        <v>0</v>
      </c>
    </row>
    <row r="1699">
      <c r="A1699" s="18">
        <v>2952.0</v>
      </c>
      <c r="B1699" s="18" t="s">
        <v>32</v>
      </c>
      <c r="C1699" s="18">
        <v>179.0</v>
      </c>
      <c r="D1699" s="18" t="s">
        <v>31</v>
      </c>
      <c r="E1699" s="27">
        <v>42564.2771875</v>
      </c>
      <c r="F1699" s="19">
        <f>IFERROR(__xludf.DUMMYFUNCTION("IFERROR(TO_DATE(E1699), """")"),42564.2771875)</f>
        <v>42564.27719</v>
      </c>
      <c r="G1699" s="20">
        <f t="shared" si="1"/>
        <v>6</v>
      </c>
      <c r="H1699" s="27">
        <v>42564.330555555556</v>
      </c>
      <c r="I1699" s="19">
        <f>IFERROR(__xludf.DUMMYFUNCTION("IFERROR(TO_DATE(H1699), """")"),42564.330555555556)</f>
        <v>42564.33056</v>
      </c>
      <c r="J1699" s="19" t="s">
        <v>11</v>
      </c>
      <c r="K1699" s="22">
        <f t="shared" si="2"/>
        <v>0</v>
      </c>
    </row>
    <row r="1700">
      <c r="A1700" s="18">
        <v>4631.0</v>
      </c>
      <c r="B1700" s="18" t="s">
        <v>30</v>
      </c>
      <c r="C1700" s="18">
        <v>179.0</v>
      </c>
      <c r="D1700" s="18" t="s">
        <v>31</v>
      </c>
      <c r="E1700" s="27">
        <v>42565.47010416666</v>
      </c>
      <c r="F1700" s="19">
        <f>IFERROR(__xludf.DUMMYFUNCTION("IFERROR(TO_DATE(E1700), """")"),42565.47010416666)</f>
        <v>42565.4701</v>
      </c>
      <c r="G1700" s="20">
        <f t="shared" si="1"/>
        <v>11</v>
      </c>
      <c r="H1700" s="27">
        <v>42565.51704861111</v>
      </c>
      <c r="I1700" s="19">
        <f>IFERROR(__xludf.DUMMYFUNCTION("IFERROR(TO_DATE(H1700), """")"),42565.51704861111)</f>
        <v>42565.51705</v>
      </c>
      <c r="J1700" s="19" t="s">
        <v>14</v>
      </c>
      <c r="K1700" s="22">
        <f t="shared" si="2"/>
        <v>0</v>
      </c>
    </row>
    <row r="1701">
      <c r="A1701" s="18">
        <v>5200.0</v>
      </c>
      <c r="B1701" s="18" t="s">
        <v>30</v>
      </c>
      <c r="C1701" s="18">
        <v>179.0</v>
      </c>
      <c r="D1701" s="18" t="s">
        <v>31</v>
      </c>
      <c r="E1701" s="27">
        <v>42565.86704861111</v>
      </c>
      <c r="F1701" s="19">
        <f>IFERROR(__xludf.DUMMYFUNCTION("IFERROR(TO_DATE(E1701), """")"),42565.86704861111)</f>
        <v>42565.86705</v>
      </c>
      <c r="G1701" s="20">
        <f t="shared" si="1"/>
        <v>20</v>
      </c>
      <c r="H1701" s="27">
        <v>42565.90158564815</v>
      </c>
      <c r="I1701" s="19">
        <f>IFERROR(__xludf.DUMMYFUNCTION("IFERROR(TO_DATE(H1701), """")"),42565.90158564815)</f>
        <v>42565.90159</v>
      </c>
      <c r="J1701" s="19" t="s">
        <v>13</v>
      </c>
      <c r="K1701" s="22">
        <f t="shared" si="2"/>
        <v>0</v>
      </c>
    </row>
    <row r="1702">
      <c r="A1702" s="18">
        <v>5711.0</v>
      </c>
      <c r="B1702" s="18" t="s">
        <v>32</v>
      </c>
      <c r="C1702" s="18">
        <v>179.0</v>
      </c>
      <c r="D1702" s="18" t="s">
        <v>31</v>
      </c>
      <c r="E1702" s="27">
        <v>42566.32</v>
      </c>
      <c r="F1702" s="19">
        <f>IFERROR(__xludf.DUMMYFUNCTION("IFERROR(TO_DATE(E1702), """")"),42566.32)</f>
        <v>42566.32</v>
      </c>
      <c r="G1702" s="20">
        <f t="shared" si="1"/>
        <v>7</v>
      </c>
      <c r="H1702" s="27">
        <v>42566.35689814815</v>
      </c>
      <c r="I1702" s="19">
        <f>IFERROR(__xludf.DUMMYFUNCTION("IFERROR(TO_DATE(H1702), """")"),42566.35689814815)</f>
        <v>42566.3569</v>
      </c>
      <c r="J1702" s="19" t="s">
        <v>11</v>
      </c>
      <c r="K1702" s="22">
        <f t="shared" si="2"/>
        <v>0</v>
      </c>
    </row>
    <row r="1703">
      <c r="A1703" s="18">
        <v>6399.0</v>
      </c>
      <c r="B1703" s="18" t="s">
        <v>30</v>
      </c>
      <c r="C1703" s="18">
        <v>179.0</v>
      </c>
      <c r="D1703" s="18" t="s">
        <v>31</v>
      </c>
      <c r="E1703" s="27">
        <v>42566.80888888889</v>
      </c>
      <c r="F1703" s="19">
        <f>IFERROR(__xludf.DUMMYFUNCTION("IFERROR(TO_DATE(E1703), """")"),42566.80888888889)</f>
        <v>42566.80889</v>
      </c>
      <c r="G1703" s="20">
        <f t="shared" si="1"/>
        <v>19</v>
      </c>
      <c r="H1703" s="27">
        <v>42566.834699074076</v>
      </c>
      <c r="I1703" s="19">
        <f>IFERROR(__xludf.DUMMYFUNCTION("IFERROR(TO_DATE(H1703), """")"),42566.834699074076)</f>
        <v>42566.8347</v>
      </c>
      <c r="J1703" s="19" t="s">
        <v>12</v>
      </c>
      <c r="K1703" s="22">
        <f t="shared" si="2"/>
        <v>0</v>
      </c>
    </row>
    <row r="1704">
      <c r="A1704" s="18">
        <v>6453.0</v>
      </c>
      <c r="B1704" s="18" t="s">
        <v>32</v>
      </c>
      <c r="C1704" s="18">
        <v>179.0</v>
      </c>
      <c r="D1704" s="18" t="s">
        <v>31</v>
      </c>
      <c r="E1704" s="27">
        <v>42566.83770833333</v>
      </c>
      <c r="F1704" s="19">
        <f>IFERROR(__xludf.DUMMYFUNCTION("IFERROR(TO_DATE(E1704), """")"),42566.83770833333)</f>
        <v>42566.83771</v>
      </c>
      <c r="G1704" s="20">
        <f t="shared" si="1"/>
        <v>20</v>
      </c>
      <c r="H1704" s="27">
        <v>42566.87650462963</v>
      </c>
      <c r="I1704" s="19">
        <f>IFERROR(__xludf.DUMMYFUNCTION("IFERROR(TO_DATE(H1704), """")"),42566.87650462963)</f>
        <v>42566.8765</v>
      </c>
      <c r="J1704" s="19" t="s">
        <v>13</v>
      </c>
      <c r="K1704" s="22">
        <f t="shared" si="2"/>
        <v>0</v>
      </c>
    </row>
    <row r="1705">
      <c r="A1705" s="18">
        <v>788.0</v>
      </c>
      <c r="B1705" s="18" t="s">
        <v>32</v>
      </c>
      <c r="C1705" s="18">
        <v>180.0</v>
      </c>
      <c r="D1705" s="18" t="s">
        <v>31</v>
      </c>
      <c r="E1705" s="26">
        <v>42562.70347222222</v>
      </c>
      <c r="F1705" s="19">
        <f>IFERROR(__xludf.DUMMYFUNCTION("IFERROR(TO_DATE(E1705), """")"),42562.70347222222)</f>
        <v>42562.70347</v>
      </c>
      <c r="G1705" s="20">
        <f t="shared" si="1"/>
        <v>16</v>
      </c>
      <c r="H1705" s="26">
        <v>42562.745833333334</v>
      </c>
      <c r="I1705" s="19">
        <f>IFERROR(__xludf.DUMMYFUNCTION("IFERROR(TO_DATE(H1705), """")"),42562.745833333334)</f>
        <v>42562.74583</v>
      </c>
      <c r="J1705" s="19" t="s">
        <v>12</v>
      </c>
      <c r="K1705" s="22">
        <f t="shared" si="2"/>
        <v>0</v>
      </c>
    </row>
    <row r="1706">
      <c r="A1706" s="18">
        <v>1550.0</v>
      </c>
      <c r="B1706" s="18" t="s">
        <v>30</v>
      </c>
      <c r="C1706" s="18">
        <v>180.0</v>
      </c>
      <c r="D1706" s="18" t="s">
        <v>31</v>
      </c>
      <c r="E1706" s="26">
        <v>42563.25555555556</v>
      </c>
      <c r="F1706" s="19">
        <f>IFERROR(__xludf.DUMMYFUNCTION("IFERROR(TO_DATE(E1706), """")"),42563.25555555556)</f>
        <v>42563.25556</v>
      </c>
      <c r="G1706" s="20">
        <f t="shared" si="1"/>
        <v>6</v>
      </c>
      <c r="H1706" s="26">
        <v>42563.30138888889</v>
      </c>
      <c r="I1706" s="19">
        <f>IFERROR(__xludf.DUMMYFUNCTION("IFERROR(TO_DATE(H1706), """")"),42563.30138888889)</f>
        <v>42563.30139</v>
      </c>
      <c r="J1706" s="19" t="s">
        <v>11</v>
      </c>
      <c r="K1706" s="22">
        <f t="shared" si="2"/>
        <v>0</v>
      </c>
    </row>
    <row r="1707">
      <c r="A1707" s="18">
        <v>2069.0</v>
      </c>
      <c r="B1707" s="18" t="s">
        <v>30</v>
      </c>
      <c r="C1707" s="18">
        <v>180.0</v>
      </c>
      <c r="D1707" s="18" t="s">
        <v>31</v>
      </c>
      <c r="E1707" s="26">
        <v>42563.63888888889</v>
      </c>
      <c r="F1707" s="19">
        <f>IFERROR(__xludf.DUMMYFUNCTION("IFERROR(TO_DATE(E1707), """")"),42563.63888888889)</f>
        <v>42563.63889</v>
      </c>
      <c r="G1707" s="20">
        <f t="shared" si="1"/>
        <v>15</v>
      </c>
      <c r="H1707" s="26">
        <v>42563.663194444445</v>
      </c>
      <c r="I1707" s="19">
        <f>IFERROR(__xludf.DUMMYFUNCTION("IFERROR(TO_DATE(H1707), """")"),42563.663194444445)</f>
        <v>42563.66319</v>
      </c>
      <c r="J1707" s="19" t="s">
        <v>10</v>
      </c>
      <c r="K1707" s="22">
        <f t="shared" si="2"/>
        <v>0</v>
      </c>
    </row>
    <row r="1708">
      <c r="A1708" s="18">
        <v>2593.0</v>
      </c>
      <c r="B1708" s="18" t="s">
        <v>32</v>
      </c>
      <c r="C1708" s="18">
        <v>180.0</v>
      </c>
      <c r="D1708" s="18" t="s">
        <v>31</v>
      </c>
      <c r="E1708" s="26">
        <v>42563.904861111114</v>
      </c>
      <c r="F1708" s="19">
        <f>IFERROR(__xludf.DUMMYFUNCTION("IFERROR(TO_DATE(E1708), """")"),42563.904861111114)</f>
        <v>42563.90486</v>
      </c>
      <c r="G1708" s="20">
        <f t="shared" si="1"/>
        <v>21</v>
      </c>
      <c r="H1708" s="26">
        <v>42563.94097222222</v>
      </c>
      <c r="I1708" s="19">
        <f>IFERROR(__xludf.DUMMYFUNCTION("IFERROR(TO_DATE(H1708), """")"),42563.94097222222)</f>
        <v>42563.94097</v>
      </c>
      <c r="J1708" s="19" t="s">
        <v>13</v>
      </c>
      <c r="K1708" s="22">
        <f t="shared" si="2"/>
        <v>0</v>
      </c>
    </row>
    <row r="1709">
      <c r="A1709" s="18">
        <v>2943.0</v>
      </c>
      <c r="B1709" s="18" t="s">
        <v>32</v>
      </c>
      <c r="C1709" s="18">
        <v>180.0</v>
      </c>
      <c r="D1709" s="18" t="s">
        <v>31</v>
      </c>
      <c r="E1709" s="27">
        <v>42564.27851851852</v>
      </c>
      <c r="F1709" s="19">
        <f>IFERROR(__xludf.DUMMYFUNCTION("IFERROR(TO_DATE(E1709), """")"),42564.27851851852)</f>
        <v>42564.27852</v>
      </c>
      <c r="G1709" s="20">
        <f t="shared" si="1"/>
        <v>6</v>
      </c>
      <c r="H1709" s="27">
        <v>42564.30268518518</v>
      </c>
      <c r="I1709" s="19">
        <f>IFERROR(__xludf.DUMMYFUNCTION("IFERROR(TO_DATE(H1709), """")"),42564.30268518518)</f>
        <v>42564.30269</v>
      </c>
      <c r="J1709" s="19" t="s">
        <v>11</v>
      </c>
      <c r="K1709" s="22">
        <f t="shared" si="2"/>
        <v>0</v>
      </c>
    </row>
    <row r="1710">
      <c r="A1710" s="18">
        <v>3649.0</v>
      </c>
      <c r="B1710" s="18" t="s">
        <v>32</v>
      </c>
      <c r="C1710" s="18">
        <v>180.0</v>
      </c>
      <c r="D1710" s="18" t="s">
        <v>31</v>
      </c>
      <c r="E1710" s="27">
        <v>42564.799675925926</v>
      </c>
      <c r="F1710" s="19">
        <f>IFERROR(__xludf.DUMMYFUNCTION("IFERROR(TO_DATE(E1710), """")"),42564.799675925926)</f>
        <v>42564.79968</v>
      </c>
      <c r="G1710" s="20">
        <f t="shared" si="1"/>
        <v>19</v>
      </c>
      <c r="H1710" s="27">
        <v>42564.848275462966</v>
      </c>
      <c r="I1710" s="19">
        <f>IFERROR(__xludf.DUMMYFUNCTION("IFERROR(TO_DATE(H1710), """")"),42564.848275462966)</f>
        <v>42564.84828</v>
      </c>
      <c r="J1710" s="19" t="s">
        <v>12</v>
      </c>
      <c r="K1710" s="22">
        <f t="shared" si="2"/>
        <v>0</v>
      </c>
    </row>
    <row r="1711">
      <c r="A1711" s="18">
        <v>3942.0</v>
      </c>
      <c r="B1711" s="18" t="s">
        <v>30</v>
      </c>
      <c r="C1711" s="18">
        <v>180.0</v>
      </c>
      <c r="D1711" s="18" t="s">
        <v>31</v>
      </c>
      <c r="E1711" s="27">
        <v>42564.941979166666</v>
      </c>
      <c r="F1711" s="19">
        <f>IFERROR(__xludf.DUMMYFUNCTION("IFERROR(TO_DATE(E1711), """")"),42564.941979166666)</f>
        <v>42564.94198</v>
      </c>
      <c r="G1711" s="20">
        <f t="shared" si="1"/>
        <v>22</v>
      </c>
      <c r="H1711" s="27">
        <v>42564.98774305556</v>
      </c>
      <c r="I1711" s="19">
        <f>IFERROR(__xludf.DUMMYFUNCTION("IFERROR(TO_DATE(H1711), """")"),42564.98774305556)</f>
        <v>42564.98774</v>
      </c>
      <c r="J1711" s="19" t="s">
        <v>13</v>
      </c>
      <c r="K1711" s="22">
        <f t="shared" si="2"/>
        <v>0</v>
      </c>
    </row>
    <row r="1712">
      <c r="A1712" s="18">
        <v>5512.0</v>
      </c>
      <c r="B1712" s="18" t="s">
        <v>30</v>
      </c>
      <c r="C1712" s="18">
        <v>180.0</v>
      </c>
      <c r="D1712" s="18" t="s">
        <v>31</v>
      </c>
      <c r="E1712" s="27">
        <v>42566.21556712963</v>
      </c>
      <c r="F1712" s="19">
        <f>IFERROR(__xludf.DUMMYFUNCTION("IFERROR(TO_DATE(E1712), """")"),42566.21556712963)</f>
        <v>42566.21557</v>
      </c>
      <c r="G1712" s="20">
        <f t="shared" si="1"/>
        <v>5</v>
      </c>
      <c r="H1712" s="27">
        <v>42566.23777777778</v>
      </c>
      <c r="I1712" s="19">
        <f>IFERROR(__xludf.DUMMYFUNCTION("IFERROR(TO_DATE(H1712), """")"),42566.23777777778)</f>
        <v>42566.23778</v>
      </c>
      <c r="J1712" s="19" t="s">
        <v>11</v>
      </c>
      <c r="K1712" s="22">
        <f t="shared" si="2"/>
        <v>0</v>
      </c>
    </row>
    <row r="1713">
      <c r="A1713" s="18">
        <v>5752.0</v>
      </c>
      <c r="B1713" s="18" t="s">
        <v>32</v>
      </c>
      <c r="C1713" s="18">
        <v>180.0</v>
      </c>
      <c r="D1713" s="18" t="s">
        <v>31</v>
      </c>
      <c r="E1713" s="27">
        <v>42566.33478009259</v>
      </c>
      <c r="F1713" s="19">
        <f>IFERROR(__xludf.DUMMYFUNCTION("IFERROR(TO_DATE(E1713), """")"),42566.33478009259)</f>
        <v>42566.33478</v>
      </c>
      <c r="G1713" s="20">
        <f t="shared" si="1"/>
        <v>8</v>
      </c>
      <c r="H1713" s="27">
        <v>42566.38155092593</v>
      </c>
      <c r="I1713" s="19">
        <f>IFERROR(__xludf.DUMMYFUNCTION("IFERROR(TO_DATE(H1713), """")"),42566.38155092593)</f>
        <v>42566.38155</v>
      </c>
      <c r="J1713" s="19" t="s">
        <v>14</v>
      </c>
      <c r="K1713" s="22">
        <f t="shared" si="2"/>
        <v>0</v>
      </c>
    </row>
    <row r="1714">
      <c r="A1714" s="18">
        <v>6362.0</v>
      </c>
      <c r="B1714" s="18" t="s">
        <v>32</v>
      </c>
      <c r="C1714" s="18">
        <v>180.0</v>
      </c>
      <c r="D1714" s="18" t="s">
        <v>31</v>
      </c>
      <c r="E1714" s="27">
        <v>42566.79555555555</v>
      </c>
      <c r="F1714" s="19">
        <f>IFERROR(__xludf.DUMMYFUNCTION("IFERROR(TO_DATE(E1714), """")"),42566.79555555555)</f>
        <v>42566.79556</v>
      </c>
      <c r="G1714" s="20">
        <f t="shared" si="1"/>
        <v>19</v>
      </c>
      <c r="H1714" s="27">
        <v>42566.82571759259</v>
      </c>
      <c r="I1714" s="19">
        <f>IFERROR(__xludf.DUMMYFUNCTION("IFERROR(TO_DATE(H1714), """")"),42566.82571759259)</f>
        <v>42566.82572</v>
      </c>
      <c r="J1714" s="19" t="s">
        <v>12</v>
      </c>
      <c r="K1714" s="22">
        <f t="shared" si="2"/>
        <v>0</v>
      </c>
    </row>
    <row r="1715">
      <c r="A1715" s="18">
        <v>1151.0</v>
      </c>
      <c r="B1715" s="18" t="s">
        <v>30</v>
      </c>
      <c r="C1715" s="18">
        <v>181.0</v>
      </c>
      <c r="D1715" s="18" t="s">
        <v>31</v>
      </c>
      <c r="E1715" s="26">
        <v>42562.86111111111</v>
      </c>
      <c r="F1715" s="19">
        <f>IFERROR(__xludf.DUMMYFUNCTION("IFERROR(TO_DATE(E1715), """")"),42562.86111111111)</f>
        <v>42562.86111</v>
      </c>
      <c r="G1715" s="20">
        <f t="shared" si="1"/>
        <v>20</v>
      </c>
      <c r="H1715" s="26">
        <v>42562.90138888889</v>
      </c>
      <c r="I1715" s="19">
        <f>IFERROR(__xludf.DUMMYFUNCTION("IFERROR(TO_DATE(H1715), """")"),42562.90138888889)</f>
        <v>42562.90139</v>
      </c>
      <c r="J1715" s="19" t="s">
        <v>13</v>
      </c>
      <c r="K1715" s="22">
        <f t="shared" si="2"/>
        <v>0</v>
      </c>
    </row>
    <row r="1716">
      <c r="A1716" s="18">
        <v>1812.0</v>
      </c>
      <c r="B1716" s="18" t="s">
        <v>30</v>
      </c>
      <c r="C1716" s="18">
        <v>181.0</v>
      </c>
      <c r="D1716" s="18" t="s">
        <v>31</v>
      </c>
      <c r="E1716" s="26">
        <v>42563.38611111111</v>
      </c>
      <c r="F1716" s="19">
        <f>IFERROR(__xludf.DUMMYFUNCTION("IFERROR(TO_DATE(E1716), """")"),42563.38611111111)</f>
        <v>42563.38611</v>
      </c>
      <c r="G1716" s="20">
        <f t="shared" si="1"/>
        <v>9</v>
      </c>
      <c r="H1716" s="26">
        <v>42563.42291666667</v>
      </c>
      <c r="I1716" s="19">
        <f>IFERROR(__xludf.DUMMYFUNCTION("IFERROR(TO_DATE(H1716), """")"),42563.42291666667)</f>
        <v>42563.42292</v>
      </c>
      <c r="J1716" s="19" t="s">
        <v>14</v>
      </c>
      <c r="K1716" s="22">
        <f t="shared" si="2"/>
        <v>0</v>
      </c>
    </row>
    <row r="1717">
      <c r="A1717" s="18">
        <v>1946.0</v>
      </c>
      <c r="B1717" s="18" t="s">
        <v>30</v>
      </c>
      <c r="C1717" s="18">
        <v>181.0</v>
      </c>
      <c r="D1717" s="18" t="s">
        <v>31</v>
      </c>
      <c r="E1717" s="26">
        <v>42563.47777777778</v>
      </c>
      <c r="F1717" s="19">
        <f>IFERROR(__xludf.DUMMYFUNCTION("IFERROR(TO_DATE(E1717), """")"),42563.47777777778)</f>
        <v>42563.47778</v>
      </c>
      <c r="G1717" s="20">
        <f t="shared" si="1"/>
        <v>11</v>
      </c>
      <c r="H1717" s="26">
        <v>42563.52222222222</v>
      </c>
      <c r="I1717" s="19">
        <f>IFERROR(__xludf.DUMMYFUNCTION("IFERROR(TO_DATE(H1717), """")"),42563.52222222222)</f>
        <v>42563.52222</v>
      </c>
      <c r="J1717" s="19" t="s">
        <v>14</v>
      </c>
      <c r="K1717" s="22">
        <f t="shared" si="2"/>
        <v>0</v>
      </c>
    </row>
    <row r="1718">
      <c r="A1718" s="18">
        <v>2646.0</v>
      </c>
      <c r="B1718" s="18" t="s">
        <v>32</v>
      </c>
      <c r="C1718" s="18">
        <v>181.0</v>
      </c>
      <c r="D1718" s="18" t="s">
        <v>31</v>
      </c>
      <c r="E1718" s="26">
        <v>42563.94861111111</v>
      </c>
      <c r="F1718" s="19">
        <f>IFERROR(__xludf.DUMMYFUNCTION("IFERROR(TO_DATE(E1718), """")"),42563.94861111111)</f>
        <v>42563.94861</v>
      </c>
      <c r="G1718" s="20">
        <f t="shared" si="1"/>
        <v>22</v>
      </c>
      <c r="H1718" s="26">
        <v>42563.989583333336</v>
      </c>
      <c r="I1718" s="19">
        <f>IFERROR(__xludf.DUMMYFUNCTION("IFERROR(TO_DATE(H1718), """")"),42563.989583333336)</f>
        <v>42563.98958</v>
      </c>
      <c r="J1718" s="19" t="s">
        <v>13</v>
      </c>
      <c r="K1718" s="22">
        <f t="shared" si="2"/>
        <v>0</v>
      </c>
    </row>
    <row r="1719">
      <c r="A1719" s="18">
        <v>3255.0</v>
      </c>
      <c r="B1719" s="18" t="s">
        <v>30</v>
      </c>
      <c r="C1719" s="18">
        <v>181.0</v>
      </c>
      <c r="D1719" s="18" t="s">
        <v>31</v>
      </c>
      <c r="E1719" s="27">
        <v>42564.42361111111</v>
      </c>
      <c r="F1719" s="19">
        <f>IFERROR(__xludf.DUMMYFUNCTION("IFERROR(TO_DATE(E1719), """")"),42564.42361111111)</f>
        <v>42564.42361</v>
      </c>
      <c r="G1719" s="20">
        <f t="shared" si="1"/>
        <v>10</v>
      </c>
      <c r="H1719" s="27">
        <v>42564.472905092596</v>
      </c>
      <c r="I1719" s="19">
        <f>IFERROR(__xludf.DUMMYFUNCTION("IFERROR(TO_DATE(H1719), """")"),42564.472905092596)</f>
        <v>42564.47291</v>
      </c>
      <c r="J1719" s="19" t="s">
        <v>14</v>
      </c>
      <c r="K1719" s="22">
        <f t="shared" si="2"/>
        <v>0</v>
      </c>
    </row>
    <row r="1720">
      <c r="A1720" s="18">
        <v>3431.0</v>
      </c>
      <c r="B1720" s="18" t="s">
        <v>30</v>
      </c>
      <c r="C1720" s="18">
        <v>181.0</v>
      </c>
      <c r="D1720" s="18" t="s">
        <v>31</v>
      </c>
      <c r="E1720" s="27">
        <v>42564.668900462966</v>
      </c>
      <c r="F1720" s="19">
        <f>IFERROR(__xludf.DUMMYFUNCTION("IFERROR(TO_DATE(E1720), """")"),42564.668900462966)</f>
        <v>42564.6689</v>
      </c>
      <c r="G1720" s="20">
        <f t="shared" si="1"/>
        <v>16</v>
      </c>
      <c r="H1720" s="27">
        <v>42564.69923611111</v>
      </c>
      <c r="I1720" s="19">
        <f>IFERROR(__xludf.DUMMYFUNCTION("IFERROR(TO_DATE(H1720), """")"),42564.69923611111)</f>
        <v>42564.69924</v>
      </c>
      <c r="J1720" s="19" t="s">
        <v>12</v>
      </c>
      <c r="K1720" s="22">
        <f t="shared" si="2"/>
        <v>0</v>
      </c>
    </row>
    <row r="1721">
      <c r="A1721" s="18">
        <v>3634.0</v>
      </c>
      <c r="B1721" s="18" t="s">
        <v>32</v>
      </c>
      <c r="C1721" s="18">
        <v>181.0</v>
      </c>
      <c r="D1721" s="18" t="s">
        <v>31</v>
      </c>
      <c r="E1721" s="27">
        <v>42564.792233796295</v>
      </c>
      <c r="F1721" s="19">
        <f>IFERROR(__xludf.DUMMYFUNCTION("IFERROR(TO_DATE(E1721), """")"),42564.792233796295)</f>
        <v>42564.79223</v>
      </c>
      <c r="G1721" s="20">
        <f t="shared" si="1"/>
        <v>19</v>
      </c>
      <c r="H1721" s="27">
        <v>42564.82938657407</v>
      </c>
      <c r="I1721" s="19">
        <f>IFERROR(__xludf.DUMMYFUNCTION("IFERROR(TO_DATE(H1721), """")"),42564.82938657407)</f>
        <v>42564.82939</v>
      </c>
      <c r="J1721" s="19" t="s">
        <v>12</v>
      </c>
      <c r="K1721" s="22">
        <f t="shared" si="2"/>
        <v>0</v>
      </c>
    </row>
    <row r="1722">
      <c r="A1722" s="18">
        <v>4592.0</v>
      </c>
      <c r="B1722" s="18" t="s">
        <v>32</v>
      </c>
      <c r="C1722" s="18">
        <v>181.0</v>
      </c>
      <c r="D1722" s="18" t="s">
        <v>31</v>
      </c>
      <c r="E1722" s="27">
        <v>42565.423101851855</v>
      </c>
      <c r="F1722" s="19">
        <f>IFERROR(__xludf.DUMMYFUNCTION("IFERROR(TO_DATE(E1722), """")"),42565.423101851855)</f>
        <v>42565.4231</v>
      </c>
      <c r="G1722" s="20">
        <f t="shared" si="1"/>
        <v>10</v>
      </c>
      <c r="H1722" s="27">
        <v>42565.44336805555</v>
      </c>
      <c r="I1722" s="19">
        <f>IFERROR(__xludf.DUMMYFUNCTION("IFERROR(TO_DATE(H1722), """")"),42565.44336805555)</f>
        <v>42565.44337</v>
      </c>
      <c r="J1722" s="19" t="s">
        <v>14</v>
      </c>
      <c r="K1722" s="22">
        <f t="shared" si="2"/>
        <v>0</v>
      </c>
    </row>
    <row r="1723">
      <c r="A1723" s="18">
        <v>5705.0</v>
      </c>
      <c r="B1723" s="18" t="s">
        <v>32</v>
      </c>
      <c r="C1723" s="18">
        <v>181.0</v>
      </c>
      <c r="D1723" s="18" t="s">
        <v>31</v>
      </c>
      <c r="E1723" s="27">
        <v>42566.314363425925</v>
      </c>
      <c r="F1723" s="19">
        <f>IFERROR(__xludf.DUMMYFUNCTION("IFERROR(TO_DATE(E1723), """")"),42566.314363425925)</f>
        <v>42566.31436</v>
      </c>
      <c r="G1723" s="20">
        <f t="shared" si="1"/>
        <v>7</v>
      </c>
      <c r="H1723" s="27">
        <v>42566.344618055555</v>
      </c>
      <c r="I1723" s="19">
        <f>IFERROR(__xludf.DUMMYFUNCTION("IFERROR(TO_DATE(H1723), """")"),42566.344618055555)</f>
        <v>42566.34462</v>
      </c>
      <c r="J1723" s="19" t="s">
        <v>11</v>
      </c>
      <c r="K1723" s="22">
        <f t="shared" si="2"/>
        <v>0</v>
      </c>
    </row>
    <row r="1724">
      <c r="A1724" s="18">
        <v>6056.0</v>
      </c>
      <c r="B1724" s="18" t="s">
        <v>30</v>
      </c>
      <c r="C1724" s="18">
        <v>181.0</v>
      </c>
      <c r="D1724" s="18" t="s">
        <v>31</v>
      </c>
      <c r="E1724" s="27">
        <v>42566.56662037037</v>
      </c>
      <c r="F1724" s="19">
        <f>IFERROR(__xludf.DUMMYFUNCTION("IFERROR(TO_DATE(E1724), """")"),42566.56662037037)</f>
        <v>42566.56662</v>
      </c>
      <c r="G1724" s="20">
        <f t="shared" si="1"/>
        <v>13</v>
      </c>
      <c r="H1724" s="27">
        <v>42566.58530092592</v>
      </c>
      <c r="I1724" s="19">
        <f>IFERROR(__xludf.DUMMYFUNCTION("IFERROR(TO_DATE(H1724), """")"),42566.58530092592)</f>
        <v>42566.5853</v>
      </c>
      <c r="J1724" s="19" t="s">
        <v>10</v>
      </c>
      <c r="K1724" s="22">
        <f t="shared" si="2"/>
        <v>0</v>
      </c>
    </row>
    <row r="1725">
      <c r="A1725" s="18">
        <v>325.0</v>
      </c>
      <c r="B1725" s="18" t="s">
        <v>32</v>
      </c>
      <c r="C1725" s="18">
        <v>182.0</v>
      </c>
      <c r="D1725" s="18" t="s">
        <v>31</v>
      </c>
      <c r="E1725" s="26">
        <v>42562.31527777778</v>
      </c>
      <c r="F1725" s="19">
        <f>IFERROR(__xludf.DUMMYFUNCTION("IFERROR(TO_DATE(E1725), """")"),42562.31527777778)</f>
        <v>42562.31528</v>
      </c>
      <c r="G1725" s="20">
        <f t="shared" si="1"/>
        <v>7</v>
      </c>
      <c r="H1725" s="26">
        <v>42562.36388888889</v>
      </c>
      <c r="I1725" s="19">
        <f>IFERROR(__xludf.DUMMYFUNCTION("IFERROR(TO_DATE(H1725), """")"),42562.36388888889)</f>
        <v>42562.36389</v>
      </c>
      <c r="J1725" s="19" t="s">
        <v>11</v>
      </c>
      <c r="K1725" s="22">
        <f t="shared" si="2"/>
        <v>0</v>
      </c>
    </row>
    <row r="1726">
      <c r="A1726" s="18">
        <v>1015.0</v>
      </c>
      <c r="B1726" s="18" t="s">
        <v>32</v>
      </c>
      <c r="C1726" s="18">
        <v>182.0</v>
      </c>
      <c r="D1726" s="18" t="s">
        <v>31</v>
      </c>
      <c r="E1726" s="26">
        <v>42562.802083333336</v>
      </c>
      <c r="F1726" s="19">
        <f>IFERROR(__xludf.DUMMYFUNCTION("IFERROR(TO_DATE(E1726), """")"),42562.802083333336)</f>
        <v>42562.80208</v>
      </c>
      <c r="G1726" s="20">
        <f t="shared" si="1"/>
        <v>19</v>
      </c>
      <c r="H1726" s="26">
        <v>42562.84097222222</v>
      </c>
      <c r="I1726" s="19">
        <f>IFERROR(__xludf.DUMMYFUNCTION("IFERROR(TO_DATE(H1726), """")"),42562.84097222222)</f>
        <v>42562.84097</v>
      </c>
      <c r="J1726" s="19" t="s">
        <v>12</v>
      </c>
      <c r="K1726" s="22">
        <f t="shared" si="2"/>
        <v>0</v>
      </c>
    </row>
    <row r="1727">
      <c r="A1727" s="18">
        <v>1308.0</v>
      </c>
      <c r="B1727" s="18" t="s">
        <v>32</v>
      </c>
      <c r="C1727" s="18">
        <v>182.0</v>
      </c>
      <c r="D1727" s="18" t="s">
        <v>31</v>
      </c>
      <c r="E1727" s="26">
        <v>42562.94513888889</v>
      </c>
      <c r="F1727" s="19">
        <f>IFERROR(__xludf.DUMMYFUNCTION("IFERROR(TO_DATE(E1727), """")"),42562.94513888889)</f>
        <v>42562.94514</v>
      </c>
      <c r="G1727" s="20">
        <f t="shared" si="1"/>
        <v>22</v>
      </c>
      <c r="H1727" s="26">
        <v>42562.995833333334</v>
      </c>
      <c r="I1727" s="19">
        <f>IFERROR(__xludf.DUMMYFUNCTION("IFERROR(TO_DATE(H1727), """")"),42562.995833333334)</f>
        <v>42562.99583</v>
      </c>
      <c r="J1727" s="19" t="s">
        <v>13</v>
      </c>
      <c r="K1727" s="22">
        <f t="shared" si="2"/>
        <v>0</v>
      </c>
    </row>
    <row r="1728">
      <c r="A1728" s="18">
        <v>1667.0</v>
      </c>
      <c r="B1728" s="18" t="s">
        <v>32</v>
      </c>
      <c r="C1728" s="18">
        <v>182.0</v>
      </c>
      <c r="D1728" s="18" t="s">
        <v>31</v>
      </c>
      <c r="E1728" s="26">
        <v>42563.32083333333</v>
      </c>
      <c r="F1728" s="19">
        <f>IFERROR(__xludf.DUMMYFUNCTION("IFERROR(TO_DATE(E1728), """")"),42563.32083333333)</f>
        <v>42563.32083</v>
      </c>
      <c r="G1728" s="20">
        <f t="shared" si="1"/>
        <v>7</v>
      </c>
      <c r="H1728" s="26">
        <v>42563.33541666667</v>
      </c>
      <c r="I1728" s="19">
        <f>IFERROR(__xludf.DUMMYFUNCTION("IFERROR(TO_DATE(H1728), """")"),42563.33541666667)</f>
        <v>42563.33542</v>
      </c>
      <c r="J1728" s="19" t="s">
        <v>11</v>
      </c>
      <c r="K1728" s="22">
        <f t="shared" si="2"/>
        <v>0</v>
      </c>
    </row>
    <row r="1729">
      <c r="A1729" s="18">
        <v>2436.0</v>
      </c>
      <c r="B1729" s="18" t="s">
        <v>30</v>
      </c>
      <c r="C1729" s="18">
        <v>182.0</v>
      </c>
      <c r="D1729" s="18" t="s">
        <v>31</v>
      </c>
      <c r="E1729" s="26">
        <v>42563.84375</v>
      </c>
      <c r="F1729" s="19">
        <f>IFERROR(__xludf.DUMMYFUNCTION("IFERROR(TO_DATE(E1729), """")"),42563.84375)</f>
        <v>42563.84375</v>
      </c>
      <c r="G1729" s="20">
        <f t="shared" si="1"/>
        <v>20</v>
      </c>
      <c r="H1729" s="26">
        <v>42563.865277777775</v>
      </c>
      <c r="I1729" s="19">
        <f>IFERROR(__xludf.DUMMYFUNCTION("IFERROR(TO_DATE(H1729), """")"),42563.865277777775)</f>
        <v>42563.86528</v>
      </c>
      <c r="J1729" s="19" t="s">
        <v>13</v>
      </c>
      <c r="K1729" s="22">
        <f t="shared" si="2"/>
        <v>0</v>
      </c>
    </row>
    <row r="1730">
      <c r="A1730" s="18">
        <v>2865.0</v>
      </c>
      <c r="B1730" s="18" t="s">
        <v>32</v>
      </c>
      <c r="C1730" s="18">
        <v>182.0</v>
      </c>
      <c r="D1730" s="18" t="s">
        <v>31</v>
      </c>
      <c r="E1730" s="27">
        <v>42564.23788194444</v>
      </c>
      <c r="F1730" s="19">
        <f>IFERROR(__xludf.DUMMYFUNCTION("IFERROR(TO_DATE(E1730), """")"),42564.23788194444)</f>
        <v>42564.23788</v>
      </c>
      <c r="G1730" s="20">
        <f t="shared" si="1"/>
        <v>5</v>
      </c>
      <c r="H1730" s="27">
        <v>42564.26802083333</v>
      </c>
      <c r="I1730" s="19">
        <f>IFERROR(__xludf.DUMMYFUNCTION("IFERROR(TO_DATE(H1730), """")"),42564.26802083333)</f>
        <v>42564.26802</v>
      </c>
      <c r="J1730" s="19" t="s">
        <v>11</v>
      </c>
      <c r="K1730" s="22">
        <f t="shared" si="2"/>
        <v>0</v>
      </c>
    </row>
    <row r="1731">
      <c r="A1731" s="18">
        <v>3397.0</v>
      </c>
      <c r="B1731" s="18" t="s">
        <v>32</v>
      </c>
      <c r="C1731" s="18">
        <v>182.0</v>
      </c>
      <c r="D1731" s="18" t="s">
        <v>31</v>
      </c>
      <c r="E1731" s="27">
        <v>42564.625023148146</v>
      </c>
      <c r="F1731" s="19">
        <f>IFERROR(__xludf.DUMMYFUNCTION("IFERROR(TO_DATE(E1731), """")"),42564.625023148146)</f>
        <v>42564.62502</v>
      </c>
      <c r="G1731" s="20">
        <f t="shared" si="1"/>
        <v>15</v>
      </c>
      <c r="H1731" s="27">
        <v>42564.665625</v>
      </c>
      <c r="I1731" s="19">
        <f>IFERROR(__xludf.DUMMYFUNCTION("IFERROR(TO_DATE(H1731), """")"),42564.665625)</f>
        <v>42564.66563</v>
      </c>
      <c r="J1731" s="19" t="s">
        <v>10</v>
      </c>
      <c r="K1731" s="22">
        <f t="shared" si="2"/>
        <v>0</v>
      </c>
    </row>
    <row r="1732">
      <c r="A1732" s="18">
        <v>4040.0</v>
      </c>
      <c r="B1732" s="18" t="s">
        <v>30</v>
      </c>
      <c r="C1732" s="18">
        <v>182.0</v>
      </c>
      <c r="D1732" s="18" t="s">
        <v>31</v>
      </c>
      <c r="E1732" s="27">
        <v>42565.02663194444</v>
      </c>
      <c r="F1732" s="19">
        <f>IFERROR(__xludf.DUMMYFUNCTION("IFERROR(TO_DATE(E1732), """")"),42565.02663194444)</f>
        <v>42565.02663</v>
      </c>
      <c r="G1732" s="20">
        <f t="shared" si="1"/>
        <v>0</v>
      </c>
      <c r="H1732" s="27">
        <v>42565.07644675926</v>
      </c>
      <c r="I1732" s="19">
        <f>IFERROR(__xludf.DUMMYFUNCTION("IFERROR(TO_DATE(H1732), """")"),42565.07644675926)</f>
        <v>42565.07645</v>
      </c>
      <c r="J1732" s="19" t="s">
        <v>15</v>
      </c>
      <c r="K1732" s="22">
        <f t="shared" si="2"/>
        <v>0</v>
      </c>
    </row>
    <row r="1733">
      <c r="A1733" s="18">
        <v>4094.0</v>
      </c>
      <c r="B1733" s="18" t="s">
        <v>32</v>
      </c>
      <c r="C1733" s="18">
        <v>182.0</v>
      </c>
      <c r="D1733" s="18" t="s">
        <v>31</v>
      </c>
      <c r="E1733" s="27">
        <v>42565.13144675926</v>
      </c>
      <c r="F1733" s="19">
        <f>IFERROR(__xludf.DUMMYFUNCTION("IFERROR(TO_DATE(E1733), """")"),42565.13144675926)</f>
        <v>42565.13145</v>
      </c>
      <c r="G1733" s="20">
        <f t="shared" si="1"/>
        <v>3</v>
      </c>
      <c r="H1733" s="27">
        <v>42565.15619212963</v>
      </c>
      <c r="I1733" s="19">
        <f>IFERROR(__xludf.DUMMYFUNCTION("IFERROR(TO_DATE(H1733), """")"),42565.15619212963)</f>
        <v>42565.15619</v>
      </c>
      <c r="J1733" s="19" t="s">
        <v>15</v>
      </c>
      <c r="K1733" s="22">
        <f t="shared" si="2"/>
        <v>0</v>
      </c>
    </row>
    <row r="1734">
      <c r="A1734" s="18">
        <v>4568.0</v>
      </c>
      <c r="B1734" s="18" t="s">
        <v>30</v>
      </c>
      <c r="C1734" s="18">
        <v>182.0</v>
      </c>
      <c r="D1734" s="18" t="s">
        <v>31</v>
      </c>
      <c r="E1734" s="27">
        <v>42565.410405092596</v>
      </c>
      <c r="F1734" s="19">
        <f>IFERROR(__xludf.DUMMYFUNCTION("IFERROR(TO_DATE(E1734), """")"),42565.410405092596)</f>
        <v>42565.41041</v>
      </c>
      <c r="G1734" s="20">
        <f t="shared" si="1"/>
        <v>9</v>
      </c>
      <c r="H1734" s="27">
        <v>42565.43230324074</v>
      </c>
      <c r="I1734" s="19">
        <f>IFERROR(__xludf.DUMMYFUNCTION("IFERROR(TO_DATE(H1734), """")"),42565.43230324074)</f>
        <v>42565.4323</v>
      </c>
      <c r="J1734" s="19" t="s">
        <v>14</v>
      </c>
      <c r="K1734" s="22">
        <f t="shared" si="2"/>
        <v>0</v>
      </c>
    </row>
    <row r="1735">
      <c r="A1735" s="18">
        <v>5105.0</v>
      </c>
      <c r="B1735" s="18" t="s">
        <v>32</v>
      </c>
      <c r="C1735" s="18">
        <v>182.0</v>
      </c>
      <c r="D1735" s="18" t="s">
        <v>31</v>
      </c>
      <c r="E1735" s="27">
        <v>42565.83329861111</v>
      </c>
      <c r="F1735" s="19">
        <f>IFERROR(__xludf.DUMMYFUNCTION("IFERROR(TO_DATE(E1735), """")"),42565.83329861111)</f>
        <v>42565.8333</v>
      </c>
      <c r="G1735" s="20">
        <f t="shared" si="1"/>
        <v>19</v>
      </c>
      <c r="H1735" s="27">
        <v>42565.859351851854</v>
      </c>
      <c r="I1735" s="19">
        <f>IFERROR(__xludf.DUMMYFUNCTION("IFERROR(TO_DATE(H1735), """")"),42565.859351851854)</f>
        <v>42565.85935</v>
      </c>
      <c r="J1735" s="19" t="s">
        <v>12</v>
      </c>
      <c r="K1735" s="22">
        <f t="shared" si="2"/>
        <v>0</v>
      </c>
    </row>
    <row r="1736">
      <c r="A1736" s="18">
        <v>573.0</v>
      </c>
      <c r="B1736" s="18" t="s">
        <v>30</v>
      </c>
      <c r="C1736" s="18">
        <v>183.0</v>
      </c>
      <c r="D1736" s="18" t="s">
        <v>31</v>
      </c>
      <c r="E1736" s="26">
        <v>42562.45625</v>
      </c>
      <c r="F1736" s="19">
        <f>IFERROR(__xludf.DUMMYFUNCTION("IFERROR(TO_DATE(E1736), """")"),42562.45625)</f>
        <v>42562.45625</v>
      </c>
      <c r="G1736" s="20">
        <f t="shared" si="1"/>
        <v>10</v>
      </c>
      <c r="H1736" s="26">
        <v>42562.479166666664</v>
      </c>
      <c r="I1736" s="19">
        <f>IFERROR(__xludf.DUMMYFUNCTION("IFERROR(TO_DATE(H1736), """")"),42562.479166666664)</f>
        <v>42562.47917</v>
      </c>
      <c r="J1736" s="19" t="s">
        <v>14</v>
      </c>
      <c r="K1736" s="22">
        <f t="shared" si="2"/>
        <v>0</v>
      </c>
    </row>
    <row r="1737">
      <c r="A1737" s="18">
        <v>789.0</v>
      </c>
      <c r="B1737" s="18" t="s">
        <v>32</v>
      </c>
      <c r="C1737" s="18">
        <v>183.0</v>
      </c>
      <c r="D1737" s="18" t="s">
        <v>31</v>
      </c>
      <c r="E1737" s="26">
        <v>42562.70416666667</v>
      </c>
      <c r="F1737" s="19">
        <f>IFERROR(__xludf.DUMMYFUNCTION("IFERROR(TO_DATE(E1737), """")"),42562.70416666667)</f>
        <v>42562.70417</v>
      </c>
      <c r="G1737" s="20">
        <f t="shared" si="1"/>
        <v>16</v>
      </c>
      <c r="H1737" s="26">
        <v>42562.73333333333</v>
      </c>
      <c r="I1737" s="19">
        <f>IFERROR(__xludf.DUMMYFUNCTION("IFERROR(TO_DATE(H1737), """")"),42562.73333333333)</f>
        <v>42562.73333</v>
      </c>
      <c r="J1737" s="19" t="s">
        <v>12</v>
      </c>
      <c r="K1737" s="22">
        <f t="shared" si="2"/>
        <v>0</v>
      </c>
    </row>
    <row r="1738">
      <c r="A1738" s="18">
        <v>1525.0</v>
      </c>
      <c r="B1738" s="18" t="s">
        <v>32</v>
      </c>
      <c r="C1738" s="18">
        <v>183.0</v>
      </c>
      <c r="D1738" s="18" t="s">
        <v>31</v>
      </c>
      <c r="E1738" s="26">
        <v>42563.24166666667</v>
      </c>
      <c r="F1738" s="19">
        <f>IFERROR(__xludf.DUMMYFUNCTION("IFERROR(TO_DATE(E1738), """")"),42563.24166666667)</f>
        <v>42563.24167</v>
      </c>
      <c r="G1738" s="20">
        <f t="shared" si="1"/>
        <v>5</v>
      </c>
      <c r="H1738" s="26">
        <v>42563.28194444445</v>
      </c>
      <c r="I1738" s="19">
        <f>IFERROR(__xludf.DUMMYFUNCTION("IFERROR(TO_DATE(H1738), """")"),42563.28194444445)</f>
        <v>42563.28194</v>
      </c>
      <c r="J1738" s="19" t="s">
        <v>11</v>
      </c>
      <c r="K1738" s="22">
        <f t="shared" si="2"/>
        <v>0</v>
      </c>
    </row>
    <row r="1739">
      <c r="A1739" s="18">
        <v>2786.0</v>
      </c>
      <c r="B1739" s="18" t="s">
        <v>30</v>
      </c>
      <c r="C1739" s="18">
        <v>183.0</v>
      </c>
      <c r="D1739" s="18" t="s">
        <v>31</v>
      </c>
      <c r="E1739" s="27">
        <v>42564.20434027778</v>
      </c>
      <c r="F1739" s="19">
        <f>IFERROR(__xludf.DUMMYFUNCTION("IFERROR(TO_DATE(E1739), """")"),42564.20434027778)</f>
        <v>42564.20434</v>
      </c>
      <c r="G1739" s="20">
        <f t="shared" si="1"/>
        <v>4</v>
      </c>
      <c r="H1739" s="27">
        <v>42564.23196759259</v>
      </c>
      <c r="I1739" s="19">
        <f>IFERROR(__xludf.DUMMYFUNCTION("IFERROR(TO_DATE(H1739), """")"),42564.23196759259)</f>
        <v>42564.23197</v>
      </c>
      <c r="J1739" s="19" t="s">
        <v>11</v>
      </c>
      <c r="K1739" s="22">
        <f t="shared" si="2"/>
        <v>0</v>
      </c>
    </row>
    <row r="1740">
      <c r="A1740" s="18">
        <v>3143.0</v>
      </c>
      <c r="B1740" s="18" t="s">
        <v>30</v>
      </c>
      <c r="C1740" s="18">
        <v>183.0</v>
      </c>
      <c r="D1740" s="18" t="s">
        <v>31</v>
      </c>
      <c r="E1740" s="27">
        <v>42564.36996527778</v>
      </c>
      <c r="F1740" s="19">
        <f>IFERROR(__xludf.DUMMYFUNCTION("IFERROR(TO_DATE(E1740), """")"),42564.36996527778)</f>
        <v>42564.36997</v>
      </c>
      <c r="G1740" s="20">
        <f t="shared" si="1"/>
        <v>8</v>
      </c>
      <c r="H1740" s="27">
        <v>42564.41516203704</v>
      </c>
      <c r="I1740" s="19">
        <f>IFERROR(__xludf.DUMMYFUNCTION("IFERROR(TO_DATE(H1740), """")"),42564.41516203704)</f>
        <v>42564.41516</v>
      </c>
      <c r="J1740" s="19" t="s">
        <v>14</v>
      </c>
      <c r="K1740" s="22">
        <f t="shared" si="2"/>
        <v>0</v>
      </c>
    </row>
    <row r="1741">
      <c r="A1741" s="18">
        <v>3917.0</v>
      </c>
      <c r="B1741" s="18" t="s">
        <v>32</v>
      </c>
      <c r="C1741" s="18">
        <v>183.0</v>
      </c>
      <c r="D1741" s="18" t="s">
        <v>31</v>
      </c>
      <c r="E1741" s="27">
        <v>42564.92716435185</v>
      </c>
      <c r="F1741" s="19">
        <f>IFERROR(__xludf.DUMMYFUNCTION("IFERROR(TO_DATE(E1741), """")"),42564.92716435185)</f>
        <v>42564.92716</v>
      </c>
      <c r="G1741" s="20">
        <f t="shared" si="1"/>
        <v>22</v>
      </c>
      <c r="H1741" s="27">
        <v>42564.97435185185</v>
      </c>
      <c r="I1741" s="19">
        <f>IFERROR(__xludf.DUMMYFUNCTION("IFERROR(TO_DATE(H1741), """")"),42564.97435185185)</f>
        <v>42564.97435</v>
      </c>
      <c r="J1741" s="19" t="s">
        <v>13</v>
      </c>
      <c r="K1741" s="22">
        <f t="shared" si="2"/>
        <v>0</v>
      </c>
    </row>
    <row r="1742">
      <c r="A1742" s="18">
        <v>4375.0</v>
      </c>
      <c r="B1742" s="18" t="s">
        <v>32</v>
      </c>
      <c r="C1742" s="18">
        <v>183.0</v>
      </c>
      <c r="D1742" s="18" t="s">
        <v>31</v>
      </c>
      <c r="E1742" s="27">
        <v>42565.31835648148</v>
      </c>
      <c r="F1742" s="19">
        <f>IFERROR(__xludf.DUMMYFUNCTION("IFERROR(TO_DATE(E1742), """")"),42565.31835648148)</f>
        <v>42565.31836</v>
      </c>
      <c r="G1742" s="20">
        <f t="shared" si="1"/>
        <v>7</v>
      </c>
      <c r="H1742" s="27">
        <v>42565.36255787037</v>
      </c>
      <c r="I1742" s="19">
        <f>IFERROR(__xludf.DUMMYFUNCTION("IFERROR(TO_DATE(H1742), """")"),42565.36255787037)</f>
        <v>42565.36256</v>
      </c>
      <c r="J1742" s="19" t="s">
        <v>11</v>
      </c>
      <c r="K1742" s="22">
        <f t="shared" si="2"/>
        <v>0</v>
      </c>
    </row>
    <row r="1743">
      <c r="A1743" s="18">
        <v>6345.0</v>
      </c>
      <c r="B1743" s="18" t="s">
        <v>32</v>
      </c>
      <c r="C1743" s="18">
        <v>183.0</v>
      </c>
      <c r="D1743" s="18" t="s">
        <v>31</v>
      </c>
      <c r="E1743" s="27">
        <v>42566.78121527778</v>
      </c>
      <c r="F1743" s="19">
        <f>IFERROR(__xludf.DUMMYFUNCTION("IFERROR(TO_DATE(E1743), """")"),42566.78121527778)</f>
        <v>42566.78122</v>
      </c>
      <c r="G1743" s="20">
        <f t="shared" si="1"/>
        <v>18</v>
      </c>
      <c r="H1743" s="27">
        <v>42566.83174768519</v>
      </c>
      <c r="I1743" s="19">
        <f>IFERROR(__xludf.DUMMYFUNCTION("IFERROR(TO_DATE(H1743), """")"),42566.83174768519)</f>
        <v>42566.83175</v>
      </c>
      <c r="J1743" s="19" t="s">
        <v>12</v>
      </c>
      <c r="K1743" s="22">
        <f t="shared" si="2"/>
        <v>0</v>
      </c>
    </row>
    <row r="1744">
      <c r="A1744" s="18">
        <v>169.0</v>
      </c>
      <c r="B1744" s="18" t="s">
        <v>32</v>
      </c>
      <c r="C1744" s="18">
        <v>184.0</v>
      </c>
      <c r="D1744" s="18" t="s">
        <v>31</v>
      </c>
      <c r="E1744" s="26">
        <v>42562.239583333336</v>
      </c>
      <c r="F1744" s="19">
        <f>IFERROR(__xludf.DUMMYFUNCTION("IFERROR(TO_DATE(E1744), """")"),42562.239583333336)</f>
        <v>42562.23958</v>
      </c>
      <c r="G1744" s="20">
        <f t="shared" si="1"/>
        <v>5</v>
      </c>
      <c r="H1744" s="26">
        <v>42562.28333333333</v>
      </c>
      <c r="I1744" s="19">
        <f>IFERROR(__xludf.DUMMYFUNCTION("IFERROR(TO_DATE(H1744), """")"),42562.28333333333)</f>
        <v>42562.28333</v>
      </c>
      <c r="J1744" s="19" t="s">
        <v>11</v>
      </c>
      <c r="K1744" s="22">
        <f t="shared" si="2"/>
        <v>0</v>
      </c>
    </row>
    <row r="1745">
      <c r="A1745" s="18">
        <v>537.0</v>
      </c>
      <c r="B1745" s="18" t="s">
        <v>32</v>
      </c>
      <c r="C1745" s="18">
        <v>184.0</v>
      </c>
      <c r="D1745" s="18" t="s">
        <v>31</v>
      </c>
      <c r="E1745" s="26">
        <v>42562.42013888889</v>
      </c>
      <c r="F1745" s="19">
        <f>IFERROR(__xludf.DUMMYFUNCTION("IFERROR(TO_DATE(E1745), """")"),42562.42013888889)</f>
        <v>42562.42014</v>
      </c>
      <c r="G1745" s="20">
        <f t="shared" si="1"/>
        <v>10</v>
      </c>
      <c r="H1745" s="26">
        <v>42562.45625</v>
      </c>
      <c r="I1745" s="19">
        <f>IFERROR(__xludf.DUMMYFUNCTION("IFERROR(TO_DATE(H1745), """")"),42562.45625)</f>
        <v>42562.45625</v>
      </c>
      <c r="J1745" s="19" t="s">
        <v>14</v>
      </c>
      <c r="K1745" s="22">
        <f t="shared" si="2"/>
        <v>0</v>
      </c>
    </row>
    <row r="1746">
      <c r="A1746" s="18">
        <v>682.0</v>
      </c>
      <c r="B1746" s="18" t="s">
        <v>32</v>
      </c>
      <c r="C1746" s="18">
        <v>184.0</v>
      </c>
      <c r="D1746" s="18" t="s">
        <v>31</v>
      </c>
      <c r="E1746" s="26">
        <v>42562.563888888886</v>
      </c>
      <c r="F1746" s="19">
        <f>IFERROR(__xludf.DUMMYFUNCTION("IFERROR(TO_DATE(E1746), """")"),42562.563888888886)</f>
        <v>42562.56389</v>
      </c>
      <c r="G1746" s="20">
        <f t="shared" si="1"/>
        <v>13</v>
      </c>
      <c r="H1746" s="26">
        <v>42562.59652777778</v>
      </c>
      <c r="I1746" s="19">
        <f>IFERROR(__xludf.DUMMYFUNCTION("IFERROR(TO_DATE(H1746), """")"),42562.59652777778)</f>
        <v>42562.59653</v>
      </c>
      <c r="J1746" s="19" t="s">
        <v>10</v>
      </c>
      <c r="K1746" s="22">
        <f t="shared" si="2"/>
        <v>0</v>
      </c>
    </row>
    <row r="1747">
      <c r="A1747" s="18">
        <v>1384.0</v>
      </c>
      <c r="B1747" s="18" t="s">
        <v>32</v>
      </c>
      <c r="C1747" s="18">
        <v>184.0</v>
      </c>
      <c r="D1747" s="18" t="s">
        <v>31</v>
      </c>
      <c r="E1747" s="26">
        <v>42563.052083333336</v>
      </c>
      <c r="F1747" s="19">
        <f>IFERROR(__xludf.DUMMYFUNCTION("IFERROR(TO_DATE(E1747), """")"),42563.052083333336)</f>
        <v>42563.05208</v>
      </c>
      <c r="G1747" s="20">
        <f t="shared" si="1"/>
        <v>1</v>
      </c>
      <c r="H1747" s="26">
        <v>42563.09583333333</v>
      </c>
      <c r="I1747" s="19">
        <f>IFERROR(__xludf.DUMMYFUNCTION("IFERROR(TO_DATE(H1747), """")"),42563.09583333333)</f>
        <v>42563.09583</v>
      </c>
      <c r="J1747" s="19" t="s">
        <v>15</v>
      </c>
      <c r="K1747" s="22">
        <f t="shared" si="2"/>
        <v>0</v>
      </c>
    </row>
    <row r="1748">
      <c r="A1748" s="18">
        <v>2167.0</v>
      </c>
      <c r="B1748" s="18" t="s">
        <v>30</v>
      </c>
      <c r="C1748" s="18">
        <v>184.0</v>
      </c>
      <c r="D1748" s="18" t="s">
        <v>31</v>
      </c>
      <c r="E1748" s="26">
        <v>42563.729166666664</v>
      </c>
      <c r="F1748" s="19">
        <f>IFERROR(__xludf.DUMMYFUNCTION("IFERROR(TO_DATE(E1748), """")"),42563.729166666664)</f>
        <v>42563.72917</v>
      </c>
      <c r="G1748" s="20">
        <f t="shared" si="1"/>
        <v>17</v>
      </c>
      <c r="H1748" s="26">
        <v>42563.770833333336</v>
      </c>
      <c r="I1748" s="19">
        <f>IFERROR(__xludf.DUMMYFUNCTION("IFERROR(TO_DATE(H1748), """")"),42563.770833333336)</f>
        <v>42563.77083</v>
      </c>
      <c r="J1748" s="19" t="s">
        <v>12</v>
      </c>
      <c r="K1748" s="22">
        <f t="shared" si="2"/>
        <v>0</v>
      </c>
    </row>
    <row r="1749">
      <c r="A1749" s="18">
        <v>2295.0</v>
      </c>
      <c r="B1749" s="18" t="s">
        <v>32</v>
      </c>
      <c r="C1749" s="18">
        <v>184.0</v>
      </c>
      <c r="D1749" s="18" t="s">
        <v>31</v>
      </c>
      <c r="E1749" s="26">
        <v>42563.78333333333</v>
      </c>
      <c r="F1749" s="19">
        <f>IFERROR(__xludf.DUMMYFUNCTION("IFERROR(TO_DATE(E1749), """")"),42563.78333333333)</f>
        <v>42563.78333</v>
      </c>
      <c r="G1749" s="20">
        <f t="shared" si="1"/>
        <v>18</v>
      </c>
      <c r="H1749" s="26">
        <v>42563.8</v>
      </c>
      <c r="I1749" s="19">
        <f>IFERROR(__xludf.DUMMYFUNCTION("IFERROR(TO_DATE(H1749), """")"),42563.8)</f>
        <v>42563.8</v>
      </c>
      <c r="J1749" s="19" t="s">
        <v>12</v>
      </c>
      <c r="K1749" s="22">
        <f t="shared" si="2"/>
        <v>0</v>
      </c>
    </row>
    <row r="1750">
      <c r="A1750" s="18">
        <v>3109.0</v>
      </c>
      <c r="B1750" s="18" t="s">
        <v>32</v>
      </c>
      <c r="C1750" s="18">
        <v>184.0</v>
      </c>
      <c r="D1750" s="18" t="s">
        <v>31</v>
      </c>
      <c r="E1750" s="27">
        <v>42564.349178240744</v>
      </c>
      <c r="F1750" s="19">
        <f>IFERROR(__xludf.DUMMYFUNCTION("IFERROR(TO_DATE(E1750), """")"),42564.349178240744)</f>
        <v>42564.34918</v>
      </c>
      <c r="G1750" s="20">
        <f t="shared" si="1"/>
        <v>8</v>
      </c>
      <c r="H1750" s="27">
        <v>42564.3878587963</v>
      </c>
      <c r="I1750" s="19">
        <f>IFERROR(__xludf.DUMMYFUNCTION("IFERROR(TO_DATE(H1750), """")"),42564.3878587963)</f>
        <v>42564.38786</v>
      </c>
      <c r="J1750" s="19" t="s">
        <v>14</v>
      </c>
      <c r="K1750" s="22">
        <f t="shared" si="2"/>
        <v>0</v>
      </c>
    </row>
    <row r="1751">
      <c r="A1751" s="18">
        <v>3293.0</v>
      </c>
      <c r="B1751" s="18" t="s">
        <v>32</v>
      </c>
      <c r="C1751" s="18">
        <v>184.0</v>
      </c>
      <c r="D1751" s="18" t="s">
        <v>31</v>
      </c>
      <c r="E1751" s="27">
        <v>42564.47085648148</v>
      </c>
      <c r="F1751" s="19">
        <f>IFERROR(__xludf.DUMMYFUNCTION("IFERROR(TO_DATE(E1751), """")"),42564.47085648148)</f>
        <v>42564.47086</v>
      </c>
      <c r="G1751" s="20">
        <f t="shared" si="1"/>
        <v>11</v>
      </c>
      <c r="H1751" s="27">
        <v>42564.4946412037</v>
      </c>
      <c r="I1751" s="19">
        <f>IFERROR(__xludf.DUMMYFUNCTION("IFERROR(TO_DATE(H1751), """")"),42564.4946412037)</f>
        <v>42564.49464</v>
      </c>
      <c r="J1751" s="19" t="s">
        <v>14</v>
      </c>
      <c r="K1751" s="22">
        <f t="shared" si="2"/>
        <v>0</v>
      </c>
    </row>
    <row r="1752">
      <c r="A1752" s="18">
        <v>3444.0</v>
      </c>
      <c r="B1752" s="18" t="s">
        <v>32</v>
      </c>
      <c r="C1752" s="18">
        <v>184.0</v>
      </c>
      <c r="D1752" s="18" t="s">
        <v>31</v>
      </c>
      <c r="E1752" s="27">
        <v>42564.6896412037</v>
      </c>
      <c r="F1752" s="19">
        <f>IFERROR(__xludf.DUMMYFUNCTION("IFERROR(TO_DATE(E1752), """")"),42564.6896412037)</f>
        <v>42564.68964</v>
      </c>
      <c r="G1752" s="20">
        <f t="shared" si="1"/>
        <v>16</v>
      </c>
      <c r="H1752" s="27">
        <v>42564.74253472222</v>
      </c>
      <c r="I1752" s="19">
        <f>IFERROR(__xludf.DUMMYFUNCTION("IFERROR(TO_DATE(H1752), """")"),42564.74253472222)</f>
        <v>42564.74253</v>
      </c>
      <c r="J1752" s="19" t="s">
        <v>12</v>
      </c>
      <c r="K1752" s="22">
        <f t="shared" si="2"/>
        <v>0</v>
      </c>
    </row>
    <row r="1753">
      <c r="A1753" s="18">
        <v>3660.0</v>
      </c>
      <c r="B1753" s="18" t="s">
        <v>30</v>
      </c>
      <c r="C1753" s="18">
        <v>184.0</v>
      </c>
      <c r="D1753" s="18" t="s">
        <v>31</v>
      </c>
      <c r="E1753" s="27">
        <v>42564.807534722226</v>
      </c>
      <c r="F1753" s="19">
        <f>IFERROR(__xludf.DUMMYFUNCTION("IFERROR(TO_DATE(E1753), """")"),42564.807534722226)</f>
        <v>42564.80753</v>
      </c>
      <c r="G1753" s="20">
        <f t="shared" si="1"/>
        <v>19</v>
      </c>
      <c r="H1753" s="27">
        <v>42564.82759259259</v>
      </c>
      <c r="I1753" s="19">
        <f>IFERROR(__xludf.DUMMYFUNCTION("IFERROR(TO_DATE(H1753), """")"),42564.82759259259)</f>
        <v>42564.82759</v>
      </c>
      <c r="J1753" s="19" t="s">
        <v>12</v>
      </c>
      <c r="K1753" s="22">
        <f t="shared" si="2"/>
        <v>0</v>
      </c>
    </row>
    <row r="1754">
      <c r="A1754" s="18">
        <v>4693.0</v>
      </c>
      <c r="B1754" s="18" t="s">
        <v>32</v>
      </c>
      <c r="C1754" s="18">
        <v>184.0</v>
      </c>
      <c r="D1754" s="18" t="s">
        <v>31</v>
      </c>
      <c r="E1754" s="27">
        <v>42565.54262731481</v>
      </c>
      <c r="F1754" s="19">
        <f>IFERROR(__xludf.DUMMYFUNCTION("IFERROR(TO_DATE(E1754), """")"),42565.54262731481)</f>
        <v>42565.54263</v>
      </c>
      <c r="G1754" s="20">
        <f t="shared" si="1"/>
        <v>13</v>
      </c>
      <c r="H1754" s="27">
        <v>42565.59040509259</v>
      </c>
      <c r="I1754" s="19">
        <f>IFERROR(__xludf.DUMMYFUNCTION("IFERROR(TO_DATE(H1754), """")"),42565.59040509259)</f>
        <v>42565.59041</v>
      </c>
      <c r="J1754" s="19" t="s">
        <v>10</v>
      </c>
      <c r="K1754" s="22">
        <f t="shared" si="2"/>
        <v>0</v>
      </c>
    </row>
    <row r="1755">
      <c r="A1755" s="18">
        <v>5214.0</v>
      </c>
      <c r="B1755" s="18" t="s">
        <v>30</v>
      </c>
      <c r="C1755" s="18">
        <v>184.0</v>
      </c>
      <c r="D1755" s="18" t="s">
        <v>31</v>
      </c>
      <c r="E1755" s="27">
        <v>42565.87440972222</v>
      </c>
      <c r="F1755" s="19">
        <f>IFERROR(__xludf.DUMMYFUNCTION("IFERROR(TO_DATE(E1755), """")"),42565.87440972222)</f>
        <v>42565.87441</v>
      </c>
      <c r="G1755" s="20">
        <f t="shared" si="1"/>
        <v>20</v>
      </c>
      <c r="H1755" s="27">
        <v>42565.90837962963</v>
      </c>
      <c r="I1755" s="19">
        <f>IFERROR(__xludf.DUMMYFUNCTION("IFERROR(TO_DATE(H1755), """")"),42565.90837962963)</f>
        <v>42565.90838</v>
      </c>
      <c r="J1755" s="19" t="s">
        <v>13</v>
      </c>
      <c r="K1755" s="22">
        <f t="shared" si="2"/>
        <v>0</v>
      </c>
    </row>
    <row r="1756">
      <c r="A1756" s="18">
        <v>5570.0</v>
      </c>
      <c r="B1756" s="18" t="s">
        <v>32</v>
      </c>
      <c r="C1756" s="18">
        <v>184.0</v>
      </c>
      <c r="D1756" s="18" t="s">
        <v>31</v>
      </c>
      <c r="E1756" s="27">
        <v>42566.24538194444</v>
      </c>
      <c r="F1756" s="19">
        <f>IFERROR(__xludf.DUMMYFUNCTION("IFERROR(TO_DATE(E1756), """")"),42566.24538194444)</f>
        <v>42566.24538</v>
      </c>
      <c r="G1756" s="20">
        <f t="shared" si="1"/>
        <v>5</v>
      </c>
      <c r="H1756" s="27">
        <v>42566.26225694444</v>
      </c>
      <c r="I1756" s="19">
        <f>IFERROR(__xludf.DUMMYFUNCTION("IFERROR(TO_DATE(H1756), """")"),42566.26225694444)</f>
        <v>42566.26226</v>
      </c>
      <c r="J1756" s="19" t="s">
        <v>11</v>
      </c>
      <c r="K1756" s="22">
        <f t="shared" si="2"/>
        <v>0</v>
      </c>
    </row>
    <row r="1757">
      <c r="A1757" s="18">
        <v>6003.0</v>
      </c>
      <c r="B1757" s="18" t="s">
        <v>30</v>
      </c>
      <c r="C1757" s="18">
        <v>184.0</v>
      </c>
      <c r="D1757" s="18" t="s">
        <v>31</v>
      </c>
      <c r="E1757" s="27">
        <v>42566.506261574075</v>
      </c>
      <c r="F1757" s="19">
        <f>IFERROR(__xludf.DUMMYFUNCTION("IFERROR(TO_DATE(E1757), """")"),42566.506261574075)</f>
        <v>42566.50626</v>
      </c>
      <c r="G1757" s="20">
        <f t="shared" si="1"/>
        <v>12</v>
      </c>
      <c r="H1757" s="27">
        <v>42566.539976851855</v>
      </c>
      <c r="I1757" s="19">
        <f>IFERROR(__xludf.DUMMYFUNCTION("IFERROR(TO_DATE(H1757), """")"),42566.539976851855)</f>
        <v>42566.53998</v>
      </c>
      <c r="J1757" s="19" t="s">
        <v>10</v>
      </c>
      <c r="K1757" s="22">
        <f t="shared" si="2"/>
        <v>0</v>
      </c>
    </row>
    <row r="1758">
      <c r="A1758" s="18">
        <v>6663.0</v>
      </c>
      <c r="B1758" s="18" t="s">
        <v>30</v>
      </c>
      <c r="C1758" s="18">
        <v>184.0</v>
      </c>
      <c r="D1758" s="18" t="s">
        <v>31</v>
      </c>
      <c r="E1758" s="27">
        <v>42566.931979166664</v>
      </c>
      <c r="F1758" s="19">
        <f>IFERROR(__xludf.DUMMYFUNCTION("IFERROR(TO_DATE(E1758), """")"),42566.931979166664)</f>
        <v>42566.93198</v>
      </c>
      <c r="G1758" s="20">
        <f t="shared" si="1"/>
        <v>22</v>
      </c>
      <c r="H1758" s="27">
        <v>42566.960706018515</v>
      </c>
      <c r="I1758" s="19">
        <f>IFERROR(__xludf.DUMMYFUNCTION("IFERROR(TO_DATE(H1758), """")"),42566.960706018515)</f>
        <v>42566.96071</v>
      </c>
      <c r="J1758" s="19" t="s">
        <v>13</v>
      </c>
      <c r="K1758" s="22">
        <f t="shared" si="2"/>
        <v>0</v>
      </c>
    </row>
    <row r="1759">
      <c r="A1759" s="18">
        <v>616.0</v>
      </c>
      <c r="B1759" s="18" t="s">
        <v>30</v>
      </c>
      <c r="C1759" s="18">
        <v>185.0</v>
      </c>
      <c r="D1759" s="18" t="s">
        <v>31</v>
      </c>
      <c r="E1759" s="26">
        <v>42562.50347222222</v>
      </c>
      <c r="F1759" s="19">
        <f>IFERROR(__xludf.DUMMYFUNCTION("IFERROR(TO_DATE(E1759), """")"),42562.50347222222)</f>
        <v>42562.50347</v>
      </c>
      <c r="G1759" s="20">
        <f t="shared" si="1"/>
        <v>12</v>
      </c>
      <c r="H1759" s="26">
        <v>42562.53333333333</v>
      </c>
      <c r="I1759" s="19">
        <f>IFERROR(__xludf.DUMMYFUNCTION("IFERROR(TO_DATE(H1759), """")"),42562.53333333333)</f>
        <v>42562.53333</v>
      </c>
      <c r="J1759" s="19" t="s">
        <v>10</v>
      </c>
      <c r="K1759" s="22">
        <f t="shared" si="2"/>
        <v>0</v>
      </c>
    </row>
    <row r="1760">
      <c r="A1760" s="18">
        <v>1056.0</v>
      </c>
      <c r="B1760" s="18" t="s">
        <v>32</v>
      </c>
      <c r="C1760" s="18">
        <v>185.0</v>
      </c>
      <c r="D1760" s="18" t="s">
        <v>31</v>
      </c>
      <c r="E1760" s="26">
        <v>42562.825694444444</v>
      </c>
      <c r="F1760" s="19">
        <f>IFERROR(__xludf.DUMMYFUNCTION("IFERROR(TO_DATE(E1760), """")"),42562.825694444444)</f>
        <v>42562.82569</v>
      </c>
      <c r="G1760" s="20">
        <f t="shared" si="1"/>
        <v>19</v>
      </c>
      <c r="H1760" s="26">
        <v>42562.85277777778</v>
      </c>
      <c r="I1760" s="19">
        <f>IFERROR(__xludf.DUMMYFUNCTION("IFERROR(TO_DATE(H1760), """")"),42562.85277777778)</f>
        <v>42562.85278</v>
      </c>
      <c r="J1760" s="19" t="s">
        <v>12</v>
      </c>
      <c r="K1760" s="22">
        <f t="shared" si="2"/>
        <v>0</v>
      </c>
    </row>
    <row r="1761">
      <c r="A1761" s="18">
        <v>1903.0</v>
      </c>
      <c r="B1761" s="18" t="s">
        <v>32</v>
      </c>
      <c r="C1761" s="18">
        <v>185.0</v>
      </c>
      <c r="D1761" s="18" t="s">
        <v>31</v>
      </c>
      <c r="E1761" s="26">
        <v>42563.441666666666</v>
      </c>
      <c r="F1761" s="19">
        <f>IFERROR(__xludf.DUMMYFUNCTION("IFERROR(TO_DATE(E1761), """")"),42563.441666666666)</f>
        <v>42563.44167</v>
      </c>
      <c r="G1761" s="20">
        <f t="shared" si="1"/>
        <v>10</v>
      </c>
      <c r="H1761" s="26">
        <v>42563.48055555556</v>
      </c>
      <c r="I1761" s="19">
        <f>IFERROR(__xludf.DUMMYFUNCTION("IFERROR(TO_DATE(H1761), """")"),42563.48055555556)</f>
        <v>42563.48056</v>
      </c>
      <c r="J1761" s="19" t="s">
        <v>14</v>
      </c>
      <c r="K1761" s="22">
        <f t="shared" si="2"/>
        <v>0</v>
      </c>
    </row>
    <row r="1762">
      <c r="A1762" s="18">
        <v>2643.0</v>
      </c>
      <c r="B1762" s="18" t="s">
        <v>32</v>
      </c>
      <c r="C1762" s="18">
        <v>185.0</v>
      </c>
      <c r="D1762" s="18" t="s">
        <v>31</v>
      </c>
      <c r="E1762" s="26">
        <v>42563.94236111111</v>
      </c>
      <c r="F1762" s="19">
        <f>IFERROR(__xludf.DUMMYFUNCTION("IFERROR(TO_DATE(E1762), """")"),42563.94236111111)</f>
        <v>42563.94236</v>
      </c>
      <c r="G1762" s="20">
        <f t="shared" si="1"/>
        <v>22</v>
      </c>
      <c r="H1762" s="26">
        <v>42563.981944444444</v>
      </c>
      <c r="I1762" s="19">
        <f>IFERROR(__xludf.DUMMYFUNCTION("IFERROR(TO_DATE(H1762), """")"),42563.981944444444)</f>
        <v>42563.98194</v>
      </c>
      <c r="J1762" s="19" t="s">
        <v>13</v>
      </c>
      <c r="K1762" s="22">
        <f t="shared" si="2"/>
        <v>0</v>
      </c>
    </row>
    <row r="1763">
      <c r="A1763" s="18">
        <v>3291.0</v>
      </c>
      <c r="B1763" s="18" t="s">
        <v>32</v>
      </c>
      <c r="C1763" s="18">
        <v>185.0</v>
      </c>
      <c r="D1763" s="18" t="s">
        <v>31</v>
      </c>
      <c r="E1763" s="27">
        <v>42564.46533564815</v>
      </c>
      <c r="F1763" s="19">
        <f>IFERROR(__xludf.DUMMYFUNCTION("IFERROR(TO_DATE(E1763), """")"),42564.46533564815)</f>
        <v>42564.46534</v>
      </c>
      <c r="G1763" s="20">
        <f t="shared" si="1"/>
        <v>11</v>
      </c>
      <c r="H1763" s="27">
        <v>42564.5216087963</v>
      </c>
      <c r="I1763" s="19">
        <f>IFERROR(__xludf.DUMMYFUNCTION("IFERROR(TO_DATE(H1763), """")"),42564.5216087963)</f>
        <v>42564.52161</v>
      </c>
      <c r="J1763" s="19" t="s">
        <v>14</v>
      </c>
      <c r="K1763" s="22">
        <f t="shared" si="2"/>
        <v>0</v>
      </c>
    </row>
    <row r="1764">
      <c r="A1764" s="18">
        <v>3965.0</v>
      </c>
      <c r="B1764" s="18" t="s">
        <v>30</v>
      </c>
      <c r="C1764" s="18">
        <v>185.0</v>
      </c>
      <c r="D1764" s="18" t="s">
        <v>31</v>
      </c>
      <c r="E1764" s="27">
        <v>42564.95193287037</v>
      </c>
      <c r="F1764" s="19">
        <f>IFERROR(__xludf.DUMMYFUNCTION("IFERROR(TO_DATE(E1764), """")"),42564.95193287037)</f>
        <v>42564.95193</v>
      </c>
      <c r="G1764" s="20">
        <f t="shared" si="1"/>
        <v>22</v>
      </c>
      <c r="H1764" s="27">
        <v>42564.9725</v>
      </c>
      <c r="I1764" s="19">
        <f>IFERROR(__xludf.DUMMYFUNCTION("IFERROR(TO_DATE(H1764), """")"),42564.9725)</f>
        <v>42564.9725</v>
      </c>
      <c r="J1764" s="19" t="s">
        <v>13</v>
      </c>
      <c r="K1764" s="22">
        <f t="shared" si="2"/>
        <v>0</v>
      </c>
    </row>
    <row r="1765">
      <c r="A1765" s="18">
        <v>4007.0</v>
      </c>
      <c r="B1765" s="18" t="s">
        <v>32</v>
      </c>
      <c r="C1765" s="18">
        <v>185.0</v>
      </c>
      <c r="D1765" s="18" t="s">
        <v>31</v>
      </c>
      <c r="E1765" s="27">
        <v>42564.99049768518</v>
      </c>
      <c r="F1765" s="19">
        <f>IFERROR(__xludf.DUMMYFUNCTION("IFERROR(TO_DATE(E1765), """")"),42564.99049768518)</f>
        <v>42564.9905</v>
      </c>
      <c r="G1765" s="20">
        <f t="shared" si="1"/>
        <v>23</v>
      </c>
      <c r="H1765" s="27">
        <v>42565.01642361111</v>
      </c>
      <c r="I1765" s="19">
        <f>IFERROR(__xludf.DUMMYFUNCTION("IFERROR(TO_DATE(H1765), """")"),42565.01642361111)</f>
        <v>42565.01642</v>
      </c>
      <c r="J1765" s="19" t="s">
        <v>13</v>
      </c>
      <c r="K1765" s="22">
        <f t="shared" si="2"/>
        <v>0</v>
      </c>
    </row>
    <row r="1766">
      <c r="A1766" s="18">
        <v>4234.0</v>
      </c>
      <c r="B1766" s="18" t="s">
        <v>32</v>
      </c>
      <c r="C1766" s="18">
        <v>185.0</v>
      </c>
      <c r="D1766" s="18" t="s">
        <v>31</v>
      </c>
      <c r="E1766" s="27">
        <v>42565.2494212963</v>
      </c>
      <c r="F1766" s="19">
        <f>IFERROR(__xludf.DUMMYFUNCTION("IFERROR(TO_DATE(E1766), """")"),42565.2494212963)</f>
        <v>42565.24942</v>
      </c>
      <c r="G1766" s="20">
        <f t="shared" si="1"/>
        <v>5</v>
      </c>
      <c r="H1766" s="27">
        <v>42565.292546296296</v>
      </c>
      <c r="I1766" s="19">
        <f>IFERROR(__xludf.DUMMYFUNCTION("IFERROR(TO_DATE(H1766), """")"),42565.292546296296)</f>
        <v>42565.29255</v>
      </c>
      <c r="J1766" s="19" t="s">
        <v>11</v>
      </c>
      <c r="K1766" s="22">
        <f t="shared" si="2"/>
        <v>0</v>
      </c>
    </row>
    <row r="1767">
      <c r="A1767" s="18">
        <v>4388.0</v>
      </c>
      <c r="B1767" s="18" t="s">
        <v>30</v>
      </c>
      <c r="C1767" s="18">
        <v>185.0</v>
      </c>
      <c r="D1767" s="18" t="s">
        <v>31</v>
      </c>
      <c r="E1767" s="27">
        <v>42565.32655092593</v>
      </c>
      <c r="F1767" s="19">
        <f>IFERROR(__xludf.DUMMYFUNCTION("IFERROR(TO_DATE(E1767), """")"),42565.32655092593)</f>
        <v>42565.32655</v>
      </c>
      <c r="G1767" s="20">
        <f t="shared" si="1"/>
        <v>7</v>
      </c>
      <c r="H1767" s="27">
        <v>42565.36719907408</v>
      </c>
      <c r="I1767" s="19">
        <f>IFERROR(__xludf.DUMMYFUNCTION("IFERROR(TO_DATE(H1767), """")"),42565.36719907408)</f>
        <v>42565.3672</v>
      </c>
      <c r="J1767" s="19" t="s">
        <v>11</v>
      </c>
      <c r="K1767" s="22">
        <f t="shared" si="2"/>
        <v>0</v>
      </c>
    </row>
    <row r="1768">
      <c r="A1768" s="18">
        <v>4964.0</v>
      </c>
      <c r="B1768" s="18" t="s">
        <v>32</v>
      </c>
      <c r="C1768" s="18">
        <v>185.0</v>
      </c>
      <c r="D1768" s="18" t="s">
        <v>31</v>
      </c>
      <c r="E1768" s="27">
        <v>42565.774201388886</v>
      </c>
      <c r="F1768" s="19">
        <f>IFERROR(__xludf.DUMMYFUNCTION("IFERROR(TO_DATE(E1768), """")"),42565.774201388886)</f>
        <v>42565.7742</v>
      </c>
      <c r="G1768" s="20">
        <f t="shared" si="1"/>
        <v>18</v>
      </c>
      <c r="H1768" s="27">
        <v>42565.800787037035</v>
      </c>
      <c r="I1768" s="19">
        <f>IFERROR(__xludf.DUMMYFUNCTION("IFERROR(TO_DATE(H1768), """")"),42565.800787037035)</f>
        <v>42565.80079</v>
      </c>
      <c r="J1768" s="19" t="s">
        <v>12</v>
      </c>
      <c r="K1768" s="22">
        <f t="shared" si="2"/>
        <v>0</v>
      </c>
    </row>
    <row r="1769">
      <c r="A1769" s="18">
        <v>5544.0</v>
      </c>
      <c r="B1769" s="18" t="s">
        <v>32</v>
      </c>
      <c r="C1769" s="18">
        <v>185.0</v>
      </c>
      <c r="D1769" s="18" t="s">
        <v>31</v>
      </c>
      <c r="E1769" s="27">
        <v>42566.22479166667</v>
      </c>
      <c r="F1769" s="19">
        <f>IFERROR(__xludf.DUMMYFUNCTION("IFERROR(TO_DATE(E1769), """")"),42566.22479166667)</f>
        <v>42566.22479</v>
      </c>
      <c r="G1769" s="20">
        <f t="shared" si="1"/>
        <v>5</v>
      </c>
      <c r="H1769" s="27">
        <v>42566.247824074075</v>
      </c>
      <c r="I1769" s="19">
        <f>IFERROR(__xludf.DUMMYFUNCTION("IFERROR(TO_DATE(H1769), """")"),42566.247824074075)</f>
        <v>42566.24782</v>
      </c>
      <c r="J1769" s="19" t="s">
        <v>11</v>
      </c>
      <c r="K1769" s="22">
        <f t="shared" si="2"/>
        <v>0</v>
      </c>
    </row>
    <row r="1770">
      <c r="A1770" s="18">
        <v>6217.0</v>
      </c>
      <c r="B1770" s="18" t="s">
        <v>32</v>
      </c>
      <c r="C1770" s="18">
        <v>185.0</v>
      </c>
      <c r="D1770" s="18" t="s">
        <v>31</v>
      </c>
      <c r="E1770" s="27">
        <v>42566.731828703705</v>
      </c>
      <c r="F1770" s="19">
        <f>IFERROR(__xludf.DUMMYFUNCTION("IFERROR(TO_DATE(E1770), """")"),42566.731828703705)</f>
        <v>42566.73183</v>
      </c>
      <c r="G1770" s="20">
        <f t="shared" si="1"/>
        <v>17</v>
      </c>
      <c r="H1770" s="27">
        <v>42566.75015046296</v>
      </c>
      <c r="I1770" s="19">
        <f>IFERROR(__xludf.DUMMYFUNCTION("IFERROR(TO_DATE(H1770), """")"),42566.75015046296)</f>
        <v>42566.75015</v>
      </c>
      <c r="J1770" s="19" t="s">
        <v>12</v>
      </c>
      <c r="K1770" s="22">
        <f t="shared" si="2"/>
        <v>0</v>
      </c>
    </row>
    <row r="1771">
      <c r="A1771" s="18">
        <v>1345.0</v>
      </c>
      <c r="B1771" s="18" t="s">
        <v>30</v>
      </c>
      <c r="C1771" s="18">
        <v>186.0</v>
      </c>
      <c r="D1771" s="18" t="s">
        <v>31</v>
      </c>
      <c r="E1771" s="26">
        <v>42562.98402777778</v>
      </c>
      <c r="F1771" s="19">
        <f>IFERROR(__xludf.DUMMYFUNCTION("IFERROR(TO_DATE(E1771), """")"),42562.98402777778)</f>
        <v>42562.98403</v>
      </c>
      <c r="G1771" s="20">
        <f t="shared" si="1"/>
        <v>23</v>
      </c>
      <c r="H1771" s="26">
        <v>42563.00625</v>
      </c>
      <c r="I1771" s="19">
        <f>IFERROR(__xludf.DUMMYFUNCTION("IFERROR(TO_DATE(H1771), """")"),42563.00625)</f>
        <v>42563.00625</v>
      </c>
      <c r="J1771" s="19" t="s">
        <v>13</v>
      </c>
      <c r="K1771" s="22">
        <f t="shared" si="2"/>
        <v>0</v>
      </c>
    </row>
    <row r="1772">
      <c r="A1772" s="18">
        <v>1874.0</v>
      </c>
      <c r="B1772" s="18" t="s">
        <v>30</v>
      </c>
      <c r="C1772" s="18">
        <v>186.0</v>
      </c>
      <c r="D1772" s="18" t="s">
        <v>31</v>
      </c>
      <c r="E1772" s="26">
        <v>42563.41388888889</v>
      </c>
      <c r="F1772" s="19">
        <f>IFERROR(__xludf.DUMMYFUNCTION("IFERROR(TO_DATE(E1772), """")"),42563.41388888889)</f>
        <v>42563.41389</v>
      </c>
      <c r="G1772" s="20">
        <f t="shared" si="1"/>
        <v>9</v>
      </c>
      <c r="H1772" s="26">
        <v>42563.44583333333</v>
      </c>
      <c r="I1772" s="19">
        <f>IFERROR(__xludf.DUMMYFUNCTION("IFERROR(TO_DATE(H1772), """")"),42563.44583333333)</f>
        <v>42563.44583</v>
      </c>
      <c r="J1772" s="19" t="s">
        <v>14</v>
      </c>
      <c r="K1772" s="22">
        <f t="shared" si="2"/>
        <v>0</v>
      </c>
    </row>
    <row r="1773">
      <c r="A1773" s="18">
        <v>2413.0</v>
      </c>
      <c r="B1773" s="18" t="s">
        <v>32</v>
      </c>
      <c r="C1773" s="18">
        <v>186.0</v>
      </c>
      <c r="D1773" s="18" t="s">
        <v>31</v>
      </c>
      <c r="E1773" s="26">
        <v>42563.83472222222</v>
      </c>
      <c r="F1773" s="19">
        <f>IFERROR(__xludf.DUMMYFUNCTION("IFERROR(TO_DATE(E1773), """")"),42563.83472222222)</f>
        <v>42563.83472</v>
      </c>
      <c r="G1773" s="20">
        <f t="shared" si="1"/>
        <v>20</v>
      </c>
      <c r="H1773" s="26">
        <v>42563.88611111111</v>
      </c>
      <c r="I1773" s="19">
        <f>IFERROR(__xludf.DUMMYFUNCTION("IFERROR(TO_DATE(H1773), """")"),42563.88611111111)</f>
        <v>42563.88611</v>
      </c>
      <c r="J1773" s="19" t="s">
        <v>13</v>
      </c>
      <c r="K1773" s="22">
        <f t="shared" si="2"/>
        <v>0</v>
      </c>
    </row>
    <row r="1774">
      <c r="A1774" s="18">
        <v>3068.0</v>
      </c>
      <c r="B1774" s="18" t="s">
        <v>32</v>
      </c>
      <c r="C1774" s="18">
        <v>186.0</v>
      </c>
      <c r="D1774" s="18" t="s">
        <v>31</v>
      </c>
      <c r="E1774" s="27">
        <v>42564.33321759259</v>
      </c>
      <c r="F1774" s="19">
        <f>IFERROR(__xludf.DUMMYFUNCTION("IFERROR(TO_DATE(E1774), """")"),42564.33321759259)</f>
        <v>42564.33322</v>
      </c>
      <c r="G1774" s="20">
        <f t="shared" si="1"/>
        <v>7</v>
      </c>
      <c r="H1774" s="27">
        <v>42564.367418981485</v>
      </c>
      <c r="I1774" s="19">
        <f>IFERROR(__xludf.DUMMYFUNCTION("IFERROR(TO_DATE(H1774), """")"),42564.367418981485)</f>
        <v>42564.36742</v>
      </c>
      <c r="J1774" s="19" t="s">
        <v>11</v>
      </c>
      <c r="K1774" s="22">
        <f t="shared" si="2"/>
        <v>0</v>
      </c>
    </row>
    <row r="1775">
      <c r="A1775" s="18">
        <v>3452.0</v>
      </c>
      <c r="B1775" s="18" t="s">
        <v>32</v>
      </c>
      <c r="C1775" s="18">
        <v>186.0</v>
      </c>
      <c r="D1775" s="18" t="s">
        <v>31</v>
      </c>
      <c r="E1775" s="27">
        <v>42564.703414351854</v>
      </c>
      <c r="F1775" s="19">
        <f>IFERROR(__xludf.DUMMYFUNCTION("IFERROR(TO_DATE(E1775), """")"),42564.703414351854)</f>
        <v>42564.70341</v>
      </c>
      <c r="G1775" s="20">
        <f t="shared" si="1"/>
        <v>16</v>
      </c>
      <c r="H1775" s="27">
        <v>42564.7262962963</v>
      </c>
      <c r="I1775" s="19">
        <f>IFERROR(__xludf.DUMMYFUNCTION("IFERROR(TO_DATE(H1775), """")"),42564.7262962963)</f>
        <v>42564.7263</v>
      </c>
      <c r="J1775" s="19" t="s">
        <v>12</v>
      </c>
      <c r="K1775" s="22">
        <f t="shared" si="2"/>
        <v>0</v>
      </c>
    </row>
    <row r="1776">
      <c r="A1776" s="18">
        <v>4031.0</v>
      </c>
      <c r="B1776" s="18" t="s">
        <v>32</v>
      </c>
      <c r="C1776" s="18">
        <v>186.0</v>
      </c>
      <c r="D1776" s="18" t="s">
        <v>31</v>
      </c>
      <c r="E1776" s="27">
        <v>42565.01590277778</v>
      </c>
      <c r="F1776" s="19">
        <f>IFERROR(__xludf.DUMMYFUNCTION("IFERROR(TO_DATE(E1776), """")"),42565.01590277778)</f>
        <v>42565.0159</v>
      </c>
      <c r="G1776" s="20">
        <f t="shared" si="1"/>
        <v>0</v>
      </c>
      <c r="H1776" s="27">
        <v>42565.03834490741</v>
      </c>
      <c r="I1776" s="19">
        <f>IFERROR(__xludf.DUMMYFUNCTION("IFERROR(TO_DATE(H1776), """")"),42565.03834490741)</f>
        <v>42565.03834</v>
      </c>
      <c r="J1776" s="19" t="s">
        <v>15</v>
      </c>
      <c r="K1776" s="22">
        <f t="shared" si="2"/>
        <v>0</v>
      </c>
    </row>
    <row r="1777">
      <c r="A1777" s="18">
        <v>4438.0</v>
      </c>
      <c r="B1777" s="18" t="s">
        <v>30</v>
      </c>
      <c r="C1777" s="18">
        <v>186.0</v>
      </c>
      <c r="D1777" s="18" t="s">
        <v>31</v>
      </c>
      <c r="E1777" s="27">
        <v>42565.35234953704</v>
      </c>
      <c r="F1777" s="19">
        <f>IFERROR(__xludf.DUMMYFUNCTION("IFERROR(TO_DATE(E1777), """")"),42565.35234953704)</f>
        <v>42565.35235</v>
      </c>
      <c r="G1777" s="20">
        <f t="shared" si="1"/>
        <v>8</v>
      </c>
      <c r="H1777" s="27">
        <v>42565.38366898148</v>
      </c>
      <c r="I1777" s="19">
        <f>IFERROR(__xludf.DUMMYFUNCTION("IFERROR(TO_DATE(H1777), """")"),42565.38366898148)</f>
        <v>42565.38367</v>
      </c>
      <c r="J1777" s="19" t="s">
        <v>14</v>
      </c>
      <c r="K1777" s="22">
        <f t="shared" si="2"/>
        <v>0</v>
      </c>
    </row>
    <row r="1778">
      <c r="A1778" s="18">
        <v>5521.0</v>
      </c>
      <c r="B1778" s="18" t="s">
        <v>30</v>
      </c>
      <c r="C1778" s="18">
        <v>186.0</v>
      </c>
      <c r="D1778" s="18" t="s">
        <v>31</v>
      </c>
      <c r="E1778" s="27">
        <v>42566.221666666665</v>
      </c>
      <c r="F1778" s="19">
        <f>IFERROR(__xludf.DUMMYFUNCTION("IFERROR(TO_DATE(E1778), """")"),42566.221666666665)</f>
        <v>42566.22167</v>
      </c>
      <c r="G1778" s="20">
        <f t="shared" si="1"/>
        <v>5</v>
      </c>
      <c r="H1778" s="27">
        <v>42566.26930555556</v>
      </c>
      <c r="I1778" s="19">
        <f>IFERROR(__xludf.DUMMYFUNCTION("IFERROR(TO_DATE(H1778), """")"),42566.26930555556)</f>
        <v>42566.26931</v>
      </c>
      <c r="J1778" s="19" t="s">
        <v>11</v>
      </c>
      <c r="K1778" s="22">
        <f t="shared" si="2"/>
        <v>0</v>
      </c>
    </row>
    <row r="1779">
      <c r="A1779" s="18">
        <v>5832.0</v>
      </c>
      <c r="B1779" s="18" t="s">
        <v>32</v>
      </c>
      <c r="C1779" s="18">
        <v>186.0</v>
      </c>
      <c r="D1779" s="18" t="s">
        <v>31</v>
      </c>
      <c r="E1779" s="27">
        <v>42566.37530092592</v>
      </c>
      <c r="F1779" s="19">
        <f>IFERROR(__xludf.DUMMYFUNCTION("IFERROR(TO_DATE(E1779), """")"),42566.37530092592)</f>
        <v>42566.3753</v>
      </c>
      <c r="G1779" s="20">
        <f t="shared" si="1"/>
        <v>9</v>
      </c>
      <c r="H1779" s="27">
        <v>42566.41333333333</v>
      </c>
      <c r="I1779" s="19">
        <f>IFERROR(__xludf.DUMMYFUNCTION("IFERROR(TO_DATE(H1779), """")"),42566.41333333333)</f>
        <v>42566.41333</v>
      </c>
      <c r="J1779" s="19" t="s">
        <v>14</v>
      </c>
      <c r="K1779" s="22">
        <f t="shared" si="2"/>
        <v>0</v>
      </c>
    </row>
    <row r="1780">
      <c r="A1780" s="18">
        <v>5990.0</v>
      </c>
      <c r="B1780" s="18" t="s">
        <v>30</v>
      </c>
      <c r="C1780" s="18">
        <v>186.0</v>
      </c>
      <c r="D1780" s="18" t="s">
        <v>31</v>
      </c>
      <c r="E1780" s="27">
        <v>42566.488333333335</v>
      </c>
      <c r="F1780" s="19">
        <f>IFERROR(__xludf.DUMMYFUNCTION("IFERROR(TO_DATE(E1780), """")"),42566.488333333335)</f>
        <v>42566.48833</v>
      </c>
      <c r="G1780" s="20">
        <f t="shared" si="1"/>
        <v>11</v>
      </c>
      <c r="H1780" s="27">
        <v>42566.528344907405</v>
      </c>
      <c r="I1780" s="19">
        <f>IFERROR(__xludf.DUMMYFUNCTION("IFERROR(TO_DATE(H1780), """")"),42566.528344907405)</f>
        <v>42566.52834</v>
      </c>
      <c r="J1780" s="19" t="s">
        <v>14</v>
      </c>
      <c r="K1780" s="22">
        <f t="shared" si="2"/>
        <v>0</v>
      </c>
    </row>
    <row r="1781">
      <c r="A1781" s="18">
        <v>6254.0</v>
      </c>
      <c r="B1781" s="18" t="s">
        <v>32</v>
      </c>
      <c r="C1781" s="18">
        <v>186.0</v>
      </c>
      <c r="D1781" s="18" t="s">
        <v>31</v>
      </c>
      <c r="E1781" s="27">
        <v>42566.748344907406</v>
      </c>
      <c r="F1781" s="19">
        <f>IFERROR(__xludf.DUMMYFUNCTION("IFERROR(TO_DATE(E1781), """")"),42566.748344907406)</f>
        <v>42566.74834</v>
      </c>
      <c r="G1781" s="20">
        <f t="shared" si="1"/>
        <v>17</v>
      </c>
      <c r="H1781" s="27">
        <v>42566.785150462965</v>
      </c>
      <c r="I1781" s="19">
        <f>IFERROR(__xludf.DUMMYFUNCTION("IFERROR(TO_DATE(H1781), """")"),42566.785150462965)</f>
        <v>42566.78515</v>
      </c>
      <c r="J1781" s="19" t="s">
        <v>12</v>
      </c>
      <c r="K1781" s="22">
        <f t="shared" si="2"/>
        <v>0</v>
      </c>
    </row>
    <row r="1782">
      <c r="A1782" s="18">
        <v>320.0</v>
      </c>
      <c r="B1782" s="18" t="s">
        <v>32</v>
      </c>
      <c r="C1782" s="18">
        <v>187.0</v>
      </c>
      <c r="D1782" s="18" t="s">
        <v>31</v>
      </c>
      <c r="E1782" s="26">
        <v>42562.313888888886</v>
      </c>
      <c r="F1782" s="19">
        <f>IFERROR(__xludf.DUMMYFUNCTION("IFERROR(TO_DATE(E1782), """")"),42562.313888888886)</f>
        <v>42562.31389</v>
      </c>
      <c r="G1782" s="20">
        <f t="shared" si="1"/>
        <v>7</v>
      </c>
      <c r="H1782" s="26">
        <v>42562.36388888889</v>
      </c>
      <c r="I1782" s="19">
        <f>IFERROR(__xludf.DUMMYFUNCTION("IFERROR(TO_DATE(H1782), """")"),42562.36388888889)</f>
        <v>42562.36389</v>
      </c>
      <c r="J1782" s="19" t="s">
        <v>11</v>
      </c>
      <c r="K1782" s="22">
        <f t="shared" si="2"/>
        <v>0</v>
      </c>
    </row>
    <row r="1783">
      <c r="A1783" s="18">
        <v>717.0</v>
      </c>
      <c r="B1783" s="18" t="s">
        <v>32</v>
      </c>
      <c r="C1783" s="18">
        <v>187.0</v>
      </c>
      <c r="D1783" s="18" t="s">
        <v>31</v>
      </c>
      <c r="E1783" s="26">
        <v>42562.61944444444</v>
      </c>
      <c r="F1783" s="19">
        <f>IFERROR(__xludf.DUMMYFUNCTION("IFERROR(TO_DATE(E1783), """")"),42562.61944444444)</f>
        <v>42562.61944</v>
      </c>
      <c r="G1783" s="20">
        <f t="shared" si="1"/>
        <v>14</v>
      </c>
      <c r="H1783" s="26">
        <v>42562.65694444445</v>
      </c>
      <c r="I1783" s="19">
        <f>IFERROR(__xludf.DUMMYFUNCTION("IFERROR(TO_DATE(H1783), """")"),42562.65694444445)</f>
        <v>42562.65694</v>
      </c>
      <c r="J1783" s="19" t="s">
        <v>10</v>
      </c>
      <c r="K1783" s="22">
        <f t="shared" si="2"/>
        <v>0</v>
      </c>
    </row>
    <row r="1784">
      <c r="A1784" s="18">
        <v>2074.0</v>
      </c>
      <c r="B1784" s="18" t="s">
        <v>32</v>
      </c>
      <c r="C1784" s="18">
        <v>187.0</v>
      </c>
      <c r="D1784" s="18" t="s">
        <v>31</v>
      </c>
      <c r="E1784" s="26">
        <v>42563.64722222222</v>
      </c>
      <c r="F1784" s="19">
        <f>IFERROR(__xludf.DUMMYFUNCTION("IFERROR(TO_DATE(E1784), """")"),42563.64722222222)</f>
        <v>42563.64722</v>
      </c>
      <c r="G1784" s="20">
        <f t="shared" si="1"/>
        <v>15</v>
      </c>
      <c r="H1784" s="26">
        <v>42563.683333333334</v>
      </c>
      <c r="I1784" s="19">
        <f>IFERROR(__xludf.DUMMYFUNCTION("IFERROR(TO_DATE(H1784), """")"),42563.683333333334)</f>
        <v>42563.68333</v>
      </c>
      <c r="J1784" s="19" t="s">
        <v>10</v>
      </c>
      <c r="K1784" s="22">
        <f t="shared" si="2"/>
        <v>0</v>
      </c>
    </row>
    <row r="1785">
      <c r="A1785" s="18">
        <v>4576.0</v>
      </c>
      <c r="B1785" s="18" t="s">
        <v>30</v>
      </c>
      <c r="C1785" s="18">
        <v>187.0</v>
      </c>
      <c r="D1785" s="18" t="s">
        <v>31</v>
      </c>
      <c r="E1785" s="27">
        <v>42565.41491898148</v>
      </c>
      <c r="F1785" s="19">
        <f>IFERROR(__xludf.DUMMYFUNCTION("IFERROR(TO_DATE(E1785), """")"),42565.41491898148)</f>
        <v>42565.41492</v>
      </c>
      <c r="G1785" s="20">
        <f t="shared" si="1"/>
        <v>9</v>
      </c>
      <c r="H1785" s="27">
        <v>42565.46741898148</v>
      </c>
      <c r="I1785" s="19">
        <f>IFERROR(__xludf.DUMMYFUNCTION("IFERROR(TO_DATE(H1785), """")"),42565.46741898148)</f>
        <v>42565.46742</v>
      </c>
      <c r="J1785" s="19" t="s">
        <v>14</v>
      </c>
      <c r="K1785" s="22">
        <f t="shared" si="2"/>
        <v>0</v>
      </c>
    </row>
    <row r="1786">
      <c r="A1786" s="18">
        <v>5503.0</v>
      </c>
      <c r="B1786" s="18" t="s">
        <v>32</v>
      </c>
      <c r="C1786" s="18">
        <v>187.0</v>
      </c>
      <c r="D1786" s="18" t="s">
        <v>31</v>
      </c>
      <c r="E1786" s="27">
        <v>42566.216412037036</v>
      </c>
      <c r="F1786" s="19">
        <f>IFERROR(__xludf.DUMMYFUNCTION("IFERROR(TO_DATE(E1786), """")"),42566.216412037036)</f>
        <v>42566.21641</v>
      </c>
      <c r="G1786" s="20">
        <f t="shared" si="1"/>
        <v>5</v>
      </c>
      <c r="H1786" s="27">
        <v>42566.25109953704</v>
      </c>
      <c r="I1786" s="19">
        <f>IFERROR(__xludf.DUMMYFUNCTION("IFERROR(TO_DATE(H1786), """")"),42566.25109953704)</f>
        <v>42566.2511</v>
      </c>
      <c r="J1786" s="19" t="s">
        <v>11</v>
      </c>
      <c r="K1786" s="22">
        <f t="shared" si="2"/>
        <v>0</v>
      </c>
    </row>
    <row r="1787">
      <c r="A1787" s="18">
        <v>173.0</v>
      </c>
      <c r="B1787" s="18" t="s">
        <v>32</v>
      </c>
      <c r="C1787" s="18">
        <v>188.0</v>
      </c>
      <c r="D1787" s="18" t="s">
        <v>31</v>
      </c>
      <c r="E1787" s="26">
        <v>42562.239583333336</v>
      </c>
      <c r="F1787" s="19">
        <f>IFERROR(__xludf.DUMMYFUNCTION("IFERROR(TO_DATE(E1787), """")"),42562.239583333336)</f>
        <v>42562.23958</v>
      </c>
      <c r="G1787" s="20">
        <f t="shared" si="1"/>
        <v>5</v>
      </c>
      <c r="H1787" s="26">
        <v>42562.270833333336</v>
      </c>
      <c r="I1787" s="19">
        <f>IFERROR(__xludf.DUMMYFUNCTION("IFERROR(TO_DATE(H1787), """")"),42562.270833333336)</f>
        <v>42562.27083</v>
      </c>
      <c r="J1787" s="19" t="s">
        <v>11</v>
      </c>
      <c r="K1787" s="22">
        <f t="shared" si="2"/>
        <v>0</v>
      </c>
    </row>
    <row r="1788">
      <c r="A1788" s="18">
        <v>698.0</v>
      </c>
      <c r="B1788" s="18" t="s">
        <v>32</v>
      </c>
      <c r="C1788" s="18">
        <v>188.0</v>
      </c>
      <c r="D1788" s="18" t="s">
        <v>31</v>
      </c>
      <c r="E1788" s="26">
        <v>42562.583333333336</v>
      </c>
      <c r="F1788" s="19">
        <f>IFERROR(__xludf.DUMMYFUNCTION("IFERROR(TO_DATE(E1788), """")"),42562.583333333336)</f>
        <v>42562.58333</v>
      </c>
      <c r="G1788" s="20">
        <f t="shared" si="1"/>
        <v>14</v>
      </c>
      <c r="H1788" s="26">
        <v>42562.61736111111</v>
      </c>
      <c r="I1788" s="19">
        <f>IFERROR(__xludf.DUMMYFUNCTION("IFERROR(TO_DATE(H1788), """")"),42562.61736111111)</f>
        <v>42562.61736</v>
      </c>
      <c r="J1788" s="19" t="s">
        <v>10</v>
      </c>
      <c r="K1788" s="22">
        <f t="shared" si="2"/>
        <v>0</v>
      </c>
    </row>
    <row r="1789">
      <c r="A1789" s="18">
        <v>2039.0</v>
      </c>
      <c r="B1789" s="18" t="s">
        <v>30</v>
      </c>
      <c r="C1789" s="18">
        <v>188.0</v>
      </c>
      <c r="D1789" s="18" t="s">
        <v>31</v>
      </c>
      <c r="E1789" s="26">
        <v>42563.603472222225</v>
      </c>
      <c r="F1789" s="19">
        <f>IFERROR(__xludf.DUMMYFUNCTION("IFERROR(TO_DATE(E1789), """")"),42563.603472222225)</f>
        <v>42563.60347</v>
      </c>
      <c r="G1789" s="20">
        <f t="shared" si="1"/>
        <v>14</v>
      </c>
      <c r="H1789" s="26">
        <v>42563.6375</v>
      </c>
      <c r="I1789" s="19">
        <f>IFERROR(__xludf.DUMMYFUNCTION("IFERROR(TO_DATE(H1789), """")"),42563.6375)</f>
        <v>42563.6375</v>
      </c>
      <c r="J1789" s="19" t="s">
        <v>10</v>
      </c>
      <c r="K1789" s="22">
        <f t="shared" si="2"/>
        <v>0</v>
      </c>
    </row>
    <row r="1790">
      <c r="A1790" s="18">
        <v>2467.0</v>
      </c>
      <c r="B1790" s="18" t="s">
        <v>30</v>
      </c>
      <c r="C1790" s="18">
        <v>188.0</v>
      </c>
      <c r="D1790" s="18" t="s">
        <v>31</v>
      </c>
      <c r="E1790" s="26">
        <v>42563.856944444444</v>
      </c>
      <c r="F1790" s="19">
        <f>IFERROR(__xludf.DUMMYFUNCTION("IFERROR(TO_DATE(E1790), """")"),42563.856944444444)</f>
        <v>42563.85694</v>
      </c>
      <c r="G1790" s="20">
        <f t="shared" si="1"/>
        <v>20</v>
      </c>
      <c r="H1790" s="26">
        <v>42563.90347222222</v>
      </c>
      <c r="I1790" s="19">
        <f>IFERROR(__xludf.DUMMYFUNCTION("IFERROR(TO_DATE(H1790), """")"),42563.90347222222)</f>
        <v>42563.90347</v>
      </c>
      <c r="J1790" s="19" t="s">
        <v>13</v>
      </c>
      <c r="K1790" s="22">
        <f t="shared" si="2"/>
        <v>0</v>
      </c>
    </row>
    <row r="1791">
      <c r="A1791" s="18">
        <v>2676.0</v>
      </c>
      <c r="B1791" s="18" t="s">
        <v>30</v>
      </c>
      <c r="C1791" s="18">
        <v>188.0</v>
      </c>
      <c r="D1791" s="18" t="s">
        <v>31</v>
      </c>
      <c r="E1791" s="26">
        <v>42563.99513888889</v>
      </c>
      <c r="F1791" s="19">
        <f>IFERROR(__xludf.DUMMYFUNCTION("IFERROR(TO_DATE(E1791), """")"),42563.99513888889)</f>
        <v>42563.99514</v>
      </c>
      <c r="G1791" s="20">
        <f t="shared" si="1"/>
        <v>23</v>
      </c>
      <c r="H1791" s="27">
        <v>42564.018692129626</v>
      </c>
      <c r="I1791" s="19">
        <f>IFERROR(__xludf.DUMMYFUNCTION("IFERROR(TO_DATE(H1791), """")"),42564.018692129626)</f>
        <v>42564.01869</v>
      </c>
      <c r="J1791" s="19" t="s">
        <v>13</v>
      </c>
      <c r="K1791" s="22">
        <f t="shared" si="2"/>
        <v>0</v>
      </c>
    </row>
    <row r="1792">
      <c r="A1792" s="18">
        <v>3038.0</v>
      </c>
      <c r="B1792" s="18" t="s">
        <v>32</v>
      </c>
      <c r="C1792" s="18">
        <v>188.0</v>
      </c>
      <c r="D1792" s="18" t="s">
        <v>31</v>
      </c>
      <c r="E1792" s="27">
        <v>42564.31769675926</v>
      </c>
      <c r="F1792" s="19">
        <f>IFERROR(__xludf.DUMMYFUNCTION("IFERROR(TO_DATE(E1792), """")"),42564.31769675926)</f>
        <v>42564.3177</v>
      </c>
      <c r="G1792" s="20">
        <f t="shared" si="1"/>
        <v>7</v>
      </c>
      <c r="H1792" s="27">
        <v>42564.35670138889</v>
      </c>
      <c r="I1792" s="19">
        <f>IFERROR(__xludf.DUMMYFUNCTION("IFERROR(TO_DATE(H1792), """")"),42564.35670138889)</f>
        <v>42564.3567</v>
      </c>
      <c r="J1792" s="19" t="s">
        <v>11</v>
      </c>
      <c r="K1792" s="22">
        <f t="shared" si="2"/>
        <v>0</v>
      </c>
    </row>
    <row r="1793">
      <c r="A1793" s="18">
        <v>4003.0</v>
      </c>
      <c r="B1793" s="18" t="s">
        <v>30</v>
      </c>
      <c r="C1793" s="18">
        <v>188.0</v>
      </c>
      <c r="D1793" s="18" t="s">
        <v>31</v>
      </c>
      <c r="E1793" s="27">
        <v>42564.98670138889</v>
      </c>
      <c r="F1793" s="19">
        <f>IFERROR(__xludf.DUMMYFUNCTION("IFERROR(TO_DATE(E1793), """")"),42564.98670138889)</f>
        <v>42564.9867</v>
      </c>
      <c r="G1793" s="20">
        <f t="shared" si="1"/>
        <v>23</v>
      </c>
      <c r="H1793" s="27">
        <v>42565.026921296296</v>
      </c>
      <c r="I1793" s="19">
        <f>IFERROR(__xludf.DUMMYFUNCTION("IFERROR(TO_DATE(H1793), """")"),42565.026921296296)</f>
        <v>42565.02692</v>
      </c>
      <c r="J1793" s="19" t="s">
        <v>13</v>
      </c>
      <c r="K1793" s="22">
        <f t="shared" si="2"/>
        <v>0</v>
      </c>
    </row>
    <row r="1794">
      <c r="A1794" s="18">
        <v>4126.0</v>
      </c>
      <c r="B1794" s="18" t="s">
        <v>32</v>
      </c>
      <c r="C1794" s="18">
        <v>188.0</v>
      </c>
      <c r="D1794" s="18" t="s">
        <v>31</v>
      </c>
      <c r="E1794" s="27">
        <v>42565.194918981484</v>
      </c>
      <c r="F1794" s="19">
        <f>IFERROR(__xludf.DUMMYFUNCTION("IFERROR(TO_DATE(E1794), """")"),42565.194918981484)</f>
        <v>42565.19492</v>
      </c>
      <c r="G1794" s="20">
        <f t="shared" si="1"/>
        <v>4</v>
      </c>
      <c r="H1794" s="27">
        <v>42565.245474537034</v>
      </c>
      <c r="I1794" s="19">
        <f>IFERROR(__xludf.DUMMYFUNCTION("IFERROR(TO_DATE(H1794), """")"),42565.245474537034)</f>
        <v>42565.24547</v>
      </c>
      <c r="J1794" s="19" t="s">
        <v>11</v>
      </c>
      <c r="K1794" s="22">
        <f t="shared" si="2"/>
        <v>0</v>
      </c>
    </row>
    <row r="1795">
      <c r="A1795" s="18">
        <v>4611.0</v>
      </c>
      <c r="B1795" s="18" t="s">
        <v>32</v>
      </c>
      <c r="C1795" s="18">
        <v>188.0</v>
      </c>
      <c r="D1795" s="18" t="s">
        <v>31</v>
      </c>
      <c r="E1795" s="27">
        <v>42565.440474537034</v>
      </c>
      <c r="F1795" s="19">
        <f>IFERROR(__xludf.DUMMYFUNCTION("IFERROR(TO_DATE(E1795), """")"),42565.440474537034)</f>
        <v>42565.44047</v>
      </c>
      <c r="G1795" s="20">
        <f t="shared" si="1"/>
        <v>10</v>
      </c>
      <c r="H1795" s="27">
        <v>42565.471597222226</v>
      </c>
      <c r="I1795" s="19">
        <f>IFERROR(__xludf.DUMMYFUNCTION("IFERROR(TO_DATE(H1795), """")"),42565.471597222226)</f>
        <v>42565.4716</v>
      </c>
      <c r="J1795" s="19" t="s">
        <v>14</v>
      </c>
      <c r="K1795" s="22">
        <f t="shared" si="2"/>
        <v>0</v>
      </c>
    </row>
    <row r="1796">
      <c r="A1796" s="18">
        <v>4975.0</v>
      </c>
      <c r="B1796" s="18" t="s">
        <v>32</v>
      </c>
      <c r="C1796" s="18">
        <v>188.0</v>
      </c>
      <c r="D1796" s="18" t="s">
        <v>31</v>
      </c>
      <c r="E1796" s="27">
        <v>42565.779594907406</v>
      </c>
      <c r="F1796" s="19">
        <f>IFERROR(__xludf.DUMMYFUNCTION("IFERROR(TO_DATE(E1796), """")"),42565.779594907406)</f>
        <v>42565.77959</v>
      </c>
      <c r="G1796" s="20">
        <f t="shared" si="1"/>
        <v>18</v>
      </c>
      <c r="H1796" s="27">
        <v>42565.804756944446</v>
      </c>
      <c r="I1796" s="19">
        <f>IFERROR(__xludf.DUMMYFUNCTION("IFERROR(TO_DATE(H1796), """")"),42565.804756944446)</f>
        <v>42565.80476</v>
      </c>
      <c r="J1796" s="19" t="s">
        <v>12</v>
      </c>
      <c r="K1796" s="22">
        <f t="shared" si="2"/>
        <v>0</v>
      </c>
    </row>
    <row r="1797">
      <c r="A1797" s="18">
        <v>5664.0</v>
      </c>
      <c r="B1797" s="18" t="s">
        <v>32</v>
      </c>
      <c r="C1797" s="18">
        <v>188.0</v>
      </c>
      <c r="D1797" s="18" t="s">
        <v>31</v>
      </c>
      <c r="E1797" s="27">
        <v>42566.293761574074</v>
      </c>
      <c r="F1797" s="19">
        <f>IFERROR(__xludf.DUMMYFUNCTION("IFERROR(TO_DATE(E1797), """")"),42566.293761574074)</f>
        <v>42566.29376</v>
      </c>
      <c r="G1797" s="20">
        <f t="shared" si="1"/>
        <v>7</v>
      </c>
      <c r="H1797" s="27">
        <v>42566.32429398148</v>
      </c>
      <c r="I1797" s="19">
        <f>IFERROR(__xludf.DUMMYFUNCTION("IFERROR(TO_DATE(H1797), """")"),42566.32429398148)</f>
        <v>42566.32429</v>
      </c>
      <c r="J1797" s="19" t="s">
        <v>11</v>
      </c>
      <c r="K1797" s="22">
        <f t="shared" si="2"/>
        <v>0</v>
      </c>
    </row>
    <row r="1798">
      <c r="A1798" s="18">
        <v>6006.0</v>
      </c>
      <c r="B1798" s="18" t="s">
        <v>30</v>
      </c>
      <c r="C1798" s="18">
        <v>188.0</v>
      </c>
      <c r="D1798" s="18" t="s">
        <v>31</v>
      </c>
      <c r="E1798" s="27">
        <v>42566.51237268518</v>
      </c>
      <c r="F1798" s="19">
        <f>IFERROR(__xludf.DUMMYFUNCTION("IFERROR(TO_DATE(E1798), """")"),42566.51237268518)</f>
        <v>42566.51237</v>
      </c>
      <c r="G1798" s="20">
        <f t="shared" si="1"/>
        <v>12</v>
      </c>
      <c r="H1798" s="27">
        <v>42566.559270833335</v>
      </c>
      <c r="I1798" s="19">
        <f>IFERROR(__xludf.DUMMYFUNCTION("IFERROR(TO_DATE(H1798), """")"),42566.559270833335)</f>
        <v>42566.55927</v>
      </c>
      <c r="J1798" s="19" t="s">
        <v>10</v>
      </c>
      <c r="K1798" s="22">
        <f t="shared" si="2"/>
        <v>0</v>
      </c>
    </row>
    <row r="1799">
      <c r="A1799" s="18">
        <v>6329.0</v>
      </c>
      <c r="B1799" s="18" t="s">
        <v>32</v>
      </c>
      <c r="C1799" s="18">
        <v>188.0</v>
      </c>
      <c r="D1799" s="18" t="s">
        <v>31</v>
      </c>
      <c r="E1799" s="27">
        <v>42566.78026620371</v>
      </c>
      <c r="F1799" s="19">
        <f>IFERROR(__xludf.DUMMYFUNCTION("IFERROR(TO_DATE(E1799), """")"),42566.78026620371)</f>
        <v>42566.78027</v>
      </c>
      <c r="G1799" s="20">
        <f t="shared" si="1"/>
        <v>18</v>
      </c>
      <c r="H1799" s="27">
        <v>42566.817349537036</v>
      </c>
      <c r="I1799" s="19">
        <f>IFERROR(__xludf.DUMMYFUNCTION("IFERROR(TO_DATE(H1799), """")"),42566.817349537036)</f>
        <v>42566.81735</v>
      </c>
      <c r="J1799" s="19" t="s">
        <v>12</v>
      </c>
      <c r="K1799" s="22">
        <f t="shared" si="2"/>
        <v>0</v>
      </c>
    </row>
    <row r="1800">
      <c r="A1800" s="18">
        <v>2779.0</v>
      </c>
      <c r="B1800" s="18" t="s">
        <v>30</v>
      </c>
      <c r="C1800" s="18">
        <v>189.0</v>
      </c>
      <c r="D1800" s="18" t="s">
        <v>31</v>
      </c>
      <c r="E1800" s="27">
        <v>42564.1987037037</v>
      </c>
      <c r="F1800" s="19">
        <f>IFERROR(__xludf.DUMMYFUNCTION("IFERROR(TO_DATE(E1800), """")"),42564.1987037037)</f>
        <v>42564.1987</v>
      </c>
      <c r="G1800" s="20">
        <f t="shared" si="1"/>
        <v>4</v>
      </c>
      <c r="H1800" s="27">
        <v>42564.237025462964</v>
      </c>
      <c r="I1800" s="19">
        <f>IFERROR(__xludf.DUMMYFUNCTION("IFERROR(TO_DATE(H1800), """")"),42564.237025462964)</f>
        <v>42564.23703</v>
      </c>
      <c r="J1800" s="19" t="s">
        <v>11</v>
      </c>
      <c r="K1800" s="22">
        <f t="shared" si="2"/>
        <v>0</v>
      </c>
    </row>
    <row r="1801">
      <c r="A1801" s="18">
        <v>4216.0</v>
      </c>
      <c r="B1801" s="18" t="s">
        <v>30</v>
      </c>
      <c r="C1801" s="18">
        <v>189.0</v>
      </c>
      <c r="D1801" s="18" t="s">
        <v>31</v>
      </c>
      <c r="E1801" s="27">
        <v>42565.234988425924</v>
      </c>
      <c r="F1801" s="19">
        <f>IFERROR(__xludf.DUMMYFUNCTION("IFERROR(TO_DATE(E1801), """")"),42565.234988425924)</f>
        <v>42565.23499</v>
      </c>
      <c r="G1801" s="20">
        <f t="shared" si="1"/>
        <v>5</v>
      </c>
      <c r="H1801" s="27">
        <v>42565.275416666664</v>
      </c>
      <c r="I1801" s="19">
        <f>IFERROR(__xludf.DUMMYFUNCTION("IFERROR(TO_DATE(H1801), """")"),42565.275416666664)</f>
        <v>42565.27542</v>
      </c>
      <c r="J1801" s="19" t="s">
        <v>11</v>
      </c>
      <c r="K1801" s="22">
        <f t="shared" si="2"/>
        <v>0</v>
      </c>
    </row>
    <row r="1802">
      <c r="A1802" s="18">
        <v>4711.0</v>
      </c>
      <c r="B1802" s="18" t="s">
        <v>30</v>
      </c>
      <c r="C1802" s="18">
        <v>189.0</v>
      </c>
      <c r="D1802" s="18" t="s">
        <v>31</v>
      </c>
      <c r="E1802" s="27">
        <v>42565.5544212963</v>
      </c>
      <c r="F1802" s="19">
        <f>IFERROR(__xludf.DUMMYFUNCTION("IFERROR(TO_DATE(E1802), """")"),42565.5544212963)</f>
        <v>42565.55442</v>
      </c>
      <c r="G1802" s="20">
        <f t="shared" si="1"/>
        <v>13</v>
      </c>
      <c r="H1802" s="27">
        <v>42565.58068287037</v>
      </c>
      <c r="I1802" s="19">
        <f>IFERROR(__xludf.DUMMYFUNCTION("IFERROR(TO_DATE(H1802), """")"),42565.58068287037)</f>
        <v>42565.58068</v>
      </c>
      <c r="J1802" s="19" t="s">
        <v>10</v>
      </c>
      <c r="K1802" s="22">
        <f t="shared" si="2"/>
        <v>0</v>
      </c>
    </row>
    <row r="1803">
      <c r="A1803" s="18">
        <v>4825.0</v>
      </c>
      <c r="B1803" s="18" t="s">
        <v>32</v>
      </c>
      <c r="C1803" s="18">
        <v>189.0</v>
      </c>
      <c r="D1803" s="18" t="s">
        <v>31</v>
      </c>
      <c r="E1803" s="27">
        <v>42565.72368055556</v>
      </c>
      <c r="F1803" s="19">
        <f>IFERROR(__xludf.DUMMYFUNCTION("IFERROR(TO_DATE(E1803), """")"),42565.72368055556)</f>
        <v>42565.72368</v>
      </c>
      <c r="G1803" s="20">
        <f t="shared" si="1"/>
        <v>17</v>
      </c>
      <c r="H1803" s="27">
        <v>42565.76237268518</v>
      </c>
      <c r="I1803" s="19">
        <f>IFERROR(__xludf.DUMMYFUNCTION("IFERROR(TO_DATE(H1803), """")"),42565.76237268518)</f>
        <v>42565.76237</v>
      </c>
      <c r="J1803" s="19" t="s">
        <v>12</v>
      </c>
      <c r="K1803" s="22">
        <f t="shared" si="2"/>
        <v>0</v>
      </c>
    </row>
    <row r="1804">
      <c r="A1804" s="18">
        <v>6175.0</v>
      </c>
      <c r="B1804" s="18" t="s">
        <v>32</v>
      </c>
      <c r="C1804" s="18">
        <v>189.0</v>
      </c>
      <c r="D1804" s="18" t="s">
        <v>31</v>
      </c>
      <c r="E1804" s="27">
        <v>42566.70537037037</v>
      </c>
      <c r="F1804" s="19">
        <f>IFERROR(__xludf.DUMMYFUNCTION("IFERROR(TO_DATE(E1804), """")"),42566.70537037037)</f>
        <v>42566.70537</v>
      </c>
      <c r="G1804" s="20">
        <f t="shared" si="1"/>
        <v>16</v>
      </c>
      <c r="H1804" s="27">
        <v>42566.74266203704</v>
      </c>
      <c r="I1804" s="19">
        <f>IFERROR(__xludf.DUMMYFUNCTION("IFERROR(TO_DATE(H1804), """")"),42566.74266203704)</f>
        <v>42566.74266</v>
      </c>
      <c r="J1804" s="19" t="s">
        <v>12</v>
      </c>
      <c r="K1804" s="22">
        <f t="shared" si="2"/>
        <v>0</v>
      </c>
    </row>
    <row r="1805">
      <c r="A1805" s="18">
        <v>2445.0</v>
      </c>
      <c r="B1805" s="18" t="s">
        <v>32</v>
      </c>
      <c r="C1805" s="18">
        <v>190.0</v>
      </c>
      <c r="D1805" s="18" t="s">
        <v>31</v>
      </c>
      <c r="E1805" s="26">
        <v>42563.84583333333</v>
      </c>
      <c r="F1805" s="19">
        <f>IFERROR(__xludf.DUMMYFUNCTION("IFERROR(TO_DATE(E1805), """")"),42563.84583333333)</f>
        <v>42563.84583</v>
      </c>
      <c r="G1805" s="20">
        <f t="shared" si="1"/>
        <v>20</v>
      </c>
      <c r="H1805" s="26">
        <v>42563.87777777778</v>
      </c>
      <c r="I1805" s="19">
        <f>IFERROR(__xludf.DUMMYFUNCTION("IFERROR(TO_DATE(H1805), """")"),42563.87777777778)</f>
        <v>42563.87778</v>
      </c>
      <c r="J1805" s="19" t="s">
        <v>13</v>
      </c>
      <c r="K1805" s="22">
        <f t="shared" si="2"/>
        <v>0</v>
      </c>
    </row>
    <row r="1806">
      <c r="A1806" s="18">
        <v>2714.0</v>
      </c>
      <c r="B1806" s="18" t="s">
        <v>30</v>
      </c>
      <c r="C1806" s="18">
        <v>190.0</v>
      </c>
      <c r="D1806" s="18" t="s">
        <v>31</v>
      </c>
      <c r="E1806" s="27">
        <v>42564.078356481485</v>
      </c>
      <c r="F1806" s="19">
        <f>IFERROR(__xludf.DUMMYFUNCTION("IFERROR(TO_DATE(E1806), """")"),42564.078356481485)</f>
        <v>42564.07836</v>
      </c>
      <c r="G1806" s="20">
        <f t="shared" si="1"/>
        <v>1</v>
      </c>
      <c r="H1806" s="27">
        <v>42564.11912037037</v>
      </c>
      <c r="I1806" s="19">
        <f>IFERROR(__xludf.DUMMYFUNCTION("IFERROR(TO_DATE(H1806), """")"),42564.11912037037)</f>
        <v>42564.11912</v>
      </c>
      <c r="J1806" s="19" t="s">
        <v>15</v>
      </c>
      <c r="K1806" s="22">
        <f t="shared" si="2"/>
        <v>0</v>
      </c>
    </row>
    <row r="1807">
      <c r="A1807" s="18">
        <v>3089.0</v>
      </c>
      <c r="B1807" s="18" t="s">
        <v>30</v>
      </c>
      <c r="C1807" s="18">
        <v>190.0</v>
      </c>
      <c r="D1807" s="18" t="s">
        <v>31</v>
      </c>
      <c r="E1807" s="27">
        <v>42564.34112268518</v>
      </c>
      <c r="F1807" s="19">
        <f>IFERROR(__xludf.DUMMYFUNCTION("IFERROR(TO_DATE(E1807), """")"),42564.34112268518)</f>
        <v>42564.34112</v>
      </c>
      <c r="G1807" s="20">
        <f t="shared" si="1"/>
        <v>8</v>
      </c>
      <c r="H1807" s="27">
        <v>42564.370625</v>
      </c>
      <c r="I1807" s="19">
        <f>IFERROR(__xludf.DUMMYFUNCTION("IFERROR(TO_DATE(H1807), """")"),42564.370625)</f>
        <v>42564.37063</v>
      </c>
      <c r="J1807" s="19" t="s">
        <v>14</v>
      </c>
      <c r="K1807" s="22">
        <f t="shared" si="2"/>
        <v>0</v>
      </c>
    </row>
    <row r="1808">
      <c r="A1808" s="18">
        <v>3462.0</v>
      </c>
      <c r="B1808" s="18" t="s">
        <v>30</v>
      </c>
      <c r="C1808" s="18">
        <v>190.0</v>
      </c>
      <c r="D1808" s="18" t="s">
        <v>31</v>
      </c>
      <c r="E1808" s="27">
        <v>42564.715625</v>
      </c>
      <c r="F1808" s="19">
        <f>IFERROR(__xludf.DUMMYFUNCTION("IFERROR(TO_DATE(E1808), """")"),42564.715625)</f>
        <v>42564.71563</v>
      </c>
      <c r="G1808" s="20">
        <f t="shared" si="1"/>
        <v>17</v>
      </c>
      <c r="H1808" s="27">
        <v>42564.74480324074</v>
      </c>
      <c r="I1808" s="19">
        <f>IFERROR(__xludf.DUMMYFUNCTION("IFERROR(TO_DATE(H1808), """")"),42564.74480324074)</f>
        <v>42564.7448</v>
      </c>
      <c r="J1808" s="19" t="s">
        <v>12</v>
      </c>
      <c r="K1808" s="22">
        <f t="shared" si="2"/>
        <v>0</v>
      </c>
    </row>
    <row r="1809">
      <c r="A1809" s="18">
        <v>4462.0</v>
      </c>
      <c r="B1809" s="18" t="s">
        <v>30</v>
      </c>
      <c r="C1809" s="18">
        <v>190.0</v>
      </c>
      <c r="D1809" s="18" t="s">
        <v>31</v>
      </c>
      <c r="E1809" s="27">
        <v>42565.36145833333</v>
      </c>
      <c r="F1809" s="19">
        <f>IFERROR(__xludf.DUMMYFUNCTION("IFERROR(TO_DATE(E1809), """")"),42565.36145833333)</f>
        <v>42565.36146</v>
      </c>
      <c r="G1809" s="20">
        <f t="shared" si="1"/>
        <v>8</v>
      </c>
      <c r="H1809" s="27">
        <v>42565.3909375</v>
      </c>
      <c r="I1809" s="19">
        <f>IFERROR(__xludf.DUMMYFUNCTION("IFERROR(TO_DATE(H1809), """")"),42565.3909375)</f>
        <v>42565.39094</v>
      </c>
      <c r="J1809" s="19" t="s">
        <v>14</v>
      </c>
      <c r="K1809" s="22">
        <f t="shared" si="2"/>
        <v>0</v>
      </c>
    </row>
    <row r="1810">
      <c r="A1810" s="18">
        <v>4698.0</v>
      </c>
      <c r="B1810" s="18" t="s">
        <v>32</v>
      </c>
      <c r="C1810" s="18">
        <v>190.0</v>
      </c>
      <c r="D1810" s="18" t="s">
        <v>31</v>
      </c>
      <c r="E1810" s="27">
        <v>42565.54693287037</v>
      </c>
      <c r="F1810" s="19">
        <f>IFERROR(__xludf.DUMMYFUNCTION("IFERROR(TO_DATE(E1810), """")"),42565.54693287037)</f>
        <v>42565.54693</v>
      </c>
      <c r="G1810" s="20">
        <f t="shared" si="1"/>
        <v>13</v>
      </c>
      <c r="H1810" s="27">
        <v>42565.59270833333</v>
      </c>
      <c r="I1810" s="19">
        <f>IFERROR(__xludf.DUMMYFUNCTION("IFERROR(TO_DATE(H1810), """")"),42565.59270833333)</f>
        <v>42565.59271</v>
      </c>
      <c r="J1810" s="19" t="s">
        <v>10</v>
      </c>
      <c r="K1810" s="22">
        <f t="shared" si="2"/>
        <v>0</v>
      </c>
    </row>
    <row r="1811">
      <c r="A1811" s="18">
        <v>5098.0</v>
      </c>
      <c r="B1811" s="18" t="s">
        <v>30</v>
      </c>
      <c r="C1811" s="18">
        <v>190.0</v>
      </c>
      <c r="D1811" s="18" t="s">
        <v>31</v>
      </c>
      <c r="E1811" s="27">
        <v>42565.82671296296</v>
      </c>
      <c r="F1811" s="19">
        <f>IFERROR(__xludf.DUMMYFUNCTION("IFERROR(TO_DATE(E1811), """")"),42565.82671296296)</f>
        <v>42565.82671</v>
      </c>
      <c r="G1811" s="20">
        <f t="shared" si="1"/>
        <v>19</v>
      </c>
      <c r="H1811" s="27">
        <v>42565.85212962963</v>
      </c>
      <c r="I1811" s="19">
        <f>IFERROR(__xludf.DUMMYFUNCTION("IFERROR(TO_DATE(H1811), """")"),42565.85212962963)</f>
        <v>42565.85213</v>
      </c>
      <c r="J1811" s="19" t="s">
        <v>12</v>
      </c>
      <c r="K1811" s="22">
        <f t="shared" si="2"/>
        <v>0</v>
      </c>
    </row>
    <row r="1812">
      <c r="A1812" s="18">
        <v>6711.0</v>
      </c>
      <c r="B1812" s="18" t="s">
        <v>32</v>
      </c>
      <c r="C1812" s="18">
        <v>190.0</v>
      </c>
      <c r="D1812" s="18" t="s">
        <v>31</v>
      </c>
      <c r="E1812" s="27">
        <v>42566.96326388889</v>
      </c>
      <c r="F1812" s="19">
        <f>IFERROR(__xludf.DUMMYFUNCTION("IFERROR(TO_DATE(E1812), """")"),42566.96326388889)</f>
        <v>42566.96326</v>
      </c>
      <c r="G1812" s="20">
        <f t="shared" si="1"/>
        <v>23</v>
      </c>
      <c r="H1812" s="27">
        <v>42567.007881944446</v>
      </c>
      <c r="I1812" s="19">
        <f>IFERROR(__xludf.DUMMYFUNCTION("IFERROR(TO_DATE(H1812), """")"),42567.007881944446)</f>
        <v>42567.00788</v>
      </c>
      <c r="J1812" s="19" t="s">
        <v>13</v>
      </c>
      <c r="K1812" s="22">
        <f t="shared" si="2"/>
        <v>0</v>
      </c>
    </row>
    <row r="1813">
      <c r="A1813" s="18">
        <v>146.0</v>
      </c>
      <c r="B1813" s="18" t="s">
        <v>30</v>
      </c>
      <c r="C1813" s="18">
        <v>191.0</v>
      </c>
      <c r="D1813" s="18" t="s">
        <v>31</v>
      </c>
      <c r="E1813" s="26">
        <v>42562.228472222225</v>
      </c>
      <c r="F1813" s="19">
        <f>IFERROR(__xludf.DUMMYFUNCTION("IFERROR(TO_DATE(E1813), """")"),42562.228472222225)</f>
        <v>42562.22847</v>
      </c>
      <c r="G1813" s="20">
        <f t="shared" si="1"/>
        <v>5</v>
      </c>
      <c r="H1813" s="26">
        <v>42562.25555555556</v>
      </c>
      <c r="I1813" s="19">
        <f>IFERROR(__xludf.DUMMYFUNCTION("IFERROR(TO_DATE(H1813), """")"),42562.25555555556)</f>
        <v>42562.25556</v>
      </c>
      <c r="J1813" s="19" t="s">
        <v>11</v>
      </c>
      <c r="K1813" s="22">
        <f t="shared" si="2"/>
        <v>0</v>
      </c>
    </row>
    <row r="1814">
      <c r="A1814" s="18">
        <v>652.0</v>
      </c>
      <c r="B1814" s="18" t="s">
        <v>30</v>
      </c>
      <c r="C1814" s="18">
        <v>191.0</v>
      </c>
      <c r="D1814" s="18" t="s">
        <v>31</v>
      </c>
      <c r="E1814" s="26">
        <v>42562.529861111114</v>
      </c>
      <c r="F1814" s="19">
        <f>IFERROR(__xludf.DUMMYFUNCTION("IFERROR(TO_DATE(E1814), """")"),42562.529861111114)</f>
        <v>42562.52986</v>
      </c>
      <c r="G1814" s="20">
        <f t="shared" si="1"/>
        <v>12</v>
      </c>
      <c r="H1814" s="26">
        <v>42562.56180555555</v>
      </c>
      <c r="I1814" s="19">
        <f>IFERROR(__xludf.DUMMYFUNCTION("IFERROR(TO_DATE(H1814), """")"),42562.56180555555)</f>
        <v>42562.56181</v>
      </c>
      <c r="J1814" s="19" t="s">
        <v>10</v>
      </c>
      <c r="K1814" s="22">
        <f t="shared" si="2"/>
        <v>0</v>
      </c>
    </row>
    <row r="1815">
      <c r="A1815" s="18">
        <v>1947.0</v>
      </c>
      <c r="B1815" s="18" t="s">
        <v>30</v>
      </c>
      <c r="C1815" s="18">
        <v>191.0</v>
      </c>
      <c r="D1815" s="18" t="s">
        <v>31</v>
      </c>
      <c r="E1815" s="26">
        <v>42563.48125</v>
      </c>
      <c r="F1815" s="19">
        <f>IFERROR(__xludf.DUMMYFUNCTION("IFERROR(TO_DATE(E1815), """")"),42563.48125)</f>
        <v>42563.48125</v>
      </c>
      <c r="G1815" s="20">
        <f t="shared" si="1"/>
        <v>11</v>
      </c>
      <c r="H1815" s="26">
        <v>42563.50625</v>
      </c>
      <c r="I1815" s="19">
        <f>IFERROR(__xludf.DUMMYFUNCTION("IFERROR(TO_DATE(H1815), """")"),42563.50625)</f>
        <v>42563.50625</v>
      </c>
      <c r="J1815" s="19" t="s">
        <v>14</v>
      </c>
      <c r="K1815" s="22">
        <f t="shared" si="2"/>
        <v>0</v>
      </c>
    </row>
    <row r="1816">
      <c r="A1816" s="18">
        <v>2236.0</v>
      </c>
      <c r="B1816" s="18" t="s">
        <v>30</v>
      </c>
      <c r="C1816" s="18">
        <v>191.0</v>
      </c>
      <c r="D1816" s="18" t="s">
        <v>31</v>
      </c>
      <c r="E1816" s="26">
        <v>42563.76111111111</v>
      </c>
      <c r="F1816" s="19">
        <f>IFERROR(__xludf.DUMMYFUNCTION("IFERROR(TO_DATE(E1816), """")"),42563.76111111111)</f>
        <v>42563.76111</v>
      </c>
      <c r="G1816" s="20">
        <f t="shared" si="1"/>
        <v>18</v>
      </c>
      <c r="H1816" s="26">
        <v>42563.79652777778</v>
      </c>
      <c r="I1816" s="19">
        <f>IFERROR(__xludf.DUMMYFUNCTION("IFERROR(TO_DATE(H1816), """")"),42563.79652777778)</f>
        <v>42563.79653</v>
      </c>
      <c r="J1816" s="19" t="s">
        <v>12</v>
      </c>
      <c r="K1816" s="22">
        <f t="shared" si="2"/>
        <v>0</v>
      </c>
    </row>
    <row r="1817">
      <c r="A1817" s="18">
        <v>3393.0</v>
      </c>
      <c r="B1817" s="18" t="s">
        <v>32</v>
      </c>
      <c r="C1817" s="18">
        <v>191.0</v>
      </c>
      <c r="D1817" s="18" t="s">
        <v>31</v>
      </c>
      <c r="E1817" s="27">
        <v>42564.61271990741</v>
      </c>
      <c r="F1817" s="19">
        <f>IFERROR(__xludf.DUMMYFUNCTION("IFERROR(TO_DATE(E1817), """")"),42564.61271990741)</f>
        <v>42564.61272</v>
      </c>
      <c r="G1817" s="20">
        <f t="shared" si="1"/>
        <v>14</v>
      </c>
      <c r="H1817" s="27">
        <v>42564.66570601852</v>
      </c>
      <c r="I1817" s="19">
        <f>IFERROR(__xludf.DUMMYFUNCTION("IFERROR(TO_DATE(H1817), """")"),42564.66570601852)</f>
        <v>42564.66571</v>
      </c>
      <c r="J1817" s="19" t="s">
        <v>10</v>
      </c>
      <c r="K1817" s="22">
        <f t="shared" si="2"/>
        <v>0</v>
      </c>
    </row>
    <row r="1818">
      <c r="A1818" s="18">
        <v>4577.0</v>
      </c>
      <c r="B1818" s="18" t="s">
        <v>30</v>
      </c>
      <c r="C1818" s="18">
        <v>191.0</v>
      </c>
      <c r="D1818" s="18" t="s">
        <v>31</v>
      </c>
      <c r="E1818" s="27">
        <v>42565.41269675926</v>
      </c>
      <c r="F1818" s="19">
        <f>IFERROR(__xludf.DUMMYFUNCTION("IFERROR(TO_DATE(E1818), """")"),42565.41269675926)</f>
        <v>42565.4127</v>
      </c>
      <c r="G1818" s="20">
        <f t="shared" si="1"/>
        <v>9</v>
      </c>
      <c r="H1818" s="27">
        <v>42565.4571875</v>
      </c>
      <c r="I1818" s="19">
        <f>IFERROR(__xludf.DUMMYFUNCTION("IFERROR(TO_DATE(H1818), """")"),42565.4571875)</f>
        <v>42565.45719</v>
      </c>
      <c r="J1818" s="19" t="s">
        <v>14</v>
      </c>
      <c r="K1818" s="22">
        <f t="shared" si="2"/>
        <v>0</v>
      </c>
    </row>
    <row r="1819">
      <c r="A1819" s="18">
        <v>4932.0</v>
      </c>
      <c r="B1819" s="18" t="s">
        <v>32</v>
      </c>
      <c r="C1819" s="18">
        <v>191.0</v>
      </c>
      <c r="D1819" s="18" t="s">
        <v>31</v>
      </c>
      <c r="E1819" s="27">
        <v>42565.7621875</v>
      </c>
      <c r="F1819" s="19">
        <f>IFERROR(__xludf.DUMMYFUNCTION("IFERROR(TO_DATE(E1819), """")"),42565.7621875)</f>
        <v>42565.76219</v>
      </c>
      <c r="G1819" s="20">
        <f t="shared" si="1"/>
        <v>18</v>
      </c>
      <c r="H1819" s="27">
        <v>42565.78737268518</v>
      </c>
      <c r="I1819" s="19">
        <f>IFERROR(__xludf.DUMMYFUNCTION("IFERROR(TO_DATE(H1819), """")"),42565.78737268518)</f>
        <v>42565.78737</v>
      </c>
      <c r="J1819" s="19" t="s">
        <v>12</v>
      </c>
      <c r="K1819" s="22">
        <f t="shared" si="2"/>
        <v>0</v>
      </c>
    </row>
    <row r="1820">
      <c r="A1820" s="18">
        <v>5419.0</v>
      </c>
      <c r="B1820" s="18" t="s">
        <v>32</v>
      </c>
      <c r="C1820" s="18">
        <v>191.0</v>
      </c>
      <c r="D1820" s="18" t="s">
        <v>31</v>
      </c>
      <c r="E1820" s="27">
        <v>42566.084375</v>
      </c>
      <c r="F1820" s="19">
        <f>IFERROR(__xludf.DUMMYFUNCTION("IFERROR(TO_DATE(E1820), """")"),42566.084375)</f>
        <v>42566.08438</v>
      </c>
      <c r="G1820" s="20">
        <f t="shared" si="1"/>
        <v>2</v>
      </c>
      <c r="H1820" s="27">
        <v>42566.107083333336</v>
      </c>
      <c r="I1820" s="19">
        <f>IFERROR(__xludf.DUMMYFUNCTION("IFERROR(TO_DATE(H1820), """")"),42566.107083333336)</f>
        <v>42566.10708</v>
      </c>
      <c r="J1820" s="19" t="s">
        <v>15</v>
      </c>
      <c r="K1820" s="22">
        <f t="shared" si="2"/>
        <v>0</v>
      </c>
    </row>
    <row r="1821">
      <c r="A1821" s="18">
        <v>5766.0</v>
      </c>
      <c r="B1821" s="18" t="s">
        <v>32</v>
      </c>
      <c r="C1821" s="18">
        <v>191.0</v>
      </c>
      <c r="D1821" s="18" t="s">
        <v>31</v>
      </c>
      <c r="E1821" s="27">
        <v>42566.347083333334</v>
      </c>
      <c r="F1821" s="19">
        <f>IFERROR(__xludf.DUMMYFUNCTION("IFERROR(TO_DATE(E1821), """")"),42566.347083333334)</f>
        <v>42566.34708</v>
      </c>
      <c r="G1821" s="20">
        <f t="shared" si="1"/>
        <v>8</v>
      </c>
      <c r="H1821" s="27">
        <v>42566.387870370374</v>
      </c>
      <c r="I1821" s="19">
        <f>IFERROR(__xludf.DUMMYFUNCTION("IFERROR(TO_DATE(H1821), """")"),42566.387870370374)</f>
        <v>42566.38787</v>
      </c>
      <c r="J1821" s="19" t="s">
        <v>14</v>
      </c>
      <c r="K1821" s="22">
        <f t="shared" si="2"/>
        <v>0</v>
      </c>
    </row>
    <row r="1822">
      <c r="A1822" s="18">
        <v>6261.0</v>
      </c>
      <c r="B1822" s="18" t="s">
        <v>30</v>
      </c>
      <c r="C1822" s="18">
        <v>191.0</v>
      </c>
      <c r="D1822" s="18" t="s">
        <v>31</v>
      </c>
      <c r="E1822" s="27">
        <v>42566.75491898148</v>
      </c>
      <c r="F1822" s="19">
        <f>IFERROR(__xludf.DUMMYFUNCTION("IFERROR(TO_DATE(E1822), """")"),42566.75491898148)</f>
        <v>42566.75492</v>
      </c>
      <c r="G1822" s="20">
        <f t="shared" si="1"/>
        <v>18</v>
      </c>
      <c r="H1822" s="27">
        <v>42566.796944444446</v>
      </c>
      <c r="I1822" s="19">
        <f>IFERROR(__xludf.DUMMYFUNCTION("IFERROR(TO_DATE(H1822), """")"),42566.796944444446)</f>
        <v>42566.79694</v>
      </c>
      <c r="J1822" s="19" t="s">
        <v>12</v>
      </c>
      <c r="K1822" s="22">
        <f t="shared" si="2"/>
        <v>0</v>
      </c>
    </row>
    <row r="1823">
      <c r="A1823" s="18">
        <v>800.0</v>
      </c>
      <c r="B1823" s="18" t="s">
        <v>30</v>
      </c>
      <c r="C1823" s="18">
        <v>192.0</v>
      </c>
      <c r="D1823" s="18" t="s">
        <v>31</v>
      </c>
      <c r="E1823" s="26">
        <v>42562.717361111114</v>
      </c>
      <c r="F1823" s="19">
        <f>IFERROR(__xludf.DUMMYFUNCTION("IFERROR(TO_DATE(E1823), """")"),42562.717361111114)</f>
        <v>42562.71736</v>
      </c>
      <c r="G1823" s="20">
        <f t="shared" si="1"/>
        <v>17</v>
      </c>
      <c r="H1823" s="26">
        <v>42562.74722222222</v>
      </c>
      <c r="I1823" s="19">
        <f>IFERROR(__xludf.DUMMYFUNCTION("IFERROR(TO_DATE(H1823), """")"),42562.74722222222)</f>
        <v>42562.74722</v>
      </c>
      <c r="J1823" s="19" t="s">
        <v>12</v>
      </c>
      <c r="K1823" s="22">
        <f t="shared" si="2"/>
        <v>0</v>
      </c>
    </row>
    <row r="1824">
      <c r="A1824" s="18">
        <v>1484.0</v>
      </c>
      <c r="B1824" s="18" t="s">
        <v>30</v>
      </c>
      <c r="C1824" s="18">
        <v>192.0</v>
      </c>
      <c r="D1824" s="18" t="s">
        <v>31</v>
      </c>
      <c r="E1824" s="26">
        <v>42563.22152777778</v>
      </c>
      <c r="F1824" s="19">
        <f>IFERROR(__xludf.DUMMYFUNCTION("IFERROR(TO_DATE(E1824), """")"),42563.22152777778)</f>
        <v>42563.22153</v>
      </c>
      <c r="G1824" s="20">
        <f t="shared" si="1"/>
        <v>5</v>
      </c>
      <c r="H1824" s="26">
        <v>42563.24652777778</v>
      </c>
      <c r="I1824" s="19">
        <f>IFERROR(__xludf.DUMMYFUNCTION("IFERROR(TO_DATE(H1824), """")"),42563.24652777778)</f>
        <v>42563.24653</v>
      </c>
      <c r="J1824" s="19" t="s">
        <v>11</v>
      </c>
      <c r="K1824" s="22">
        <f t="shared" si="2"/>
        <v>0</v>
      </c>
    </row>
    <row r="1825">
      <c r="A1825" s="18">
        <v>1989.0</v>
      </c>
      <c r="B1825" s="18" t="s">
        <v>30</v>
      </c>
      <c r="C1825" s="18">
        <v>192.0</v>
      </c>
      <c r="D1825" s="18" t="s">
        <v>31</v>
      </c>
      <c r="E1825" s="26">
        <v>42563.520833333336</v>
      </c>
      <c r="F1825" s="19">
        <f>IFERROR(__xludf.DUMMYFUNCTION("IFERROR(TO_DATE(E1825), """")"),42563.520833333336)</f>
        <v>42563.52083</v>
      </c>
      <c r="G1825" s="20">
        <f t="shared" si="1"/>
        <v>12</v>
      </c>
      <c r="H1825" s="26">
        <v>42563.54236111111</v>
      </c>
      <c r="I1825" s="19">
        <f>IFERROR(__xludf.DUMMYFUNCTION("IFERROR(TO_DATE(H1825), """")"),42563.54236111111)</f>
        <v>42563.54236</v>
      </c>
      <c r="J1825" s="19" t="s">
        <v>10</v>
      </c>
      <c r="K1825" s="22">
        <f t="shared" si="2"/>
        <v>0</v>
      </c>
    </row>
    <row r="1826">
      <c r="A1826" s="18">
        <v>3850.0</v>
      </c>
      <c r="B1826" s="18" t="s">
        <v>30</v>
      </c>
      <c r="C1826" s="18">
        <v>192.0</v>
      </c>
      <c r="D1826" s="18" t="s">
        <v>31</v>
      </c>
      <c r="E1826" s="27">
        <v>42564.89400462963</v>
      </c>
      <c r="F1826" s="19">
        <f>IFERROR(__xludf.DUMMYFUNCTION("IFERROR(TO_DATE(E1826), """")"),42564.89400462963)</f>
        <v>42564.894</v>
      </c>
      <c r="G1826" s="20">
        <f t="shared" si="1"/>
        <v>21</v>
      </c>
      <c r="H1826" s="27">
        <v>42564.920266203706</v>
      </c>
      <c r="I1826" s="19">
        <f>IFERROR(__xludf.DUMMYFUNCTION("IFERROR(TO_DATE(H1826), """")"),42564.920266203706)</f>
        <v>42564.92027</v>
      </c>
      <c r="J1826" s="19" t="s">
        <v>13</v>
      </c>
      <c r="K1826" s="22">
        <f t="shared" si="2"/>
        <v>0</v>
      </c>
    </row>
    <row r="1827">
      <c r="A1827" s="18">
        <v>4441.0</v>
      </c>
      <c r="B1827" s="18" t="s">
        <v>32</v>
      </c>
      <c r="C1827" s="18">
        <v>192.0</v>
      </c>
      <c r="D1827" s="18" t="s">
        <v>31</v>
      </c>
      <c r="E1827" s="27">
        <v>42565.35565972222</v>
      </c>
      <c r="F1827" s="19">
        <f>IFERROR(__xludf.DUMMYFUNCTION("IFERROR(TO_DATE(E1827), """")"),42565.35565972222)</f>
        <v>42565.35566</v>
      </c>
      <c r="G1827" s="20">
        <f t="shared" si="1"/>
        <v>8</v>
      </c>
      <c r="H1827" s="27">
        <v>42565.38853009259</v>
      </c>
      <c r="I1827" s="19">
        <f>IFERROR(__xludf.DUMMYFUNCTION("IFERROR(TO_DATE(H1827), """")"),42565.38853009259)</f>
        <v>42565.38853</v>
      </c>
      <c r="J1827" s="19" t="s">
        <v>14</v>
      </c>
      <c r="K1827" s="22">
        <f t="shared" si="2"/>
        <v>0</v>
      </c>
    </row>
    <row r="1828">
      <c r="A1828" s="18">
        <v>4783.0</v>
      </c>
      <c r="B1828" s="18" t="s">
        <v>30</v>
      </c>
      <c r="C1828" s="18">
        <v>192.0</v>
      </c>
      <c r="D1828" s="18" t="s">
        <v>31</v>
      </c>
      <c r="E1828" s="27">
        <v>42565.69053240741</v>
      </c>
      <c r="F1828" s="19">
        <f>IFERROR(__xludf.DUMMYFUNCTION("IFERROR(TO_DATE(E1828), """")"),42565.69053240741)</f>
        <v>42565.69053</v>
      </c>
      <c r="G1828" s="20">
        <f t="shared" si="1"/>
        <v>16</v>
      </c>
      <c r="H1828" s="27">
        <v>42565.72321759259</v>
      </c>
      <c r="I1828" s="19">
        <f>IFERROR(__xludf.DUMMYFUNCTION("IFERROR(TO_DATE(H1828), """")"),42565.72321759259)</f>
        <v>42565.72322</v>
      </c>
      <c r="J1828" s="19" t="s">
        <v>12</v>
      </c>
      <c r="K1828" s="22">
        <f t="shared" si="2"/>
        <v>0</v>
      </c>
    </row>
    <row r="1829">
      <c r="A1829" s="18">
        <v>392.0</v>
      </c>
      <c r="B1829" s="18" t="s">
        <v>30</v>
      </c>
      <c r="C1829" s="18">
        <v>193.0</v>
      </c>
      <c r="D1829" s="18" t="s">
        <v>31</v>
      </c>
      <c r="E1829" s="26">
        <v>42562.34930555556</v>
      </c>
      <c r="F1829" s="19">
        <f>IFERROR(__xludf.DUMMYFUNCTION("IFERROR(TO_DATE(E1829), """")"),42562.34930555556)</f>
        <v>42562.34931</v>
      </c>
      <c r="G1829" s="20">
        <f t="shared" si="1"/>
        <v>8</v>
      </c>
      <c r="H1829" s="26">
        <v>42562.381944444445</v>
      </c>
      <c r="I1829" s="19">
        <f>IFERROR(__xludf.DUMMYFUNCTION("IFERROR(TO_DATE(H1829), """")"),42562.381944444445)</f>
        <v>42562.38194</v>
      </c>
      <c r="J1829" s="19" t="s">
        <v>14</v>
      </c>
      <c r="K1829" s="22">
        <f t="shared" si="2"/>
        <v>0</v>
      </c>
    </row>
    <row r="1830">
      <c r="A1830" s="18">
        <v>653.0</v>
      </c>
      <c r="B1830" s="18" t="s">
        <v>32</v>
      </c>
      <c r="C1830" s="18">
        <v>193.0</v>
      </c>
      <c r="D1830" s="18" t="s">
        <v>31</v>
      </c>
      <c r="E1830" s="26">
        <v>42562.532638888886</v>
      </c>
      <c r="F1830" s="19">
        <f>IFERROR(__xludf.DUMMYFUNCTION("IFERROR(TO_DATE(E1830), """")"),42562.532638888886)</f>
        <v>42562.53264</v>
      </c>
      <c r="G1830" s="20">
        <f t="shared" si="1"/>
        <v>12</v>
      </c>
      <c r="H1830" s="26">
        <v>42562.57847222222</v>
      </c>
      <c r="I1830" s="19">
        <f>IFERROR(__xludf.DUMMYFUNCTION("IFERROR(TO_DATE(H1830), """")"),42562.57847222222)</f>
        <v>42562.57847</v>
      </c>
      <c r="J1830" s="19" t="s">
        <v>10</v>
      </c>
      <c r="K1830" s="22">
        <f t="shared" si="2"/>
        <v>0</v>
      </c>
    </row>
    <row r="1831">
      <c r="A1831" s="18">
        <v>1283.0</v>
      </c>
      <c r="B1831" s="18" t="s">
        <v>32</v>
      </c>
      <c r="C1831" s="18">
        <v>193.0</v>
      </c>
      <c r="D1831" s="18" t="s">
        <v>31</v>
      </c>
      <c r="E1831" s="26">
        <v>42562.92291666667</v>
      </c>
      <c r="F1831" s="19">
        <f>IFERROR(__xludf.DUMMYFUNCTION("IFERROR(TO_DATE(E1831), """")"),42562.92291666667)</f>
        <v>42562.92292</v>
      </c>
      <c r="G1831" s="20">
        <f t="shared" si="1"/>
        <v>22</v>
      </c>
      <c r="H1831" s="26">
        <v>42562.97083333333</v>
      </c>
      <c r="I1831" s="19">
        <f>IFERROR(__xludf.DUMMYFUNCTION("IFERROR(TO_DATE(H1831), """")"),42562.97083333333)</f>
        <v>42562.97083</v>
      </c>
      <c r="J1831" s="19" t="s">
        <v>13</v>
      </c>
      <c r="K1831" s="22">
        <f t="shared" si="2"/>
        <v>0</v>
      </c>
    </row>
    <row r="1832">
      <c r="A1832" s="18">
        <v>1860.0</v>
      </c>
      <c r="B1832" s="18" t="s">
        <v>32</v>
      </c>
      <c r="C1832" s="18">
        <v>193.0</v>
      </c>
      <c r="D1832" s="18" t="s">
        <v>31</v>
      </c>
      <c r="E1832" s="26">
        <v>42563.413194444445</v>
      </c>
      <c r="F1832" s="19">
        <f>IFERROR(__xludf.DUMMYFUNCTION("IFERROR(TO_DATE(E1832), """")"),42563.413194444445)</f>
        <v>42563.41319</v>
      </c>
      <c r="G1832" s="20">
        <f t="shared" si="1"/>
        <v>9</v>
      </c>
      <c r="H1832" s="26">
        <v>42563.438888888886</v>
      </c>
      <c r="I1832" s="19">
        <f>IFERROR(__xludf.DUMMYFUNCTION("IFERROR(TO_DATE(H1832), """")"),42563.438888888886)</f>
        <v>42563.43889</v>
      </c>
      <c r="J1832" s="19" t="s">
        <v>14</v>
      </c>
      <c r="K1832" s="22">
        <f t="shared" si="2"/>
        <v>0</v>
      </c>
    </row>
    <row r="1833">
      <c r="A1833" s="18">
        <v>1910.0</v>
      </c>
      <c r="B1833" s="18" t="s">
        <v>30</v>
      </c>
      <c r="C1833" s="18">
        <v>193.0</v>
      </c>
      <c r="D1833" s="18" t="s">
        <v>31</v>
      </c>
      <c r="E1833" s="26">
        <v>42563.44513888889</v>
      </c>
      <c r="F1833" s="19">
        <f>IFERROR(__xludf.DUMMYFUNCTION("IFERROR(TO_DATE(E1833), """")"),42563.44513888889)</f>
        <v>42563.44514</v>
      </c>
      <c r="G1833" s="20">
        <f t="shared" si="1"/>
        <v>10</v>
      </c>
      <c r="H1833" s="26">
        <v>42563.47708333333</v>
      </c>
      <c r="I1833" s="19">
        <f>IFERROR(__xludf.DUMMYFUNCTION("IFERROR(TO_DATE(H1833), """")"),42563.47708333333)</f>
        <v>42563.47708</v>
      </c>
      <c r="J1833" s="19" t="s">
        <v>14</v>
      </c>
      <c r="K1833" s="22">
        <f t="shared" si="2"/>
        <v>0</v>
      </c>
    </row>
    <row r="1834">
      <c r="A1834" s="18">
        <v>2259.0</v>
      </c>
      <c r="B1834" s="18" t="s">
        <v>30</v>
      </c>
      <c r="C1834" s="18">
        <v>193.0</v>
      </c>
      <c r="D1834" s="18" t="s">
        <v>31</v>
      </c>
      <c r="E1834" s="26">
        <v>42563.770833333336</v>
      </c>
      <c r="F1834" s="19">
        <f>IFERROR(__xludf.DUMMYFUNCTION("IFERROR(TO_DATE(E1834), """")"),42563.770833333336)</f>
        <v>42563.77083</v>
      </c>
      <c r="G1834" s="20">
        <f t="shared" si="1"/>
        <v>18</v>
      </c>
      <c r="H1834" s="26">
        <v>42563.816666666666</v>
      </c>
      <c r="I1834" s="19">
        <f>IFERROR(__xludf.DUMMYFUNCTION("IFERROR(TO_DATE(H1834), """")"),42563.816666666666)</f>
        <v>42563.81667</v>
      </c>
      <c r="J1834" s="19" t="s">
        <v>12</v>
      </c>
      <c r="K1834" s="22">
        <f t="shared" si="2"/>
        <v>0</v>
      </c>
    </row>
    <row r="1835">
      <c r="A1835" s="18">
        <v>2752.0</v>
      </c>
      <c r="B1835" s="18" t="s">
        <v>30</v>
      </c>
      <c r="C1835" s="18">
        <v>193.0</v>
      </c>
      <c r="D1835" s="18" t="s">
        <v>31</v>
      </c>
      <c r="E1835" s="27">
        <v>42564.15109953703</v>
      </c>
      <c r="F1835" s="19">
        <f>IFERROR(__xludf.DUMMYFUNCTION("IFERROR(TO_DATE(E1835), """")"),42564.15109953703)</f>
        <v>42564.1511</v>
      </c>
      <c r="G1835" s="20">
        <f t="shared" si="1"/>
        <v>3</v>
      </c>
      <c r="H1835" s="27">
        <v>42564.18038194445</v>
      </c>
      <c r="I1835" s="19">
        <f>IFERROR(__xludf.DUMMYFUNCTION("IFERROR(TO_DATE(H1835), """")"),42564.18038194445)</f>
        <v>42564.18038</v>
      </c>
      <c r="J1835" s="19" t="s">
        <v>15</v>
      </c>
      <c r="K1835" s="22">
        <f t="shared" si="2"/>
        <v>0</v>
      </c>
    </row>
    <row r="1836">
      <c r="A1836" s="18">
        <v>3385.0</v>
      </c>
      <c r="B1836" s="18" t="s">
        <v>32</v>
      </c>
      <c r="C1836" s="18">
        <v>193.0</v>
      </c>
      <c r="D1836" s="18" t="s">
        <v>31</v>
      </c>
      <c r="E1836" s="27">
        <v>42564.60664351852</v>
      </c>
      <c r="F1836" s="19">
        <f>IFERROR(__xludf.DUMMYFUNCTION("IFERROR(TO_DATE(E1836), """")"),42564.60664351852)</f>
        <v>42564.60664</v>
      </c>
      <c r="G1836" s="20">
        <f t="shared" si="1"/>
        <v>14</v>
      </c>
      <c r="H1836" s="27">
        <v>42564.639872685184</v>
      </c>
      <c r="I1836" s="19">
        <f>IFERROR(__xludf.DUMMYFUNCTION("IFERROR(TO_DATE(H1836), """")"),42564.639872685184)</f>
        <v>42564.63987</v>
      </c>
      <c r="J1836" s="19" t="s">
        <v>10</v>
      </c>
      <c r="K1836" s="22">
        <f t="shared" si="2"/>
        <v>0</v>
      </c>
    </row>
    <row r="1837">
      <c r="A1837" s="18">
        <v>4915.0</v>
      </c>
      <c r="B1837" s="18" t="s">
        <v>30</v>
      </c>
      <c r="C1837" s="18">
        <v>193.0</v>
      </c>
      <c r="D1837" s="18" t="s">
        <v>31</v>
      </c>
      <c r="E1837" s="27">
        <v>42565.7587037037</v>
      </c>
      <c r="F1837" s="19">
        <f>IFERROR(__xludf.DUMMYFUNCTION("IFERROR(TO_DATE(E1837), """")"),42565.7587037037)</f>
        <v>42565.7587</v>
      </c>
      <c r="G1837" s="20">
        <f t="shared" si="1"/>
        <v>18</v>
      </c>
      <c r="H1837" s="27">
        <v>42565.79657407408</v>
      </c>
      <c r="I1837" s="19">
        <f>IFERROR(__xludf.DUMMYFUNCTION("IFERROR(TO_DATE(H1837), """")"),42565.79657407408)</f>
        <v>42565.79657</v>
      </c>
      <c r="J1837" s="19" t="s">
        <v>12</v>
      </c>
      <c r="K1837" s="22">
        <f t="shared" si="2"/>
        <v>0</v>
      </c>
    </row>
    <row r="1838">
      <c r="A1838" s="18">
        <v>5957.0</v>
      </c>
      <c r="B1838" s="18" t="s">
        <v>30</v>
      </c>
      <c r="C1838" s="18">
        <v>193.0</v>
      </c>
      <c r="D1838" s="18" t="s">
        <v>31</v>
      </c>
      <c r="E1838" s="27">
        <v>42566.448645833334</v>
      </c>
      <c r="F1838" s="19">
        <f>IFERROR(__xludf.DUMMYFUNCTION("IFERROR(TO_DATE(E1838), """")"),42566.448645833334)</f>
        <v>42566.44865</v>
      </c>
      <c r="G1838" s="20">
        <f t="shared" si="1"/>
        <v>10</v>
      </c>
      <c r="H1838" s="27">
        <v>42566.47703703704</v>
      </c>
      <c r="I1838" s="19">
        <f>IFERROR(__xludf.DUMMYFUNCTION("IFERROR(TO_DATE(H1838), """")"),42566.47703703704)</f>
        <v>42566.47704</v>
      </c>
      <c r="J1838" s="19" t="s">
        <v>14</v>
      </c>
      <c r="K1838" s="22">
        <f t="shared" si="2"/>
        <v>0</v>
      </c>
    </row>
    <row r="1839">
      <c r="A1839" s="18">
        <v>5992.0</v>
      </c>
      <c r="B1839" s="18" t="s">
        <v>32</v>
      </c>
      <c r="C1839" s="18">
        <v>193.0</v>
      </c>
      <c r="D1839" s="18" t="s">
        <v>31</v>
      </c>
      <c r="E1839" s="27">
        <v>42566.496030092596</v>
      </c>
      <c r="F1839" s="19">
        <f>IFERROR(__xludf.DUMMYFUNCTION("IFERROR(TO_DATE(E1839), """")"),42566.496030092596)</f>
        <v>42566.49603</v>
      </c>
      <c r="G1839" s="20">
        <f t="shared" si="1"/>
        <v>11</v>
      </c>
      <c r="H1839" s="27">
        <v>42566.52768518519</v>
      </c>
      <c r="I1839" s="19">
        <f>IFERROR(__xludf.DUMMYFUNCTION("IFERROR(TO_DATE(H1839), """")"),42566.52768518519)</f>
        <v>42566.52769</v>
      </c>
      <c r="J1839" s="19" t="s">
        <v>14</v>
      </c>
      <c r="K1839" s="22">
        <f t="shared" si="2"/>
        <v>0</v>
      </c>
    </row>
    <row r="1840">
      <c r="A1840" s="18">
        <v>6160.0</v>
      </c>
      <c r="B1840" s="18" t="s">
        <v>30</v>
      </c>
      <c r="C1840" s="18">
        <v>193.0</v>
      </c>
      <c r="D1840" s="18" t="s">
        <v>31</v>
      </c>
      <c r="E1840" s="27">
        <v>42566.687685185185</v>
      </c>
      <c r="F1840" s="19">
        <f>IFERROR(__xludf.DUMMYFUNCTION("IFERROR(TO_DATE(E1840), """")"),42566.687685185185)</f>
        <v>42566.68769</v>
      </c>
      <c r="G1840" s="20">
        <f t="shared" si="1"/>
        <v>16</v>
      </c>
      <c r="H1840" s="27">
        <v>42566.73585648148</v>
      </c>
      <c r="I1840" s="19">
        <f>IFERROR(__xludf.DUMMYFUNCTION("IFERROR(TO_DATE(H1840), """")"),42566.73585648148)</f>
        <v>42566.73586</v>
      </c>
      <c r="J1840" s="19" t="s">
        <v>12</v>
      </c>
      <c r="K1840" s="22">
        <f t="shared" si="2"/>
        <v>0</v>
      </c>
    </row>
    <row r="1841">
      <c r="A1841" s="18">
        <v>21.0</v>
      </c>
      <c r="B1841" s="18" t="s">
        <v>30</v>
      </c>
      <c r="C1841" s="18">
        <v>194.0</v>
      </c>
      <c r="D1841" s="18" t="s">
        <v>31</v>
      </c>
      <c r="E1841" s="26">
        <v>42562.06180555555</v>
      </c>
      <c r="F1841" s="19">
        <f>IFERROR(__xludf.DUMMYFUNCTION("IFERROR(TO_DATE(E1841), """")"),42562.06180555555)</f>
        <v>42562.06181</v>
      </c>
      <c r="G1841" s="20">
        <f t="shared" si="1"/>
        <v>1</v>
      </c>
      <c r="H1841" s="26">
        <v>42562.086805555555</v>
      </c>
      <c r="I1841" s="19">
        <f>IFERROR(__xludf.DUMMYFUNCTION("IFERROR(TO_DATE(H1841), """")"),42562.086805555555)</f>
        <v>42562.08681</v>
      </c>
      <c r="J1841" s="19" t="s">
        <v>15</v>
      </c>
      <c r="K1841" s="22">
        <f t="shared" si="2"/>
        <v>0</v>
      </c>
    </row>
    <row r="1842">
      <c r="A1842" s="18">
        <v>106.0</v>
      </c>
      <c r="B1842" s="18" t="s">
        <v>32</v>
      </c>
      <c r="C1842" s="18">
        <v>194.0</v>
      </c>
      <c r="D1842" s="18" t="s">
        <v>31</v>
      </c>
      <c r="E1842" s="26">
        <v>42562.2125</v>
      </c>
      <c r="F1842" s="19">
        <f>IFERROR(__xludf.DUMMYFUNCTION("IFERROR(TO_DATE(E1842), """")"),42562.2125)</f>
        <v>42562.2125</v>
      </c>
      <c r="G1842" s="20">
        <f t="shared" si="1"/>
        <v>5</v>
      </c>
      <c r="H1842" s="26">
        <v>42562.23472222222</v>
      </c>
      <c r="I1842" s="19">
        <f>IFERROR(__xludf.DUMMYFUNCTION("IFERROR(TO_DATE(H1842), """")"),42562.23472222222)</f>
        <v>42562.23472</v>
      </c>
      <c r="J1842" s="19" t="s">
        <v>11</v>
      </c>
      <c r="K1842" s="22">
        <f t="shared" si="2"/>
        <v>0</v>
      </c>
    </row>
    <row r="1843">
      <c r="A1843" s="18">
        <v>512.0</v>
      </c>
      <c r="B1843" s="18" t="s">
        <v>30</v>
      </c>
      <c r="C1843" s="18">
        <v>194.0</v>
      </c>
      <c r="D1843" s="18" t="s">
        <v>31</v>
      </c>
      <c r="E1843" s="26">
        <v>42562.407638888886</v>
      </c>
      <c r="F1843" s="19">
        <f>IFERROR(__xludf.DUMMYFUNCTION("IFERROR(TO_DATE(E1843), """")"),42562.407638888886)</f>
        <v>42562.40764</v>
      </c>
      <c r="G1843" s="20">
        <f t="shared" si="1"/>
        <v>9</v>
      </c>
      <c r="H1843" s="26">
        <v>42562.45486111111</v>
      </c>
      <c r="I1843" s="19">
        <f>IFERROR(__xludf.DUMMYFUNCTION("IFERROR(TO_DATE(H1843), """")"),42562.45486111111)</f>
        <v>42562.45486</v>
      </c>
      <c r="J1843" s="19" t="s">
        <v>14</v>
      </c>
      <c r="K1843" s="22">
        <f t="shared" si="2"/>
        <v>0</v>
      </c>
    </row>
    <row r="1844">
      <c r="A1844" s="18">
        <v>760.0</v>
      </c>
      <c r="B1844" s="18" t="s">
        <v>32</v>
      </c>
      <c r="C1844" s="18">
        <v>194.0</v>
      </c>
      <c r="D1844" s="18" t="s">
        <v>31</v>
      </c>
      <c r="E1844" s="26">
        <v>42562.677777777775</v>
      </c>
      <c r="F1844" s="19">
        <f>IFERROR(__xludf.DUMMYFUNCTION("IFERROR(TO_DATE(E1844), """")"),42562.677777777775)</f>
        <v>42562.67778</v>
      </c>
      <c r="G1844" s="20">
        <f t="shared" si="1"/>
        <v>16</v>
      </c>
      <c r="H1844" s="26">
        <v>42562.70416666667</v>
      </c>
      <c r="I1844" s="19">
        <f>IFERROR(__xludf.DUMMYFUNCTION("IFERROR(TO_DATE(H1844), """")"),42562.70416666667)</f>
        <v>42562.70417</v>
      </c>
      <c r="J1844" s="19" t="s">
        <v>12</v>
      </c>
      <c r="K1844" s="22">
        <f t="shared" si="2"/>
        <v>0</v>
      </c>
    </row>
    <row r="1845">
      <c r="A1845" s="18">
        <v>1098.0</v>
      </c>
      <c r="B1845" s="18" t="s">
        <v>32</v>
      </c>
      <c r="C1845" s="18">
        <v>194.0</v>
      </c>
      <c r="D1845" s="18" t="s">
        <v>31</v>
      </c>
      <c r="E1845" s="26">
        <v>42562.84375</v>
      </c>
      <c r="F1845" s="19">
        <f>IFERROR(__xludf.DUMMYFUNCTION("IFERROR(TO_DATE(E1845), """")"),42562.84375)</f>
        <v>42562.84375</v>
      </c>
      <c r="G1845" s="20">
        <f t="shared" si="1"/>
        <v>20</v>
      </c>
      <c r="H1845" s="26">
        <v>42562.87708333333</v>
      </c>
      <c r="I1845" s="19">
        <f>IFERROR(__xludf.DUMMYFUNCTION("IFERROR(TO_DATE(H1845), """")"),42562.87708333333)</f>
        <v>42562.87708</v>
      </c>
      <c r="J1845" s="19" t="s">
        <v>13</v>
      </c>
      <c r="K1845" s="22">
        <f t="shared" si="2"/>
        <v>0</v>
      </c>
    </row>
    <row r="1846">
      <c r="A1846" s="18">
        <v>1314.0</v>
      </c>
      <c r="B1846" s="18" t="s">
        <v>30</v>
      </c>
      <c r="C1846" s="18">
        <v>194.0</v>
      </c>
      <c r="D1846" s="18" t="s">
        <v>31</v>
      </c>
      <c r="E1846" s="26">
        <v>42562.947222222225</v>
      </c>
      <c r="F1846" s="19">
        <f>IFERROR(__xludf.DUMMYFUNCTION("IFERROR(TO_DATE(E1846), """")"),42562.947222222225)</f>
        <v>42562.94722</v>
      </c>
      <c r="G1846" s="20">
        <f t="shared" si="1"/>
        <v>22</v>
      </c>
      <c r="H1846" s="26">
        <v>42562.99375</v>
      </c>
      <c r="I1846" s="19">
        <f>IFERROR(__xludf.DUMMYFUNCTION("IFERROR(TO_DATE(H1846), """")"),42562.99375)</f>
        <v>42562.99375</v>
      </c>
      <c r="J1846" s="19" t="s">
        <v>13</v>
      </c>
      <c r="K1846" s="22">
        <f t="shared" si="2"/>
        <v>0</v>
      </c>
    </row>
    <row r="1847">
      <c r="A1847" s="18">
        <v>2746.0</v>
      </c>
      <c r="B1847" s="18" t="s">
        <v>30</v>
      </c>
      <c r="C1847" s="18">
        <v>194.0</v>
      </c>
      <c r="D1847" s="18" t="s">
        <v>31</v>
      </c>
      <c r="E1847" s="27">
        <v>42564.13489583333</v>
      </c>
      <c r="F1847" s="19">
        <f>IFERROR(__xludf.DUMMYFUNCTION("IFERROR(TO_DATE(E1847), """")"),42564.13489583333)</f>
        <v>42564.1349</v>
      </c>
      <c r="G1847" s="20">
        <f t="shared" si="1"/>
        <v>3</v>
      </c>
      <c r="H1847" s="27">
        <v>42564.16715277778</v>
      </c>
      <c r="I1847" s="19">
        <f>IFERROR(__xludf.DUMMYFUNCTION("IFERROR(TO_DATE(H1847), """")"),42564.16715277778)</f>
        <v>42564.16715</v>
      </c>
      <c r="J1847" s="19" t="s">
        <v>15</v>
      </c>
      <c r="K1847" s="22">
        <f t="shared" si="2"/>
        <v>0</v>
      </c>
    </row>
    <row r="1848">
      <c r="A1848" s="18">
        <v>3140.0</v>
      </c>
      <c r="B1848" s="18" t="s">
        <v>30</v>
      </c>
      <c r="C1848" s="18">
        <v>194.0</v>
      </c>
      <c r="D1848" s="18" t="s">
        <v>31</v>
      </c>
      <c r="E1848" s="27">
        <v>42564.36715277778</v>
      </c>
      <c r="F1848" s="19">
        <f>IFERROR(__xludf.DUMMYFUNCTION("IFERROR(TO_DATE(E1848), """")"),42564.36715277778)</f>
        <v>42564.36715</v>
      </c>
      <c r="G1848" s="20">
        <f t="shared" si="1"/>
        <v>8</v>
      </c>
      <c r="H1848" s="27">
        <v>42564.40383101852</v>
      </c>
      <c r="I1848" s="19">
        <f>IFERROR(__xludf.DUMMYFUNCTION("IFERROR(TO_DATE(H1848), """")"),42564.40383101852)</f>
        <v>42564.40383</v>
      </c>
      <c r="J1848" s="19" t="s">
        <v>14</v>
      </c>
      <c r="K1848" s="22">
        <f t="shared" si="2"/>
        <v>0</v>
      </c>
    </row>
    <row r="1849">
      <c r="A1849" s="18">
        <v>3314.0</v>
      </c>
      <c r="B1849" s="18" t="s">
        <v>32</v>
      </c>
      <c r="C1849" s="18">
        <v>194.0</v>
      </c>
      <c r="D1849" s="18" t="s">
        <v>31</v>
      </c>
      <c r="E1849" s="27">
        <v>42564.50482638889</v>
      </c>
      <c r="F1849" s="19">
        <f>IFERROR(__xludf.DUMMYFUNCTION("IFERROR(TO_DATE(E1849), """")"),42564.50482638889)</f>
        <v>42564.50483</v>
      </c>
      <c r="G1849" s="20">
        <f t="shared" si="1"/>
        <v>12</v>
      </c>
      <c r="H1849" s="27">
        <v>42564.53512731481</v>
      </c>
      <c r="I1849" s="19">
        <f>IFERROR(__xludf.DUMMYFUNCTION("IFERROR(TO_DATE(H1849), """")"),42564.53512731481)</f>
        <v>42564.53513</v>
      </c>
      <c r="J1849" s="19" t="s">
        <v>10</v>
      </c>
      <c r="K1849" s="22">
        <f t="shared" si="2"/>
        <v>0</v>
      </c>
    </row>
    <row r="1850">
      <c r="A1850" s="18">
        <v>4157.0</v>
      </c>
      <c r="B1850" s="18" t="s">
        <v>30</v>
      </c>
      <c r="C1850" s="18">
        <v>194.0</v>
      </c>
      <c r="D1850" s="18" t="s">
        <v>31</v>
      </c>
      <c r="E1850" s="27">
        <v>42565.21172453704</v>
      </c>
      <c r="F1850" s="19">
        <f>IFERROR(__xludf.DUMMYFUNCTION("IFERROR(TO_DATE(E1850), """")"),42565.21172453704)</f>
        <v>42565.21172</v>
      </c>
      <c r="G1850" s="20">
        <f t="shared" si="1"/>
        <v>5</v>
      </c>
      <c r="H1850" s="27">
        <v>42565.23106481481</v>
      </c>
      <c r="I1850" s="19">
        <f>IFERROR(__xludf.DUMMYFUNCTION("IFERROR(TO_DATE(H1850), """")"),42565.23106481481)</f>
        <v>42565.23106</v>
      </c>
      <c r="J1850" s="19" t="s">
        <v>11</v>
      </c>
      <c r="K1850" s="22">
        <f t="shared" si="2"/>
        <v>0</v>
      </c>
    </row>
    <row r="1851">
      <c r="A1851" s="18">
        <v>5340.0</v>
      </c>
      <c r="B1851" s="18" t="s">
        <v>30</v>
      </c>
      <c r="C1851" s="18">
        <v>194.0</v>
      </c>
      <c r="D1851" s="18" t="s">
        <v>31</v>
      </c>
      <c r="E1851" s="27">
        <v>42565.9390625</v>
      </c>
      <c r="F1851" s="19">
        <f>IFERROR(__xludf.DUMMYFUNCTION("IFERROR(TO_DATE(E1851), """")"),42565.9390625)</f>
        <v>42565.93906</v>
      </c>
      <c r="G1851" s="20">
        <f t="shared" si="1"/>
        <v>22</v>
      </c>
      <c r="H1851" s="27">
        <v>42565.98923611111</v>
      </c>
      <c r="I1851" s="19">
        <f>IFERROR(__xludf.DUMMYFUNCTION("IFERROR(TO_DATE(H1851), """")"),42565.98923611111)</f>
        <v>42565.98924</v>
      </c>
      <c r="J1851" s="19" t="s">
        <v>13</v>
      </c>
      <c r="K1851" s="22">
        <f t="shared" si="2"/>
        <v>0</v>
      </c>
    </row>
    <row r="1852">
      <c r="A1852" s="18">
        <v>6257.0</v>
      </c>
      <c r="B1852" s="18" t="s">
        <v>30</v>
      </c>
      <c r="C1852" s="18">
        <v>194.0</v>
      </c>
      <c r="D1852" s="18" t="s">
        <v>31</v>
      </c>
      <c r="E1852" s="27">
        <v>42566.752534722225</v>
      </c>
      <c r="F1852" s="19">
        <f>IFERROR(__xludf.DUMMYFUNCTION("IFERROR(TO_DATE(E1852), """")"),42566.752534722225)</f>
        <v>42566.75253</v>
      </c>
      <c r="G1852" s="20">
        <f t="shared" si="1"/>
        <v>18</v>
      </c>
      <c r="H1852" s="27">
        <v>42566.79494212963</v>
      </c>
      <c r="I1852" s="19">
        <f>IFERROR(__xludf.DUMMYFUNCTION("IFERROR(TO_DATE(H1852), """")"),42566.79494212963)</f>
        <v>42566.79494</v>
      </c>
      <c r="J1852" s="19" t="s">
        <v>12</v>
      </c>
      <c r="K1852" s="22">
        <f t="shared" si="2"/>
        <v>0</v>
      </c>
    </row>
    <row r="1853">
      <c r="A1853" s="18">
        <v>564.0</v>
      </c>
      <c r="B1853" s="18" t="s">
        <v>30</v>
      </c>
      <c r="C1853" s="18">
        <v>195.0</v>
      </c>
      <c r="D1853" s="18" t="s">
        <v>31</v>
      </c>
      <c r="E1853" s="26">
        <v>42562.430555555555</v>
      </c>
      <c r="F1853" s="19">
        <f>IFERROR(__xludf.DUMMYFUNCTION("IFERROR(TO_DATE(E1853), """")"),42562.430555555555)</f>
        <v>42562.43056</v>
      </c>
      <c r="G1853" s="20">
        <f t="shared" si="1"/>
        <v>10</v>
      </c>
      <c r="H1853" s="26">
        <v>42562.47430555556</v>
      </c>
      <c r="I1853" s="19">
        <f>IFERROR(__xludf.DUMMYFUNCTION("IFERROR(TO_DATE(H1853), """")"),42562.47430555556)</f>
        <v>42562.47431</v>
      </c>
      <c r="J1853" s="19" t="s">
        <v>14</v>
      </c>
      <c r="K1853" s="22">
        <f t="shared" si="2"/>
        <v>0</v>
      </c>
    </row>
    <row r="1854">
      <c r="A1854" s="18">
        <v>1271.0</v>
      </c>
      <c r="B1854" s="18" t="s">
        <v>30</v>
      </c>
      <c r="C1854" s="18">
        <v>195.0</v>
      </c>
      <c r="D1854" s="18" t="s">
        <v>31</v>
      </c>
      <c r="E1854" s="26">
        <v>42562.916666666664</v>
      </c>
      <c r="F1854" s="19">
        <f>IFERROR(__xludf.DUMMYFUNCTION("IFERROR(TO_DATE(E1854), """")"),42562.916666666664)</f>
        <v>42562.91667</v>
      </c>
      <c r="G1854" s="20">
        <f t="shared" si="1"/>
        <v>22</v>
      </c>
      <c r="H1854" s="26">
        <v>42562.94305555556</v>
      </c>
      <c r="I1854" s="19">
        <f>IFERROR(__xludf.DUMMYFUNCTION("IFERROR(TO_DATE(H1854), """")"),42562.94305555556)</f>
        <v>42562.94306</v>
      </c>
      <c r="J1854" s="19" t="s">
        <v>13</v>
      </c>
      <c r="K1854" s="22">
        <f t="shared" si="2"/>
        <v>0</v>
      </c>
    </row>
    <row r="1855">
      <c r="A1855" s="18">
        <v>1647.0</v>
      </c>
      <c r="B1855" s="18" t="s">
        <v>30</v>
      </c>
      <c r="C1855" s="18">
        <v>195.0</v>
      </c>
      <c r="D1855" s="18" t="s">
        <v>31</v>
      </c>
      <c r="E1855" s="26">
        <v>42563.30069444444</v>
      </c>
      <c r="F1855" s="19">
        <f>IFERROR(__xludf.DUMMYFUNCTION("IFERROR(TO_DATE(E1855), """")"),42563.30069444444)</f>
        <v>42563.30069</v>
      </c>
      <c r="G1855" s="20">
        <f t="shared" si="1"/>
        <v>7</v>
      </c>
      <c r="H1855" s="26">
        <v>42563.32708333333</v>
      </c>
      <c r="I1855" s="19">
        <f>IFERROR(__xludf.DUMMYFUNCTION("IFERROR(TO_DATE(H1855), """")"),42563.32708333333)</f>
        <v>42563.32708</v>
      </c>
      <c r="J1855" s="19" t="s">
        <v>11</v>
      </c>
      <c r="K1855" s="22">
        <f t="shared" si="2"/>
        <v>0</v>
      </c>
    </row>
    <row r="1856">
      <c r="A1856" s="18">
        <v>2767.0</v>
      </c>
      <c r="B1856" s="18" t="s">
        <v>30</v>
      </c>
      <c r="C1856" s="18">
        <v>195.0</v>
      </c>
      <c r="D1856" s="18" t="s">
        <v>31</v>
      </c>
      <c r="E1856" s="27">
        <v>42564.17167824074</v>
      </c>
      <c r="F1856" s="19">
        <f>IFERROR(__xludf.DUMMYFUNCTION("IFERROR(TO_DATE(E1856), """")"),42564.17167824074)</f>
        <v>42564.17168</v>
      </c>
      <c r="G1856" s="20">
        <f t="shared" si="1"/>
        <v>4</v>
      </c>
      <c r="H1856" s="27">
        <v>42564.2078125</v>
      </c>
      <c r="I1856" s="19">
        <f>IFERROR(__xludf.DUMMYFUNCTION("IFERROR(TO_DATE(H1856), """")"),42564.2078125)</f>
        <v>42564.20781</v>
      </c>
      <c r="J1856" s="19" t="s">
        <v>11</v>
      </c>
      <c r="K1856" s="22">
        <f t="shared" si="2"/>
        <v>0</v>
      </c>
    </row>
    <row r="1857">
      <c r="A1857" s="18">
        <v>3646.0</v>
      </c>
      <c r="B1857" s="18" t="s">
        <v>30</v>
      </c>
      <c r="C1857" s="18">
        <v>195.0</v>
      </c>
      <c r="D1857" s="18" t="s">
        <v>31</v>
      </c>
      <c r="E1857" s="27">
        <v>42564.799305555556</v>
      </c>
      <c r="F1857" s="19">
        <f>IFERROR(__xludf.DUMMYFUNCTION("IFERROR(TO_DATE(E1857), """")"),42564.799305555556)</f>
        <v>42564.79931</v>
      </c>
      <c r="G1857" s="20">
        <f t="shared" si="1"/>
        <v>19</v>
      </c>
      <c r="H1857" s="27">
        <v>42564.825150462966</v>
      </c>
      <c r="I1857" s="19">
        <f>IFERROR(__xludf.DUMMYFUNCTION("IFERROR(TO_DATE(H1857), """")"),42564.825150462966)</f>
        <v>42564.82515</v>
      </c>
      <c r="J1857" s="19" t="s">
        <v>12</v>
      </c>
      <c r="K1857" s="22">
        <f t="shared" si="2"/>
        <v>0</v>
      </c>
    </row>
    <row r="1858">
      <c r="A1858" s="18">
        <v>4865.0</v>
      </c>
      <c r="B1858" s="18" t="s">
        <v>30</v>
      </c>
      <c r="C1858" s="18">
        <v>195.0</v>
      </c>
      <c r="D1858" s="18" t="s">
        <v>31</v>
      </c>
      <c r="E1858" s="27">
        <v>42565.734143518515</v>
      </c>
      <c r="F1858" s="19">
        <f>IFERROR(__xludf.DUMMYFUNCTION("IFERROR(TO_DATE(E1858), """")"),42565.734143518515)</f>
        <v>42565.73414</v>
      </c>
      <c r="G1858" s="20">
        <f t="shared" si="1"/>
        <v>17</v>
      </c>
      <c r="H1858" s="27">
        <v>42565.78990740741</v>
      </c>
      <c r="I1858" s="19">
        <f>IFERROR(__xludf.DUMMYFUNCTION("IFERROR(TO_DATE(H1858), """")"),42565.78990740741)</f>
        <v>42565.78991</v>
      </c>
      <c r="J1858" s="19" t="s">
        <v>12</v>
      </c>
      <c r="K1858" s="22">
        <f t="shared" si="2"/>
        <v>0</v>
      </c>
    </row>
    <row r="1859">
      <c r="A1859" s="18">
        <v>6055.0</v>
      </c>
      <c r="B1859" s="18" t="s">
        <v>30</v>
      </c>
      <c r="C1859" s="18">
        <v>195.0</v>
      </c>
      <c r="D1859" s="18" t="s">
        <v>31</v>
      </c>
      <c r="E1859" s="27">
        <v>42566.56636574074</v>
      </c>
      <c r="F1859" s="19">
        <f>IFERROR(__xludf.DUMMYFUNCTION("IFERROR(TO_DATE(E1859), """")"),42566.56636574074)</f>
        <v>42566.56637</v>
      </c>
      <c r="G1859" s="20">
        <f t="shared" si="1"/>
        <v>13</v>
      </c>
      <c r="H1859" s="27">
        <v>42566.60581018519</v>
      </c>
      <c r="I1859" s="19">
        <f>IFERROR(__xludf.DUMMYFUNCTION("IFERROR(TO_DATE(H1859), """")"),42566.60581018519)</f>
        <v>42566.60581</v>
      </c>
      <c r="J1859" s="19" t="s">
        <v>10</v>
      </c>
      <c r="K1859" s="22">
        <f t="shared" si="2"/>
        <v>0</v>
      </c>
    </row>
    <row r="1860">
      <c r="A1860" s="18">
        <v>6679.0</v>
      </c>
      <c r="B1860" s="18" t="s">
        <v>30</v>
      </c>
      <c r="C1860" s="18">
        <v>195.0</v>
      </c>
      <c r="D1860" s="18" t="s">
        <v>31</v>
      </c>
      <c r="E1860" s="27">
        <v>42566.93481481481</v>
      </c>
      <c r="F1860" s="19">
        <f>IFERROR(__xludf.DUMMYFUNCTION("IFERROR(TO_DATE(E1860), """")"),42566.93481481481)</f>
        <v>42566.93481</v>
      </c>
      <c r="G1860" s="20">
        <f t="shared" si="1"/>
        <v>22</v>
      </c>
      <c r="H1860" s="27">
        <v>42566.96394675926</v>
      </c>
      <c r="I1860" s="19">
        <f>IFERROR(__xludf.DUMMYFUNCTION("IFERROR(TO_DATE(H1860), """")"),42566.96394675926)</f>
        <v>42566.96395</v>
      </c>
      <c r="J1860" s="19" t="s">
        <v>13</v>
      </c>
      <c r="K1860" s="22">
        <f t="shared" si="2"/>
        <v>0</v>
      </c>
    </row>
    <row r="1861">
      <c r="A1861" s="18">
        <v>283.0</v>
      </c>
      <c r="B1861" s="18" t="s">
        <v>30</v>
      </c>
      <c r="C1861" s="18">
        <v>196.0</v>
      </c>
      <c r="D1861" s="18" t="s">
        <v>31</v>
      </c>
      <c r="E1861" s="26">
        <v>42562.29236111111</v>
      </c>
      <c r="F1861" s="19">
        <f>IFERROR(__xludf.DUMMYFUNCTION("IFERROR(TO_DATE(E1861), """")"),42562.29236111111)</f>
        <v>42562.29236</v>
      </c>
      <c r="G1861" s="20">
        <f t="shared" si="1"/>
        <v>7</v>
      </c>
      <c r="H1861" s="26">
        <v>42562.313888888886</v>
      </c>
      <c r="I1861" s="19">
        <f>IFERROR(__xludf.DUMMYFUNCTION("IFERROR(TO_DATE(H1861), """")"),42562.313888888886)</f>
        <v>42562.31389</v>
      </c>
      <c r="J1861" s="19" t="s">
        <v>11</v>
      </c>
      <c r="K1861" s="22">
        <f t="shared" si="2"/>
        <v>0</v>
      </c>
    </row>
    <row r="1862">
      <c r="A1862" s="18">
        <v>489.0</v>
      </c>
      <c r="B1862" s="18" t="s">
        <v>32</v>
      </c>
      <c r="C1862" s="18">
        <v>196.0</v>
      </c>
      <c r="D1862" s="18" t="s">
        <v>31</v>
      </c>
      <c r="E1862" s="26">
        <v>42562.39513888889</v>
      </c>
      <c r="F1862" s="19">
        <f>IFERROR(__xludf.DUMMYFUNCTION("IFERROR(TO_DATE(E1862), """")"),42562.39513888889)</f>
        <v>42562.39514</v>
      </c>
      <c r="G1862" s="20">
        <f t="shared" si="1"/>
        <v>9</v>
      </c>
      <c r="H1862" s="26">
        <v>42562.43125</v>
      </c>
      <c r="I1862" s="19">
        <f>IFERROR(__xludf.DUMMYFUNCTION("IFERROR(TO_DATE(H1862), """")"),42562.43125)</f>
        <v>42562.43125</v>
      </c>
      <c r="J1862" s="19" t="s">
        <v>14</v>
      </c>
      <c r="K1862" s="22">
        <f t="shared" si="2"/>
        <v>0</v>
      </c>
    </row>
    <row r="1863">
      <c r="A1863" s="18">
        <v>1559.0</v>
      </c>
      <c r="B1863" s="18" t="s">
        <v>30</v>
      </c>
      <c r="C1863" s="18">
        <v>196.0</v>
      </c>
      <c r="D1863" s="18" t="s">
        <v>31</v>
      </c>
      <c r="E1863" s="26">
        <v>42563.25625</v>
      </c>
      <c r="F1863" s="19">
        <f>IFERROR(__xludf.DUMMYFUNCTION("IFERROR(TO_DATE(E1863), """")"),42563.25625)</f>
        <v>42563.25625</v>
      </c>
      <c r="G1863" s="20">
        <f t="shared" si="1"/>
        <v>6</v>
      </c>
      <c r="H1863" s="26">
        <v>42563.28680555556</v>
      </c>
      <c r="I1863" s="19">
        <f>IFERROR(__xludf.DUMMYFUNCTION("IFERROR(TO_DATE(H1863), """")"),42563.28680555556)</f>
        <v>42563.28681</v>
      </c>
      <c r="J1863" s="19" t="s">
        <v>11</v>
      </c>
      <c r="K1863" s="22">
        <f t="shared" si="2"/>
        <v>0</v>
      </c>
    </row>
    <row r="1864">
      <c r="A1864" s="18">
        <v>2545.0</v>
      </c>
      <c r="B1864" s="18" t="s">
        <v>30</v>
      </c>
      <c r="C1864" s="18">
        <v>196.0</v>
      </c>
      <c r="D1864" s="18" t="s">
        <v>31</v>
      </c>
      <c r="E1864" s="26">
        <v>42563.88888888889</v>
      </c>
      <c r="F1864" s="19">
        <f>IFERROR(__xludf.DUMMYFUNCTION("IFERROR(TO_DATE(E1864), """")"),42563.88888888889)</f>
        <v>42563.88889</v>
      </c>
      <c r="G1864" s="20">
        <f t="shared" si="1"/>
        <v>21</v>
      </c>
      <c r="H1864" s="26">
        <v>42563.91180555556</v>
      </c>
      <c r="I1864" s="19">
        <f>IFERROR(__xludf.DUMMYFUNCTION("IFERROR(TO_DATE(H1864), """")"),42563.91180555556)</f>
        <v>42563.91181</v>
      </c>
      <c r="J1864" s="19" t="s">
        <v>13</v>
      </c>
      <c r="K1864" s="22">
        <f t="shared" si="2"/>
        <v>0</v>
      </c>
    </row>
    <row r="1865">
      <c r="A1865" s="18">
        <v>3333.0</v>
      </c>
      <c r="B1865" s="18" t="s">
        <v>32</v>
      </c>
      <c r="C1865" s="18">
        <v>196.0</v>
      </c>
      <c r="D1865" s="18" t="s">
        <v>31</v>
      </c>
      <c r="E1865" s="27">
        <v>42564.52446759259</v>
      </c>
      <c r="F1865" s="19">
        <f>IFERROR(__xludf.DUMMYFUNCTION("IFERROR(TO_DATE(E1865), """")"),42564.52446759259)</f>
        <v>42564.52447</v>
      </c>
      <c r="G1865" s="20">
        <f t="shared" si="1"/>
        <v>12</v>
      </c>
      <c r="H1865" s="27">
        <v>42564.57074074074</v>
      </c>
      <c r="I1865" s="19">
        <f>IFERROR(__xludf.DUMMYFUNCTION("IFERROR(TO_DATE(H1865), """")"),42564.57074074074)</f>
        <v>42564.57074</v>
      </c>
      <c r="J1865" s="19" t="s">
        <v>10</v>
      </c>
      <c r="K1865" s="22">
        <f t="shared" si="2"/>
        <v>0</v>
      </c>
    </row>
    <row r="1866">
      <c r="A1866" s="18">
        <v>4037.0</v>
      </c>
      <c r="B1866" s="18" t="s">
        <v>30</v>
      </c>
      <c r="C1866" s="18">
        <v>196.0</v>
      </c>
      <c r="D1866" s="18" t="s">
        <v>31</v>
      </c>
      <c r="E1866" s="27">
        <v>42565.02274305555</v>
      </c>
      <c r="F1866" s="19">
        <f>IFERROR(__xludf.DUMMYFUNCTION("IFERROR(TO_DATE(E1866), """")"),42565.02274305555)</f>
        <v>42565.02274</v>
      </c>
      <c r="G1866" s="20">
        <f t="shared" si="1"/>
        <v>0</v>
      </c>
      <c r="H1866" s="27">
        <v>42565.0534837963</v>
      </c>
      <c r="I1866" s="19">
        <f>IFERROR(__xludf.DUMMYFUNCTION("IFERROR(TO_DATE(H1866), """")"),42565.0534837963)</f>
        <v>42565.05348</v>
      </c>
      <c r="J1866" s="19" t="s">
        <v>15</v>
      </c>
      <c r="K1866" s="22">
        <f t="shared" si="2"/>
        <v>0</v>
      </c>
    </row>
    <row r="1867">
      <c r="A1867" s="18">
        <v>4578.0</v>
      </c>
      <c r="B1867" s="18" t="s">
        <v>30</v>
      </c>
      <c r="C1867" s="18">
        <v>196.0</v>
      </c>
      <c r="D1867" s="18" t="s">
        <v>31</v>
      </c>
      <c r="E1867" s="27">
        <v>42565.41607638889</v>
      </c>
      <c r="F1867" s="19">
        <f>IFERROR(__xludf.DUMMYFUNCTION("IFERROR(TO_DATE(E1867), """")"),42565.41607638889)</f>
        <v>42565.41608</v>
      </c>
      <c r="G1867" s="20">
        <f t="shared" si="1"/>
        <v>9</v>
      </c>
      <c r="H1867" s="27">
        <v>42565.46104166667</v>
      </c>
      <c r="I1867" s="19">
        <f>IFERROR(__xludf.DUMMYFUNCTION("IFERROR(TO_DATE(H1867), """")"),42565.46104166667)</f>
        <v>42565.46104</v>
      </c>
      <c r="J1867" s="19" t="s">
        <v>14</v>
      </c>
      <c r="K1867" s="22">
        <f t="shared" si="2"/>
        <v>0</v>
      </c>
    </row>
    <row r="1868">
      <c r="A1868" s="18">
        <v>4664.0</v>
      </c>
      <c r="B1868" s="18" t="s">
        <v>32</v>
      </c>
      <c r="C1868" s="18">
        <v>196.0</v>
      </c>
      <c r="D1868" s="18" t="s">
        <v>31</v>
      </c>
      <c r="E1868" s="27">
        <v>42565.51604166667</v>
      </c>
      <c r="F1868" s="19">
        <f>IFERROR(__xludf.DUMMYFUNCTION("IFERROR(TO_DATE(E1868), """")"),42565.51604166667)</f>
        <v>42565.51604</v>
      </c>
      <c r="G1868" s="20">
        <f t="shared" si="1"/>
        <v>12</v>
      </c>
      <c r="H1868" s="27">
        <v>42565.540289351855</v>
      </c>
      <c r="I1868" s="19">
        <f>IFERROR(__xludf.DUMMYFUNCTION("IFERROR(TO_DATE(H1868), """")"),42565.540289351855)</f>
        <v>42565.54029</v>
      </c>
      <c r="J1868" s="19" t="s">
        <v>10</v>
      </c>
      <c r="K1868" s="22">
        <f t="shared" si="2"/>
        <v>0</v>
      </c>
    </row>
    <row r="1869">
      <c r="A1869" s="18">
        <v>4756.0</v>
      </c>
      <c r="B1869" s="18" t="s">
        <v>32</v>
      </c>
      <c r="C1869" s="18">
        <v>196.0</v>
      </c>
      <c r="D1869" s="18" t="s">
        <v>31</v>
      </c>
      <c r="E1869" s="27">
        <v>42565.63929398148</v>
      </c>
      <c r="F1869" s="19">
        <f>IFERROR(__xludf.DUMMYFUNCTION("IFERROR(TO_DATE(E1869), """")"),42565.63929398148)</f>
        <v>42565.63929</v>
      </c>
      <c r="G1869" s="20">
        <f t="shared" si="1"/>
        <v>15</v>
      </c>
      <c r="H1869" s="27">
        <v>42565.68267361111</v>
      </c>
      <c r="I1869" s="19">
        <f>IFERROR(__xludf.DUMMYFUNCTION("IFERROR(TO_DATE(H1869), """")"),42565.68267361111)</f>
        <v>42565.68267</v>
      </c>
      <c r="J1869" s="19" t="s">
        <v>10</v>
      </c>
      <c r="K1869" s="22">
        <f t="shared" si="2"/>
        <v>0</v>
      </c>
    </row>
    <row r="1870">
      <c r="A1870" s="18">
        <v>5843.0</v>
      </c>
      <c r="B1870" s="18" t="s">
        <v>30</v>
      </c>
      <c r="C1870" s="18">
        <v>196.0</v>
      </c>
      <c r="D1870" s="18" t="s">
        <v>31</v>
      </c>
      <c r="E1870" s="27">
        <v>42566.3822337963</v>
      </c>
      <c r="F1870" s="19">
        <f>IFERROR(__xludf.DUMMYFUNCTION("IFERROR(TO_DATE(E1870), """")"),42566.3822337963)</f>
        <v>42566.38223</v>
      </c>
      <c r="G1870" s="20">
        <f t="shared" si="1"/>
        <v>9</v>
      </c>
      <c r="H1870" s="27">
        <v>42566.40015046296</v>
      </c>
      <c r="I1870" s="19">
        <f>IFERROR(__xludf.DUMMYFUNCTION("IFERROR(TO_DATE(H1870), """")"),42566.40015046296)</f>
        <v>42566.40015</v>
      </c>
      <c r="J1870" s="19" t="s">
        <v>14</v>
      </c>
      <c r="K1870" s="22">
        <f t="shared" si="2"/>
        <v>0</v>
      </c>
    </row>
    <row r="1871">
      <c r="A1871" s="18">
        <v>6045.0</v>
      </c>
      <c r="B1871" s="18" t="s">
        <v>32</v>
      </c>
      <c r="C1871" s="18">
        <v>196.0</v>
      </c>
      <c r="D1871" s="18" t="s">
        <v>31</v>
      </c>
      <c r="E1871" s="27">
        <v>42566.55515046296</v>
      </c>
      <c r="F1871" s="19">
        <f>IFERROR(__xludf.DUMMYFUNCTION("IFERROR(TO_DATE(E1871), """")"),42566.55515046296)</f>
        <v>42566.55515</v>
      </c>
      <c r="G1871" s="20">
        <f t="shared" si="1"/>
        <v>13</v>
      </c>
      <c r="H1871" s="27">
        <v>42566.58378472222</v>
      </c>
      <c r="I1871" s="19">
        <f>IFERROR(__xludf.DUMMYFUNCTION("IFERROR(TO_DATE(H1871), """")"),42566.58378472222)</f>
        <v>42566.58378</v>
      </c>
      <c r="J1871" s="19" t="s">
        <v>10</v>
      </c>
      <c r="K1871" s="22">
        <f t="shared" si="2"/>
        <v>0</v>
      </c>
    </row>
    <row r="1872">
      <c r="A1872" s="18">
        <v>6735.0</v>
      </c>
      <c r="B1872" s="18" t="s">
        <v>30</v>
      </c>
      <c r="C1872" s="18">
        <v>196.0</v>
      </c>
      <c r="D1872" s="18" t="s">
        <v>31</v>
      </c>
      <c r="E1872" s="27">
        <v>42566.98278935185</v>
      </c>
      <c r="F1872" s="19">
        <f>IFERROR(__xludf.DUMMYFUNCTION("IFERROR(TO_DATE(E1872), """")"),42566.98278935185)</f>
        <v>42566.98279</v>
      </c>
      <c r="G1872" s="20">
        <f t="shared" si="1"/>
        <v>23</v>
      </c>
      <c r="H1872" s="27">
        <v>42567.00814814815</v>
      </c>
      <c r="I1872" s="19">
        <f>IFERROR(__xludf.DUMMYFUNCTION("IFERROR(TO_DATE(H1872), """")"),42567.00814814815)</f>
        <v>42567.00815</v>
      </c>
      <c r="J1872" s="19" t="s">
        <v>13</v>
      </c>
      <c r="K1872" s="22">
        <f t="shared" si="2"/>
        <v>0</v>
      </c>
    </row>
    <row r="1873">
      <c r="A1873" s="18">
        <v>335.0</v>
      </c>
      <c r="B1873" s="18" t="s">
        <v>32</v>
      </c>
      <c r="C1873" s="18">
        <v>197.0</v>
      </c>
      <c r="D1873" s="18" t="s">
        <v>31</v>
      </c>
      <c r="E1873" s="26">
        <v>42562.31875</v>
      </c>
      <c r="F1873" s="19">
        <f>IFERROR(__xludf.DUMMYFUNCTION("IFERROR(TO_DATE(E1873), """")"),42562.31875)</f>
        <v>42562.31875</v>
      </c>
      <c r="G1873" s="20">
        <f t="shared" si="1"/>
        <v>7</v>
      </c>
      <c r="H1873" s="26">
        <v>42562.34930555556</v>
      </c>
      <c r="I1873" s="19">
        <f>IFERROR(__xludf.DUMMYFUNCTION("IFERROR(TO_DATE(H1873), """")"),42562.34930555556)</f>
        <v>42562.34931</v>
      </c>
      <c r="J1873" s="19" t="s">
        <v>11</v>
      </c>
      <c r="K1873" s="22">
        <f t="shared" si="2"/>
        <v>0</v>
      </c>
    </row>
    <row r="1874">
      <c r="A1874" s="18">
        <v>558.0</v>
      </c>
      <c r="B1874" s="18" t="s">
        <v>32</v>
      </c>
      <c r="C1874" s="18">
        <v>197.0</v>
      </c>
      <c r="D1874" s="18" t="s">
        <v>31</v>
      </c>
      <c r="E1874" s="26">
        <v>42562.427083333336</v>
      </c>
      <c r="F1874" s="19">
        <f>IFERROR(__xludf.DUMMYFUNCTION("IFERROR(TO_DATE(E1874), """")"),42562.427083333336)</f>
        <v>42562.42708</v>
      </c>
      <c r="G1874" s="20">
        <f t="shared" si="1"/>
        <v>10</v>
      </c>
      <c r="H1874" s="26">
        <v>42562.46666666667</v>
      </c>
      <c r="I1874" s="19">
        <f>IFERROR(__xludf.DUMMYFUNCTION("IFERROR(TO_DATE(H1874), """")"),42562.46666666667)</f>
        <v>42562.46667</v>
      </c>
      <c r="J1874" s="19" t="s">
        <v>14</v>
      </c>
      <c r="K1874" s="22">
        <f t="shared" si="2"/>
        <v>0</v>
      </c>
    </row>
    <row r="1875">
      <c r="A1875" s="18">
        <v>844.0</v>
      </c>
      <c r="B1875" s="18" t="s">
        <v>32</v>
      </c>
      <c r="C1875" s="18">
        <v>197.0</v>
      </c>
      <c r="D1875" s="18" t="s">
        <v>31</v>
      </c>
      <c r="E1875" s="26">
        <v>42562.73472222222</v>
      </c>
      <c r="F1875" s="19">
        <f>IFERROR(__xludf.DUMMYFUNCTION("IFERROR(TO_DATE(E1875), """")"),42562.73472222222)</f>
        <v>42562.73472</v>
      </c>
      <c r="G1875" s="20">
        <f t="shared" si="1"/>
        <v>17</v>
      </c>
      <c r="H1875" s="26">
        <v>42562.78333333333</v>
      </c>
      <c r="I1875" s="19">
        <f>IFERROR(__xludf.DUMMYFUNCTION("IFERROR(TO_DATE(H1875), """")"),42562.78333333333)</f>
        <v>42562.78333</v>
      </c>
      <c r="J1875" s="19" t="s">
        <v>12</v>
      </c>
      <c r="K1875" s="22">
        <f t="shared" si="2"/>
        <v>0</v>
      </c>
    </row>
    <row r="1876">
      <c r="A1876" s="18">
        <v>1186.0</v>
      </c>
      <c r="B1876" s="18" t="s">
        <v>32</v>
      </c>
      <c r="C1876" s="18">
        <v>197.0</v>
      </c>
      <c r="D1876" s="18" t="s">
        <v>31</v>
      </c>
      <c r="E1876" s="26">
        <v>42562.87847222222</v>
      </c>
      <c r="F1876" s="19">
        <f>IFERROR(__xludf.DUMMYFUNCTION("IFERROR(TO_DATE(E1876), """")"),42562.87847222222)</f>
        <v>42562.87847</v>
      </c>
      <c r="G1876" s="20">
        <f t="shared" si="1"/>
        <v>21</v>
      </c>
      <c r="H1876" s="26">
        <v>42562.927777777775</v>
      </c>
      <c r="I1876" s="19">
        <f>IFERROR(__xludf.DUMMYFUNCTION("IFERROR(TO_DATE(H1876), """")"),42562.927777777775)</f>
        <v>42562.92778</v>
      </c>
      <c r="J1876" s="19" t="s">
        <v>13</v>
      </c>
      <c r="K1876" s="22">
        <f t="shared" si="2"/>
        <v>0</v>
      </c>
    </row>
    <row r="1877">
      <c r="A1877" s="18">
        <v>1705.0</v>
      </c>
      <c r="B1877" s="18" t="s">
        <v>32</v>
      </c>
      <c r="C1877" s="18">
        <v>197.0</v>
      </c>
      <c r="D1877" s="18" t="s">
        <v>31</v>
      </c>
      <c r="E1877" s="26">
        <v>42563.33888888889</v>
      </c>
      <c r="F1877" s="19">
        <f>IFERROR(__xludf.DUMMYFUNCTION("IFERROR(TO_DATE(E1877), """")"),42563.33888888889)</f>
        <v>42563.33889</v>
      </c>
      <c r="G1877" s="20">
        <f t="shared" si="1"/>
        <v>8</v>
      </c>
      <c r="H1877" s="26">
        <v>42563.375</v>
      </c>
      <c r="I1877" s="19">
        <f>IFERROR(__xludf.DUMMYFUNCTION("IFERROR(TO_DATE(H1877), """")"),42563.375)</f>
        <v>42563.375</v>
      </c>
      <c r="J1877" s="19" t="s">
        <v>14</v>
      </c>
      <c r="K1877" s="22">
        <f t="shared" si="2"/>
        <v>0</v>
      </c>
    </row>
    <row r="1878">
      <c r="A1878" s="18">
        <v>2469.0</v>
      </c>
      <c r="B1878" s="18" t="s">
        <v>30</v>
      </c>
      <c r="C1878" s="18">
        <v>197.0</v>
      </c>
      <c r="D1878" s="18" t="s">
        <v>31</v>
      </c>
      <c r="E1878" s="26">
        <v>42563.86319444444</v>
      </c>
      <c r="F1878" s="19">
        <f>IFERROR(__xludf.DUMMYFUNCTION("IFERROR(TO_DATE(E1878), """")"),42563.86319444444)</f>
        <v>42563.86319</v>
      </c>
      <c r="G1878" s="20">
        <f t="shared" si="1"/>
        <v>20</v>
      </c>
      <c r="H1878" s="26">
        <v>42563.899305555555</v>
      </c>
      <c r="I1878" s="19">
        <f>IFERROR(__xludf.DUMMYFUNCTION("IFERROR(TO_DATE(H1878), """")"),42563.899305555555)</f>
        <v>42563.89931</v>
      </c>
      <c r="J1878" s="19" t="s">
        <v>13</v>
      </c>
      <c r="K1878" s="22">
        <f t="shared" si="2"/>
        <v>0</v>
      </c>
    </row>
    <row r="1879">
      <c r="A1879" s="18">
        <v>2975.0</v>
      </c>
      <c r="B1879" s="18" t="s">
        <v>30</v>
      </c>
      <c r="C1879" s="18">
        <v>197.0</v>
      </c>
      <c r="D1879" s="18" t="s">
        <v>31</v>
      </c>
      <c r="E1879" s="27">
        <v>42564.287094907406</v>
      </c>
      <c r="F1879" s="19">
        <f>IFERROR(__xludf.DUMMYFUNCTION("IFERROR(TO_DATE(E1879), """")"),42564.287094907406)</f>
        <v>42564.28709</v>
      </c>
      <c r="G1879" s="20">
        <f t="shared" si="1"/>
        <v>6</v>
      </c>
      <c r="H1879" s="27">
        <v>42564.33671296296</v>
      </c>
      <c r="I1879" s="19">
        <f>IFERROR(__xludf.DUMMYFUNCTION("IFERROR(TO_DATE(H1879), """")"),42564.33671296296)</f>
        <v>42564.33671</v>
      </c>
      <c r="J1879" s="19" t="s">
        <v>11</v>
      </c>
      <c r="K1879" s="22">
        <f t="shared" si="2"/>
        <v>0</v>
      </c>
    </row>
    <row r="1880">
      <c r="A1880" s="18">
        <v>3641.0</v>
      </c>
      <c r="B1880" s="18" t="s">
        <v>32</v>
      </c>
      <c r="C1880" s="18">
        <v>197.0</v>
      </c>
      <c r="D1880" s="18" t="s">
        <v>31</v>
      </c>
      <c r="E1880" s="27">
        <v>42564.79471064815</v>
      </c>
      <c r="F1880" s="19">
        <f>IFERROR(__xludf.DUMMYFUNCTION("IFERROR(TO_DATE(E1880), """")"),42564.79471064815)</f>
        <v>42564.79471</v>
      </c>
      <c r="G1880" s="20">
        <f t="shared" si="1"/>
        <v>19</v>
      </c>
      <c r="H1880" s="27">
        <v>42564.836701388886</v>
      </c>
      <c r="I1880" s="19">
        <f>IFERROR(__xludf.DUMMYFUNCTION("IFERROR(TO_DATE(H1880), """")"),42564.836701388886)</f>
        <v>42564.8367</v>
      </c>
      <c r="J1880" s="19" t="s">
        <v>12</v>
      </c>
      <c r="K1880" s="22">
        <f t="shared" si="2"/>
        <v>0</v>
      </c>
    </row>
    <row r="1881">
      <c r="A1881" s="18">
        <v>4476.0</v>
      </c>
      <c r="B1881" s="18" t="s">
        <v>30</v>
      </c>
      <c r="C1881" s="18">
        <v>197.0</v>
      </c>
      <c r="D1881" s="18" t="s">
        <v>31</v>
      </c>
      <c r="E1881" s="27">
        <v>42565.36864583333</v>
      </c>
      <c r="F1881" s="19">
        <f>IFERROR(__xludf.DUMMYFUNCTION("IFERROR(TO_DATE(E1881), """")"),42565.36864583333)</f>
        <v>42565.36865</v>
      </c>
      <c r="G1881" s="20">
        <f t="shared" si="1"/>
        <v>8</v>
      </c>
      <c r="H1881" s="27">
        <v>42565.40173611111</v>
      </c>
      <c r="I1881" s="19">
        <f>IFERROR(__xludf.DUMMYFUNCTION("IFERROR(TO_DATE(H1881), """")"),42565.40173611111)</f>
        <v>42565.40174</v>
      </c>
      <c r="J1881" s="19" t="s">
        <v>14</v>
      </c>
      <c r="K1881" s="22">
        <f t="shared" si="2"/>
        <v>0</v>
      </c>
    </row>
    <row r="1882">
      <c r="A1882" s="18">
        <v>4969.0</v>
      </c>
      <c r="B1882" s="18" t="s">
        <v>32</v>
      </c>
      <c r="C1882" s="18">
        <v>197.0</v>
      </c>
      <c r="D1882" s="18" t="s">
        <v>31</v>
      </c>
      <c r="E1882" s="27">
        <v>42565.77873842593</v>
      </c>
      <c r="F1882" s="19">
        <f>IFERROR(__xludf.DUMMYFUNCTION("IFERROR(TO_DATE(E1882), """")"),42565.77873842593)</f>
        <v>42565.77874</v>
      </c>
      <c r="G1882" s="20">
        <f t="shared" si="1"/>
        <v>18</v>
      </c>
      <c r="H1882" s="27">
        <v>42565.79827546296</v>
      </c>
      <c r="I1882" s="19">
        <f>IFERROR(__xludf.DUMMYFUNCTION("IFERROR(TO_DATE(H1882), """")"),42565.79827546296)</f>
        <v>42565.79828</v>
      </c>
      <c r="J1882" s="19" t="s">
        <v>12</v>
      </c>
      <c r="K1882" s="22">
        <f t="shared" si="2"/>
        <v>0</v>
      </c>
    </row>
    <row r="1883">
      <c r="A1883" s="18">
        <v>5737.0</v>
      </c>
      <c r="B1883" s="18" t="s">
        <v>32</v>
      </c>
      <c r="C1883" s="18">
        <v>197.0</v>
      </c>
      <c r="D1883" s="18" t="s">
        <v>31</v>
      </c>
      <c r="E1883" s="27">
        <v>42566.326215277775</v>
      </c>
      <c r="F1883" s="19">
        <f>IFERROR(__xludf.DUMMYFUNCTION("IFERROR(TO_DATE(E1883), """")"),42566.326215277775)</f>
        <v>42566.32622</v>
      </c>
      <c r="G1883" s="20">
        <f t="shared" si="1"/>
        <v>7</v>
      </c>
      <c r="H1883" s="27">
        <v>42566.373611111114</v>
      </c>
      <c r="I1883" s="19">
        <f>IFERROR(__xludf.DUMMYFUNCTION("IFERROR(TO_DATE(H1883), """")"),42566.373611111114)</f>
        <v>42566.37361</v>
      </c>
      <c r="J1883" s="19" t="s">
        <v>11</v>
      </c>
      <c r="K1883" s="22">
        <f t="shared" si="2"/>
        <v>0</v>
      </c>
    </row>
    <row r="1884">
      <c r="A1884" s="18">
        <v>6102.0</v>
      </c>
      <c r="B1884" s="18" t="s">
        <v>32</v>
      </c>
      <c r="C1884" s="18">
        <v>197.0</v>
      </c>
      <c r="D1884" s="18" t="s">
        <v>31</v>
      </c>
      <c r="E1884" s="27">
        <v>42566.62351851852</v>
      </c>
      <c r="F1884" s="19">
        <f>IFERROR(__xludf.DUMMYFUNCTION("IFERROR(TO_DATE(E1884), """")"),42566.62351851852)</f>
        <v>42566.62352</v>
      </c>
      <c r="G1884" s="20">
        <f t="shared" si="1"/>
        <v>14</v>
      </c>
      <c r="H1884" s="27">
        <v>42566.64586805556</v>
      </c>
      <c r="I1884" s="19">
        <f>IFERROR(__xludf.DUMMYFUNCTION("IFERROR(TO_DATE(H1884), """")"),42566.64586805556)</f>
        <v>42566.64587</v>
      </c>
      <c r="J1884" s="19" t="s">
        <v>10</v>
      </c>
      <c r="K1884" s="22">
        <f t="shared" si="2"/>
        <v>0</v>
      </c>
    </row>
    <row r="1885">
      <c r="A1885" s="18">
        <v>6721.0</v>
      </c>
      <c r="B1885" s="18" t="s">
        <v>32</v>
      </c>
      <c r="C1885" s="18">
        <v>197.0</v>
      </c>
      <c r="D1885" s="18" t="s">
        <v>31</v>
      </c>
      <c r="E1885" s="27">
        <v>42566.97486111111</v>
      </c>
      <c r="F1885" s="19">
        <f>IFERROR(__xludf.DUMMYFUNCTION("IFERROR(TO_DATE(E1885), """")"),42566.97486111111)</f>
        <v>42566.97486</v>
      </c>
      <c r="G1885" s="20">
        <f t="shared" si="1"/>
        <v>23</v>
      </c>
      <c r="H1885" s="27">
        <v>42567.01305555556</v>
      </c>
      <c r="I1885" s="19">
        <f>IFERROR(__xludf.DUMMYFUNCTION("IFERROR(TO_DATE(H1885), """")"),42567.01305555556)</f>
        <v>42567.01306</v>
      </c>
      <c r="J1885" s="19" t="s">
        <v>13</v>
      </c>
      <c r="K1885" s="22">
        <f t="shared" si="2"/>
        <v>0</v>
      </c>
    </row>
    <row r="1886">
      <c r="A1886" s="18">
        <v>11.0</v>
      </c>
      <c r="B1886" s="18" t="s">
        <v>32</v>
      </c>
      <c r="C1886" s="18">
        <v>198.0</v>
      </c>
      <c r="D1886" s="18" t="s">
        <v>31</v>
      </c>
      <c r="E1886" s="26">
        <v>42562.041666666664</v>
      </c>
      <c r="F1886" s="19">
        <f>IFERROR(__xludf.DUMMYFUNCTION("IFERROR(TO_DATE(E1886), """")"),42562.041666666664)</f>
        <v>42562.04167</v>
      </c>
      <c r="G1886" s="20">
        <f t="shared" si="1"/>
        <v>1</v>
      </c>
      <c r="H1886" s="26">
        <v>42562.07847222222</v>
      </c>
      <c r="I1886" s="19">
        <f>IFERROR(__xludf.DUMMYFUNCTION("IFERROR(TO_DATE(H1886), """")"),42562.07847222222)</f>
        <v>42562.07847</v>
      </c>
      <c r="J1886" s="19" t="s">
        <v>15</v>
      </c>
      <c r="K1886" s="22">
        <f t="shared" si="2"/>
        <v>0</v>
      </c>
    </row>
    <row r="1887">
      <c r="A1887" s="18">
        <v>519.0</v>
      </c>
      <c r="B1887" s="18" t="s">
        <v>32</v>
      </c>
      <c r="C1887" s="18">
        <v>198.0</v>
      </c>
      <c r="D1887" s="18" t="s">
        <v>31</v>
      </c>
      <c r="E1887" s="26">
        <v>42562.404861111114</v>
      </c>
      <c r="F1887" s="19">
        <f>IFERROR(__xludf.DUMMYFUNCTION("IFERROR(TO_DATE(E1887), """")"),42562.404861111114)</f>
        <v>42562.40486</v>
      </c>
      <c r="G1887" s="20">
        <f t="shared" si="1"/>
        <v>9</v>
      </c>
      <c r="H1887" s="26">
        <v>42562.45416666667</v>
      </c>
      <c r="I1887" s="19">
        <f>IFERROR(__xludf.DUMMYFUNCTION("IFERROR(TO_DATE(H1887), """")"),42562.45416666667)</f>
        <v>42562.45417</v>
      </c>
      <c r="J1887" s="19" t="s">
        <v>14</v>
      </c>
      <c r="K1887" s="22">
        <f t="shared" si="2"/>
        <v>0</v>
      </c>
    </row>
    <row r="1888">
      <c r="A1888" s="18">
        <v>1994.0</v>
      </c>
      <c r="B1888" s="18" t="s">
        <v>30</v>
      </c>
      <c r="C1888" s="18">
        <v>198.0</v>
      </c>
      <c r="D1888" s="18" t="s">
        <v>31</v>
      </c>
      <c r="E1888" s="26">
        <v>42563.53402777778</v>
      </c>
      <c r="F1888" s="19">
        <f>IFERROR(__xludf.DUMMYFUNCTION("IFERROR(TO_DATE(E1888), """")"),42563.53402777778)</f>
        <v>42563.53403</v>
      </c>
      <c r="G1888" s="20">
        <f t="shared" si="1"/>
        <v>12</v>
      </c>
      <c r="H1888" s="26">
        <v>42563.575</v>
      </c>
      <c r="I1888" s="19">
        <f>IFERROR(__xludf.DUMMYFUNCTION("IFERROR(TO_DATE(H1888), """")"),42563.575)</f>
        <v>42563.575</v>
      </c>
      <c r="J1888" s="19" t="s">
        <v>10</v>
      </c>
      <c r="K1888" s="22">
        <f t="shared" si="2"/>
        <v>0</v>
      </c>
    </row>
    <row r="1889">
      <c r="A1889" s="18">
        <v>2483.0</v>
      </c>
      <c r="B1889" s="18" t="s">
        <v>30</v>
      </c>
      <c r="C1889" s="18">
        <v>198.0</v>
      </c>
      <c r="D1889" s="18" t="s">
        <v>31</v>
      </c>
      <c r="E1889" s="26">
        <v>42563.865277777775</v>
      </c>
      <c r="F1889" s="19">
        <f>IFERROR(__xludf.DUMMYFUNCTION("IFERROR(TO_DATE(E1889), """")"),42563.865277777775)</f>
        <v>42563.86528</v>
      </c>
      <c r="G1889" s="20">
        <f t="shared" si="1"/>
        <v>20</v>
      </c>
      <c r="H1889" s="26">
        <v>42563.91180555556</v>
      </c>
      <c r="I1889" s="19">
        <f>IFERROR(__xludf.DUMMYFUNCTION("IFERROR(TO_DATE(H1889), """")"),42563.91180555556)</f>
        <v>42563.91181</v>
      </c>
      <c r="J1889" s="19" t="s">
        <v>13</v>
      </c>
      <c r="K1889" s="22">
        <f t="shared" si="2"/>
        <v>0</v>
      </c>
    </row>
    <row r="1890">
      <c r="A1890" s="18">
        <v>2635.0</v>
      </c>
      <c r="B1890" s="18" t="s">
        <v>32</v>
      </c>
      <c r="C1890" s="18">
        <v>198.0</v>
      </c>
      <c r="D1890" s="18" t="s">
        <v>31</v>
      </c>
      <c r="E1890" s="26">
        <v>42563.93472222222</v>
      </c>
      <c r="F1890" s="19">
        <f>IFERROR(__xludf.DUMMYFUNCTION("IFERROR(TO_DATE(E1890), """")"),42563.93472222222)</f>
        <v>42563.93472</v>
      </c>
      <c r="G1890" s="20">
        <f t="shared" si="1"/>
        <v>22</v>
      </c>
      <c r="H1890" s="26">
        <v>42563.98125</v>
      </c>
      <c r="I1890" s="19">
        <f>IFERROR(__xludf.DUMMYFUNCTION("IFERROR(TO_DATE(H1890), """")"),42563.98125)</f>
        <v>42563.98125</v>
      </c>
      <c r="J1890" s="19" t="s">
        <v>13</v>
      </c>
      <c r="K1890" s="22">
        <f t="shared" si="2"/>
        <v>0</v>
      </c>
    </row>
    <row r="1891">
      <c r="A1891" s="18">
        <v>3545.0</v>
      </c>
      <c r="B1891" s="18" t="s">
        <v>32</v>
      </c>
      <c r="C1891" s="18">
        <v>198.0</v>
      </c>
      <c r="D1891" s="18" t="s">
        <v>31</v>
      </c>
      <c r="E1891" s="27">
        <v>42564.75068287037</v>
      </c>
      <c r="F1891" s="19">
        <f>IFERROR(__xludf.DUMMYFUNCTION("IFERROR(TO_DATE(E1891), """")"),42564.75068287037)</f>
        <v>42564.75068</v>
      </c>
      <c r="G1891" s="20">
        <f t="shared" si="1"/>
        <v>18</v>
      </c>
      <c r="H1891" s="27">
        <v>42564.77684027778</v>
      </c>
      <c r="I1891" s="19">
        <f>IFERROR(__xludf.DUMMYFUNCTION("IFERROR(TO_DATE(H1891), """")"),42564.77684027778)</f>
        <v>42564.77684</v>
      </c>
      <c r="J1891" s="19" t="s">
        <v>12</v>
      </c>
      <c r="K1891" s="22">
        <f t="shared" si="2"/>
        <v>0</v>
      </c>
    </row>
    <row r="1892">
      <c r="A1892" s="18">
        <v>4730.0</v>
      </c>
      <c r="B1892" s="18" t="s">
        <v>32</v>
      </c>
      <c r="C1892" s="18">
        <v>198.0</v>
      </c>
      <c r="D1892" s="18" t="s">
        <v>31</v>
      </c>
      <c r="E1892" s="27">
        <v>42565.59166666667</v>
      </c>
      <c r="F1892" s="19">
        <f>IFERROR(__xludf.DUMMYFUNCTION("IFERROR(TO_DATE(E1892), """")"),42565.59166666667)</f>
        <v>42565.59167</v>
      </c>
      <c r="G1892" s="20">
        <f t="shared" si="1"/>
        <v>14</v>
      </c>
      <c r="H1892" s="27">
        <v>42565.6425</v>
      </c>
      <c r="I1892" s="19">
        <f>IFERROR(__xludf.DUMMYFUNCTION("IFERROR(TO_DATE(H1892), """")"),42565.6425)</f>
        <v>42565.6425</v>
      </c>
      <c r="J1892" s="19" t="s">
        <v>10</v>
      </c>
      <c r="K1892" s="22">
        <f t="shared" si="2"/>
        <v>0</v>
      </c>
    </row>
    <row r="1893">
      <c r="A1893" s="18">
        <v>4976.0</v>
      </c>
      <c r="B1893" s="18" t="s">
        <v>30</v>
      </c>
      <c r="C1893" s="18">
        <v>198.0</v>
      </c>
      <c r="D1893" s="18" t="s">
        <v>31</v>
      </c>
      <c r="E1893" s="27">
        <v>42565.7825</v>
      </c>
      <c r="F1893" s="19">
        <f>IFERROR(__xludf.DUMMYFUNCTION("IFERROR(TO_DATE(E1893), """")"),42565.7825)</f>
        <v>42565.7825</v>
      </c>
      <c r="G1893" s="20">
        <f t="shared" si="1"/>
        <v>18</v>
      </c>
      <c r="H1893" s="27">
        <v>42565.815</v>
      </c>
      <c r="I1893" s="19">
        <f>IFERROR(__xludf.DUMMYFUNCTION("IFERROR(TO_DATE(H1893), """")"),42565.815)</f>
        <v>42565.815</v>
      </c>
      <c r="J1893" s="19" t="s">
        <v>12</v>
      </c>
      <c r="K1893" s="22">
        <f t="shared" si="2"/>
        <v>0</v>
      </c>
    </row>
    <row r="1894">
      <c r="A1894" s="18">
        <v>5789.0</v>
      </c>
      <c r="B1894" s="18" t="s">
        <v>30</v>
      </c>
      <c r="C1894" s="18">
        <v>198.0</v>
      </c>
      <c r="D1894" s="18" t="s">
        <v>31</v>
      </c>
      <c r="E1894" s="27">
        <v>42566.35600694444</v>
      </c>
      <c r="F1894" s="19">
        <f>IFERROR(__xludf.DUMMYFUNCTION("IFERROR(TO_DATE(E1894), """")"),42566.35600694444)</f>
        <v>42566.35601</v>
      </c>
      <c r="G1894" s="20">
        <f t="shared" si="1"/>
        <v>8</v>
      </c>
      <c r="H1894" s="27">
        <v>42566.38560185185</v>
      </c>
      <c r="I1894" s="19">
        <f>IFERROR(__xludf.DUMMYFUNCTION("IFERROR(TO_DATE(H1894), """")"),42566.38560185185)</f>
        <v>42566.3856</v>
      </c>
      <c r="J1894" s="19" t="s">
        <v>14</v>
      </c>
      <c r="K1894" s="22">
        <f t="shared" si="2"/>
        <v>0</v>
      </c>
    </row>
    <row r="1895">
      <c r="A1895" s="18">
        <v>6030.0</v>
      </c>
      <c r="B1895" s="18" t="s">
        <v>30</v>
      </c>
      <c r="C1895" s="18">
        <v>198.0</v>
      </c>
      <c r="D1895" s="18" t="s">
        <v>31</v>
      </c>
      <c r="E1895" s="27">
        <v>42566.53760416667</v>
      </c>
      <c r="F1895" s="19">
        <f>IFERROR(__xludf.DUMMYFUNCTION("IFERROR(TO_DATE(E1895), """")"),42566.53760416667)</f>
        <v>42566.5376</v>
      </c>
      <c r="G1895" s="20">
        <f t="shared" si="1"/>
        <v>12</v>
      </c>
      <c r="H1895" s="27">
        <v>42566.585752314815</v>
      </c>
      <c r="I1895" s="19">
        <f>IFERROR(__xludf.DUMMYFUNCTION("IFERROR(TO_DATE(H1895), """")"),42566.585752314815)</f>
        <v>42566.58575</v>
      </c>
      <c r="J1895" s="19" t="s">
        <v>10</v>
      </c>
      <c r="K1895" s="22">
        <f t="shared" si="2"/>
        <v>0</v>
      </c>
    </row>
    <row r="1896">
      <c r="A1896" s="18">
        <v>6616.0</v>
      </c>
      <c r="B1896" s="18" t="s">
        <v>30</v>
      </c>
      <c r="C1896" s="18">
        <v>198.0</v>
      </c>
      <c r="D1896" s="18" t="s">
        <v>31</v>
      </c>
      <c r="E1896" s="27">
        <v>42566.91075231481</v>
      </c>
      <c r="F1896" s="19">
        <f>IFERROR(__xludf.DUMMYFUNCTION("IFERROR(TO_DATE(E1896), """")"),42566.91075231481)</f>
        <v>42566.91075</v>
      </c>
      <c r="G1896" s="20">
        <f t="shared" si="1"/>
        <v>21</v>
      </c>
      <c r="H1896" s="27">
        <v>42566.93077546296</v>
      </c>
      <c r="I1896" s="19">
        <f>IFERROR(__xludf.DUMMYFUNCTION("IFERROR(TO_DATE(H1896), """")"),42566.93077546296)</f>
        <v>42566.93078</v>
      </c>
      <c r="J1896" s="19" t="s">
        <v>13</v>
      </c>
      <c r="K1896" s="22">
        <f t="shared" si="2"/>
        <v>0</v>
      </c>
    </row>
    <row r="1897">
      <c r="A1897" s="18">
        <v>165.0</v>
      </c>
      <c r="B1897" s="18" t="s">
        <v>30</v>
      </c>
      <c r="C1897" s="18">
        <v>199.0</v>
      </c>
      <c r="D1897" s="18" t="s">
        <v>31</v>
      </c>
      <c r="E1897" s="26">
        <v>42562.23541666667</v>
      </c>
      <c r="F1897" s="19">
        <f>IFERROR(__xludf.DUMMYFUNCTION("IFERROR(TO_DATE(E1897), """")"),42562.23541666667)</f>
        <v>42562.23542</v>
      </c>
      <c r="G1897" s="20">
        <f t="shared" si="1"/>
        <v>5</v>
      </c>
      <c r="H1897" s="26">
        <v>42562.25763888889</v>
      </c>
      <c r="I1897" s="19">
        <f>IFERROR(__xludf.DUMMYFUNCTION("IFERROR(TO_DATE(H1897), """")"),42562.25763888889)</f>
        <v>42562.25764</v>
      </c>
      <c r="J1897" s="19" t="s">
        <v>11</v>
      </c>
      <c r="K1897" s="22">
        <f t="shared" si="2"/>
        <v>0</v>
      </c>
    </row>
    <row r="1898">
      <c r="A1898" s="18">
        <v>1706.0</v>
      </c>
      <c r="B1898" s="18" t="s">
        <v>32</v>
      </c>
      <c r="C1898" s="18">
        <v>199.0</v>
      </c>
      <c r="D1898" s="18" t="s">
        <v>31</v>
      </c>
      <c r="E1898" s="26">
        <v>42563.34097222222</v>
      </c>
      <c r="F1898" s="19">
        <f>IFERROR(__xludf.DUMMYFUNCTION("IFERROR(TO_DATE(E1898), """")"),42563.34097222222)</f>
        <v>42563.34097</v>
      </c>
      <c r="G1898" s="20">
        <f t="shared" si="1"/>
        <v>8</v>
      </c>
      <c r="H1898" s="26">
        <v>42563.38333333333</v>
      </c>
      <c r="I1898" s="19">
        <f>IFERROR(__xludf.DUMMYFUNCTION("IFERROR(TO_DATE(H1898), """")"),42563.38333333333)</f>
        <v>42563.38333</v>
      </c>
      <c r="J1898" s="19" t="s">
        <v>14</v>
      </c>
      <c r="K1898" s="22">
        <f t="shared" si="2"/>
        <v>0</v>
      </c>
    </row>
    <row r="1899">
      <c r="A1899" s="18">
        <v>1821.0</v>
      </c>
      <c r="B1899" s="18" t="s">
        <v>30</v>
      </c>
      <c r="C1899" s="18">
        <v>199.0</v>
      </c>
      <c r="D1899" s="18" t="s">
        <v>31</v>
      </c>
      <c r="E1899" s="26">
        <v>42563.396527777775</v>
      </c>
      <c r="F1899" s="19">
        <f>IFERROR(__xludf.DUMMYFUNCTION("IFERROR(TO_DATE(E1899), """")"),42563.396527777775)</f>
        <v>42563.39653</v>
      </c>
      <c r="G1899" s="20">
        <f t="shared" si="1"/>
        <v>9</v>
      </c>
      <c r="H1899" s="26">
        <v>42563.441666666666</v>
      </c>
      <c r="I1899" s="19">
        <f>IFERROR(__xludf.DUMMYFUNCTION("IFERROR(TO_DATE(H1899), """")"),42563.441666666666)</f>
        <v>42563.44167</v>
      </c>
      <c r="J1899" s="19" t="s">
        <v>14</v>
      </c>
      <c r="K1899" s="22">
        <f t="shared" si="2"/>
        <v>0</v>
      </c>
    </row>
    <row r="1900">
      <c r="A1900" s="18">
        <v>2629.0</v>
      </c>
      <c r="B1900" s="18" t="s">
        <v>32</v>
      </c>
      <c r="C1900" s="18">
        <v>199.0</v>
      </c>
      <c r="D1900" s="18" t="s">
        <v>31</v>
      </c>
      <c r="E1900" s="26">
        <v>42563.92569444444</v>
      </c>
      <c r="F1900" s="19">
        <f>IFERROR(__xludf.DUMMYFUNCTION("IFERROR(TO_DATE(E1900), """")"),42563.92569444444)</f>
        <v>42563.92569</v>
      </c>
      <c r="G1900" s="20">
        <f t="shared" si="1"/>
        <v>22</v>
      </c>
      <c r="H1900" s="26">
        <v>42563.95208333333</v>
      </c>
      <c r="I1900" s="19">
        <f>IFERROR(__xludf.DUMMYFUNCTION("IFERROR(TO_DATE(H1900), """")"),42563.95208333333)</f>
        <v>42563.95208</v>
      </c>
      <c r="J1900" s="19" t="s">
        <v>13</v>
      </c>
      <c r="K1900" s="22">
        <f t="shared" si="2"/>
        <v>0</v>
      </c>
    </row>
    <row r="1901">
      <c r="A1901" s="18">
        <v>5227.0</v>
      </c>
      <c r="B1901" s="18" t="s">
        <v>30</v>
      </c>
      <c r="C1901" s="18">
        <v>199.0</v>
      </c>
      <c r="D1901" s="18" t="s">
        <v>31</v>
      </c>
      <c r="E1901" s="27">
        <v>42565.87679398148</v>
      </c>
      <c r="F1901" s="19">
        <f>IFERROR(__xludf.DUMMYFUNCTION("IFERROR(TO_DATE(E1901), """")"),42565.87679398148)</f>
        <v>42565.87679</v>
      </c>
      <c r="G1901" s="20">
        <f t="shared" si="1"/>
        <v>21</v>
      </c>
      <c r="H1901" s="27">
        <v>42565.93015046296</v>
      </c>
      <c r="I1901" s="19">
        <f>IFERROR(__xludf.DUMMYFUNCTION("IFERROR(TO_DATE(H1901), """")"),42565.93015046296)</f>
        <v>42565.93015</v>
      </c>
      <c r="J1901" s="19" t="s">
        <v>13</v>
      </c>
      <c r="K1901" s="22">
        <f t="shared" si="2"/>
        <v>0</v>
      </c>
    </row>
    <row r="1902">
      <c r="A1902" s="18">
        <v>5374.0</v>
      </c>
      <c r="B1902" s="18" t="s">
        <v>32</v>
      </c>
      <c r="C1902" s="18">
        <v>199.0</v>
      </c>
      <c r="D1902" s="18" t="s">
        <v>31</v>
      </c>
      <c r="E1902" s="27">
        <v>42565.98615740741</v>
      </c>
      <c r="F1902" s="19">
        <f>IFERROR(__xludf.DUMMYFUNCTION("IFERROR(TO_DATE(E1902), """")"),42565.98615740741)</f>
        <v>42565.98616</v>
      </c>
      <c r="G1902" s="20">
        <f t="shared" si="1"/>
        <v>23</v>
      </c>
      <c r="H1902" s="27">
        <v>42566.03219907408</v>
      </c>
      <c r="I1902" s="19">
        <f>IFERROR(__xludf.DUMMYFUNCTION("IFERROR(TO_DATE(H1902), """")"),42566.03219907408)</f>
        <v>42566.0322</v>
      </c>
      <c r="J1902" s="19" t="s">
        <v>13</v>
      </c>
      <c r="K1902" s="22">
        <f t="shared" si="2"/>
        <v>0</v>
      </c>
    </row>
    <row r="1903">
      <c r="A1903" s="18">
        <v>5823.0</v>
      </c>
      <c r="B1903" s="18" t="s">
        <v>32</v>
      </c>
      <c r="C1903" s="18">
        <v>199.0</v>
      </c>
      <c r="D1903" s="18" t="s">
        <v>31</v>
      </c>
      <c r="E1903" s="27">
        <v>42566.37258101852</v>
      </c>
      <c r="F1903" s="19">
        <f>IFERROR(__xludf.DUMMYFUNCTION("IFERROR(TO_DATE(E1903), """")"),42566.37258101852)</f>
        <v>42566.37258</v>
      </c>
      <c r="G1903" s="20">
        <f t="shared" si="1"/>
        <v>8</v>
      </c>
      <c r="H1903" s="27">
        <v>42566.421898148146</v>
      </c>
      <c r="I1903" s="19">
        <f>IFERROR(__xludf.DUMMYFUNCTION("IFERROR(TO_DATE(H1903), """")"),42566.421898148146)</f>
        <v>42566.4219</v>
      </c>
      <c r="J1903" s="19" t="s">
        <v>14</v>
      </c>
      <c r="K1903" s="22">
        <f t="shared" si="2"/>
        <v>0</v>
      </c>
    </row>
    <row r="1904">
      <c r="A1904" s="18">
        <v>6007.0</v>
      </c>
      <c r="B1904" s="18" t="s">
        <v>32</v>
      </c>
      <c r="C1904" s="18">
        <v>199.0</v>
      </c>
      <c r="D1904" s="18" t="s">
        <v>31</v>
      </c>
      <c r="E1904" s="27">
        <v>42566.51090277778</v>
      </c>
      <c r="F1904" s="19">
        <f>IFERROR(__xludf.DUMMYFUNCTION("IFERROR(TO_DATE(E1904), """")"),42566.51090277778)</f>
        <v>42566.5109</v>
      </c>
      <c r="G1904" s="20">
        <f t="shared" si="1"/>
        <v>12</v>
      </c>
      <c r="H1904" s="27">
        <v>42566.54421296297</v>
      </c>
      <c r="I1904" s="19">
        <f>IFERROR(__xludf.DUMMYFUNCTION("IFERROR(TO_DATE(H1904), """")"),42566.54421296297)</f>
        <v>42566.54421</v>
      </c>
      <c r="J1904" s="19" t="s">
        <v>10</v>
      </c>
      <c r="K1904" s="22">
        <f t="shared" si="2"/>
        <v>0</v>
      </c>
    </row>
    <row r="1905">
      <c r="A1905" s="18">
        <v>6736.0</v>
      </c>
      <c r="B1905" s="18" t="s">
        <v>30</v>
      </c>
      <c r="C1905" s="18">
        <v>199.0</v>
      </c>
      <c r="D1905" s="18" t="s">
        <v>31</v>
      </c>
      <c r="E1905" s="27">
        <v>42566.98394675926</v>
      </c>
      <c r="F1905" s="19">
        <f>IFERROR(__xludf.DUMMYFUNCTION("IFERROR(TO_DATE(E1905), """")"),42566.98394675926)</f>
        <v>42566.98395</v>
      </c>
      <c r="G1905" s="20">
        <f t="shared" si="1"/>
        <v>23</v>
      </c>
      <c r="H1905" s="27">
        <v>42567.01405092593</v>
      </c>
      <c r="I1905" s="19">
        <f>IFERROR(__xludf.DUMMYFUNCTION("IFERROR(TO_DATE(H1905), """")"),42567.01405092593)</f>
        <v>42567.01405</v>
      </c>
      <c r="J1905" s="19" t="s">
        <v>13</v>
      </c>
      <c r="K1905" s="22">
        <f t="shared" si="2"/>
        <v>0</v>
      </c>
    </row>
    <row r="1906">
      <c r="A1906" s="18">
        <v>590.0</v>
      </c>
      <c r="B1906" s="18" t="s">
        <v>32</v>
      </c>
      <c r="C1906" s="18">
        <v>200.0</v>
      </c>
      <c r="D1906" s="18" t="s">
        <v>31</v>
      </c>
      <c r="E1906" s="26">
        <v>42562.47222222222</v>
      </c>
      <c r="F1906" s="19">
        <f>IFERROR(__xludf.DUMMYFUNCTION("IFERROR(TO_DATE(E1906), """")"),42562.47222222222)</f>
        <v>42562.47222</v>
      </c>
      <c r="G1906" s="20">
        <f t="shared" si="1"/>
        <v>11</v>
      </c>
      <c r="H1906" s="26">
        <v>42562.506944444445</v>
      </c>
      <c r="I1906" s="19">
        <f>IFERROR(__xludf.DUMMYFUNCTION("IFERROR(TO_DATE(H1906), """")"),42562.506944444445)</f>
        <v>42562.50694</v>
      </c>
      <c r="J1906" s="19" t="s">
        <v>14</v>
      </c>
      <c r="K1906" s="22">
        <f t="shared" si="2"/>
        <v>0</v>
      </c>
    </row>
    <row r="1907">
      <c r="A1907" s="18">
        <v>779.0</v>
      </c>
      <c r="B1907" s="18" t="s">
        <v>30</v>
      </c>
      <c r="C1907" s="18">
        <v>200.0</v>
      </c>
      <c r="D1907" s="18" t="s">
        <v>31</v>
      </c>
      <c r="E1907" s="26">
        <v>42562.694444444445</v>
      </c>
      <c r="F1907" s="19">
        <f>IFERROR(__xludf.DUMMYFUNCTION("IFERROR(TO_DATE(E1907), """")"),42562.694444444445)</f>
        <v>42562.69444</v>
      </c>
      <c r="G1907" s="20">
        <f t="shared" si="1"/>
        <v>16</v>
      </c>
      <c r="H1907" s="26">
        <v>42562.71805555555</v>
      </c>
      <c r="I1907" s="19">
        <f>IFERROR(__xludf.DUMMYFUNCTION("IFERROR(TO_DATE(H1907), """")"),42562.71805555555)</f>
        <v>42562.71806</v>
      </c>
      <c r="J1907" s="19" t="s">
        <v>12</v>
      </c>
      <c r="K1907" s="22">
        <f t="shared" si="2"/>
        <v>0</v>
      </c>
    </row>
    <row r="1908">
      <c r="A1908" s="18">
        <v>1085.0</v>
      </c>
      <c r="B1908" s="18" t="s">
        <v>32</v>
      </c>
      <c r="C1908" s="18">
        <v>200.0</v>
      </c>
      <c r="D1908" s="18" t="s">
        <v>31</v>
      </c>
      <c r="E1908" s="26">
        <v>42562.83541666667</v>
      </c>
      <c r="F1908" s="19">
        <f>IFERROR(__xludf.DUMMYFUNCTION("IFERROR(TO_DATE(E1908), """")"),42562.83541666667)</f>
        <v>42562.83542</v>
      </c>
      <c r="G1908" s="20">
        <f t="shared" si="1"/>
        <v>20</v>
      </c>
      <c r="H1908" s="26">
        <v>42562.873611111114</v>
      </c>
      <c r="I1908" s="19">
        <f>IFERROR(__xludf.DUMMYFUNCTION("IFERROR(TO_DATE(H1908), """")"),42562.873611111114)</f>
        <v>42562.87361</v>
      </c>
      <c r="J1908" s="19" t="s">
        <v>13</v>
      </c>
      <c r="K1908" s="22">
        <f t="shared" si="2"/>
        <v>0</v>
      </c>
    </row>
    <row r="1909">
      <c r="A1909" s="18">
        <v>1435.0</v>
      </c>
      <c r="B1909" s="18" t="s">
        <v>32</v>
      </c>
      <c r="C1909" s="18">
        <v>200.0</v>
      </c>
      <c r="D1909" s="18" t="s">
        <v>31</v>
      </c>
      <c r="E1909" s="26">
        <v>42563.19861111111</v>
      </c>
      <c r="F1909" s="19">
        <f>IFERROR(__xludf.DUMMYFUNCTION("IFERROR(TO_DATE(E1909), """")"),42563.19861111111)</f>
        <v>42563.19861</v>
      </c>
      <c r="G1909" s="20">
        <f t="shared" si="1"/>
        <v>4</v>
      </c>
      <c r="H1909" s="26">
        <v>42563.24652777778</v>
      </c>
      <c r="I1909" s="19">
        <f>IFERROR(__xludf.DUMMYFUNCTION("IFERROR(TO_DATE(H1909), """")"),42563.24652777778)</f>
        <v>42563.24653</v>
      </c>
      <c r="J1909" s="19" t="s">
        <v>11</v>
      </c>
      <c r="K1909" s="22">
        <f t="shared" si="2"/>
        <v>0</v>
      </c>
    </row>
    <row r="1910">
      <c r="A1910" s="18">
        <v>2007.0</v>
      </c>
      <c r="B1910" s="18" t="s">
        <v>32</v>
      </c>
      <c r="C1910" s="18">
        <v>200.0</v>
      </c>
      <c r="D1910" s="18" t="s">
        <v>31</v>
      </c>
      <c r="E1910" s="26">
        <v>42563.558333333334</v>
      </c>
      <c r="F1910" s="19">
        <f>IFERROR(__xludf.DUMMYFUNCTION("IFERROR(TO_DATE(E1910), """")"),42563.558333333334)</f>
        <v>42563.55833</v>
      </c>
      <c r="G1910" s="20">
        <f t="shared" si="1"/>
        <v>13</v>
      </c>
      <c r="H1910" s="26">
        <v>42563.6</v>
      </c>
      <c r="I1910" s="19">
        <f>IFERROR(__xludf.DUMMYFUNCTION("IFERROR(TO_DATE(H1910), """")"),42563.6)</f>
        <v>42563.6</v>
      </c>
      <c r="J1910" s="19" t="s">
        <v>10</v>
      </c>
      <c r="K1910" s="22">
        <f t="shared" si="2"/>
        <v>0</v>
      </c>
    </row>
    <row r="1911">
      <c r="A1911" s="18">
        <v>2381.0</v>
      </c>
      <c r="B1911" s="18" t="s">
        <v>32</v>
      </c>
      <c r="C1911" s="18">
        <v>200.0</v>
      </c>
      <c r="D1911" s="18" t="s">
        <v>31</v>
      </c>
      <c r="E1911" s="26">
        <v>42563.82013888889</v>
      </c>
      <c r="F1911" s="19">
        <f>IFERROR(__xludf.DUMMYFUNCTION("IFERROR(TO_DATE(E1911), """")"),42563.82013888889)</f>
        <v>42563.82014</v>
      </c>
      <c r="G1911" s="20">
        <f t="shared" si="1"/>
        <v>19</v>
      </c>
      <c r="H1911" s="26">
        <v>42563.87013888889</v>
      </c>
      <c r="I1911" s="19">
        <f>IFERROR(__xludf.DUMMYFUNCTION("IFERROR(TO_DATE(H1911), """")"),42563.87013888889)</f>
        <v>42563.87014</v>
      </c>
      <c r="J1911" s="19" t="s">
        <v>12</v>
      </c>
      <c r="K1911" s="22">
        <f t="shared" si="2"/>
        <v>0</v>
      </c>
    </row>
    <row r="1912">
      <c r="A1912" s="18">
        <v>2912.0</v>
      </c>
      <c r="B1912" s="18" t="s">
        <v>30</v>
      </c>
      <c r="C1912" s="18">
        <v>200.0</v>
      </c>
      <c r="D1912" s="18" t="s">
        <v>31</v>
      </c>
      <c r="E1912" s="27">
        <v>42564.25934027778</v>
      </c>
      <c r="F1912" s="19">
        <f>IFERROR(__xludf.DUMMYFUNCTION("IFERROR(TO_DATE(E1912), """")"),42564.25934027778)</f>
        <v>42564.25934</v>
      </c>
      <c r="G1912" s="20">
        <f t="shared" si="1"/>
        <v>6</v>
      </c>
      <c r="H1912" s="27">
        <v>42564.28319444445</v>
      </c>
      <c r="I1912" s="19">
        <f>IFERROR(__xludf.DUMMYFUNCTION("IFERROR(TO_DATE(H1912), """")"),42564.28319444445)</f>
        <v>42564.28319</v>
      </c>
      <c r="J1912" s="19" t="s">
        <v>11</v>
      </c>
      <c r="K1912" s="22">
        <f t="shared" si="2"/>
        <v>0</v>
      </c>
    </row>
    <row r="1913">
      <c r="A1913" s="18">
        <v>3453.0</v>
      </c>
      <c r="B1913" s="18" t="s">
        <v>30</v>
      </c>
      <c r="C1913" s="18">
        <v>200.0</v>
      </c>
      <c r="D1913" s="18" t="s">
        <v>31</v>
      </c>
      <c r="E1913" s="27">
        <v>42564.706192129626</v>
      </c>
      <c r="F1913" s="19">
        <f>IFERROR(__xludf.DUMMYFUNCTION("IFERROR(TO_DATE(E1913), """")"),42564.706192129626)</f>
        <v>42564.70619</v>
      </c>
      <c r="G1913" s="20">
        <f t="shared" si="1"/>
        <v>16</v>
      </c>
      <c r="H1913" s="27">
        <v>42564.75491898148</v>
      </c>
      <c r="I1913" s="19">
        <f>IFERROR(__xludf.DUMMYFUNCTION("IFERROR(TO_DATE(H1913), """")"),42564.75491898148)</f>
        <v>42564.75492</v>
      </c>
      <c r="J1913" s="19" t="s">
        <v>12</v>
      </c>
      <c r="K1913" s="22">
        <f t="shared" si="2"/>
        <v>0</v>
      </c>
    </row>
    <row r="1914">
      <c r="A1914" s="18">
        <v>4180.0</v>
      </c>
      <c r="B1914" s="18" t="s">
        <v>30</v>
      </c>
      <c r="C1914" s="18">
        <v>200.0</v>
      </c>
      <c r="D1914" s="18" t="s">
        <v>31</v>
      </c>
      <c r="E1914" s="27">
        <v>42565.22091435185</v>
      </c>
      <c r="F1914" s="19">
        <f>IFERROR(__xludf.DUMMYFUNCTION("IFERROR(TO_DATE(E1914), """")"),42565.22091435185)</f>
        <v>42565.22091</v>
      </c>
      <c r="G1914" s="20">
        <f t="shared" si="1"/>
        <v>5</v>
      </c>
      <c r="H1914" s="27">
        <v>42565.244479166664</v>
      </c>
      <c r="I1914" s="19">
        <f>IFERROR(__xludf.DUMMYFUNCTION("IFERROR(TO_DATE(H1914), """")"),42565.244479166664)</f>
        <v>42565.24448</v>
      </c>
      <c r="J1914" s="19" t="s">
        <v>11</v>
      </c>
      <c r="K1914" s="22">
        <f t="shared" si="2"/>
        <v>0</v>
      </c>
    </row>
    <row r="1915">
      <c r="A1915" s="18">
        <v>5122.0</v>
      </c>
      <c r="B1915" s="18" t="s">
        <v>32</v>
      </c>
      <c r="C1915" s="18">
        <v>200.0</v>
      </c>
      <c r="D1915" s="18" t="s">
        <v>31</v>
      </c>
      <c r="E1915" s="27">
        <v>42565.836481481485</v>
      </c>
      <c r="F1915" s="19">
        <f>IFERROR(__xludf.DUMMYFUNCTION("IFERROR(TO_DATE(E1915), """")"),42565.836481481485)</f>
        <v>42565.83648</v>
      </c>
      <c r="G1915" s="20">
        <f t="shared" si="1"/>
        <v>20</v>
      </c>
      <c r="H1915" s="27">
        <v>42565.87038194444</v>
      </c>
      <c r="I1915" s="19">
        <f>IFERROR(__xludf.DUMMYFUNCTION("IFERROR(TO_DATE(H1915), """")"),42565.87038194444)</f>
        <v>42565.87038</v>
      </c>
      <c r="J1915" s="19" t="s">
        <v>13</v>
      </c>
      <c r="K1915" s="22">
        <f t="shared" si="2"/>
        <v>0</v>
      </c>
    </row>
    <row r="1916">
      <c r="A1916" s="18">
        <v>5531.0</v>
      </c>
      <c r="B1916" s="18" t="s">
        <v>30</v>
      </c>
      <c r="C1916" s="18">
        <v>200.0</v>
      </c>
      <c r="D1916" s="18" t="s">
        <v>31</v>
      </c>
      <c r="E1916" s="27">
        <v>42566.224386574075</v>
      </c>
      <c r="F1916" s="19">
        <f>IFERROR(__xludf.DUMMYFUNCTION("IFERROR(TO_DATE(E1916), """")"),42566.224386574075)</f>
        <v>42566.22439</v>
      </c>
      <c r="G1916" s="20">
        <f t="shared" si="1"/>
        <v>5</v>
      </c>
      <c r="H1916" s="27">
        <v>42566.26824074074</v>
      </c>
      <c r="I1916" s="19">
        <f>IFERROR(__xludf.DUMMYFUNCTION("IFERROR(TO_DATE(H1916), """")"),42566.26824074074)</f>
        <v>42566.26824</v>
      </c>
      <c r="J1916" s="19" t="s">
        <v>11</v>
      </c>
      <c r="K1916" s="22">
        <f t="shared" si="2"/>
        <v>0</v>
      </c>
    </row>
    <row r="1917">
      <c r="A1917" s="18">
        <v>6582.0</v>
      </c>
      <c r="B1917" s="18" t="s">
        <v>32</v>
      </c>
      <c r="C1917" s="18">
        <v>200.0</v>
      </c>
      <c r="D1917" s="18" t="s">
        <v>31</v>
      </c>
      <c r="E1917" s="27">
        <v>42566.89046296296</v>
      </c>
      <c r="F1917" s="19">
        <f>IFERROR(__xludf.DUMMYFUNCTION("IFERROR(TO_DATE(E1917), """")"),42566.89046296296)</f>
        <v>42566.89046</v>
      </c>
      <c r="G1917" s="20">
        <f t="shared" si="1"/>
        <v>21</v>
      </c>
      <c r="H1917" s="27">
        <v>42566.921273148146</v>
      </c>
      <c r="I1917" s="19">
        <f>IFERROR(__xludf.DUMMYFUNCTION("IFERROR(TO_DATE(H1917), """")"),42566.921273148146)</f>
        <v>42566.92127</v>
      </c>
      <c r="J1917" s="19" t="s">
        <v>13</v>
      </c>
      <c r="K1917" s="22">
        <f t="shared" si="2"/>
        <v>0</v>
      </c>
    </row>
    <row r="1918">
      <c r="A1918" s="18">
        <v>406.0</v>
      </c>
      <c r="B1918" s="18" t="s">
        <v>30</v>
      </c>
      <c r="C1918" s="18">
        <v>201.0</v>
      </c>
      <c r="D1918" s="18" t="s">
        <v>31</v>
      </c>
      <c r="E1918" s="26">
        <v>42562.35833333333</v>
      </c>
      <c r="F1918" s="19">
        <f>IFERROR(__xludf.DUMMYFUNCTION("IFERROR(TO_DATE(E1918), """")"),42562.35833333333)</f>
        <v>42562.35833</v>
      </c>
      <c r="G1918" s="20">
        <f t="shared" si="1"/>
        <v>8</v>
      </c>
      <c r="H1918" s="26">
        <v>42562.39861111111</v>
      </c>
      <c r="I1918" s="19">
        <f>IFERROR(__xludf.DUMMYFUNCTION("IFERROR(TO_DATE(H1918), """")"),42562.39861111111)</f>
        <v>42562.39861</v>
      </c>
      <c r="J1918" s="19" t="s">
        <v>14</v>
      </c>
      <c r="K1918" s="22">
        <f t="shared" si="2"/>
        <v>0</v>
      </c>
    </row>
    <row r="1919">
      <c r="A1919" s="18">
        <v>740.0</v>
      </c>
      <c r="B1919" s="18" t="s">
        <v>30</v>
      </c>
      <c r="C1919" s="18">
        <v>201.0</v>
      </c>
      <c r="D1919" s="18" t="s">
        <v>31</v>
      </c>
      <c r="E1919" s="26">
        <v>42562.649305555555</v>
      </c>
      <c r="F1919" s="19">
        <f>IFERROR(__xludf.DUMMYFUNCTION("IFERROR(TO_DATE(E1919), """")"),42562.649305555555)</f>
        <v>42562.64931</v>
      </c>
      <c r="G1919" s="20">
        <f t="shared" si="1"/>
        <v>15</v>
      </c>
      <c r="H1919" s="26">
        <v>42562.677083333336</v>
      </c>
      <c r="I1919" s="19">
        <f>IFERROR(__xludf.DUMMYFUNCTION("IFERROR(TO_DATE(H1919), """")"),42562.677083333336)</f>
        <v>42562.67708</v>
      </c>
      <c r="J1919" s="19" t="s">
        <v>10</v>
      </c>
      <c r="K1919" s="22">
        <f t="shared" si="2"/>
        <v>0</v>
      </c>
    </row>
    <row r="1920">
      <c r="A1920" s="18">
        <v>1312.0</v>
      </c>
      <c r="B1920" s="18" t="s">
        <v>32</v>
      </c>
      <c r="C1920" s="18">
        <v>201.0</v>
      </c>
      <c r="D1920" s="18" t="s">
        <v>31</v>
      </c>
      <c r="E1920" s="26">
        <v>42562.95</v>
      </c>
      <c r="F1920" s="19">
        <f>IFERROR(__xludf.DUMMYFUNCTION("IFERROR(TO_DATE(E1920), """")"),42562.95)</f>
        <v>42562.95</v>
      </c>
      <c r="G1920" s="20">
        <f t="shared" si="1"/>
        <v>22</v>
      </c>
      <c r="H1920" s="26">
        <v>42562.98402777778</v>
      </c>
      <c r="I1920" s="19">
        <f>IFERROR(__xludf.DUMMYFUNCTION("IFERROR(TO_DATE(H1920), """")"),42562.98402777778)</f>
        <v>42562.98403</v>
      </c>
      <c r="J1920" s="19" t="s">
        <v>13</v>
      </c>
      <c r="K1920" s="22">
        <f t="shared" si="2"/>
        <v>0</v>
      </c>
    </row>
    <row r="1921">
      <c r="A1921" s="18">
        <v>1540.0</v>
      </c>
      <c r="B1921" s="18" t="s">
        <v>30</v>
      </c>
      <c r="C1921" s="18">
        <v>201.0</v>
      </c>
      <c r="D1921" s="18" t="s">
        <v>31</v>
      </c>
      <c r="E1921" s="26">
        <v>42563.25277777778</v>
      </c>
      <c r="F1921" s="19">
        <f>IFERROR(__xludf.DUMMYFUNCTION("IFERROR(TO_DATE(E1921), """")"),42563.25277777778)</f>
        <v>42563.25278</v>
      </c>
      <c r="G1921" s="20">
        <f t="shared" si="1"/>
        <v>6</v>
      </c>
      <c r="H1921" s="26">
        <v>42563.288194444445</v>
      </c>
      <c r="I1921" s="19">
        <f>IFERROR(__xludf.DUMMYFUNCTION("IFERROR(TO_DATE(H1921), """")"),42563.288194444445)</f>
        <v>42563.28819</v>
      </c>
      <c r="J1921" s="19" t="s">
        <v>11</v>
      </c>
      <c r="K1921" s="22">
        <f t="shared" si="2"/>
        <v>0</v>
      </c>
    </row>
    <row r="1922">
      <c r="A1922" s="18">
        <v>1962.0</v>
      </c>
      <c r="B1922" s="18" t="s">
        <v>32</v>
      </c>
      <c r="C1922" s="18">
        <v>201.0</v>
      </c>
      <c r="D1922" s="18" t="s">
        <v>31</v>
      </c>
      <c r="E1922" s="26">
        <v>42563.49930555555</v>
      </c>
      <c r="F1922" s="19">
        <f>IFERROR(__xludf.DUMMYFUNCTION("IFERROR(TO_DATE(E1922), """")"),42563.49930555555)</f>
        <v>42563.49931</v>
      </c>
      <c r="G1922" s="20">
        <f t="shared" si="1"/>
        <v>11</v>
      </c>
      <c r="H1922" s="26">
        <v>42563.54236111111</v>
      </c>
      <c r="I1922" s="19">
        <f>IFERROR(__xludf.DUMMYFUNCTION("IFERROR(TO_DATE(H1922), """")"),42563.54236111111)</f>
        <v>42563.54236</v>
      </c>
      <c r="J1922" s="19" t="s">
        <v>14</v>
      </c>
      <c r="K1922" s="22">
        <f t="shared" si="2"/>
        <v>0</v>
      </c>
    </row>
    <row r="1923">
      <c r="A1923" s="18">
        <v>2173.0</v>
      </c>
      <c r="B1923" s="18" t="s">
        <v>30</v>
      </c>
      <c r="C1923" s="18">
        <v>201.0</v>
      </c>
      <c r="D1923" s="18" t="s">
        <v>31</v>
      </c>
      <c r="E1923" s="26">
        <v>42563.731944444444</v>
      </c>
      <c r="F1923" s="19">
        <f>IFERROR(__xludf.DUMMYFUNCTION("IFERROR(TO_DATE(E1923), """")"),42563.731944444444)</f>
        <v>42563.73194</v>
      </c>
      <c r="G1923" s="20">
        <f t="shared" si="1"/>
        <v>17</v>
      </c>
      <c r="H1923" s="26">
        <v>42563.77291666667</v>
      </c>
      <c r="I1923" s="19">
        <f>IFERROR(__xludf.DUMMYFUNCTION("IFERROR(TO_DATE(H1923), """")"),42563.77291666667)</f>
        <v>42563.77292</v>
      </c>
      <c r="J1923" s="19" t="s">
        <v>12</v>
      </c>
      <c r="K1923" s="22">
        <f t="shared" si="2"/>
        <v>0</v>
      </c>
    </row>
    <row r="1924">
      <c r="A1924" s="18">
        <v>3375.0</v>
      </c>
      <c r="B1924" s="18" t="s">
        <v>32</v>
      </c>
      <c r="C1924" s="18">
        <v>201.0</v>
      </c>
      <c r="D1924" s="18" t="s">
        <v>31</v>
      </c>
      <c r="E1924" s="27">
        <v>42564.59193287037</v>
      </c>
      <c r="F1924" s="19">
        <f>IFERROR(__xludf.DUMMYFUNCTION("IFERROR(TO_DATE(E1924), """")"),42564.59193287037)</f>
        <v>42564.59193</v>
      </c>
      <c r="G1924" s="20">
        <f t="shared" si="1"/>
        <v>14</v>
      </c>
      <c r="H1924" s="27">
        <v>42564.62221064815</v>
      </c>
      <c r="I1924" s="19">
        <f>IFERROR(__xludf.DUMMYFUNCTION("IFERROR(TO_DATE(H1924), """")"),42564.62221064815)</f>
        <v>42564.62221</v>
      </c>
      <c r="J1924" s="19" t="s">
        <v>10</v>
      </c>
      <c r="K1924" s="22">
        <f t="shared" si="2"/>
        <v>0</v>
      </c>
    </row>
    <row r="1925">
      <c r="A1925" s="18">
        <v>3540.0</v>
      </c>
      <c r="B1925" s="18" t="s">
        <v>32</v>
      </c>
      <c r="C1925" s="18">
        <v>201.0</v>
      </c>
      <c r="D1925" s="18" t="s">
        <v>31</v>
      </c>
      <c r="E1925" s="27">
        <v>42564.74921296296</v>
      </c>
      <c r="F1925" s="19">
        <f>IFERROR(__xludf.DUMMYFUNCTION("IFERROR(TO_DATE(E1925), """")"),42564.74921296296)</f>
        <v>42564.74921</v>
      </c>
      <c r="G1925" s="20">
        <f t="shared" si="1"/>
        <v>17</v>
      </c>
      <c r="H1925" s="27">
        <v>42564.77030092593</v>
      </c>
      <c r="I1925" s="19">
        <f>IFERROR(__xludf.DUMMYFUNCTION("IFERROR(TO_DATE(H1925), """")"),42564.77030092593)</f>
        <v>42564.7703</v>
      </c>
      <c r="J1925" s="19" t="s">
        <v>12</v>
      </c>
      <c r="K1925" s="22">
        <f t="shared" si="2"/>
        <v>0</v>
      </c>
    </row>
    <row r="1926">
      <c r="A1926" s="18">
        <v>4671.0</v>
      </c>
      <c r="B1926" s="18" t="s">
        <v>32</v>
      </c>
      <c r="C1926" s="18">
        <v>201.0</v>
      </c>
      <c r="D1926" s="18" t="s">
        <v>31</v>
      </c>
      <c r="E1926" s="27">
        <v>42565.52030092593</v>
      </c>
      <c r="F1926" s="19">
        <f>IFERROR(__xludf.DUMMYFUNCTION("IFERROR(TO_DATE(E1926), """")"),42565.52030092593)</f>
        <v>42565.5203</v>
      </c>
      <c r="G1926" s="20">
        <f t="shared" si="1"/>
        <v>12</v>
      </c>
      <c r="H1926" s="27">
        <v>42565.56115740741</v>
      </c>
      <c r="I1926" s="19">
        <f>IFERROR(__xludf.DUMMYFUNCTION("IFERROR(TO_DATE(H1926), """")"),42565.56115740741)</f>
        <v>42565.56116</v>
      </c>
      <c r="J1926" s="19" t="s">
        <v>10</v>
      </c>
      <c r="K1926" s="22">
        <f t="shared" si="2"/>
        <v>0</v>
      </c>
    </row>
    <row r="1927">
      <c r="A1927" s="18">
        <v>5336.0</v>
      </c>
      <c r="B1927" s="18" t="s">
        <v>30</v>
      </c>
      <c r="C1927" s="18">
        <v>201.0</v>
      </c>
      <c r="D1927" s="18" t="s">
        <v>31</v>
      </c>
      <c r="E1927" s="27">
        <v>42565.93415509259</v>
      </c>
      <c r="F1927" s="19">
        <f>IFERROR(__xludf.DUMMYFUNCTION("IFERROR(TO_DATE(E1927), """")"),42565.93415509259)</f>
        <v>42565.93416</v>
      </c>
      <c r="G1927" s="20">
        <f t="shared" si="1"/>
        <v>22</v>
      </c>
      <c r="H1927" s="27">
        <v>42565.987349537034</v>
      </c>
      <c r="I1927" s="19">
        <f>IFERROR(__xludf.DUMMYFUNCTION("IFERROR(TO_DATE(H1927), """")"),42565.987349537034)</f>
        <v>42565.98735</v>
      </c>
      <c r="J1927" s="19" t="s">
        <v>13</v>
      </c>
      <c r="K1927" s="22">
        <f t="shared" si="2"/>
        <v>0</v>
      </c>
    </row>
    <row r="1928">
      <c r="A1928" s="18">
        <v>5734.0</v>
      </c>
      <c r="B1928" s="18" t="s">
        <v>32</v>
      </c>
      <c r="C1928" s="18">
        <v>201.0</v>
      </c>
      <c r="D1928" s="18" t="s">
        <v>31</v>
      </c>
      <c r="E1928" s="27">
        <v>42566.322696759256</v>
      </c>
      <c r="F1928" s="19">
        <f>IFERROR(__xludf.DUMMYFUNCTION("IFERROR(TO_DATE(E1928), """")"),42566.322696759256)</f>
        <v>42566.3227</v>
      </c>
      <c r="G1928" s="20">
        <f t="shared" si="1"/>
        <v>7</v>
      </c>
      <c r="H1928" s="27">
        <v>42566.3702662037</v>
      </c>
      <c r="I1928" s="19">
        <f>IFERROR(__xludf.DUMMYFUNCTION("IFERROR(TO_DATE(H1928), """")"),42566.3702662037)</f>
        <v>42566.37027</v>
      </c>
      <c r="J1928" s="19" t="s">
        <v>11</v>
      </c>
      <c r="K1928" s="22">
        <f t="shared" si="2"/>
        <v>0</v>
      </c>
    </row>
    <row r="1929">
      <c r="A1929" s="18">
        <v>197.0</v>
      </c>
      <c r="B1929" s="18" t="s">
        <v>32</v>
      </c>
      <c r="C1929" s="18">
        <v>202.0</v>
      </c>
      <c r="D1929" s="18" t="s">
        <v>31</v>
      </c>
      <c r="E1929" s="26">
        <v>42562.25</v>
      </c>
      <c r="F1929" s="19">
        <f>IFERROR(__xludf.DUMMYFUNCTION("IFERROR(TO_DATE(E1929), """")"),42562.25)</f>
        <v>42562.25</v>
      </c>
      <c r="G1929" s="20">
        <f t="shared" si="1"/>
        <v>6</v>
      </c>
      <c r="H1929" s="26">
        <v>42562.28402777778</v>
      </c>
      <c r="I1929" s="19">
        <f>IFERROR(__xludf.DUMMYFUNCTION("IFERROR(TO_DATE(H1929), """")"),42562.28402777778)</f>
        <v>42562.28403</v>
      </c>
      <c r="J1929" s="19" t="s">
        <v>11</v>
      </c>
      <c r="K1929" s="22">
        <f t="shared" si="2"/>
        <v>0</v>
      </c>
    </row>
    <row r="1930">
      <c r="A1930" s="18">
        <v>819.0</v>
      </c>
      <c r="B1930" s="18" t="s">
        <v>30</v>
      </c>
      <c r="C1930" s="18">
        <v>202.0</v>
      </c>
      <c r="D1930" s="18" t="s">
        <v>31</v>
      </c>
      <c r="E1930" s="26">
        <v>42562.728472222225</v>
      </c>
      <c r="F1930" s="19">
        <f>IFERROR(__xludf.DUMMYFUNCTION("IFERROR(TO_DATE(E1930), """")"),42562.728472222225)</f>
        <v>42562.72847</v>
      </c>
      <c r="G1930" s="20">
        <f t="shared" si="1"/>
        <v>17</v>
      </c>
      <c r="H1930" s="26">
        <v>42562.75833333333</v>
      </c>
      <c r="I1930" s="19">
        <f>IFERROR(__xludf.DUMMYFUNCTION("IFERROR(TO_DATE(H1930), """")"),42562.75833333333)</f>
        <v>42562.75833</v>
      </c>
      <c r="J1930" s="19" t="s">
        <v>12</v>
      </c>
      <c r="K1930" s="22">
        <f t="shared" si="2"/>
        <v>0</v>
      </c>
    </row>
    <row r="1931">
      <c r="A1931" s="18">
        <v>1527.0</v>
      </c>
      <c r="B1931" s="18" t="s">
        <v>30</v>
      </c>
      <c r="C1931" s="18">
        <v>202.0</v>
      </c>
      <c r="D1931" s="18" t="s">
        <v>31</v>
      </c>
      <c r="E1931" s="26">
        <v>42563.24444444444</v>
      </c>
      <c r="F1931" s="19">
        <f>IFERROR(__xludf.DUMMYFUNCTION("IFERROR(TO_DATE(E1931), """")"),42563.24444444444)</f>
        <v>42563.24444</v>
      </c>
      <c r="G1931" s="20">
        <f t="shared" si="1"/>
        <v>5</v>
      </c>
      <c r="H1931" s="26">
        <v>42563.29652777778</v>
      </c>
      <c r="I1931" s="19">
        <f>IFERROR(__xludf.DUMMYFUNCTION("IFERROR(TO_DATE(H1931), """")"),42563.29652777778)</f>
        <v>42563.29653</v>
      </c>
      <c r="J1931" s="19" t="s">
        <v>11</v>
      </c>
      <c r="K1931" s="22">
        <f t="shared" si="2"/>
        <v>0</v>
      </c>
    </row>
    <row r="1932">
      <c r="A1932" s="18">
        <v>3229.0</v>
      </c>
      <c r="B1932" s="18" t="s">
        <v>30</v>
      </c>
      <c r="C1932" s="18">
        <v>202.0</v>
      </c>
      <c r="D1932" s="18" t="s">
        <v>31</v>
      </c>
      <c r="E1932" s="27">
        <v>42564.412986111114</v>
      </c>
      <c r="F1932" s="19">
        <f>IFERROR(__xludf.DUMMYFUNCTION("IFERROR(TO_DATE(E1932), """")"),42564.412986111114)</f>
        <v>42564.41299</v>
      </c>
      <c r="G1932" s="20">
        <f t="shared" si="1"/>
        <v>9</v>
      </c>
      <c r="H1932" s="27">
        <v>42564.46314814815</v>
      </c>
      <c r="I1932" s="19">
        <f>IFERROR(__xludf.DUMMYFUNCTION("IFERROR(TO_DATE(H1932), """")"),42564.46314814815)</f>
        <v>42564.46315</v>
      </c>
      <c r="J1932" s="19" t="s">
        <v>14</v>
      </c>
      <c r="K1932" s="22">
        <f t="shared" si="2"/>
        <v>0</v>
      </c>
    </row>
    <row r="1933">
      <c r="A1933" s="18">
        <v>4638.0</v>
      </c>
      <c r="B1933" s="18" t="s">
        <v>32</v>
      </c>
      <c r="C1933" s="18">
        <v>202.0</v>
      </c>
      <c r="D1933" s="18" t="s">
        <v>31</v>
      </c>
      <c r="E1933" s="27">
        <v>42565.484872685185</v>
      </c>
      <c r="F1933" s="19">
        <f>IFERROR(__xludf.DUMMYFUNCTION("IFERROR(TO_DATE(E1933), """")"),42565.484872685185)</f>
        <v>42565.48487</v>
      </c>
      <c r="G1933" s="20">
        <f t="shared" si="1"/>
        <v>11</v>
      </c>
      <c r="H1933" s="27">
        <v>42565.52643518519</v>
      </c>
      <c r="I1933" s="19">
        <f>IFERROR(__xludf.DUMMYFUNCTION("IFERROR(TO_DATE(H1933), """")"),42565.52643518519)</f>
        <v>42565.52644</v>
      </c>
      <c r="J1933" s="19" t="s">
        <v>14</v>
      </c>
      <c r="K1933" s="22">
        <f t="shared" si="2"/>
        <v>0</v>
      </c>
    </row>
    <row r="1934">
      <c r="A1934" s="18">
        <v>5075.0</v>
      </c>
      <c r="B1934" s="18" t="s">
        <v>32</v>
      </c>
      <c r="C1934" s="18">
        <v>202.0</v>
      </c>
      <c r="D1934" s="18" t="s">
        <v>31</v>
      </c>
      <c r="E1934" s="27">
        <v>42565.8234375</v>
      </c>
      <c r="F1934" s="19">
        <f>IFERROR(__xludf.DUMMYFUNCTION("IFERROR(TO_DATE(E1934), """")"),42565.8234375)</f>
        <v>42565.82344</v>
      </c>
      <c r="G1934" s="20">
        <f t="shared" si="1"/>
        <v>19</v>
      </c>
      <c r="H1934" s="27">
        <v>42565.85119212963</v>
      </c>
      <c r="I1934" s="19">
        <f>IFERROR(__xludf.DUMMYFUNCTION("IFERROR(TO_DATE(H1934), """")"),42565.85119212963)</f>
        <v>42565.85119</v>
      </c>
      <c r="J1934" s="19" t="s">
        <v>12</v>
      </c>
      <c r="K1934" s="22">
        <f t="shared" si="2"/>
        <v>0</v>
      </c>
    </row>
    <row r="1935">
      <c r="A1935" s="18">
        <v>5455.0</v>
      </c>
      <c r="B1935" s="18" t="s">
        <v>32</v>
      </c>
      <c r="C1935" s="18">
        <v>202.0</v>
      </c>
      <c r="D1935" s="18" t="s">
        <v>31</v>
      </c>
      <c r="E1935" s="27">
        <v>42566.15819444445</v>
      </c>
      <c r="F1935" s="19">
        <f>IFERROR(__xludf.DUMMYFUNCTION("IFERROR(TO_DATE(E1935), """")"),42566.15819444445)</f>
        <v>42566.15819</v>
      </c>
      <c r="G1935" s="20">
        <f t="shared" si="1"/>
        <v>3</v>
      </c>
      <c r="H1935" s="27">
        <v>42566.203993055555</v>
      </c>
      <c r="I1935" s="19">
        <f>IFERROR(__xludf.DUMMYFUNCTION("IFERROR(TO_DATE(H1935), """")"),42566.203993055555)</f>
        <v>42566.20399</v>
      </c>
      <c r="J1935" s="19" t="s">
        <v>15</v>
      </c>
      <c r="K1935" s="22">
        <f t="shared" si="2"/>
        <v>0</v>
      </c>
    </row>
    <row r="1936">
      <c r="A1936" s="18">
        <v>5738.0</v>
      </c>
      <c r="B1936" s="18" t="s">
        <v>32</v>
      </c>
      <c r="C1936" s="18">
        <v>202.0</v>
      </c>
      <c r="D1936" s="18" t="s">
        <v>31</v>
      </c>
      <c r="E1936" s="27">
        <v>42566.328993055555</v>
      </c>
      <c r="F1936" s="19">
        <f>IFERROR(__xludf.DUMMYFUNCTION("IFERROR(TO_DATE(E1936), """")"),42566.328993055555)</f>
        <v>42566.32899</v>
      </c>
      <c r="G1936" s="20">
        <f t="shared" si="1"/>
        <v>7</v>
      </c>
      <c r="H1936" s="27">
        <v>42566.34775462963</v>
      </c>
      <c r="I1936" s="19">
        <f>IFERROR(__xludf.DUMMYFUNCTION("IFERROR(TO_DATE(H1936), """")"),42566.34775462963)</f>
        <v>42566.34775</v>
      </c>
      <c r="J1936" s="19" t="s">
        <v>11</v>
      </c>
      <c r="K1936" s="22">
        <f t="shared" si="2"/>
        <v>0</v>
      </c>
    </row>
    <row r="1937">
      <c r="A1937" s="18">
        <v>6167.0</v>
      </c>
      <c r="B1937" s="18" t="s">
        <v>30</v>
      </c>
      <c r="C1937" s="18">
        <v>202.0</v>
      </c>
      <c r="D1937" s="18" t="s">
        <v>31</v>
      </c>
      <c r="E1937" s="27">
        <v>42566.696747685186</v>
      </c>
      <c r="F1937" s="19">
        <f>IFERROR(__xludf.DUMMYFUNCTION("IFERROR(TO_DATE(E1937), """")"),42566.696747685186)</f>
        <v>42566.69675</v>
      </c>
      <c r="G1937" s="20">
        <f t="shared" si="1"/>
        <v>16</v>
      </c>
      <c r="H1937" s="27">
        <v>42566.72521990741</v>
      </c>
      <c r="I1937" s="19">
        <f>IFERROR(__xludf.DUMMYFUNCTION("IFERROR(TO_DATE(H1937), """")"),42566.72521990741)</f>
        <v>42566.72522</v>
      </c>
      <c r="J1937" s="19" t="s">
        <v>12</v>
      </c>
      <c r="K1937" s="22">
        <f t="shared" si="2"/>
        <v>0</v>
      </c>
    </row>
    <row r="1938">
      <c r="A1938" s="18">
        <v>220.0</v>
      </c>
      <c r="B1938" s="18" t="s">
        <v>30</v>
      </c>
      <c r="C1938" s="18">
        <v>203.0</v>
      </c>
      <c r="D1938" s="18" t="s">
        <v>31</v>
      </c>
      <c r="E1938" s="26">
        <v>42562.25763888889</v>
      </c>
      <c r="F1938" s="19">
        <f>IFERROR(__xludf.DUMMYFUNCTION("IFERROR(TO_DATE(E1938), """")"),42562.25763888889)</f>
        <v>42562.25764</v>
      </c>
      <c r="G1938" s="20">
        <f t="shared" si="1"/>
        <v>6</v>
      </c>
      <c r="H1938" s="26">
        <v>42562.288194444445</v>
      </c>
      <c r="I1938" s="19">
        <f>IFERROR(__xludf.DUMMYFUNCTION("IFERROR(TO_DATE(H1938), """")"),42562.288194444445)</f>
        <v>42562.28819</v>
      </c>
      <c r="J1938" s="19" t="s">
        <v>11</v>
      </c>
      <c r="K1938" s="22">
        <f t="shared" si="2"/>
        <v>0</v>
      </c>
    </row>
    <row r="1939">
      <c r="A1939" s="18">
        <v>909.0</v>
      </c>
      <c r="B1939" s="18" t="s">
        <v>30</v>
      </c>
      <c r="C1939" s="18">
        <v>203.0</v>
      </c>
      <c r="D1939" s="18" t="s">
        <v>31</v>
      </c>
      <c r="E1939" s="26">
        <v>42562.76111111111</v>
      </c>
      <c r="F1939" s="19">
        <f>IFERROR(__xludf.DUMMYFUNCTION("IFERROR(TO_DATE(E1939), """")"),42562.76111111111)</f>
        <v>42562.76111</v>
      </c>
      <c r="G1939" s="20">
        <f t="shared" si="1"/>
        <v>18</v>
      </c>
      <c r="H1939" s="26">
        <v>42562.79652777778</v>
      </c>
      <c r="I1939" s="19">
        <f>IFERROR(__xludf.DUMMYFUNCTION("IFERROR(TO_DATE(H1939), """")"),42562.79652777778)</f>
        <v>42562.79653</v>
      </c>
      <c r="J1939" s="19" t="s">
        <v>12</v>
      </c>
      <c r="K1939" s="22">
        <f t="shared" si="2"/>
        <v>0</v>
      </c>
    </row>
    <row r="1940">
      <c r="A1940" s="18">
        <v>1306.0</v>
      </c>
      <c r="B1940" s="18" t="s">
        <v>30</v>
      </c>
      <c r="C1940" s="18">
        <v>203.0</v>
      </c>
      <c r="D1940" s="18" t="s">
        <v>31</v>
      </c>
      <c r="E1940" s="26">
        <v>42562.94375</v>
      </c>
      <c r="F1940" s="19">
        <f>IFERROR(__xludf.DUMMYFUNCTION("IFERROR(TO_DATE(E1940), """")"),42562.94375)</f>
        <v>42562.94375</v>
      </c>
      <c r="G1940" s="20">
        <f t="shared" si="1"/>
        <v>22</v>
      </c>
      <c r="H1940" s="26">
        <v>42562.990277777775</v>
      </c>
      <c r="I1940" s="19">
        <f>IFERROR(__xludf.DUMMYFUNCTION("IFERROR(TO_DATE(H1940), """")"),42562.990277777775)</f>
        <v>42562.99028</v>
      </c>
      <c r="J1940" s="19" t="s">
        <v>13</v>
      </c>
      <c r="K1940" s="22">
        <f t="shared" si="2"/>
        <v>0</v>
      </c>
    </row>
    <row r="1941">
      <c r="A1941" s="18">
        <v>2998.0</v>
      </c>
      <c r="B1941" s="18" t="s">
        <v>32</v>
      </c>
      <c r="C1941" s="18">
        <v>203.0</v>
      </c>
      <c r="D1941" s="18" t="s">
        <v>31</v>
      </c>
      <c r="E1941" s="27">
        <v>42564.303298611114</v>
      </c>
      <c r="F1941" s="19">
        <f>IFERROR(__xludf.DUMMYFUNCTION("IFERROR(TO_DATE(E1941), """")"),42564.303298611114)</f>
        <v>42564.3033</v>
      </c>
      <c r="G1941" s="20">
        <f t="shared" si="1"/>
        <v>7</v>
      </c>
      <c r="H1941" s="27">
        <v>42564.32346064815</v>
      </c>
      <c r="I1941" s="19">
        <f>IFERROR(__xludf.DUMMYFUNCTION("IFERROR(TO_DATE(H1941), """")"),42564.32346064815)</f>
        <v>42564.32346</v>
      </c>
      <c r="J1941" s="19" t="s">
        <v>11</v>
      </c>
      <c r="K1941" s="22">
        <f t="shared" si="2"/>
        <v>0</v>
      </c>
    </row>
    <row r="1942">
      <c r="A1942" s="18">
        <v>3415.0</v>
      </c>
      <c r="B1942" s="18" t="s">
        <v>32</v>
      </c>
      <c r="C1942" s="18">
        <v>203.0</v>
      </c>
      <c r="D1942" s="18" t="s">
        <v>31</v>
      </c>
      <c r="E1942" s="27">
        <v>42564.644467592596</v>
      </c>
      <c r="F1942" s="19">
        <f>IFERROR(__xludf.DUMMYFUNCTION("IFERROR(TO_DATE(E1942), """")"),42564.644467592596)</f>
        <v>42564.64447</v>
      </c>
      <c r="G1942" s="20">
        <f t="shared" si="1"/>
        <v>15</v>
      </c>
      <c r="H1942" s="27">
        <v>42564.692511574074</v>
      </c>
      <c r="I1942" s="19">
        <f>IFERROR(__xludf.DUMMYFUNCTION("IFERROR(TO_DATE(H1942), """")"),42564.692511574074)</f>
        <v>42564.69251</v>
      </c>
      <c r="J1942" s="19" t="s">
        <v>10</v>
      </c>
      <c r="K1942" s="22">
        <f t="shared" si="2"/>
        <v>0</v>
      </c>
    </row>
    <row r="1943">
      <c r="A1943" s="18">
        <v>3789.0</v>
      </c>
      <c r="B1943" s="18" t="s">
        <v>32</v>
      </c>
      <c r="C1943" s="18">
        <v>203.0</v>
      </c>
      <c r="D1943" s="18" t="s">
        <v>31</v>
      </c>
      <c r="E1943" s="27">
        <v>42564.86751157408</v>
      </c>
      <c r="F1943" s="19">
        <f>IFERROR(__xludf.DUMMYFUNCTION("IFERROR(TO_DATE(E1943), """")"),42564.86751157408)</f>
        <v>42564.86751</v>
      </c>
      <c r="G1943" s="20">
        <f t="shared" si="1"/>
        <v>20</v>
      </c>
      <c r="H1943" s="27">
        <v>42564.90375</v>
      </c>
      <c r="I1943" s="19">
        <f>IFERROR(__xludf.DUMMYFUNCTION("IFERROR(TO_DATE(H1943), """")"),42564.90375)</f>
        <v>42564.90375</v>
      </c>
      <c r="J1943" s="19" t="s">
        <v>13</v>
      </c>
      <c r="K1943" s="22">
        <f t="shared" si="2"/>
        <v>0</v>
      </c>
    </row>
    <row r="1944">
      <c r="A1944" s="18">
        <v>4227.0</v>
      </c>
      <c r="B1944" s="18" t="s">
        <v>30</v>
      </c>
      <c r="C1944" s="18">
        <v>203.0</v>
      </c>
      <c r="D1944" s="18" t="s">
        <v>31</v>
      </c>
      <c r="E1944" s="27">
        <v>42565.24275462963</v>
      </c>
      <c r="F1944" s="19">
        <f>IFERROR(__xludf.DUMMYFUNCTION("IFERROR(TO_DATE(E1944), """")"),42565.24275462963)</f>
        <v>42565.24275</v>
      </c>
      <c r="G1944" s="20">
        <f t="shared" si="1"/>
        <v>5</v>
      </c>
      <c r="H1944" s="27">
        <v>42565.28706018518</v>
      </c>
      <c r="I1944" s="19">
        <f>IFERROR(__xludf.DUMMYFUNCTION("IFERROR(TO_DATE(H1944), """")"),42565.28706018518)</f>
        <v>42565.28706</v>
      </c>
      <c r="J1944" s="19" t="s">
        <v>11</v>
      </c>
      <c r="K1944" s="22">
        <f t="shared" si="2"/>
        <v>0</v>
      </c>
    </row>
    <row r="1945">
      <c r="A1945" s="18">
        <v>6490.0</v>
      </c>
      <c r="B1945" s="18" t="s">
        <v>32</v>
      </c>
      <c r="C1945" s="18">
        <v>203.0</v>
      </c>
      <c r="D1945" s="18" t="s">
        <v>31</v>
      </c>
      <c r="E1945" s="27">
        <v>42566.85375</v>
      </c>
      <c r="F1945" s="19">
        <f>IFERROR(__xludf.DUMMYFUNCTION("IFERROR(TO_DATE(E1945), """")"),42566.85375)</f>
        <v>42566.85375</v>
      </c>
      <c r="G1945" s="20">
        <f t="shared" si="1"/>
        <v>20</v>
      </c>
      <c r="H1945" s="27">
        <v>42566.88707175926</v>
      </c>
      <c r="I1945" s="19">
        <f>IFERROR(__xludf.DUMMYFUNCTION("IFERROR(TO_DATE(H1945), """")"),42566.88707175926)</f>
        <v>42566.88707</v>
      </c>
      <c r="J1945" s="19" t="s">
        <v>13</v>
      </c>
      <c r="K1945" s="22">
        <f t="shared" si="2"/>
        <v>0</v>
      </c>
    </row>
    <row r="1946">
      <c r="A1946" s="18">
        <v>6712.0</v>
      </c>
      <c r="B1946" s="18" t="s">
        <v>30</v>
      </c>
      <c r="C1946" s="18">
        <v>203.0</v>
      </c>
      <c r="D1946" s="18" t="s">
        <v>31</v>
      </c>
      <c r="E1946" s="27">
        <v>42566.96008101852</v>
      </c>
      <c r="F1946" s="19">
        <f>IFERROR(__xludf.DUMMYFUNCTION("IFERROR(TO_DATE(E1946), """")"),42566.96008101852)</f>
        <v>42566.96008</v>
      </c>
      <c r="G1946" s="20">
        <f t="shared" si="1"/>
        <v>23</v>
      </c>
      <c r="H1946" s="27">
        <v>42566.98847222222</v>
      </c>
      <c r="I1946" s="19">
        <f>IFERROR(__xludf.DUMMYFUNCTION("IFERROR(TO_DATE(H1946), """")"),42566.98847222222)</f>
        <v>42566.98847</v>
      </c>
      <c r="J1946" s="19" t="s">
        <v>13</v>
      </c>
      <c r="K1946" s="22">
        <f t="shared" si="2"/>
        <v>0</v>
      </c>
    </row>
    <row r="1947">
      <c r="A1947" s="18">
        <v>583.0</v>
      </c>
      <c r="B1947" s="18" t="s">
        <v>30</v>
      </c>
      <c r="C1947" s="18">
        <v>204.0</v>
      </c>
      <c r="D1947" s="18" t="s">
        <v>31</v>
      </c>
      <c r="E1947" s="26">
        <v>42562.46388888889</v>
      </c>
      <c r="F1947" s="19">
        <f>IFERROR(__xludf.DUMMYFUNCTION("IFERROR(TO_DATE(E1947), """")"),42562.46388888889)</f>
        <v>42562.46389</v>
      </c>
      <c r="G1947" s="20">
        <f t="shared" si="1"/>
        <v>11</v>
      </c>
      <c r="H1947" s="26">
        <v>42562.498611111114</v>
      </c>
      <c r="I1947" s="19">
        <f>IFERROR(__xludf.DUMMYFUNCTION("IFERROR(TO_DATE(H1947), """")"),42562.498611111114)</f>
        <v>42562.49861</v>
      </c>
      <c r="J1947" s="19" t="s">
        <v>14</v>
      </c>
      <c r="K1947" s="22">
        <f t="shared" si="2"/>
        <v>0</v>
      </c>
    </row>
    <row r="1948">
      <c r="A1948" s="18">
        <v>772.0</v>
      </c>
      <c r="B1948" s="18" t="s">
        <v>32</v>
      </c>
      <c r="C1948" s="18">
        <v>204.0</v>
      </c>
      <c r="D1948" s="18" t="s">
        <v>31</v>
      </c>
      <c r="E1948" s="26">
        <v>42562.68402777778</v>
      </c>
      <c r="F1948" s="19">
        <f>IFERROR(__xludf.DUMMYFUNCTION("IFERROR(TO_DATE(E1948), """")"),42562.68402777778)</f>
        <v>42562.68403</v>
      </c>
      <c r="G1948" s="20">
        <f t="shared" si="1"/>
        <v>16</v>
      </c>
      <c r="H1948" s="26">
        <v>42562.73333333333</v>
      </c>
      <c r="I1948" s="19">
        <f>IFERROR(__xludf.DUMMYFUNCTION("IFERROR(TO_DATE(H1948), """")"),42562.73333333333)</f>
        <v>42562.73333</v>
      </c>
      <c r="J1948" s="19" t="s">
        <v>12</v>
      </c>
      <c r="K1948" s="22">
        <f t="shared" si="2"/>
        <v>0</v>
      </c>
    </row>
    <row r="1949">
      <c r="A1949" s="18">
        <v>1142.0</v>
      </c>
      <c r="B1949" s="18" t="s">
        <v>32</v>
      </c>
      <c r="C1949" s="18">
        <v>204.0</v>
      </c>
      <c r="D1949" s="18" t="s">
        <v>31</v>
      </c>
      <c r="E1949" s="26">
        <v>42562.8625</v>
      </c>
      <c r="F1949" s="19">
        <f>IFERROR(__xludf.DUMMYFUNCTION("IFERROR(TO_DATE(E1949), """")"),42562.8625)</f>
        <v>42562.8625</v>
      </c>
      <c r="G1949" s="20">
        <f t="shared" si="1"/>
        <v>20</v>
      </c>
      <c r="H1949" s="26">
        <v>42562.90277777778</v>
      </c>
      <c r="I1949" s="19">
        <f>IFERROR(__xludf.DUMMYFUNCTION("IFERROR(TO_DATE(H1949), """")"),42562.90277777778)</f>
        <v>42562.90278</v>
      </c>
      <c r="J1949" s="19" t="s">
        <v>13</v>
      </c>
      <c r="K1949" s="22">
        <f t="shared" si="2"/>
        <v>0</v>
      </c>
    </row>
    <row r="1950">
      <c r="A1950" s="18">
        <v>1436.0</v>
      </c>
      <c r="B1950" s="18" t="s">
        <v>32</v>
      </c>
      <c r="C1950" s="18">
        <v>204.0</v>
      </c>
      <c r="D1950" s="18" t="s">
        <v>31</v>
      </c>
      <c r="E1950" s="26">
        <v>42563.19861111111</v>
      </c>
      <c r="F1950" s="19">
        <f>IFERROR(__xludf.DUMMYFUNCTION("IFERROR(TO_DATE(E1950), """")"),42563.19861111111)</f>
        <v>42563.19861</v>
      </c>
      <c r="G1950" s="20">
        <f t="shared" si="1"/>
        <v>4</v>
      </c>
      <c r="H1950" s="26">
        <v>42563.22361111111</v>
      </c>
      <c r="I1950" s="19">
        <f>IFERROR(__xludf.DUMMYFUNCTION("IFERROR(TO_DATE(H1950), """")"),42563.22361111111)</f>
        <v>42563.22361</v>
      </c>
      <c r="J1950" s="19" t="s">
        <v>11</v>
      </c>
      <c r="K1950" s="22">
        <f t="shared" si="2"/>
        <v>0</v>
      </c>
    </row>
    <row r="1951">
      <c r="A1951" s="18">
        <v>1986.0</v>
      </c>
      <c r="B1951" s="18" t="s">
        <v>32</v>
      </c>
      <c r="C1951" s="18">
        <v>204.0</v>
      </c>
      <c r="D1951" s="18" t="s">
        <v>31</v>
      </c>
      <c r="E1951" s="26">
        <v>42563.52222222222</v>
      </c>
      <c r="F1951" s="19">
        <f>IFERROR(__xludf.DUMMYFUNCTION("IFERROR(TO_DATE(E1951), """")"),42563.52222222222)</f>
        <v>42563.52222</v>
      </c>
      <c r="G1951" s="20">
        <f t="shared" si="1"/>
        <v>12</v>
      </c>
      <c r="H1951" s="26">
        <v>42563.54513888889</v>
      </c>
      <c r="I1951" s="19">
        <f>IFERROR(__xludf.DUMMYFUNCTION("IFERROR(TO_DATE(H1951), """")"),42563.54513888889)</f>
        <v>42563.54514</v>
      </c>
      <c r="J1951" s="19" t="s">
        <v>10</v>
      </c>
      <c r="K1951" s="22">
        <f t="shared" si="2"/>
        <v>0</v>
      </c>
    </row>
    <row r="1952">
      <c r="A1952" s="18">
        <v>2508.0</v>
      </c>
      <c r="B1952" s="18" t="s">
        <v>30</v>
      </c>
      <c r="C1952" s="18">
        <v>204.0</v>
      </c>
      <c r="D1952" s="18" t="s">
        <v>31</v>
      </c>
      <c r="E1952" s="26">
        <v>42563.87777777778</v>
      </c>
      <c r="F1952" s="19">
        <f>IFERROR(__xludf.DUMMYFUNCTION("IFERROR(TO_DATE(E1952), """")"),42563.87777777778)</f>
        <v>42563.87778</v>
      </c>
      <c r="G1952" s="20">
        <f t="shared" si="1"/>
        <v>21</v>
      </c>
      <c r="H1952" s="26">
        <v>42563.916666666664</v>
      </c>
      <c r="I1952" s="19">
        <f>IFERROR(__xludf.DUMMYFUNCTION("IFERROR(TO_DATE(H1952), """")"),42563.916666666664)</f>
        <v>42563.91667</v>
      </c>
      <c r="J1952" s="19" t="s">
        <v>13</v>
      </c>
      <c r="K1952" s="22">
        <f t="shared" si="2"/>
        <v>0</v>
      </c>
    </row>
    <row r="1953">
      <c r="A1953" s="18">
        <v>2788.0</v>
      </c>
      <c r="B1953" s="18" t="s">
        <v>32</v>
      </c>
      <c r="C1953" s="18">
        <v>204.0</v>
      </c>
      <c r="D1953" s="18" t="s">
        <v>31</v>
      </c>
      <c r="E1953" s="27">
        <v>42564.20133101852</v>
      </c>
      <c r="F1953" s="19">
        <f>IFERROR(__xludf.DUMMYFUNCTION("IFERROR(TO_DATE(E1953), """")"),42564.20133101852)</f>
        <v>42564.20133</v>
      </c>
      <c r="G1953" s="20">
        <f t="shared" si="1"/>
        <v>4</v>
      </c>
      <c r="H1953" s="27">
        <v>42564.24730324074</v>
      </c>
      <c r="I1953" s="19">
        <f>IFERROR(__xludf.DUMMYFUNCTION("IFERROR(TO_DATE(H1953), """")"),42564.24730324074)</f>
        <v>42564.2473</v>
      </c>
      <c r="J1953" s="19" t="s">
        <v>11</v>
      </c>
      <c r="K1953" s="22">
        <f t="shared" si="2"/>
        <v>0</v>
      </c>
    </row>
    <row r="1954">
      <c r="A1954" s="18">
        <v>2956.0</v>
      </c>
      <c r="B1954" s="18" t="s">
        <v>30</v>
      </c>
      <c r="C1954" s="18">
        <v>204.0</v>
      </c>
      <c r="D1954" s="18" t="s">
        <v>31</v>
      </c>
      <c r="E1954" s="27">
        <v>42564.27930555555</v>
      </c>
      <c r="F1954" s="19">
        <f>IFERROR(__xludf.DUMMYFUNCTION("IFERROR(TO_DATE(E1954), """")"),42564.27930555555)</f>
        <v>42564.27931</v>
      </c>
      <c r="G1954" s="20">
        <f t="shared" si="1"/>
        <v>6</v>
      </c>
      <c r="H1954" s="27">
        <v>42564.31601851852</v>
      </c>
      <c r="I1954" s="19">
        <f>IFERROR(__xludf.DUMMYFUNCTION("IFERROR(TO_DATE(H1954), """")"),42564.31601851852)</f>
        <v>42564.31602</v>
      </c>
      <c r="J1954" s="19" t="s">
        <v>11</v>
      </c>
      <c r="K1954" s="22">
        <f t="shared" si="2"/>
        <v>0</v>
      </c>
    </row>
    <row r="1955">
      <c r="A1955" s="18">
        <v>4518.0</v>
      </c>
      <c r="B1955" s="18" t="s">
        <v>32</v>
      </c>
      <c r="C1955" s="18">
        <v>204.0</v>
      </c>
      <c r="D1955" s="18" t="s">
        <v>31</v>
      </c>
      <c r="E1955" s="27">
        <v>42565.38798611111</v>
      </c>
      <c r="F1955" s="19">
        <f>IFERROR(__xludf.DUMMYFUNCTION("IFERROR(TO_DATE(E1955), """")"),42565.38798611111)</f>
        <v>42565.38799</v>
      </c>
      <c r="G1955" s="20">
        <f t="shared" si="1"/>
        <v>9</v>
      </c>
      <c r="H1955" s="27">
        <v>42565.43116898148</v>
      </c>
      <c r="I1955" s="19">
        <f>IFERROR(__xludf.DUMMYFUNCTION("IFERROR(TO_DATE(H1955), """")"),42565.43116898148)</f>
        <v>42565.43117</v>
      </c>
      <c r="J1955" s="19" t="s">
        <v>14</v>
      </c>
      <c r="K1955" s="22">
        <f t="shared" si="2"/>
        <v>0</v>
      </c>
    </row>
    <row r="1956">
      <c r="A1956" s="18">
        <v>4681.0</v>
      </c>
      <c r="B1956" s="18" t="s">
        <v>32</v>
      </c>
      <c r="C1956" s="18">
        <v>204.0</v>
      </c>
      <c r="D1956" s="18" t="s">
        <v>31</v>
      </c>
      <c r="E1956" s="27">
        <v>42565.533171296294</v>
      </c>
      <c r="F1956" s="19">
        <f>IFERROR(__xludf.DUMMYFUNCTION("IFERROR(TO_DATE(E1956), """")"),42565.533171296294)</f>
        <v>42565.53317</v>
      </c>
      <c r="G1956" s="20">
        <f t="shared" si="1"/>
        <v>12</v>
      </c>
      <c r="H1956" s="27">
        <v>42565.55762731482</v>
      </c>
      <c r="I1956" s="19">
        <f>IFERROR(__xludf.DUMMYFUNCTION("IFERROR(TO_DATE(H1956), """")"),42565.55762731482)</f>
        <v>42565.55763</v>
      </c>
      <c r="J1956" s="19" t="s">
        <v>10</v>
      </c>
      <c r="K1956" s="22">
        <f t="shared" si="2"/>
        <v>0</v>
      </c>
    </row>
    <row r="1957">
      <c r="A1957" s="18">
        <v>5041.0</v>
      </c>
      <c r="B1957" s="18" t="s">
        <v>32</v>
      </c>
      <c r="C1957" s="18">
        <v>204.0</v>
      </c>
      <c r="D1957" s="18" t="s">
        <v>31</v>
      </c>
      <c r="E1957" s="27">
        <v>42565.805625</v>
      </c>
      <c r="F1957" s="19">
        <f>IFERROR(__xludf.DUMMYFUNCTION("IFERROR(TO_DATE(E1957), """")"),42565.805625)</f>
        <v>42565.80563</v>
      </c>
      <c r="G1957" s="20">
        <f t="shared" si="1"/>
        <v>19</v>
      </c>
      <c r="H1957" s="27">
        <v>42565.84857638889</v>
      </c>
      <c r="I1957" s="19">
        <f>IFERROR(__xludf.DUMMYFUNCTION("IFERROR(TO_DATE(H1957), """")"),42565.84857638889)</f>
        <v>42565.84858</v>
      </c>
      <c r="J1957" s="19" t="s">
        <v>12</v>
      </c>
      <c r="K1957" s="22">
        <f t="shared" si="2"/>
        <v>0</v>
      </c>
    </row>
    <row r="1958">
      <c r="A1958" s="18">
        <v>6176.0</v>
      </c>
      <c r="B1958" s="18" t="s">
        <v>32</v>
      </c>
      <c r="C1958" s="18">
        <v>204.0</v>
      </c>
      <c r="D1958" s="18" t="s">
        <v>31</v>
      </c>
      <c r="E1958" s="27">
        <v>42566.70539351852</v>
      </c>
      <c r="F1958" s="19">
        <f>IFERROR(__xludf.DUMMYFUNCTION("IFERROR(TO_DATE(E1958), """")"),42566.70539351852)</f>
        <v>42566.70539</v>
      </c>
      <c r="G1958" s="20">
        <f t="shared" si="1"/>
        <v>16</v>
      </c>
      <c r="H1958" s="27">
        <v>42566.73947916667</v>
      </c>
      <c r="I1958" s="19">
        <f>IFERROR(__xludf.DUMMYFUNCTION("IFERROR(TO_DATE(H1958), """")"),42566.73947916667)</f>
        <v>42566.73948</v>
      </c>
      <c r="J1958" s="19" t="s">
        <v>12</v>
      </c>
      <c r="K1958" s="22">
        <f t="shared" si="2"/>
        <v>0</v>
      </c>
    </row>
    <row r="1959">
      <c r="A1959" s="18">
        <v>542.0</v>
      </c>
      <c r="B1959" s="18" t="s">
        <v>30</v>
      </c>
      <c r="C1959" s="18">
        <v>205.0</v>
      </c>
      <c r="D1959" s="18" t="s">
        <v>31</v>
      </c>
      <c r="E1959" s="26">
        <v>42562.42083333333</v>
      </c>
      <c r="F1959" s="19">
        <f>IFERROR(__xludf.DUMMYFUNCTION("IFERROR(TO_DATE(E1959), """")"),42562.42083333333)</f>
        <v>42562.42083</v>
      </c>
      <c r="G1959" s="20">
        <f t="shared" si="1"/>
        <v>10</v>
      </c>
      <c r="H1959" s="26">
        <v>42562.45972222222</v>
      </c>
      <c r="I1959" s="19">
        <f>IFERROR(__xludf.DUMMYFUNCTION("IFERROR(TO_DATE(H1959), """")"),42562.45972222222)</f>
        <v>42562.45972</v>
      </c>
      <c r="J1959" s="19" t="s">
        <v>14</v>
      </c>
      <c r="K1959" s="22">
        <f t="shared" si="2"/>
        <v>0</v>
      </c>
    </row>
    <row r="1960">
      <c r="A1960" s="18">
        <v>605.0</v>
      </c>
      <c r="B1960" s="18" t="s">
        <v>30</v>
      </c>
      <c r="C1960" s="18">
        <v>205.0</v>
      </c>
      <c r="D1960" s="18" t="s">
        <v>31</v>
      </c>
      <c r="E1960" s="26">
        <v>42562.4875</v>
      </c>
      <c r="F1960" s="19">
        <f>IFERROR(__xludf.DUMMYFUNCTION("IFERROR(TO_DATE(E1960), """")"),42562.4875)</f>
        <v>42562.4875</v>
      </c>
      <c r="G1960" s="20">
        <f t="shared" si="1"/>
        <v>11</v>
      </c>
      <c r="H1960" s="26">
        <v>42562.521527777775</v>
      </c>
      <c r="I1960" s="19">
        <f>IFERROR(__xludf.DUMMYFUNCTION("IFERROR(TO_DATE(H1960), """")"),42562.521527777775)</f>
        <v>42562.52153</v>
      </c>
      <c r="J1960" s="19" t="s">
        <v>14</v>
      </c>
      <c r="K1960" s="22">
        <f t="shared" si="2"/>
        <v>0</v>
      </c>
    </row>
    <row r="1961">
      <c r="A1961" s="18">
        <v>1908.0</v>
      </c>
      <c r="B1961" s="18" t="s">
        <v>30</v>
      </c>
      <c r="C1961" s="18">
        <v>205.0</v>
      </c>
      <c r="D1961" s="18" t="s">
        <v>31</v>
      </c>
      <c r="E1961" s="26">
        <v>42563.44097222222</v>
      </c>
      <c r="F1961" s="19">
        <f>IFERROR(__xludf.DUMMYFUNCTION("IFERROR(TO_DATE(E1961), """")"),42563.44097222222)</f>
        <v>42563.44097</v>
      </c>
      <c r="G1961" s="20">
        <f t="shared" si="1"/>
        <v>10</v>
      </c>
      <c r="H1961" s="26">
        <v>42563.48611111111</v>
      </c>
      <c r="I1961" s="19">
        <f>IFERROR(__xludf.DUMMYFUNCTION("IFERROR(TO_DATE(H1961), """")"),42563.48611111111)</f>
        <v>42563.48611</v>
      </c>
      <c r="J1961" s="19" t="s">
        <v>14</v>
      </c>
      <c r="K1961" s="22">
        <f t="shared" si="2"/>
        <v>0</v>
      </c>
    </row>
    <row r="1962">
      <c r="A1962" s="18">
        <v>3662.0</v>
      </c>
      <c r="B1962" s="18" t="s">
        <v>32</v>
      </c>
      <c r="C1962" s="18">
        <v>205.0</v>
      </c>
      <c r="D1962" s="18" t="s">
        <v>31</v>
      </c>
      <c r="E1962" s="27">
        <v>42564.805127314816</v>
      </c>
      <c r="F1962" s="19">
        <f>IFERROR(__xludf.DUMMYFUNCTION("IFERROR(TO_DATE(E1962), """")"),42564.805127314816)</f>
        <v>42564.80513</v>
      </c>
      <c r="G1962" s="20">
        <f t="shared" si="1"/>
        <v>19</v>
      </c>
      <c r="H1962" s="27">
        <v>42564.84741898148</v>
      </c>
      <c r="I1962" s="19">
        <f>IFERROR(__xludf.DUMMYFUNCTION("IFERROR(TO_DATE(H1962), """")"),42564.84741898148)</f>
        <v>42564.84742</v>
      </c>
      <c r="J1962" s="19" t="s">
        <v>12</v>
      </c>
      <c r="K1962" s="22">
        <f t="shared" si="2"/>
        <v>0</v>
      </c>
    </row>
    <row r="1963">
      <c r="A1963" s="18">
        <v>4254.0</v>
      </c>
      <c r="B1963" s="18" t="s">
        <v>32</v>
      </c>
      <c r="C1963" s="18">
        <v>205.0</v>
      </c>
      <c r="D1963" s="18" t="s">
        <v>31</v>
      </c>
      <c r="E1963" s="27">
        <v>42565.25440972222</v>
      </c>
      <c r="F1963" s="19">
        <f>IFERROR(__xludf.DUMMYFUNCTION("IFERROR(TO_DATE(E1963), """")"),42565.25440972222)</f>
        <v>42565.25441</v>
      </c>
      <c r="G1963" s="20">
        <f t="shared" si="1"/>
        <v>6</v>
      </c>
      <c r="H1963" s="27">
        <v>42565.300578703704</v>
      </c>
      <c r="I1963" s="19">
        <f>IFERROR(__xludf.DUMMYFUNCTION("IFERROR(TO_DATE(H1963), """")"),42565.300578703704)</f>
        <v>42565.30058</v>
      </c>
      <c r="J1963" s="19" t="s">
        <v>11</v>
      </c>
      <c r="K1963" s="22">
        <f t="shared" si="2"/>
        <v>0</v>
      </c>
    </row>
    <row r="1964">
      <c r="A1964" s="18">
        <v>5337.0</v>
      </c>
      <c r="B1964" s="18" t="s">
        <v>32</v>
      </c>
      <c r="C1964" s="18">
        <v>205.0</v>
      </c>
      <c r="D1964" s="18" t="s">
        <v>31</v>
      </c>
      <c r="E1964" s="27">
        <v>42565.93157407407</v>
      </c>
      <c r="F1964" s="19">
        <f>IFERROR(__xludf.DUMMYFUNCTION("IFERROR(TO_DATE(E1964), """")"),42565.93157407407)</f>
        <v>42565.93157</v>
      </c>
      <c r="G1964" s="20">
        <f t="shared" si="1"/>
        <v>22</v>
      </c>
      <c r="H1964" s="27">
        <v>42565.97476851852</v>
      </c>
      <c r="I1964" s="19">
        <f>IFERROR(__xludf.DUMMYFUNCTION("IFERROR(TO_DATE(H1964), """")"),42565.97476851852)</f>
        <v>42565.97477</v>
      </c>
      <c r="J1964" s="19" t="s">
        <v>13</v>
      </c>
      <c r="K1964" s="22">
        <f t="shared" si="2"/>
        <v>0</v>
      </c>
    </row>
    <row r="1965">
      <c r="A1965" s="18">
        <v>5430.0</v>
      </c>
      <c r="B1965" s="18" t="s">
        <v>32</v>
      </c>
      <c r="C1965" s="18">
        <v>205.0</v>
      </c>
      <c r="D1965" s="18" t="s">
        <v>31</v>
      </c>
      <c r="E1965" s="27">
        <v>42566.107766203706</v>
      </c>
      <c r="F1965" s="19">
        <f>IFERROR(__xludf.DUMMYFUNCTION("IFERROR(TO_DATE(E1965), """")"),42566.107766203706)</f>
        <v>42566.10777</v>
      </c>
      <c r="G1965" s="20">
        <f t="shared" si="1"/>
        <v>2</v>
      </c>
      <c r="H1965" s="27">
        <v>42566.142743055556</v>
      </c>
      <c r="I1965" s="19">
        <f>IFERROR(__xludf.DUMMYFUNCTION("IFERROR(TO_DATE(H1965), """")"),42566.142743055556)</f>
        <v>42566.14274</v>
      </c>
      <c r="J1965" s="19" t="s">
        <v>15</v>
      </c>
      <c r="K1965" s="22">
        <f t="shared" si="2"/>
        <v>0</v>
      </c>
    </row>
    <row r="1966">
      <c r="A1966" s="18">
        <v>6630.0</v>
      </c>
      <c r="B1966" s="18" t="s">
        <v>30</v>
      </c>
      <c r="C1966" s="18">
        <v>205.0</v>
      </c>
      <c r="D1966" s="18" t="s">
        <v>31</v>
      </c>
      <c r="E1966" s="27">
        <v>42566.915497685186</v>
      </c>
      <c r="F1966" s="19">
        <f>IFERROR(__xludf.DUMMYFUNCTION("IFERROR(TO_DATE(E1966), """")"),42566.915497685186)</f>
        <v>42566.9155</v>
      </c>
      <c r="G1966" s="20">
        <f t="shared" si="1"/>
        <v>21</v>
      </c>
      <c r="H1966" s="27">
        <v>42566.95196759259</v>
      </c>
      <c r="I1966" s="19">
        <f>IFERROR(__xludf.DUMMYFUNCTION("IFERROR(TO_DATE(H1966), """")"),42566.95196759259)</f>
        <v>42566.95197</v>
      </c>
      <c r="J1966" s="19" t="s">
        <v>13</v>
      </c>
      <c r="K1966" s="22">
        <f t="shared" si="2"/>
        <v>0</v>
      </c>
    </row>
    <row r="1967">
      <c r="A1967" s="18">
        <v>297.0</v>
      </c>
      <c r="B1967" s="18" t="s">
        <v>30</v>
      </c>
      <c r="C1967" s="18">
        <v>206.0</v>
      </c>
      <c r="D1967" s="18" t="s">
        <v>31</v>
      </c>
      <c r="E1967" s="26">
        <v>42562.30069444444</v>
      </c>
      <c r="F1967" s="19">
        <f>IFERROR(__xludf.DUMMYFUNCTION("IFERROR(TO_DATE(E1967), """")"),42562.30069444444)</f>
        <v>42562.30069</v>
      </c>
      <c r="G1967" s="20">
        <f t="shared" si="1"/>
        <v>7</v>
      </c>
      <c r="H1967" s="26">
        <v>42562.32152777778</v>
      </c>
      <c r="I1967" s="19">
        <f>IFERROR(__xludf.DUMMYFUNCTION("IFERROR(TO_DATE(H1967), """")"),42562.32152777778)</f>
        <v>42562.32153</v>
      </c>
      <c r="J1967" s="19" t="s">
        <v>11</v>
      </c>
      <c r="K1967" s="22">
        <f t="shared" si="2"/>
        <v>0</v>
      </c>
    </row>
    <row r="1968">
      <c r="A1968" s="18">
        <v>501.0</v>
      </c>
      <c r="B1968" s="18" t="s">
        <v>32</v>
      </c>
      <c r="C1968" s="18">
        <v>206.0</v>
      </c>
      <c r="D1968" s="18" t="s">
        <v>31</v>
      </c>
      <c r="E1968" s="26">
        <v>42562.40069444444</v>
      </c>
      <c r="F1968" s="19">
        <f>IFERROR(__xludf.DUMMYFUNCTION("IFERROR(TO_DATE(E1968), """")"),42562.40069444444)</f>
        <v>42562.40069</v>
      </c>
      <c r="G1968" s="20">
        <f t="shared" si="1"/>
        <v>9</v>
      </c>
      <c r="H1968" s="26">
        <v>42562.42361111111</v>
      </c>
      <c r="I1968" s="19">
        <f>IFERROR(__xludf.DUMMYFUNCTION("IFERROR(TO_DATE(H1968), """")"),42562.42361111111)</f>
        <v>42562.42361</v>
      </c>
      <c r="J1968" s="19" t="s">
        <v>14</v>
      </c>
      <c r="K1968" s="22">
        <f t="shared" si="2"/>
        <v>0</v>
      </c>
    </row>
    <row r="1969">
      <c r="A1969" s="18">
        <v>826.0</v>
      </c>
      <c r="B1969" s="18" t="s">
        <v>32</v>
      </c>
      <c r="C1969" s="18">
        <v>206.0</v>
      </c>
      <c r="D1969" s="18" t="s">
        <v>31</v>
      </c>
      <c r="E1969" s="26">
        <v>42562.73055555556</v>
      </c>
      <c r="F1969" s="19">
        <f>IFERROR(__xludf.DUMMYFUNCTION("IFERROR(TO_DATE(E1969), """")"),42562.73055555556)</f>
        <v>42562.73056</v>
      </c>
      <c r="G1969" s="20">
        <f t="shared" si="1"/>
        <v>17</v>
      </c>
      <c r="H1969" s="26">
        <v>42562.777083333334</v>
      </c>
      <c r="I1969" s="19">
        <f>IFERROR(__xludf.DUMMYFUNCTION("IFERROR(TO_DATE(H1969), """")"),42562.777083333334)</f>
        <v>42562.77708</v>
      </c>
      <c r="J1969" s="19" t="s">
        <v>12</v>
      </c>
      <c r="K1969" s="22">
        <f t="shared" si="2"/>
        <v>0</v>
      </c>
    </row>
    <row r="1970">
      <c r="A1970" s="18">
        <v>2339.0</v>
      </c>
      <c r="B1970" s="18" t="s">
        <v>32</v>
      </c>
      <c r="C1970" s="18">
        <v>206.0</v>
      </c>
      <c r="D1970" s="18" t="s">
        <v>31</v>
      </c>
      <c r="E1970" s="26">
        <v>42563.80486111111</v>
      </c>
      <c r="F1970" s="19">
        <f>IFERROR(__xludf.DUMMYFUNCTION("IFERROR(TO_DATE(E1970), """")"),42563.80486111111)</f>
        <v>42563.80486</v>
      </c>
      <c r="G1970" s="20">
        <f t="shared" si="1"/>
        <v>19</v>
      </c>
      <c r="H1970" s="26">
        <v>42563.84166666667</v>
      </c>
      <c r="I1970" s="19">
        <f>IFERROR(__xludf.DUMMYFUNCTION("IFERROR(TO_DATE(H1970), """")"),42563.84166666667)</f>
        <v>42563.84167</v>
      </c>
      <c r="J1970" s="19" t="s">
        <v>12</v>
      </c>
      <c r="K1970" s="22">
        <f t="shared" si="2"/>
        <v>0</v>
      </c>
    </row>
    <row r="1971">
      <c r="A1971" s="18">
        <v>3025.0</v>
      </c>
      <c r="B1971" s="18" t="s">
        <v>32</v>
      </c>
      <c r="C1971" s="18">
        <v>206.0</v>
      </c>
      <c r="D1971" s="18" t="s">
        <v>31</v>
      </c>
      <c r="E1971" s="27">
        <v>42564.31402777778</v>
      </c>
      <c r="F1971" s="19">
        <f>IFERROR(__xludf.DUMMYFUNCTION("IFERROR(TO_DATE(E1971), """")"),42564.31402777778)</f>
        <v>42564.31403</v>
      </c>
      <c r="G1971" s="20">
        <f t="shared" si="1"/>
        <v>7</v>
      </c>
      <c r="H1971" s="27">
        <v>42564.36488425926</v>
      </c>
      <c r="I1971" s="19">
        <f>IFERROR(__xludf.DUMMYFUNCTION("IFERROR(TO_DATE(H1971), """")"),42564.36488425926)</f>
        <v>42564.36488</v>
      </c>
      <c r="J1971" s="19" t="s">
        <v>11</v>
      </c>
      <c r="K1971" s="22">
        <f t="shared" si="2"/>
        <v>0</v>
      </c>
    </row>
    <row r="1972">
      <c r="A1972" s="18">
        <v>4803.0</v>
      </c>
      <c r="B1972" s="18" t="s">
        <v>32</v>
      </c>
      <c r="C1972" s="18">
        <v>206.0</v>
      </c>
      <c r="D1972" s="18" t="s">
        <v>31</v>
      </c>
      <c r="E1972" s="27">
        <v>42565.71021990741</v>
      </c>
      <c r="F1972" s="19">
        <f>IFERROR(__xludf.DUMMYFUNCTION("IFERROR(TO_DATE(E1972), """")"),42565.71021990741)</f>
        <v>42565.71022</v>
      </c>
      <c r="G1972" s="20">
        <f t="shared" si="1"/>
        <v>17</v>
      </c>
      <c r="H1972" s="27">
        <v>42565.762407407405</v>
      </c>
      <c r="I1972" s="19">
        <f>IFERROR(__xludf.DUMMYFUNCTION("IFERROR(TO_DATE(H1972), """")"),42565.762407407405)</f>
        <v>42565.76241</v>
      </c>
      <c r="J1972" s="19" t="s">
        <v>12</v>
      </c>
      <c r="K1972" s="22">
        <f t="shared" si="2"/>
        <v>0</v>
      </c>
    </row>
    <row r="1973">
      <c r="A1973" s="18">
        <v>5893.0</v>
      </c>
      <c r="B1973" s="18" t="s">
        <v>32</v>
      </c>
      <c r="C1973" s="18">
        <v>206.0</v>
      </c>
      <c r="D1973" s="18" t="s">
        <v>31</v>
      </c>
      <c r="E1973" s="27">
        <v>42566.40429398148</v>
      </c>
      <c r="F1973" s="19">
        <f>IFERROR(__xludf.DUMMYFUNCTION("IFERROR(TO_DATE(E1973), """")"),42566.40429398148)</f>
        <v>42566.40429</v>
      </c>
      <c r="G1973" s="20">
        <f t="shared" si="1"/>
        <v>9</v>
      </c>
      <c r="H1973" s="27">
        <v>42566.42921296296</v>
      </c>
      <c r="I1973" s="19">
        <f>IFERROR(__xludf.DUMMYFUNCTION("IFERROR(TO_DATE(H1973), """")"),42566.42921296296)</f>
        <v>42566.42921</v>
      </c>
      <c r="J1973" s="19" t="s">
        <v>14</v>
      </c>
      <c r="K1973" s="22">
        <f t="shared" si="2"/>
        <v>0</v>
      </c>
    </row>
    <row r="1974">
      <c r="A1974" s="18">
        <v>876.0</v>
      </c>
      <c r="B1974" s="18" t="s">
        <v>30</v>
      </c>
      <c r="C1974" s="18">
        <v>207.0</v>
      </c>
      <c r="D1974" s="18" t="s">
        <v>31</v>
      </c>
      <c r="E1974" s="26">
        <v>42562.748611111114</v>
      </c>
      <c r="F1974" s="19">
        <f>IFERROR(__xludf.DUMMYFUNCTION("IFERROR(TO_DATE(E1974), """")"),42562.748611111114)</f>
        <v>42562.74861</v>
      </c>
      <c r="G1974" s="20">
        <f t="shared" si="1"/>
        <v>17</v>
      </c>
      <c r="H1974" s="26">
        <v>42562.77291666667</v>
      </c>
      <c r="I1974" s="19">
        <f>IFERROR(__xludf.DUMMYFUNCTION("IFERROR(TO_DATE(H1974), """")"),42562.77291666667)</f>
        <v>42562.77292</v>
      </c>
      <c r="J1974" s="19" t="s">
        <v>12</v>
      </c>
      <c r="K1974" s="22">
        <f t="shared" si="2"/>
        <v>0</v>
      </c>
    </row>
    <row r="1975">
      <c r="A1975" s="18">
        <v>1318.0</v>
      </c>
      <c r="B1975" s="18" t="s">
        <v>32</v>
      </c>
      <c r="C1975" s="18">
        <v>207.0</v>
      </c>
      <c r="D1975" s="18" t="s">
        <v>31</v>
      </c>
      <c r="E1975" s="26">
        <v>42562.95208333333</v>
      </c>
      <c r="F1975" s="19">
        <f>IFERROR(__xludf.DUMMYFUNCTION("IFERROR(TO_DATE(E1975), """")"),42562.95208333333)</f>
        <v>42562.95208</v>
      </c>
      <c r="G1975" s="20">
        <f t="shared" si="1"/>
        <v>22</v>
      </c>
      <c r="H1975" s="26">
        <v>42562.989583333336</v>
      </c>
      <c r="I1975" s="19">
        <f>IFERROR(__xludf.DUMMYFUNCTION("IFERROR(TO_DATE(H1975), """")"),42562.989583333336)</f>
        <v>42562.98958</v>
      </c>
      <c r="J1975" s="19" t="s">
        <v>13</v>
      </c>
      <c r="K1975" s="22">
        <f t="shared" si="2"/>
        <v>0</v>
      </c>
    </row>
    <row r="1976">
      <c r="A1976" s="18">
        <v>1477.0</v>
      </c>
      <c r="B1976" s="18" t="s">
        <v>30</v>
      </c>
      <c r="C1976" s="18">
        <v>207.0</v>
      </c>
      <c r="D1976" s="18" t="s">
        <v>31</v>
      </c>
      <c r="E1976" s="26">
        <v>42563.21944444445</v>
      </c>
      <c r="F1976" s="19">
        <f>IFERROR(__xludf.DUMMYFUNCTION("IFERROR(TO_DATE(E1976), """")"),42563.21944444445)</f>
        <v>42563.21944</v>
      </c>
      <c r="G1976" s="20">
        <f t="shared" si="1"/>
        <v>5</v>
      </c>
      <c r="H1976" s="26">
        <v>42563.25902777778</v>
      </c>
      <c r="I1976" s="19">
        <f>IFERROR(__xludf.DUMMYFUNCTION("IFERROR(TO_DATE(H1976), """")"),42563.25902777778)</f>
        <v>42563.25903</v>
      </c>
      <c r="J1976" s="19" t="s">
        <v>11</v>
      </c>
      <c r="K1976" s="22">
        <f t="shared" si="2"/>
        <v>0</v>
      </c>
    </row>
    <row r="1977">
      <c r="A1977" s="18">
        <v>2084.0</v>
      </c>
      <c r="B1977" s="18" t="s">
        <v>30</v>
      </c>
      <c r="C1977" s="18">
        <v>207.0</v>
      </c>
      <c r="D1977" s="18" t="s">
        <v>31</v>
      </c>
      <c r="E1977" s="26">
        <v>42563.65694444445</v>
      </c>
      <c r="F1977" s="19">
        <f>IFERROR(__xludf.DUMMYFUNCTION("IFERROR(TO_DATE(E1977), """")"),42563.65694444445)</f>
        <v>42563.65694</v>
      </c>
      <c r="G1977" s="20">
        <f t="shared" si="1"/>
        <v>15</v>
      </c>
      <c r="H1977" s="26">
        <v>42563.694444444445</v>
      </c>
      <c r="I1977" s="19">
        <f>IFERROR(__xludf.DUMMYFUNCTION("IFERROR(TO_DATE(H1977), """")"),42563.694444444445)</f>
        <v>42563.69444</v>
      </c>
      <c r="J1977" s="19" t="s">
        <v>10</v>
      </c>
      <c r="K1977" s="22">
        <f t="shared" si="2"/>
        <v>0</v>
      </c>
    </row>
    <row r="1978">
      <c r="A1978" s="18">
        <v>2354.0</v>
      </c>
      <c r="B1978" s="18" t="s">
        <v>30</v>
      </c>
      <c r="C1978" s="18">
        <v>207.0</v>
      </c>
      <c r="D1978" s="18" t="s">
        <v>31</v>
      </c>
      <c r="E1978" s="26">
        <v>42563.80902777778</v>
      </c>
      <c r="F1978" s="19">
        <f>IFERROR(__xludf.DUMMYFUNCTION("IFERROR(TO_DATE(E1978), """")"),42563.80902777778)</f>
        <v>42563.80903</v>
      </c>
      <c r="G1978" s="20">
        <f t="shared" si="1"/>
        <v>19</v>
      </c>
      <c r="H1978" s="26">
        <v>42563.839583333334</v>
      </c>
      <c r="I1978" s="19">
        <f>IFERROR(__xludf.DUMMYFUNCTION("IFERROR(TO_DATE(H1978), """")"),42563.839583333334)</f>
        <v>42563.83958</v>
      </c>
      <c r="J1978" s="19" t="s">
        <v>12</v>
      </c>
      <c r="K1978" s="22">
        <f t="shared" si="2"/>
        <v>0</v>
      </c>
    </row>
    <row r="1979">
      <c r="A1979" s="18">
        <v>3407.0</v>
      </c>
      <c r="B1979" s="18" t="s">
        <v>30</v>
      </c>
      <c r="C1979" s="18">
        <v>207.0</v>
      </c>
      <c r="D1979" s="18" t="s">
        <v>31</v>
      </c>
      <c r="E1979" s="27">
        <v>42564.64221064815</v>
      </c>
      <c r="F1979" s="19">
        <f>IFERROR(__xludf.DUMMYFUNCTION("IFERROR(TO_DATE(E1979), """")"),42564.64221064815)</f>
        <v>42564.64221</v>
      </c>
      <c r="G1979" s="20">
        <f t="shared" si="1"/>
        <v>15</v>
      </c>
      <c r="H1979" s="27">
        <v>42564.69084490741</v>
      </c>
      <c r="I1979" s="19">
        <f>IFERROR(__xludf.DUMMYFUNCTION("IFERROR(TO_DATE(H1979), """")"),42564.69084490741)</f>
        <v>42564.69084</v>
      </c>
      <c r="J1979" s="19" t="s">
        <v>10</v>
      </c>
      <c r="K1979" s="22">
        <f t="shared" si="2"/>
        <v>0</v>
      </c>
    </row>
    <row r="1980">
      <c r="A1980" s="18">
        <v>3703.0</v>
      </c>
      <c r="B1980" s="18" t="s">
        <v>30</v>
      </c>
      <c r="C1980" s="18">
        <v>207.0</v>
      </c>
      <c r="D1980" s="18" t="s">
        <v>31</v>
      </c>
      <c r="E1980" s="27">
        <v>42564.82084490741</v>
      </c>
      <c r="F1980" s="19">
        <f>IFERROR(__xludf.DUMMYFUNCTION("IFERROR(TO_DATE(E1980), """")"),42564.82084490741)</f>
        <v>42564.82084</v>
      </c>
      <c r="G1980" s="20">
        <f t="shared" si="1"/>
        <v>19</v>
      </c>
      <c r="H1980" s="27">
        <v>42564.86849537037</v>
      </c>
      <c r="I1980" s="19">
        <f>IFERROR(__xludf.DUMMYFUNCTION("IFERROR(TO_DATE(H1980), """")"),42564.86849537037)</f>
        <v>42564.8685</v>
      </c>
      <c r="J1980" s="19" t="s">
        <v>12</v>
      </c>
      <c r="K1980" s="22">
        <f t="shared" si="2"/>
        <v>0</v>
      </c>
    </row>
    <row r="1981">
      <c r="A1981" s="18">
        <v>4085.0</v>
      </c>
      <c r="B1981" s="18" t="s">
        <v>30</v>
      </c>
      <c r="C1981" s="18">
        <v>207.0</v>
      </c>
      <c r="D1981" s="18" t="s">
        <v>31</v>
      </c>
      <c r="E1981" s="27">
        <v>42565.1125</v>
      </c>
      <c r="F1981" s="19">
        <f>IFERROR(__xludf.DUMMYFUNCTION("IFERROR(TO_DATE(E1981), """")"),42565.1125)</f>
        <v>42565.1125</v>
      </c>
      <c r="G1981" s="20">
        <f t="shared" si="1"/>
        <v>2</v>
      </c>
      <c r="H1981" s="27">
        <v>42565.14456018519</v>
      </c>
      <c r="I1981" s="19">
        <f>IFERROR(__xludf.DUMMYFUNCTION("IFERROR(TO_DATE(H1981), """")"),42565.14456018519)</f>
        <v>42565.14456</v>
      </c>
      <c r="J1981" s="19" t="s">
        <v>15</v>
      </c>
      <c r="K1981" s="22">
        <f t="shared" si="2"/>
        <v>0</v>
      </c>
    </row>
    <row r="1982">
      <c r="A1982" s="18">
        <v>4625.0</v>
      </c>
      <c r="B1982" s="18" t="s">
        <v>32</v>
      </c>
      <c r="C1982" s="18">
        <v>207.0</v>
      </c>
      <c r="D1982" s="18" t="s">
        <v>31</v>
      </c>
      <c r="E1982" s="27">
        <v>42565.461747685185</v>
      </c>
      <c r="F1982" s="19">
        <f>IFERROR(__xludf.DUMMYFUNCTION("IFERROR(TO_DATE(E1982), """")"),42565.461747685185)</f>
        <v>42565.46175</v>
      </c>
      <c r="G1982" s="20">
        <f t="shared" si="1"/>
        <v>11</v>
      </c>
      <c r="H1982" s="27">
        <v>42565.51025462963</v>
      </c>
      <c r="I1982" s="19">
        <f>IFERROR(__xludf.DUMMYFUNCTION("IFERROR(TO_DATE(H1982), """")"),42565.51025462963)</f>
        <v>42565.51025</v>
      </c>
      <c r="J1982" s="19" t="s">
        <v>14</v>
      </c>
      <c r="K1982" s="22">
        <f t="shared" si="2"/>
        <v>0</v>
      </c>
    </row>
    <row r="1983">
      <c r="A1983" s="18">
        <v>4866.0</v>
      </c>
      <c r="B1983" s="18" t="s">
        <v>32</v>
      </c>
      <c r="C1983" s="18">
        <v>207.0</v>
      </c>
      <c r="D1983" s="18" t="s">
        <v>31</v>
      </c>
      <c r="E1983" s="27">
        <v>42565.733252314814</v>
      </c>
      <c r="F1983" s="19">
        <f>IFERROR(__xludf.DUMMYFUNCTION("IFERROR(TO_DATE(E1983), """")"),42565.733252314814)</f>
        <v>42565.73325</v>
      </c>
      <c r="G1983" s="20">
        <f t="shared" si="1"/>
        <v>17</v>
      </c>
      <c r="H1983" s="27">
        <v>42565.76929398148</v>
      </c>
      <c r="I1983" s="19">
        <f>IFERROR(__xludf.DUMMYFUNCTION("IFERROR(TO_DATE(H1983), """")"),42565.76929398148)</f>
        <v>42565.76929</v>
      </c>
      <c r="J1983" s="19" t="s">
        <v>12</v>
      </c>
      <c r="K1983" s="22">
        <f t="shared" si="2"/>
        <v>0</v>
      </c>
    </row>
    <row r="1984">
      <c r="A1984" s="18">
        <v>1278.0</v>
      </c>
      <c r="B1984" s="18" t="s">
        <v>32</v>
      </c>
      <c r="C1984" s="18">
        <v>208.0</v>
      </c>
      <c r="D1984" s="18" t="s">
        <v>31</v>
      </c>
      <c r="E1984" s="26">
        <v>42562.91875</v>
      </c>
      <c r="F1984" s="19">
        <f>IFERROR(__xludf.DUMMYFUNCTION("IFERROR(TO_DATE(E1984), """")"),42562.91875)</f>
        <v>42562.91875</v>
      </c>
      <c r="G1984" s="20">
        <f t="shared" si="1"/>
        <v>22</v>
      </c>
      <c r="H1984" s="26">
        <v>42562.961805555555</v>
      </c>
      <c r="I1984" s="19">
        <f>IFERROR(__xludf.DUMMYFUNCTION("IFERROR(TO_DATE(H1984), """")"),42562.961805555555)</f>
        <v>42562.96181</v>
      </c>
      <c r="J1984" s="19" t="s">
        <v>13</v>
      </c>
      <c r="K1984" s="22">
        <f t="shared" si="2"/>
        <v>0</v>
      </c>
    </row>
    <row r="1985">
      <c r="A1985" s="18">
        <v>2037.0</v>
      </c>
      <c r="B1985" s="18" t="s">
        <v>32</v>
      </c>
      <c r="C1985" s="18">
        <v>208.0</v>
      </c>
      <c r="D1985" s="18" t="s">
        <v>31</v>
      </c>
      <c r="E1985" s="26">
        <v>42563.592361111114</v>
      </c>
      <c r="F1985" s="19">
        <f>IFERROR(__xludf.DUMMYFUNCTION("IFERROR(TO_DATE(E1985), """")"),42563.592361111114)</f>
        <v>42563.59236</v>
      </c>
      <c r="G1985" s="20">
        <f t="shared" si="1"/>
        <v>14</v>
      </c>
      <c r="H1985" s="26">
        <v>42563.62777777778</v>
      </c>
      <c r="I1985" s="19">
        <f>IFERROR(__xludf.DUMMYFUNCTION("IFERROR(TO_DATE(H1985), """")"),42563.62777777778)</f>
        <v>42563.62778</v>
      </c>
      <c r="J1985" s="19" t="s">
        <v>10</v>
      </c>
      <c r="K1985" s="22">
        <f t="shared" si="2"/>
        <v>0</v>
      </c>
    </row>
    <row r="1986">
      <c r="A1986" s="18">
        <v>2567.0</v>
      </c>
      <c r="B1986" s="18" t="s">
        <v>30</v>
      </c>
      <c r="C1986" s="18">
        <v>208.0</v>
      </c>
      <c r="D1986" s="18" t="s">
        <v>31</v>
      </c>
      <c r="E1986" s="26">
        <v>42563.90069444444</v>
      </c>
      <c r="F1986" s="19">
        <f>IFERROR(__xludf.DUMMYFUNCTION("IFERROR(TO_DATE(E1986), """")"),42563.90069444444)</f>
        <v>42563.90069</v>
      </c>
      <c r="G1986" s="20">
        <f t="shared" si="1"/>
        <v>21</v>
      </c>
      <c r="H1986" s="26">
        <v>42563.93472222222</v>
      </c>
      <c r="I1986" s="19">
        <f>IFERROR(__xludf.DUMMYFUNCTION("IFERROR(TO_DATE(H1986), """")"),42563.93472222222)</f>
        <v>42563.93472</v>
      </c>
      <c r="J1986" s="19" t="s">
        <v>13</v>
      </c>
      <c r="K1986" s="22">
        <f t="shared" si="2"/>
        <v>0</v>
      </c>
    </row>
    <row r="1987">
      <c r="A1987" s="18">
        <v>2829.0</v>
      </c>
      <c r="B1987" s="18" t="s">
        <v>32</v>
      </c>
      <c r="C1987" s="18">
        <v>208.0</v>
      </c>
      <c r="D1987" s="18" t="s">
        <v>31</v>
      </c>
      <c r="E1987" s="27">
        <v>42564.222280092596</v>
      </c>
      <c r="F1987" s="19">
        <f>IFERROR(__xludf.DUMMYFUNCTION("IFERROR(TO_DATE(E1987), """")"),42564.222280092596)</f>
        <v>42564.22228</v>
      </c>
      <c r="G1987" s="20">
        <f t="shared" si="1"/>
        <v>5</v>
      </c>
      <c r="H1987" s="27">
        <v>42564.26201388889</v>
      </c>
      <c r="I1987" s="19">
        <f>IFERROR(__xludf.DUMMYFUNCTION("IFERROR(TO_DATE(H1987), """")"),42564.26201388889)</f>
        <v>42564.26201</v>
      </c>
      <c r="J1987" s="19" t="s">
        <v>11</v>
      </c>
      <c r="K1987" s="22">
        <f t="shared" si="2"/>
        <v>0</v>
      </c>
    </row>
    <row r="1988">
      <c r="A1988" s="18">
        <v>2918.0</v>
      </c>
      <c r="B1988" s="18" t="s">
        <v>30</v>
      </c>
      <c r="C1988" s="18">
        <v>208.0</v>
      </c>
      <c r="D1988" s="18" t="s">
        <v>31</v>
      </c>
      <c r="E1988" s="27">
        <v>42564.26400462963</v>
      </c>
      <c r="F1988" s="19">
        <f>IFERROR(__xludf.DUMMYFUNCTION("IFERROR(TO_DATE(E1988), """")"),42564.26400462963)</f>
        <v>42564.264</v>
      </c>
      <c r="G1988" s="20">
        <f t="shared" si="1"/>
        <v>6</v>
      </c>
      <c r="H1988" s="27">
        <v>42564.292662037034</v>
      </c>
      <c r="I1988" s="19">
        <f>IFERROR(__xludf.DUMMYFUNCTION("IFERROR(TO_DATE(H1988), """")"),42564.292662037034)</f>
        <v>42564.29266</v>
      </c>
      <c r="J1988" s="19" t="s">
        <v>11</v>
      </c>
      <c r="K1988" s="22">
        <f t="shared" si="2"/>
        <v>0</v>
      </c>
    </row>
    <row r="1989">
      <c r="A1989" s="18">
        <v>3362.0</v>
      </c>
      <c r="B1989" s="18" t="s">
        <v>30</v>
      </c>
      <c r="C1989" s="18">
        <v>208.0</v>
      </c>
      <c r="D1989" s="18" t="s">
        <v>31</v>
      </c>
      <c r="E1989" s="27">
        <v>42564.567662037036</v>
      </c>
      <c r="F1989" s="19">
        <f>IFERROR(__xludf.DUMMYFUNCTION("IFERROR(TO_DATE(E1989), """")"),42564.567662037036)</f>
        <v>42564.56766</v>
      </c>
      <c r="G1989" s="20">
        <f t="shared" si="1"/>
        <v>13</v>
      </c>
      <c r="H1989" s="27">
        <v>42564.608877314815</v>
      </c>
      <c r="I1989" s="19">
        <f>IFERROR(__xludf.DUMMYFUNCTION("IFERROR(TO_DATE(H1989), """")"),42564.608877314815)</f>
        <v>42564.60888</v>
      </c>
      <c r="J1989" s="19" t="s">
        <v>10</v>
      </c>
      <c r="K1989" s="22">
        <f t="shared" si="2"/>
        <v>0</v>
      </c>
    </row>
    <row r="1990">
      <c r="A1990" s="18">
        <v>5615.0</v>
      </c>
      <c r="B1990" s="18" t="s">
        <v>32</v>
      </c>
      <c r="C1990" s="18">
        <v>208.0</v>
      </c>
      <c r="D1990" s="18" t="s">
        <v>31</v>
      </c>
      <c r="E1990" s="27">
        <v>42566.26887731482</v>
      </c>
      <c r="F1990" s="19">
        <f>IFERROR(__xludf.DUMMYFUNCTION("IFERROR(TO_DATE(E1990), """")"),42566.26887731482)</f>
        <v>42566.26888</v>
      </c>
      <c r="G1990" s="20">
        <f t="shared" si="1"/>
        <v>6</v>
      </c>
      <c r="H1990" s="27">
        <v>42566.31412037037</v>
      </c>
      <c r="I1990" s="19">
        <f>IFERROR(__xludf.DUMMYFUNCTION("IFERROR(TO_DATE(H1990), """")"),42566.31412037037)</f>
        <v>42566.31412</v>
      </c>
      <c r="J1990" s="19" t="s">
        <v>11</v>
      </c>
      <c r="K1990" s="22">
        <f t="shared" si="2"/>
        <v>0</v>
      </c>
    </row>
    <row r="1991">
      <c r="A1991" s="18">
        <v>2008.0</v>
      </c>
      <c r="B1991" s="18" t="s">
        <v>30</v>
      </c>
      <c r="C1991" s="18">
        <v>209.0</v>
      </c>
      <c r="D1991" s="18" t="s">
        <v>31</v>
      </c>
      <c r="E1991" s="26">
        <v>42563.55763888889</v>
      </c>
      <c r="F1991" s="19">
        <f>IFERROR(__xludf.DUMMYFUNCTION("IFERROR(TO_DATE(E1991), """")"),42563.55763888889)</f>
        <v>42563.55764</v>
      </c>
      <c r="G1991" s="20">
        <f t="shared" si="1"/>
        <v>13</v>
      </c>
      <c r="H1991" s="26">
        <v>42563.60277777778</v>
      </c>
      <c r="I1991" s="19">
        <f>IFERROR(__xludf.DUMMYFUNCTION("IFERROR(TO_DATE(H1991), """")"),42563.60277777778)</f>
        <v>42563.60278</v>
      </c>
      <c r="J1991" s="19" t="s">
        <v>10</v>
      </c>
      <c r="K1991" s="22">
        <f t="shared" si="2"/>
        <v>0</v>
      </c>
    </row>
    <row r="1992">
      <c r="A1992" s="18">
        <v>3031.0</v>
      </c>
      <c r="B1992" s="18" t="s">
        <v>30</v>
      </c>
      <c r="C1992" s="18">
        <v>209.0</v>
      </c>
      <c r="D1992" s="18" t="s">
        <v>31</v>
      </c>
      <c r="E1992" s="27">
        <v>42564.31434027778</v>
      </c>
      <c r="F1992" s="19">
        <f>IFERROR(__xludf.DUMMYFUNCTION("IFERROR(TO_DATE(E1992), """")"),42564.31434027778)</f>
        <v>42564.31434</v>
      </c>
      <c r="G1992" s="20">
        <f t="shared" si="1"/>
        <v>7</v>
      </c>
      <c r="H1992" s="27">
        <v>42564.353113425925</v>
      </c>
      <c r="I1992" s="19">
        <f>IFERROR(__xludf.DUMMYFUNCTION("IFERROR(TO_DATE(H1992), """")"),42564.353113425925)</f>
        <v>42564.35311</v>
      </c>
      <c r="J1992" s="19" t="s">
        <v>11</v>
      </c>
      <c r="K1992" s="22">
        <f t="shared" si="2"/>
        <v>0</v>
      </c>
    </row>
    <row r="1993">
      <c r="A1993" s="18">
        <v>3500.0</v>
      </c>
      <c r="B1993" s="18" t="s">
        <v>30</v>
      </c>
      <c r="C1993" s="18">
        <v>209.0</v>
      </c>
      <c r="D1993" s="18" t="s">
        <v>31</v>
      </c>
      <c r="E1993" s="27">
        <v>42564.73011574074</v>
      </c>
      <c r="F1993" s="19">
        <f>IFERROR(__xludf.DUMMYFUNCTION("IFERROR(TO_DATE(E1993), """")"),42564.73011574074)</f>
        <v>42564.73012</v>
      </c>
      <c r="G1993" s="20">
        <f t="shared" si="1"/>
        <v>17</v>
      </c>
      <c r="H1993" s="27">
        <v>42564.758206018516</v>
      </c>
      <c r="I1993" s="19">
        <f>IFERROR(__xludf.DUMMYFUNCTION("IFERROR(TO_DATE(H1993), """")"),42564.758206018516)</f>
        <v>42564.75821</v>
      </c>
      <c r="J1993" s="19" t="s">
        <v>12</v>
      </c>
      <c r="K1993" s="22">
        <f t="shared" si="2"/>
        <v>0</v>
      </c>
    </row>
    <row r="1994">
      <c r="A1994" s="18">
        <v>5079.0</v>
      </c>
      <c r="B1994" s="18" t="s">
        <v>32</v>
      </c>
      <c r="C1994" s="18">
        <v>209.0</v>
      </c>
      <c r="D1994" s="18" t="s">
        <v>31</v>
      </c>
      <c r="E1994" s="27">
        <v>42565.81957175926</v>
      </c>
      <c r="F1994" s="19">
        <f>IFERROR(__xludf.DUMMYFUNCTION("IFERROR(TO_DATE(E1994), """")"),42565.81957175926)</f>
        <v>42565.81957</v>
      </c>
      <c r="G1994" s="20">
        <f t="shared" si="1"/>
        <v>19</v>
      </c>
      <c r="H1994" s="27">
        <v>42565.844722222224</v>
      </c>
      <c r="I1994" s="19">
        <f>IFERROR(__xludf.DUMMYFUNCTION("IFERROR(TO_DATE(H1994), """")"),42565.844722222224)</f>
        <v>42565.84472</v>
      </c>
      <c r="J1994" s="19" t="s">
        <v>12</v>
      </c>
      <c r="K1994" s="22">
        <f t="shared" si="2"/>
        <v>0</v>
      </c>
    </row>
    <row r="1995">
      <c r="A1995" s="18">
        <v>5967.0</v>
      </c>
      <c r="B1995" s="18" t="s">
        <v>32</v>
      </c>
      <c r="C1995" s="18">
        <v>209.0</v>
      </c>
      <c r="D1995" s="18" t="s">
        <v>31</v>
      </c>
      <c r="E1995" s="27">
        <v>42566.455729166664</v>
      </c>
      <c r="F1995" s="19">
        <f>IFERROR(__xludf.DUMMYFUNCTION("IFERROR(TO_DATE(E1995), """")"),42566.455729166664)</f>
        <v>42566.45573</v>
      </c>
      <c r="G1995" s="20">
        <f t="shared" si="1"/>
        <v>10</v>
      </c>
      <c r="H1995" s="27">
        <v>42566.49685185185</v>
      </c>
      <c r="I1995" s="19">
        <f>IFERROR(__xludf.DUMMYFUNCTION("IFERROR(TO_DATE(H1995), """")"),42566.49685185185)</f>
        <v>42566.49685</v>
      </c>
      <c r="J1995" s="19" t="s">
        <v>14</v>
      </c>
      <c r="K1995" s="22">
        <f t="shared" si="2"/>
        <v>0</v>
      </c>
    </row>
    <row r="1996">
      <c r="A1996" s="18">
        <v>6375.0</v>
      </c>
      <c r="B1996" s="18" t="s">
        <v>32</v>
      </c>
      <c r="C1996" s="18">
        <v>209.0</v>
      </c>
      <c r="D1996" s="18" t="s">
        <v>31</v>
      </c>
      <c r="E1996" s="27">
        <v>42566.798842592594</v>
      </c>
      <c r="F1996" s="19">
        <f>IFERROR(__xludf.DUMMYFUNCTION("IFERROR(TO_DATE(E1996), """")"),42566.798842592594)</f>
        <v>42566.79884</v>
      </c>
      <c r="G1996" s="20">
        <f t="shared" si="1"/>
        <v>19</v>
      </c>
      <c r="H1996" s="27">
        <v>42566.850486111114</v>
      </c>
      <c r="I1996" s="19">
        <f>IFERROR(__xludf.DUMMYFUNCTION("IFERROR(TO_DATE(H1996), """")"),42566.850486111114)</f>
        <v>42566.85049</v>
      </c>
      <c r="J1996" s="19" t="s">
        <v>12</v>
      </c>
      <c r="K1996" s="22">
        <f t="shared" si="2"/>
        <v>0</v>
      </c>
    </row>
    <row r="1997">
      <c r="A1997" s="18">
        <v>1551.0</v>
      </c>
      <c r="B1997" s="18" t="s">
        <v>32</v>
      </c>
      <c r="C1997" s="18">
        <v>210.0</v>
      </c>
      <c r="D1997" s="18" t="s">
        <v>31</v>
      </c>
      <c r="E1997" s="26">
        <v>42563.256944444445</v>
      </c>
      <c r="F1997" s="19">
        <f>IFERROR(__xludf.DUMMYFUNCTION("IFERROR(TO_DATE(E1997), """")"),42563.256944444445)</f>
        <v>42563.25694</v>
      </c>
      <c r="G1997" s="20">
        <f t="shared" si="1"/>
        <v>6</v>
      </c>
      <c r="H1997" s="26">
        <v>42563.2875</v>
      </c>
      <c r="I1997" s="19">
        <f>IFERROR(__xludf.DUMMYFUNCTION("IFERROR(TO_DATE(H1997), """")"),42563.2875)</f>
        <v>42563.2875</v>
      </c>
      <c r="J1997" s="19" t="s">
        <v>11</v>
      </c>
      <c r="K1997" s="22">
        <f t="shared" si="2"/>
        <v>0</v>
      </c>
    </row>
    <row r="1998">
      <c r="A1998" s="18">
        <v>2041.0</v>
      </c>
      <c r="B1998" s="18" t="s">
        <v>32</v>
      </c>
      <c r="C1998" s="18">
        <v>210.0</v>
      </c>
      <c r="D1998" s="18" t="s">
        <v>31</v>
      </c>
      <c r="E1998" s="26">
        <v>42563.6</v>
      </c>
      <c r="F1998" s="19">
        <f>IFERROR(__xludf.DUMMYFUNCTION("IFERROR(TO_DATE(E1998), """")"),42563.6)</f>
        <v>42563.6</v>
      </c>
      <c r="G1998" s="20">
        <f t="shared" si="1"/>
        <v>14</v>
      </c>
      <c r="H1998" s="26">
        <v>42563.63402777778</v>
      </c>
      <c r="I1998" s="19">
        <f>IFERROR(__xludf.DUMMYFUNCTION("IFERROR(TO_DATE(H1998), """")"),42563.63402777778)</f>
        <v>42563.63403</v>
      </c>
      <c r="J1998" s="19" t="s">
        <v>10</v>
      </c>
      <c r="K1998" s="22">
        <f t="shared" si="2"/>
        <v>0</v>
      </c>
    </row>
    <row r="1999">
      <c r="A1999" s="18">
        <v>2666.0</v>
      </c>
      <c r="B1999" s="18" t="s">
        <v>32</v>
      </c>
      <c r="C1999" s="18">
        <v>210.0</v>
      </c>
      <c r="D1999" s="18" t="s">
        <v>31</v>
      </c>
      <c r="E1999" s="26">
        <v>42563.98611111111</v>
      </c>
      <c r="F1999" s="19">
        <f>IFERROR(__xludf.DUMMYFUNCTION("IFERROR(TO_DATE(E1999), """")"),42563.98611111111)</f>
        <v>42563.98611</v>
      </c>
      <c r="G1999" s="20">
        <f t="shared" si="1"/>
        <v>23</v>
      </c>
      <c r="H1999" s="27">
        <v>42564.015497685185</v>
      </c>
      <c r="I1999" s="19">
        <f>IFERROR(__xludf.DUMMYFUNCTION("IFERROR(TO_DATE(H1999), """")"),42564.015497685185)</f>
        <v>42564.0155</v>
      </c>
      <c r="J1999" s="19" t="s">
        <v>13</v>
      </c>
      <c r="K1999" s="22">
        <f t="shared" si="2"/>
        <v>0</v>
      </c>
    </row>
    <row r="2000">
      <c r="A2000" s="18">
        <v>3348.0</v>
      </c>
      <c r="B2000" s="18" t="s">
        <v>32</v>
      </c>
      <c r="C2000" s="18">
        <v>210.0</v>
      </c>
      <c r="D2000" s="18" t="s">
        <v>31</v>
      </c>
      <c r="E2000" s="27">
        <v>42564.55054398148</v>
      </c>
      <c r="F2000" s="19">
        <f>IFERROR(__xludf.DUMMYFUNCTION("IFERROR(TO_DATE(E2000), """")"),42564.55054398148)</f>
        <v>42564.55054</v>
      </c>
      <c r="G2000" s="20">
        <f t="shared" si="1"/>
        <v>13</v>
      </c>
      <c r="H2000" s="27">
        <v>42564.587222222224</v>
      </c>
      <c r="I2000" s="19">
        <f>IFERROR(__xludf.DUMMYFUNCTION("IFERROR(TO_DATE(H2000), """")"),42564.587222222224)</f>
        <v>42564.58722</v>
      </c>
      <c r="J2000" s="19" t="s">
        <v>10</v>
      </c>
      <c r="K2000" s="22">
        <f t="shared" si="2"/>
        <v>0</v>
      </c>
    </row>
    <row r="2001">
      <c r="A2001" s="18">
        <v>3518.0</v>
      </c>
      <c r="B2001" s="18" t="s">
        <v>30</v>
      </c>
      <c r="C2001" s="18">
        <v>210.0</v>
      </c>
      <c r="D2001" s="18" t="s">
        <v>31</v>
      </c>
      <c r="E2001" s="27">
        <v>42564.740219907406</v>
      </c>
      <c r="F2001" s="19">
        <f>IFERROR(__xludf.DUMMYFUNCTION("IFERROR(TO_DATE(E2001), """")"),42564.740219907406)</f>
        <v>42564.74022</v>
      </c>
      <c r="G2001" s="20">
        <f t="shared" si="1"/>
        <v>17</v>
      </c>
      <c r="H2001" s="27">
        <v>42564.76594907408</v>
      </c>
      <c r="I2001" s="19">
        <f>IFERROR(__xludf.DUMMYFUNCTION("IFERROR(TO_DATE(H2001), """")"),42564.76594907408)</f>
        <v>42564.76595</v>
      </c>
      <c r="J2001" s="19" t="s">
        <v>12</v>
      </c>
      <c r="K2001" s="22">
        <f t="shared" si="2"/>
        <v>0</v>
      </c>
    </row>
    <row r="2002">
      <c r="A2002" s="18">
        <v>4205.0</v>
      </c>
      <c r="B2002" s="18" t="s">
        <v>32</v>
      </c>
      <c r="C2002" s="18">
        <v>210.0</v>
      </c>
      <c r="D2002" s="18" t="s">
        <v>31</v>
      </c>
      <c r="E2002" s="27">
        <v>42565.233310185184</v>
      </c>
      <c r="F2002" s="19">
        <f>IFERROR(__xludf.DUMMYFUNCTION("IFERROR(TO_DATE(E2002), """")"),42565.233310185184)</f>
        <v>42565.23331</v>
      </c>
      <c r="G2002" s="20">
        <f t="shared" si="1"/>
        <v>5</v>
      </c>
      <c r="H2002" s="27">
        <v>42565.276655092595</v>
      </c>
      <c r="I2002" s="19">
        <f>IFERROR(__xludf.DUMMYFUNCTION("IFERROR(TO_DATE(H2002), """")"),42565.276655092595)</f>
        <v>42565.27666</v>
      </c>
      <c r="J2002" s="19" t="s">
        <v>11</v>
      </c>
      <c r="K2002" s="22">
        <f t="shared" si="2"/>
        <v>0</v>
      </c>
    </row>
    <row r="2003">
      <c r="A2003" s="18">
        <v>6346.0</v>
      </c>
      <c r="B2003" s="18" t="s">
        <v>30</v>
      </c>
      <c r="C2003" s="18">
        <v>210.0</v>
      </c>
      <c r="D2003" s="18" t="s">
        <v>31</v>
      </c>
      <c r="E2003" s="27">
        <v>42566.78388888889</v>
      </c>
      <c r="F2003" s="19">
        <f>IFERROR(__xludf.DUMMYFUNCTION("IFERROR(TO_DATE(E2003), """")"),42566.78388888889)</f>
        <v>42566.78389</v>
      </c>
      <c r="G2003" s="20">
        <f t="shared" si="1"/>
        <v>18</v>
      </c>
      <c r="H2003" s="27">
        <v>42566.817777777775</v>
      </c>
      <c r="I2003" s="19">
        <f>IFERROR(__xludf.DUMMYFUNCTION("IFERROR(TO_DATE(H2003), """")"),42566.817777777775)</f>
        <v>42566.81778</v>
      </c>
      <c r="J2003" s="19" t="s">
        <v>12</v>
      </c>
      <c r="K2003" s="22">
        <f t="shared" si="2"/>
        <v>0</v>
      </c>
    </row>
    <row r="2004">
      <c r="A2004" s="18">
        <v>6433.0</v>
      </c>
      <c r="B2004" s="18" t="s">
        <v>32</v>
      </c>
      <c r="C2004" s="18">
        <v>210.0</v>
      </c>
      <c r="D2004" s="18" t="s">
        <v>31</v>
      </c>
      <c r="E2004" s="27">
        <v>42566.82777777778</v>
      </c>
      <c r="F2004" s="19">
        <f>IFERROR(__xludf.DUMMYFUNCTION("IFERROR(TO_DATE(E2004), """")"),42566.82777777778)</f>
        <v>42566.82778</v>
      </c>
      <c r="G2004" s="20">
        <f t="shared" si="1"/>
        <v>19</v>
      </c>
      <c r="H2004" s="27">
        <v>42566.85146990741</v>
      </c>
      <c r="I2004" s="19">
        <f>IFERROR(__xludf.DUMMYFUNCTION("IFERROR(TO_DATE(H2004), """")"),42566.85146990741)</f>
        <v>42566.85147</v>
      </c>
      <c r="J2004" s="19" t="s">
        <v>12</v>
      </c>
      <c r="K2004" s="22">
        <f t="shared" si="2"/>
        <v>0</v>
      </c>
    </row>
    <row r="2005">
      <c r="A2005" s="18">
        <v>1471.0</v>
      </c>
      <c r="B2005" s="18" t="s">
        <v>32</v>
      </c>
      <c r="C2005" s="18">
        <v>211.0</v>
      </c>
      <c r="D2005" s="18" t="s">
        <v>31</v>
      </c>
      <c r="E2005" s="26">
        <v>42563.214583333334</v>
      </c>
      <c r="F2005" s="19">
        <f>IFERROR(__xludf.DUMMYFUNCTION("IFERROR(TO_DATE(E2005), """")"),42563.214583333334)</f>
        <v>42563.21458</v>
      </c>
      <c r="G2005" s="20">
        <f t="shared" si="1"/>
        <v>5</v>
      </c>
      <c r="H2005" s="26">
        <v>42563.25069444445</v>
      </c>
      <c r="I2005" s="19">
        <f>IFERROR(__xludf.DUMMYFUNCTION("IFERROR(TO_DATE(H2005), """")"),42563.25069444445)</f>
        <v>42563.25069</v>
      </c>
      <c r="J2005" s="19" t="s">
        <v>11</v>
      </c>
      <c r="K2005" s="22">
        <f t="shared" si="2"/>
        <v>0</v>
      </c>
    </row>
    <row r="2006">
      <c r="A2006" s="18">
        <v>1808.0</v>
      </c>
      <c r="B2006" s="18" t="s">
        <v>30</v>
      </c>
      <c r="C2006" s="18">
        <v>211.0</v>
      </c>
      <c r="D2006" s="18" t="s">
        <v>31</v>
      </c>
      <c r="E2006" s="26">
        <v>42563.38402777778</v>
      </c>
      <c r="F2006" s="19">
        <f>IFERROR(__xludf.DUMMYFUNCTION("IFERROR(TO_DATE(E2006), """")"),42563.38402777778)</f>
        <v>42563.38403</v>
      </c>
      <c r="G2006" s="20">
        <f t="shared" si="1"/>
        <v>9</v>
      </c>
      <c r="H2006" s="26">
        <v>42563.4375</v>
      </c>
      <c r="I2006" s="19">
        <f>IFERROR(__xludf.DUMMYFUNCTION("IFERROR(TO_DATE(H2006), """")"),42563.4375)</f>
        <v>42563.4375</v>
      </c>
      <c r="J2006" s="19" t="s">
        <v>14</v>
      </c>
      <c r="K2006" s="22">
        <f t="shared" si="2"/>
        <v>0</v>
      </c>
    </row>
    <row r="2007">
      <c r="A2007" s="18">
        <v>2017.0</v>
      </c>
      <c r="B2007" s="18" t="s">
        <v>32</v>
      </c>
      <c r="C2007" s="18">
        <v>211.0</v>
      </c>
      <c r="D2007" s="18" t="s">
        <v>31</v>
      </c>
      <c r="E2007" s="26">
        <v>42563.57152777778</v>
      </c>
      <c r="F2007" s="19">
        <f>IFERROR(__xludf.DUMMYFUNCTION("IFERROR(TO_DATE(E2007), """")"),42563.57152777778)</f>
        <v>42563.57153</v>
      </c>
      <c r="G2007" s="20">
        <f t="shared" si="1"/>
        <v>13</v>
      </c>
      <c r="H2007" s="26">
        <v>42563.59861111111</v>
      </c>
      <c r="I2007" s="19">
        <f>IFERROR(__xludf.DUMMYFUNCTION("IFERROR(TO_DATE(H2007), """")"),42563.59861111111)</f>
        <v>42563.59861</v>
      </c>
      <c r="J2007" s="19" t="s">
        <v>10</v>
      </c>
      <c r="K2007" s="22">
        <f t="shared" si="2"/>
        <v>0</v>
      </c>
    </row>
    <row r="2008">
      <c r="A2008" s="18">
        <v>4483.0</v>
      </c>
      <c r="B2008" s="18" t="s">
        <v>32</v>
      </c>
      <c r="C2008" s="18">
        <v>211.0</v>
      </c>
      <c r="D2008" s="18" t="s">
        <v>31</v>
      </c>
      <c r="E2008" s="27">
        <v>42565.36791666667</v>
      </c>
      <c r="F2008" s="19">
        <f>IFERROR(__xludf.DUMMYFUNCTION("IFERROR(TO_DATE(E2008), """")"),42565.36791666667)</f>
        <v>42565.36792</v>
      </c>
      <c r="G2008" s="20">
        <f t="shared" si="1"/>
        <v>8</v>
      </c>
      <c r="H2008" s="27">
        <v>42565.389965277776</v>
      </c>
      <c r="I2008" s="19">
        <f>IFERROR(__xludf.DUMMYFUNCTION("IFERROR(TO_DATE(H2008), """")"),42565.389965277776)</f>
        <v>42565.38997</v>
      </c>
      <c r="J2008" s="19" t="s">
        <v>14</v>
      </c>
      <c r="K2008" s="22">
        <f t="shared" si="2"/>
        <v>0</v>
      </c>
    </row>
    <row r="2009">
      <c r="A2009" s="18">
        <v>4639.0</v>
      </c>
      <c r="B2009" s="18" t="s">
        <v>30</v>
      </c>
      <c r="C2009" s="18">
        <v>211.0</v>
      </c>
      <c r="D2009" s="18" t="s">
        <v>31</v>
      </c>
      <c r="E2009" s="27">
        <v>42565.47996527778</v>
      </c>
      <c r="F2009" s="19">
        <f>IFERROR(__xludf.DUMMYFUNCTION("IFERROR(TO_DATE(E2009), """")"),42565.47996527778)</f>
        <v>42565.47997</v>
      </c>
      <c r="G2009" s="20">
        <f t="shared" si="1"/>
        <v>11</v>
      </c>
      <c r="H2009" s="27">
        <v>42565.507523148146</v>
      </c>
      <c r="I2009" s="19">
        <f>IFERROR(__xludf.DUMMYFUNCTION("IFERROR(TO_DATE(H2009), """")"),42565.507523148146)</f>
        <v>42565.50752</v>
      </c>
      <c r="J2009" s="19" t="s">
        <v>14</v>
      </c>
      <c r="K2009" s="22">
        <f t="shared" si="2"/>
        <v>0</v>
      </c>
    </row>
    <row r="2010">
      <c r="A2010" s="18">
        <v>4901.0</v>
      </c>
      <c r="B2010" s="18" t="s">
        <v>30</v>
      </c>
      <c r="C2010" s="18">
        <v>211.0</v>
      </c>
      <c r="D2010" s="18" t="s">
        <v>31</v>
      </c>
      <c r="E2010" s="27">
        <v>42565.75152777778</v>
      </c>
      <c r="F2010" s="19">
        <f>IFERROR(__xludf.DUMMYFUNCTION("IFERROR(TO_DATE(E2010), """")"),42565.75152777778)</f>
        <v>42565.75153</v>
      </c>
      <c r="G2010" s="20">
        <f t="shared" si="1"/>
        <v>18</v>
      </c>
      <c r="H2010" s="27">
        <v>42565.771840277775</v>
      </c>
      <c r="I2010" s="19">
        <f>IFERROR(__xludf.DUMMYFUNCTION("IFERROR(TO_DATE(H2010), """")"),42565.771840277775)</f>
        <v>42565.77184</v>
      </c>
      <c r="J2010" s="19" t="s">
        <v>12</v>
      </c>
      <c r="K2010" s="22">
        <f t="shared" si="2"/>
        <v>0</v>
      </c>
    </row>
    <row r="2011">
      <c r="A2011" s="18">
        <v>5357.0</v>
      </c>
      <c r="B2011" s="18" t="s">
        <v>32</v>
      </c>
      <c r="C2011" s="18">
        <v>211.0</v>
      </c>
      <c r="D2011" s="18" t="s">
        <v>31</v>
      </c>
      <c r="E2011" s="27">
        <v>42565.964849537035</v>
      </c>
      <c r="F2011" s="19">
        <f>IFERROR(__xludf.DUMMYFUNCTION("IFERROR(TO_DATE(E2011), """")"),42565.964849537035)</f>
        <v>42565.96485</v>
      </c>
      <c r="G2011" s="20">
        <f t="shared" si="1"/>
        <v>23</v>
      </c>
      <c r="H2011" s="27">
        <v>42566.00386574074</v>
      </c>
      <c r="I2011" s="19">
        <f>IFERROR(__xludf.DUMMYFUNCTION("IFERROR(TO_DATE(H2011), """")"),42566.00386574074)</f>
        <v>42566.00387</v>
      </c>
      <c r="J2011" s="19" t="s">
        <v>13</v>
      </c>
      <c r="K2011" s="22">
        <f t="shared" si="2"/>
        <v>0</v>
      </c>
    </row>
    <row r="2012">
      <c r="A2012" s="18">
        <v>6214.0</v>
      </c>
      <c r="B2012" s="18" t="s">
        <v>30</v>
      </c>
      <c r="C2012" s="18">
        <v>211.0</v>
      </c>
      <c r="D2012" s="18" t="s">
        <v>31</v>
      </c>
      <c r="E2012" s="27">
        <v>42566.73287037037</v>
      </c>
      <c r="F2012" s="19">
        <f>IFERROR(__xludf.DUMMYFUNCTION("IFERROR(TO_DATE(E2012), """")"),42566.73287037037)</f>
        <v>42566.73287</v>
      </c>
      <c r="G2012" s="20">
        <f t="shared" si="1"/>
        <v>17</v>
      </c>
      <c r="H2012" s="27">
        <v>42566.772673611114</v>
      </c>
      <c r="I2012" s="19">
        <f>IFERROR(__xludf.DUMMYFUNCTION("IFERROR(TO_DATE(H2012), """")"),42566.772673611114)</f>
        <v>42566.77267</v>
      </c>
      <c r="J2012" s="19" t="s">
        <v>12</v>
      </c>
      <c r="K2012" s="22">
        <f t="shared" si="2"/>
        <v>0</v>
      </c>
    </row>
    <row r="2013">
      <c r="A2013" s="18">
        <v>575.0</v>
      </c>
      <c r="B2013" s="18" t="s">
        <v>30</v>
      </c>
      <c r="C2013" s="18">
        <v>212.0</v>
      </c>
      <c r="D2013" s="18" t="s">
        <v>31</v>
      </c>
      <c r="E2013" s="26">
        <v>42562.45763888889</v>
      </c>
      <c r="F2013" s="19">
        <f>IFERROR(__xludf.DUMMYFUNCTION("IFERROR(TO_DATE(E2013), """")"),42562.45763888889)</f>
        <v>42562.45764</v>
      </c>
      <c r="G2013" s="20">
        <f t="shared" si="1"/>
        <v>10</v>
      </c>
      <c r="H2013" s="26">
        <v>42562.49375</v>
      </c>
      <c r="I2013" s="19">
        <f>IFERROR(__xludf.DUMMYFUNCTION("IFERROR(TO_DATE(H2013), """")"),42562.49375)</f>
        <v>42562.49375</v>
      </c>
      <c r="J2013" s="19" t="s">
        <v>14</v>
      </c>
      <c r="K2013" s="22">
        <f t="shared" si="2"/>
        <v>0</v>
      </c>
    </row>
    <row r="2014">
      <c r="A2014" s="18">
        <v>753.0</v>
      </c>
      <c r="B2014" s="18" t="s">
        <v>30</v>
      </c>
      <c r="C2014" s="18">
        <v>212.0</v>
      </c>
      <c r="D2014" s="18" t="s">
        <v>31</v>
      </c>
      <c r="E2014" s="26">
        <v>42562.66527777778</v>
      </c>
      <c r="F2014" s="19">
        <f>IFERROR(__xludf.DUMMYFUNCTION("IFERROR(TO_DATE(E2014), """")"),42562.66527777778)</f>
        <v>42562.66528</v>
      </c>
      <c r="G2014" s="20">
        <f t="shared" si="1"/>
        <v>15</v>
      </c>
      <c r="H2014" s="26">
        <v>42562.711805555555</v>
      </c>
      <c r="I2014" s="19">
        <f>IFERROR(__xludf.DUMMYFUNCTION("IFERROR(TO_DATE(H2014), """")"),42562.711805555555)</f>
        <v>42562.71181</v>
      </c>
      <c r="J2014" s="19" t="s">
        <v>10</v>
      </c>
      <c r="K2014" s="22">
        <f t="shared" si="2"/>
        <v>0</v>
      </c>
    </row>
    <row r="2015">
      <c r="A2015" s="18">
        <v>999.0</v>
      </c>
      <c r="B2015" s="18" t="s">
        <v>32</v>
      </c>
      <c r="C2015" s="18">
        <v>212.0</v>
      </c>
      <c r="D2015" s="18" t="s">
        <v>31</v>
      </c>
      <c r="E2015" s="26">
        <v>42562.79583333333</v>
      </c>
      <c r="F2015" s="19">
        <f>IFERROR(__xludf.DUMMYFUNCTION("IFERROR(TO_DATE(E2015), """")"),42562.79583333333)</f>
        <v>42562.79583</v>
      </c>
      <c r="G2015" s="20">
        <f t="shared" si="1"/>
        <v>19</v>
      </c>
      <c r="H2015" s="26">
        <v>42562.84722222222</v>
      </c>
      <c r="I2015" s="19">
        <f>IFERROR(__xludf.DUMMYFUNCTION("IFERROR(TO_DATE(H2015), """")"),42562.84722222222)</f>
        <v>42562.84722</v>
      </c>
      <c r="J2015" s="19" t="s">
        <v>12</v>
      </c>
      <c r="K2015" s="22">
        <f t="shared" si="2"/>
        <v>0</v>
      </c>
    </row>
    <row r="2016">
      <c r="A2016" s="18">
        <v>1534.0</v>
      </c>
      <c r="B2016" s="18" t="s">
        <v>30</v>
      </c>
      <c r="C2016" s="18">
        <v>212.0</v>
      </c>
      <c r="D2016" s="18" t="s">
        <v>31</v>
      </c>
      <c r="E2016" s="26">
        <v>42563.24930555555</v>
      </c>
      <c r="F2016" s="19">
        <f>IFERROR(__xludf.DUMMYFUNCTION("IFERROR(TO_DATE(E2016), """")"),42563.24930555555)</f>
        <v>42563.24931</v>
      </c>
      <c r="G2016" s="20">
        <f t="shared" si="1"/>
        <v>5</v>
      </c>
      <c r="H2016" s="26">
        <v>42563.29027777778</v>
      </c>
      <c r="I2016" s="19">
        <f>IFERROR(__xludf.DUMMYFUNCTION("IFERROR(TO_DATE(H2016), """")"),42563.29027777778)</f>
        <v>42563.29028</v>
      </c>
      <c r="J2016" s="19" t="s">
        <v>11</v>
      </c>
      <c r="K2016" s="22">
        <f t="shared" si="2"/>
        <v>0</v>
      </c>
    </row>
    <row r="2017">
      <c r="A2017" s="18">
        <v>1773.0</v>
      </c>
      <c r="B2017" s="18" t="s">
        <v>30</v>
      </c>
      <c r="C2017" s="18">
        <v>212.0</v>
      </c>
      <c r="D2017" s="18" t="s">
        <v>31</v>
      </c>
      <c r="E2017" s="26">
        <v>42563.37291666667</v>
      </c>
      <c r="F2017" s="19">
        <f>IFERROR(__xludf.DUMMYFUNCTION("IFERROR(TO_DATE(E2017), """")"),42563.37291666667)</f>
        <v>42563.37292</v>
      </c>
      <c r="G2017" s="20">
        <f t="shared" si="1"/>
        <v>8</v>
      </c>
      <c r="H2017" s="26">
        <v>42563.41875</v>
      </c>
      <c r="I2017" s="19">
        <f>IFERROR(__xludf.DUMMYFUNCTION("IFERROR(TO_DATE(H2017), """")"),42563.41875)</f>
        <v>42563.41875</v>
      </c>
      <c r="J2017" s="19" t="s">
        <v>14</v>
      </c>
      <c r="K2017" s="22">
        <f t="shared" si="2"/>
        <v>0</v>
      </c>
    </row>
    <row r="2018">
      <c r="A2018" s="18">
        <v>1890.0</v>
      </c>
      <c r="B2018" s="18" t="s">
        <v>32</v>
      </c>
      <c r="C2018" s="18">
        <v>212.0</v>
      </c>
      <c r="D2018" s="18" t="s">
        <v>31</v>
      </c>
      <c r="E2018" s="26">
        <v>42563.42222222222</v>
      </c>
      <c r="F2018" s="19">
        <f>IFERROR(__xludf.DUMMYFUNCTION("IFERROR(TO_DATE(E2018), """")"),42563.42222222222)</f>
        <v>42563.42222</v>
      </c>
      <c r="G2018" s="20">
        <f t="shared" si="1"/>
        <v>10</v>
      </c>
      <c r="H2018" s="26">
        <v>42563.46944444445</v>
      </c>
      <c r="I2018" s="19">
        <f>IFERROR(__xludf.DUMMYFUNCTION("IFERROR(TO_DATE(H2018), """")"),42563.46944444445)</f>
        <v>42563.46944</v>
      </c>
      <c r="J2018" s="19" t="s">
        <v>14</v>
      </c>
      <c r="K2018" s="22">
        <f t="shared" si="2"/>
        <v>0</v>
      </c>
    </row>
    <row r="2019">
      <c r="A2019" s="18">
        <v>2609.0</v>
      </c>
      <c r="B2019" s="18" t="s">
        <v>30</v>
      </c>
      <c r="C2019" s="18">
        <v>212.0</v>
      </c>
      <c r="D2019" s="18" t="s">
        <v>31</v>
      </c>
      <c r="E2019" s="26">
        <v>42563.916666666664</v>
      </c>
      <c r="F2019" s="19">
        <f>IFERROR(__xludf.DUMMYFUNCTION("IFERROR(TO_DATE(E2019), """")"),42563.916666666664)</f>
        <v>42563.91667</v>
      </c>
      <c r="G2019" s="20">
        <f t="shared" si="1"/>
        <v>22</v>
      </c>
      <c r="H2019" s="26">
        <v>42563.955555555556</v>
      </c>
      <c r="I2019" s="19">
        <f>IFERROR(__xludf.DUMMYFUNCTION("IFERROR(TO_DATE(H2019), """")"),42563.955555555556)</f>
        <v>42563.95556</v>
      </c>
      <c r="J2019" s="19" t="s">
        <v>13</v>
      </c>
      <c r="K2019" s="22">
        <f t="shared" si="2"/>
        <v>0</v>
      </c>
    </row>
    <row r="2020">
      <c r="A2020" s="18">
        <v>2864.0</v>
      </c>
      <c r="B2020" s="18" t="s">
        <v>32</v>
      </c>
      <c r="C2020" s="18">
        <v>212.0</v>
      </c>
      <c r="D2020" s="18" t="s">
        <v>31</v>
      </c>
      <c r="E2020" s="27">
        <v>42564.238854166666</v>
      </c>
      <c r="F2020" s="19">
        <f>IFERROR(__xludf.DUMMYFUNCTION("IFERROR(TO_DATE(E2020), """")"),42564.238854166666)</f>
        <v>42564.23885</v>
      </c>
      <c r="G2020" s="20">
        <f t="shared" si="1"/>
        <v>5</v>
      </c>
      <c r="H2020" s="27">
        <v>42564.25717592592</v>
      </c>
      <c r="I2020" s="19">
        <f>IFERROR(__xludf.DUMMYFUNCTION("IFERROR(TO_DATE(H2020), """")"),42564.25717592592)</f>
        <v>42564.25718</v>
      </c>
      <c r="J2020" s="19" t="s">
        <v>11</v>
      </c>
      <c r="K2020" s="22">
        <f t="shared" si="2"/>
        <v>0</v>
      </c>
    </row>
    <row r="2021">
      <c r="A2021" s="18">
        <v>3134.0</v>
      </c>
      <c r="B2021" s="18" t="s">
        <v>32</v>
      </c>
      <c r="C2021" s="18">
        <v>212.0</v>
      </c>
      <c r="D2021" s="18" t="s">
        <v>31</v>
      </c>
      <c r="E2021" s="27">
        <v>42564.361180555556</v>
      </c>
      <c r="F2021" s="19">
        <f>IFERROR(__xludf.DUMMYFUNCTION("IFERROR(TO_DATE(E2021), """")"),42564.361180555556)</f>
        <v>42564.36118</v>
      </c>
      <c r="G2021" s="20">
        <f t="shared" si="1"/>
        <v>8</v>
      </c>
      <c r="H2021" s="27">
        <v>42564.41133101852</v>
      </c>
      <c r="I2021" s="19">
        <f>IFERROR(__xludf.DUMMYFUNCTION("IFERROR(TO_DATE(H2021), """")"),42564.41133101852)</f>
        <v>42564.41133</v>
      </c>
      <c r="J2021" s="19" t="s">
        <v>14</v>
      </c>
      <c r="K2021" s="22">
        <f t="shared" si="2"/>
        <v>0</v>
      </c>
    </row>
    <row r="2022">
      <c r="A2022" s="18">
        <v>3302.0</v>
      </c>
      <c r="B2022" s="18" t="s">
        <v>32</v>
      </c>
      <c r="C2022" s="18">
        <v>212.0</v>
      </c>
      <c r="D2022" s="18" t="s">
        <v>31</v>
      </c>
      <c r="E2022" s="27">
        <v>42564.48732638889</v>
      </c>
      <c r="F2022" s="19">
        <f>IFERROR(__xludf.DUMMYFUNCTION("IFERROR(TO_DATE(E2022), """")"),42564.48732638889)</f>
        <v>42564.48733</v>
      </c>
      <c r="G2022" s="20">
        <f t="shared" si="1"/>
        <v>11</v>
      </c>
      <c r="H2022" s="27">
        <v>42564.525775462964</v>
      </c>
      <c r="I2022" s="19">
        <f>IFERROR(__xludf.DUMMYFUNCTION("IFERROR(TO_DATE(H2022), """")"),42564.525775462964)</f>
        <v>42564.52578</v>
      </c>
      <c r="J2022" s="19" t="s">
        <v>14</v>
      </c>
      <c r="K2022" s="22">
        <f t="shared" si="2"/>
        <v>0</v>
      </c>
    </row>
    <row r="2023">
      <c r="A2023" s="18">
        <v>3999.0</v>
      </c>
      <c r="B2023" s="18" t="s">
        <v>30</v>
      </c>
      <c r="C2023" s="18">
        <v>212.0</v>
      </c>
      <c r="D2023" s="18" t="s">
        <v>31</v>
      </c>
      <c r="E2023" s="27">
        <v>42564.98677083333</v>
      </c>
      <c r="F2023" s="19">
        <f>IFERROR(__xludf.DUMMYFUNCTION("IFERROR(TO_DATE(E2023), """")"),42564.98677083333)</f>
        <v>42564.98677</v>
      </c>
      <c r="G2023" s="20">
        <f t="shared" si="1"/>
        <v>23</v>
      </c>
      <c r="H2023" s="27">
        <v>42565.030694444446</v>
      </c>
      <c r="I2023" s="19">
        <f>IFERROR(__xludf.DUMMYFUNCTION("IFERROR(TO_DATE(H2023), """")"),42565.030694444446)</f>
        <v>42565.03069</v>
      </c>
      <c r="J2023" s="19" t="s">
        <v>13</v>
      </c>
      <c r="K2023" s="22">
        <f t="shared" si="2"/>
        <v>0</v>
      </c>
    </row>
    <row r="2024">
      <c r="A2024" s="18">
        <v>4450.0</v>
      </c>
      <c r="B2024" s="18" t="s">
        <v>32</v>
      </c>
      <c r="C2024" s="18">
        <v>212.0</v>
      </c>
      <c r="D2024" s="18" t="s">
        <v>31</v>
      </c>
      <c r="E2024" s="27">
        <v>42565.35457175926</v>
      </c>
      <c r="F2024" s="19">
        <f>IFERROR(__xludf.DUMMYFUNCTION("IFERROR(TO_DATE(E2024), """")"),42565.35457175926)</f>
        <v>42565.35457</v>
      </c>
      <c r="G2024" s="20">
        <f t="shared" si="1"/>
        <v>8</v>
      </c>
      <c r="H2024" s="27">
        <v>42565.379895833335</v>
      </c>
      <c r="I2024" s="19">
        <f>IFERROR(__xludf.DUMMYFUNCTION("IFERROR(TO_DATE(H2024), """")"),42565.379895833335)</f>
        <v>42565.3799</v>
      </c>
      <c r="J2024" s="19" t="s">
        <v>14</v>
      </c>
      <c r="K2024" s="22">
        <f t="shared" si="2"/>
        <v>0</v>
      </c>
    </row>
    <row r="2025">
      <c r="A2025" s="18">
        <v>6376.0</v>
      </c>
      <c r="B2025" s="18" t="s">
        <v>32</v>
      </c>
      <c r="C2025" s="18">
        <v>212.0</v>
      </c>
      <c r="D2025" s="18" t="s">
        <v>31</v>
      </c>
      <c r="E2025" s="27">
        <v>42566.80027777778</v>
      </c>
      <c r="F2025" s="19">
        <f>IFERROR(__xludf.DUMMYFUNCTION("IFERROR(TO_DATE(E2025), """")"),42566.80027777778)</f>
        <v>42566.80028</v>
      </c>
      <c r="G2025" s="20">
        <f t="shared" si="1"/>
        <v>19</v>
      </c>
      <c r="H2025" s="27">
        <v>42566.842997685184</v>
      </c>
      <c r="I2025" s="19">
        <f>IFERROR(__xludf.DUMMYFUNCTION("IFERROR(TO_DATE(H2025), """")"),42566.842997685184)</f>
        <v>42566.843</v>
      </c>
      <c r="J2025" s="19" t="s">
        <v>12</v>
      </c>
      <c r="K2025" s="22">
        <f t="shared" si="2"/>
        <v>0</v>
      </c>
    </row>
    <row r="2026">
      <c r="A2026" s="18">
        <v>6622.0</v>
      </c>
      <c r="B2026" s="18" t="s">
        <v>30</v>
      </c>
      <c r="C2026" s="18">
        <v>212.0</v>
      </c>
      <c r="D2026" s="18" t="s">
        <v>31</v>
      </c>
      <c r="E2026" s="27">
        <v>42566.907002314816</v>
      </c>
      <c r="F2026" s="19">
        <f>IFERROR(__xludf.DUMMYFUNCTION("IFERROR(TO_DATE(E2026), """")"),42566.907002314816)</f>
        <v>42566.907</v>
      </c>
      <c r="G2026" s="20">
        <f t="shared" si="1"/>
        <v>21</v>
      </c>
      <c r="H2026" s="27">
        <v>42566.944085648145</v>
      </c>
      <c r="I2026" s="19">
        <f>IFERROR(__xludf.DUMMYFUNCTION("IFERROR(TO_DATE(H2026), """")"),42566.944085648145)</f>
        <v>42566.94409</v>
      </c>
      <c r="J2026" s="19" t="s">
        <v>13</v>
      </c>
      <c r="K2026" s="22">
        <f t="shared" si="2"/>
        <v>0</v>
      </c>
    </row>
    <row r="2027">
      <c r="A2027" s="18">
        <v>87.0</v>
      </c>
      <c r="B2027" s="18" t="s">
        <v>32</v>
      </c>
      <c r="C2027" s="18">
        <v>213.0</v>
      </c>
      <c r="D2027" s="18" t="s">
        <v>31</v>
      </c>
      <c r="E2027" s="26">
        <v>42562.19861111111</v>
      </c>
      <c r="F2027" s="19">
        <f>IFERROR(__xludf.DUMMYFUNCTION("IFERROR(TO_DATE(E2027), """")"),42562.19861111111)</f>
        <v>42562.19861</v>
      </c>
      <c r="G2027" s="20">
        <f t="shared" si="1"/>
        <v>4</v>
      </c>
      <c r="H2027" s="26">
        <v>42562.22638888889</v>
      </c>
      <c r="I2027" s="19">
        <f>IFERROR(__xludf.DUMMYFUNCTION("IFERROR(TO_DATE(H2027), """")"),42562.22638888889)</f>
        <v>42562.22639</v>
      </c>
      <c r="J2027" s="19" t="s">
        <v>11</v>
      </c>
      <c r="K2027" s="22">
        <f t="shared" si="2"/>
        <v>0</v>
      </c>
    </row>
    <row r="2028">
      <c r="A2028" s="18">
        <v>859.0</v>
      </c>
      <c r="B2028" s="18" t="s">
        <v>32</v>
      </c>
      <c r="C2028" s="18">
        <v>213.0</v>
      </c>
      <c r="D2028" s="18" t="s">
        <v>31</v>
      </c>
      <c r="E2028" s="26">
        <v>42562.74236111111</v>
      </c>
      <c r="F2028" s="19">
        <f>IFERROR(__xludf.DUMMYFUNCTION("IFERROR(TO_DATE(E2028), """")"),42562.74236111111)</f>
        <v>42562.74236</v>
      </c>
      <c r="G2028" s="20">
        <f t="shared" si="1"/>
        <v>17</v>
      </c>
      <c r="H2028" s="26">
        <v>42562.78125</v>
      </c>
      <c r="I2028" s="19">
        <f>IFERROR(__xludf.DUMMYFUNCTION("IFERROR(TO_DATE(H2028), """")"),42562.78125)</f>
        <v>42562.78125</v>
      </c>
      <c r="J2028" s="19" t="s">
        <v>12</v>
      </c>
      <c r="K2028" s="22">
        <f t="shared" si="2"/>
        <v>0</v>
      </c>
    </row>
    <row r="2029">
      <c r="A2029" s="18">
        <v>1170.0</v>
      </c>
      <c r="B2029" s="18" t="s">
        <v>32</v>
      </c>
      <c r="C2029" s="18">
        <v>213.0</v>
      </c>
      <c r="D2029" s="18" t="s">
        <v>31</v>
      </c>
      <c r="E2029" s="26">
        <v>42562.87152777778</v>
      </c>
      <c r="F2029" s="19">
        <f>IFERROR(__xludf.DUMMYFUNCTION("IFERROR(TO_DATE(E2029), """")"),42562.87152777778)</f>
        <v>42562.87153</v>
      </c>
      <c r="G2029" s="20">
        <f t="shared" si="1"/>
        <v>20</v>
      </c>
      <c r="H2029" s="26">
        <v>42562.89444444444</v>
      </c>
      <c r="I2029" s="19">
        <f>IFERROR(__xludf.DUMMYFUNCTION("IFERROR(TO_DATE(H2029), """")"),42562.89444444444)</f>
        <v>42562.89444</v>
      </c>
      <c r="J2029" s="19" t="s">
        <v>13</v>
      </c>
      <c r="K2029" s="22">
        <f t="shared" si="2"/>
        <v>0</v>
      </c>
    </row>
    <row r="2030">
      <c r="A2030" s="18">
        <v>2511.0</v>
      </c>
      <c r="B2030" s="18" t="s">
        <v>32</v>
      </c>
      <c r="C2030" s="18">
        <v>213.0</v>
      </c>
      <c r="D2030" s="18" t="s">
        <v>31</v>
      </c>
      <c r="E2030" s="26">
        <v>42563.87986111111</v>
      </c>
      <c r="F2030" s="19">
        <f>IFERROR(__xludf.DUMMYFUNCTION("IFERROR(TO_DATE(E2030), """")"),42563.87986111111)</f>
        <v>42563.87986</v>
      </c>
      <c r="G2030" s="20">
        <f t="shared" si="1"/>
        <v>21</v>
      </c>
      <c r="H2030" s="26">
        <v>42563.927083333336</v>
      </c>
      <c r="I2030" s="19">
        <f>IFERROR(__xludf.DUMMYFUNCTION("IFERROR(TO_DATE(H2030), """")"),42563.927083333336)</f>
        <v>42563.92708</v>
      </c>
      <c r="J2030" s="19" t="s">
        <v>13</v>
      </c>
      <c r="K2030" s="22">
        <f t="shared" si="2"/>
        <v>0</v>
      </c>
    </row>
    <row r="2031">
      <c r="A2031" s="18">
        <v>3427.0</v>
      </c>
      <c r="B2031" s="18" t="s">
        <v>30</v>
      </c>
      <c r="C2031" s="18">
        <v>213.0</v>
      </c>
      <c r="D2031" s="18" t="s">
        <v>31</v>
      </c>
      <c r="E2031" s="27">
        <v>42564.661574074074</v>
      </c>
      <c r="F2031" s="19">
        <f>IFERROR(__xludf.DUMMYFUNCTION("IFERROR(TO_DATE(E2031), """")"),42564.661574074074)</f>
        <v>42564.66157</v>
      </c>
      <c r="G2031" s="20">
        <f t="shared" si="1"/>
        <v>15</v>
      </c>
      <c r="H2031" s="27">
        <v>42564.7059375</v>
      </c>
      <c r="I2031" s="19">
        <f>IFERROR(__xludf.DUMMYFUNCTION("IFERROR(TO_DATE(H2031), """")"),42564.7059375)</f>
        <v>42564.70594</v>
      </c>
      <c r="J2031" s="19" t="s">
        <v>10</v>
      </c>
      <c r="K2031" s="22">
        <f t="shared" si="2"/>
        <v>0</v>
      </c>
    </row>
    <row r="2032">
      <c r="A2032" s="18">
        <v>5385.0</v>
      </c>
      <c r="B2032" s="18" t="s">
        <v>30</v>
      </c>
      <c r="C2032" s="18">
        <v>213.0</v>
      </c>
      <c r="D2032" s="18" t="s">
        <v>31</v>
      </c>
      <c r="E2032" s="27">
        <v>42565.00519675926</v>
      </c>
      <c r="F2032" s="19">
        <f>IFERROR(__xludf.DUMMYFUNCTION("IFERROR(TO_DATE(E2032), """")"),42565.00519675926)</f>
        <v>42565.0052</v>
      </c>
      <c r="G2032" s="20">
        <f t="shared" si="1"/>
        <v>0</v>
      </c>
      <c r="H2032" s="27">
        <v>42565.03089120371</v>
      </c>
      <c r="I2032" s="19">
        <f>IFERROR(__xludf.DUMMYFUNCTION("IFERROR(TO_DATE(H2032), """")"),42565.03089120371)</f>
        <v>42565.03089</v>
      </c>
      <c r="J2032" s="19" t="s">
        <v>15</v>
      </c>
      <c r="K2032" s="22">
        <f t="shared" si="2"/>
        <v>0</v>
      </c>
    </row>
    <row r="2033">
      <c r="A2033" s="18">
        <v>4643.0</v>
      </c>
      <c r="B2033" s="18" t="s">
        <v>30</v>
      </c>
      <c r="C2033" s="18">
        <v>213.0</v>
      </c>
      <c r="D2033" s="18" t="s">
        <v>31</v>
      </c>
      <c r="E2033" s="27">
        <v>42565.487442129626</v>
      </c>
      <c r="F2033" s="19">
        <f>IFERROR(__xludf.DUMMYFUNCTION("IFERROR(TO_DATE(E2033), """")"),42565.487442129626)</f>
        <v>42565.48744</v>
      </c>
      <c r="G2033" s="20">
        <f t="shared" si="1"/>
        <v>11</v>
      </c>
      <c r="H2033" s="27">
        <v>42565.522361111114</v>
      </c>
      <c r="I2033" s="19">
        <f>IFERROR(__xludf.DUMMYFUNCTION("IFERROR(TO_DATE(H2033), """")"),42565.522361111114)</f>
        <v>42565.52236</v>
      </c>
      <c r="J2033" s="19" t="s">
        <v>14</v>
      </c>
      <c r="K2033" s="22">
        <f t="shared" si="2"/>
        <v>0</v>
      </c>
    </row>
    <row r="2034">
      <c r="A2034" s="18">
        <v>4850.0</v>
      </c>
      <c r="B2034" s="18" t="s">
        <v>30</v>
      </c>
      <c r="C2034" s="18">
        <v>213.0</v>
      </c>
      <c r="D2034" s="18" t="s">
        <v>31</v>
      </c>
      <c r="E2034" s="27">
        <v>42565.73236111111</v>
      </c>
      <c r="F2034" s="19">
        <f>IFERROR(__xludf.DUMMYFUNCTION("IFERROR(TO_DATE(E2034), """")"),42565.73236111111)</f>
        <v>42565.73236</v>
      </c>
      <c r="G2034" s="20">
        <f t="shared" si="1"/>
        <v>17</v>
      </c>
      <c r="H2034" s="27">
        <v>42565.75519675926</v>
      </c>
      <c r="I2034" s="19">
        <f>IFERROR(__xludf.DUMMYFUNCTION("IFERROR(TO_DATE(H2034), """")"),42565.75519675926)</f>
        <v>42565.7552</v>
      </c>
      <c r="J2034" s="19" t="s">
        <v>12</v>
      </c>
      <c r="K2034" s="22">
        <f t="shared" si="2"/>
        <v>0</v>
      </c>
    </row>
    <row r="2035">
      <c r="A2035" s="18">
        <v>5689.0</v>
      </c>
      <c r="B2035" s="18" t="s">
        <v>32</v>
      </c>
      <c r="C2035" s="18">
        <v>213.0</v>
      </c>
      <c r="D2035" s="18" t="s">
        <v>31</v>
      </c>
      <c r="E2035" s="27">
        <v>42566.30688657407</v>
      </c>
      <c r="F2035" s="19">
        <f>IFERROR(__xludf.DUMMYFUNCTION("IFERROR(TO_DATE(E2035), """")"),42566.30688657407)</f>
        <v>42566.30689</v>
      </c>
      <c r="G2035" s="20">
        <f t="shared" si="1"/>
        <v>7</v>
      </c>
      <c r="H2035" s="27">
        <v>42566.332974537036</v>
      </c>
      <c r="I2035" s="19">
        <f>IFERROR(__xludf.DUMMYFUNCTION("IFERROR(TO_DATE(H2035), """")"),42566.332974537036)</f>
        <v>42566.33297</v>
      </c>
      <c r="J2035" s="19" t="s">
        <v>11</v>
      </c>
      <c r="K2035" s="22">
        <f t="shared" si="2"/>
        <v>0</v>
      </c>
    </row>
    <row r="2036">
      <c r="A2036" s="18">
        <v>600.0</v>
      </c>
      <c r="B2036" s="18" t="s">
        <v>32</v>
      </c>
      <c r="C2036" s="18">
        <v>214.0</v>
      </c>
      <c r="D2036" s="18" t="s">
        <v>31</v>
      </c>
      <c r="E2036" s="26">
        <v>42562.48472222222</v>
      </c>
      <c r="F2036" s="19">
        <f>IFERROR(__xludf.DUMMYFUNCTION("IFERROR(TO_DATE(E2036), """")"),42562.48472222222)</f>
        <v>42562.48472</v>
      </c>
      <c r="G2036" s="20">
        <f t="shared" si="1"/>
        <v>11</v>
      </c>
      <c r="H2036" s="26">
        <v>42562.532638888886</v>
      </c>
      <c r="I2036" s="19">
        <f>IFERROR(__xludf.DUMMYFUNCTION("IFERROR(TO_DATE(H2036), """")"),42562.532638888886)</f>
        <v>42562.53264</v>
      </c>
      <c r="J2036" s="19" t="s">
        <v>14</v>
      </c>
      <c r="K2036" s="22">
        <f t="shared" si="2"/>
        <v>0</v>
      </c>
    </row>
    <row r="2037">
      <c r="A2037" s="18">
        <v>2053.0</v>
      </c>
      <c r="B2037" s="18" t="s">
        <v>30</v>
      </c>
      <c r="C2037" s="18">
        <v>214.0</v>
      </c>
      <c r="D2037" s="18" t="s">
        <v>31</v>
      </c>
      <c r="E2037" s="26">
        <v>42563.618055555555</v>
      </c>
      <c r="F2037" s="19">
        <f>IFERROR(__xludf.DUMMYFUNCTION("IFERROR(TO_DATE(E2037), """")"),42563.618055555555)</f>
        <v>42563.61806</v>
      </c>
      <c r="G2037" s="20">
        <f t="shared" si="1"/>
        <v>14</v>
      </c>
      <c r="H2037" s="26">
        <v>42563.66388888889</v>
      </c>
      <c r="I2037" s="19">
        <f>IFERROR(__xludf.DUMMYFUNCTION("IFERROR(TO_DATE(H2037), """")"),42563.66388888889)</f>
        <v>42563.66389</v>
      </c>
      <c r="J2037" s="19" t="s">
        <v>10</v>
      </c>
      <c r="K2037" s="22">
        <f t="shared" si="2"/>
        <v>0</v>
      </c>
    </row>
    <row r="2038">
      <c r="A2038" s="18">
        <v>2256.0</v>
      </c>
      <c r="B2038" s="18" t="s">
        <v>30</v>
      </c>
      <c r="C2038" s="18">
        <v>214.0</v>
      </c>
      <c r="D2038" s="18" t="s">
        <v>31</v>
      </c>
      <c r="E2038" s="26">
        <v>42563.76736111111</v>
      </c>
      <c r="F2038" s="19">
        <f>IFERROR(__xludf.DUMMYFUNCTION("IFERROR(TO_DATE(E2038), """")"),42563.76736111111)</f>
        <v>42563.76736</v>
      </c>
      <c r="G2038" s="20">
        <f t="shared" si="1"/>
        <v>18</v>
      </c>
      <c r="H2038" s="26">
        <v>42563.78680555556</v>
      </c>
      <c r="I2038" s="19">
        <f>IFERROR(__xludf.DUMMYFUNCTION("IFERROR(TO_DATE(H2038), """")"),42563.78680555556)</f>
        <v>42563.78681</v>
      </c>
      <c r="J2038" s="19" t="s">
        <v>12</v>
      </c>
      <c r="K2038" s="22">
        <f t="shared" si="2"/>
        <v>0</v>
      </c>
    </row>
    <row r="2039">
      <c r="A2039" s="18">
        <v>2947.0</v>
      </c>
      <c r="B2039" s="18" t="s">
        <v>32</v>
      </c>
      <c r="C2039" s="18">
        <v>214.0</v>
      </c>
      <c r="D2039" s="18" t="s">
        <v>31</v>
      </c>
      <c r="E2039" s="27">
        <v>42564.274988425925</v>
      </c>
      <c r="F2039" s="19">
        <f>IFERROR(__xludf.DUMMYFUNCTION("IFERROR(TO_DATE(E2039), """")"),42564.274988425925)</f>
        <v>42564.27499</v>
      </c>
      <c r="G2039" s="20">
        <f t="shared" si="1"/>
        <v>6</v>
      </c>
      <c r="H2039" s="27">
        <v>42564.30880787037</v>
      </c>
      <c r="I2039" s="19">
        <f>IFERROR(__xludf.DUMMYFUNCTION("IFERROR(TO_DATE(H2039), """")"),42564.30880787037)</f>
        <v>42564.30881</v>
      </c>
      <c r="J2039" s="19" t="s">
        <v>11</v>
      </c>
      <c r="K2039" s="22">
        <f t="shared" si="2"/>
        <v>0</v>
      </c>
    </row>
    <row r="2040">
      <c r="A2040" s="18">
        <v>3834.0</v>
      </c>
      <c r="B2040" s="18" t="s">
        <v>32</v>
      </c>
      <c r="C2040" s="18">
        <v>214.0</v>
      </c>
      <c r="D2040" s="18" t="s">
        <v>31</v>
      </c>
      <c r="E2040" s="27">
        <v>42564.890185185184</v>
      </c>
      <c r="F2040" s="19">
        <f>IFERROR(__xludf.DUMMYFUNCTION("IFERROR(TO_DATE(E2040), """")"),42564.890185185184)</f>
        <v>42564.89019</v>
      </c>
      <c r="G2040" s="20">
        <f t="shared" si="1"/>
        <v>21</v>
      </c>
      <c r="H2040" s="27">
        <v>42564.937060185184</v>
      </c>
      <c r="I2040" s="19">
        <f>IFERROR(__xludf.DUMMYFUNCTION("IFERROR(TO_DATE(H2040), """")"),42564.937060185184)</f>
        <v>42564.93706</v>
      </c>
      <c r="J2040" s="19" t="s">
        <v>13</v>
      </c>
      <c r="K2040" s="22">
        <f t="shared" si="2"/>
        <v>0</v>
      </c>
    </row>
    <row r="2041">
      <c r="A2041" s="18">
        <v>4414.0</v>
      </c>
      <c r="B2041" s="18" t="s">
        <v>30</v>
      </c>
      <c r="C2041" s="18">
        <v>214.0</v>
      </c>
      <c r="D2041" s="18" t="s">
        <v>31</v>
      </c>
      <c r="E2041" s="27">
        <v>42565.3390625</v>
      </c>
      <c r="F2041" s="19">
        <f>IFERROR(__xludf.DUMMYFUNCTION("IFERROR(TO_DATE(E2041), """")"),42565.3390625)</f>
        <v>42565.33906</v>
      </c>
      <c r="G2041" s="20">
        <f t="shared" si="1"/>
        <v>8</v>
      </c>
      <c r="H2041" s="27">
        <v>42565.37342592593</v>
      </c>
      <c r="I2041" s="19">
        <f>IFERROR(__xludf.DUMMYFUNCTION("IFERROR(TO_DATE(H2041), """")"),42565.37342592593)</f>
        <v>42565.37343</v>
      </c>
      <c r="J2041" s="19" t="s">
        <v>14</v>
      </c>
      <c r="K2041" s="22">
        <f t="shared" si="2"/>
        <v>0</v>
      </c>
    </row>
    <row r="2042">
      <c r="A2042" s="18">
        <v>5901.0</v>
      </c>
      <c r="B2042" s="18" t="s">
        <v>32</v>
      </c>
      <c r="C2042" s="18">
        <v>214.0</v>
      </c>
      <c r="D2042" s="18" t="s">
        <v>31</v>
      </c>
      <c r="E2042" s="27">
        <v>42566.411944444444</v>
      </c>
      <c r="F2042" s="19">
        <f>IFERROR(__xludf.DUMMYFUNCTION("IFERROR(TO_DATE(E2042), """")"),42566.411944444444)</f>
        <v>42566.41194</v>
      </c>
      <c r="G2042" s="20">
        <f t="shared" si="1"/>
        <v>9</v>
      </c>
      <c r="H2042" s="27">
        <v>42566.459328703706</v>
      </c>
      <c r="I2042" s="19">
        <f>IFERROR(__xludf.DUMMYFUNCTION("IFERROR(TO_DATE(H2042), """")"),42566.459328703706)</f>
        <v>42566.45933</v>
      </c>
      <c r="J2042" s="19" t="s">
        <v>14</v>
      </c>
      <c r="K2042" s="22">
        <f t="shared" si="2"/>
        <v>0</v>
      </c>
    </row>
    <row r="2043">
      <c r="A2043" s="18">
        <v>214.0</v>
      </c>
      <c r="B2043" s="18" t="s">
        <v>32</v>
      </c>
      <c r="C2043" s="18">
        <v>215.0</v>
      </c>
      <c r="D2043" s="18" t="s">
        <v>31</v>
      </c>
      <c r="E2043" s="26">
        <v>42562.25902777778</v>
      </c>
      <c r="F2043" s="19">
        <f>IFERROR(__xludf.DUMMYFUNCTION("IFERROR(TO_DATE(E2043), """")"),42562.25902777778)</f>
        <v>42562.25903</v>
      </c>
      <c r="G2043" s="20">
        <f t="shared" si="1"/>
        <v>6</v>
      </c>
      <c r="H2043" s="26">
        <v>42562.28680555556</v>
      </c>
      <c r="I2043" s="19">
        <f>IFERROR(__xludf.DUMMYFUNCTION("IFERROR(TO_DATE(H2043), """")"),42562.28680555556)</f>
        <v>42562.28681</v>
      </c>
      <c r="J2043" s="19" t="s">
        <v>11</v>
      </c>
      <c r="K2043" s="22">
        <f t="shared" si="2"/>
        <v>0</v>
      </c>
    </row>
    <row r="2044">
      <c r="A2044" s="18">
        <v>423.0</v>
      </c>
      <c r="B2044" s="18" t="s">
        <v>32</v>
      </c>
      <c r="C2044" s="18">
        <v>215.0</v>
      </c>
      <c r="D2044" s="18" t="s">
        <v>31</v>
      </c>
      <c r="E2044" s="26">
        <v>42562.35833333333</v>
      </c>
      <c r="F2044" s="19">
        <f>IFERROR(__xludf.DUMMYFUNCTION("IFERROR(TO_DATE(E2044), """")"),42562.35833333333)</f>
        <v>42562.35833</v>
      </c>
      <c r="G2044" s="20">
        <f t="shared" si="1"/>
        <v>8</v>
      </c>
      <c r="H2044" s="26">
        <v>42562.38958333333</v>
      </c>
      <c r="I2044" s="19">
        <f>IFERROR(__xludf.DUMMYFUNCTION("IFERROR(TO_DATE(H2044), """")"),42562.38958333333)</f>
        <v>42562.38958</v>
      </c>
      <c r="J2044" s="19" t="s">
        <v>14</v>
      </c>
      <c r="K2044" s="22">
        <f t="shared" si="2"/>
        <v>0</v>
      </c>
    </row>
    <row r="2045">
      <c r="A2045" s="18">
        <v>1138.0</v>
      </c>
      <c r="B2045" s="18" t="s">
        <v>32</v>
      </c>
      <c r="C2045" s="18">
        <v>215.0</v>
      </c>
      <c r="D2045" s="18" t="s">
        <v>31</v>
      </c>
      <c r="E2045" s="26">
        <v>42562.854166666664</v>
      </c>
      <c r="F2045" s="19">
        <f>IFERROR(__xludf.DUMMYFUNCTION("IFERROR(TO_DATE(E2045), """")"),42562.854166666664)</f>
        <v>42562.85417</v>
      </c>
      <c r="G2045" s="20">
        <f t="shared" si="1"/>
        <v>20</v>
      </c>
      <c r="H2045" s="26">
        <v>42562.88333333333</v>
      </c>
      <c r="I2045" s="19">
        <f>IFERROR(__xludf.DUMMYFUNCTION("IFERROR(TO_DATE(H2045), """")"),42562.88333333333)</f>
        <v>42562.88333</v>
      </c>
      <c r="J2045" s="19" t="s">
        <v>13</v>
      </c>
      <c r="K2045" s="22">
        <f t="shared" si="2"/>
        <v>0</v>
      </c>
    </row>
    <row r="2046">
      <c r="A2046" s="18">
        <v>1977.0</v>
      </c>
      <c r="B2046" s="18" t="s">
        <v>30</v>
      </c>
      <c r="C2046" s="18">
        <v>215.0</v>
      </c>
      <c r="D2046" s="18" t="s">
        <v>31</v>
      </c>
      <c r="E2046" s="26">
        <v>42563.51666666667</v>
      </c>
      <c r="F2046" s="19">
        <f>IFERROR(__xludf.DUMMYFUNCTION("IFERROR(TO_DATE(E2046), """")"),42563.51666666667)</f>
        <v>42563.51667</v>
      </c>
      <c r="G2046" s="20">
        <f t="shared" si="1"/>
        <v>12</v>
      </c>
      <c r="H2046" s="26">
        <v>42563.54652777778</v>
      </c>
      <c r="I2046" s="19">
        <f>IFERROR(__xludf.DUMMYFUNCTION("IFERROR(TO_DATE(H2046), """")"),42563.54652777778)</f>
        <v>42563.54653</v>
      </c>
      <c r="J2046" s="19" t="s">
        <v>10</v>
      </c>
      <c r="K2046" s="22">
        <f t="shared" si="2"/>
        <v>0</v>
      </c>
    </row>
    <row r="2047">
      <c r="A2047" s="18">
        <v>2328.0</v>
      </c>
      <c r="B2047" s="18" t="s">
        <v>32</v>
      </c>
      <c r="C2047" s="18">
        <v>215.0</v>
      </c>
      <c r="D2047" s="18" t="s">
        <v>31</v>
      </c>
      <c r="E2047" s="26">
        <v>42563.8</v>
      </c>
      <c r="F2047" s="19">
        <f>IFERROR(__xludf.DUMMYFUNCTION("IFERROR(TO_DATE(E2047), """")"),42563.8)</f>
        <v>42563.8</v>
      </c>
      <c r="G2047" s="20">
        <f t="shared" si="1"/>
        <v>19</v>
      </c>
      <c r="H2047" s="26">
        <v>42563.834027777775</v>
      </c>
      <c r="I2047" s="19">
        <f>IFERROR(__xludf.DUMMYFUNCTION("IFERROR(TO_DATE(H2047), """")"),42563.834027777775)</f>
        <v>42563.83403</v>
      </c>
      <c r="J2047" s="19" t="s">
        <v>12</v>
      </c>
      <c r="K2047" s="22">
        <f t="shared" si="2"/>
        <v>0</v>
      </c>
    </row>
    <row r="2048">
      <c r="A2048" s="18">
        <v>2990.0</v>
      </c>
      <c r="B2048" s="18" t="s">
        <v>32</v>
      </c>
      <c r="C2048" s="18">
        <v>215.0</v>
      </c>
      <c r="D2048" s="18" t="s">
        <v>31</v>
      </c>
      <c r="E2048" s="27">
        <v>42564.29927083333</v>
      </c>
      <c r="F2048" s="19">
        <f>IFERROR(__xludf.DUMMYFUNCTION("IFERROR(TO_DATE(E2048), """")"),42564.29927083333)</f>
        <v>42564.29927</v>
      </c>
      <c r="G2048" s="20">
        <f t="shared" si="1"/>
        <v>7</v>
      </c>
      <c r="H2048" s="27">
        <v>42564.34158564815</v>
      </c>
      <c r="I2048" s="19">
        <f>IFERROR(__xludf.DUMMYFUNCTION("IFERROR(TO_DATE(H2048), """")"),42564.34158564815)</f>
        <v>42564.34159</v>
      </c>
      <c r="J2048" s="19" t="s">
        <v>11</v>
      </c>
      <c r="K2048" s="22">
        <f t="shared" si="2"/>
        <v>0</v>
      </c>
    </row>
    <row r="2049">
      <c r="A2049" s="18">
        <v>3658.0</v>
      </c>
      <c r="B2049" s="18" t="s">
        <v>30</v>
      </c>
      <c r="C2049" s="18">
        <v>215.0</v>
      </c>
      <c r="D2049" s="18" t="s">
        <v>31</v>
      </c>
      <c r="E2049" s="27">
        <v>42564.808587962965</v>
      </c>
      <c r="F2049" s="19">
        <f>IFERROR(__xludf.DUMMYFUNCTION("IFERROR(TO_DATE(E2049), """")"),42564.808587962965)</f>
        <v>42564.80859</v>
      </c>
      <c r="G2049" s="20">
        <f t="shared" si="1"/>
        <v>19</v>
      </c>
      <c r="H2049" s="27">
        <v>42564.83945601852</v>
      </c>
      <c r="I2049" s="19">
        <f>IFERROR(__xludf.DUMMYFUNCTION("IFERROR(TO_DATE(H2049), """")"),42564.83945601852)</f>
        <v>42564.83946</v>
      </c>
      <c r="J2049" s="19" t="s">
        <v>12</v>
      </c>
      <c r="K2049" s="22">
        <f t="shared" si="2"/>
        <v>0</v>
      </c>
    </row>
    <row r="2050">
      <c r="A2050" s="18">
        <v>4471.0</v>
      </c>
      <c r="B2050" s="18" t="s">
        <v>32</v>
      </c>
      <c r="C2050" s="18">
        <v>215.0</v>
      </c>
      <c r="D2050" s="18" t="s">
        <v>31</v>
      </c>
      <c r="E2050" s="27">
        <v>42565.36546296296</v>
      </c>
      <c r="F2050" s="19">
        <f>IFERROR(__xludf.DUMMYFUNCTION("IFERROR(TO_DATE(E2050), """")"),42565.36546296296)</f>
        <v>42565.36546</v>
      </c>
      <c r="G2050" s="20">
        <f t="shared" si="1"/>
        <v>8</v>
      </c>
      <c r="H2050" s="27">
        <v>42565.39392361111</v>
      </c>
      <c r="I2050" s="19">
        <f>IFERROR(__xludf.DUMMYFUNCTION("IFERROR(TO_DATE(H2050), """")"),42565.39392361111)</f>
        <v>42565.39392</v>
      </c>
      <c r="J2050" s="19" t="s">
        <v>14</v>
      </c>
      <c r="K2050" s="22">
        <f t="shared" si="2"/>
        <v>0</v>
      </c>
    </row>
    <row r="2051">
      <c r="A2051" s="18">
        <v>4767.0</v>
      </c>
      <c r="B2051" s="18" t="s">
        <v>30</v>
      </c>
      <c r="C2051" s="18">
        <v>215.0</v>
      </c>
      <c r="D2051" s="18" t="s">
        <v>31</v>
      </c>
      <c r="E2051" s="27">
        <v>42565.64892361111</v>
      </c>
      <c r="F2051" s="19">
        <f>IFERROR(__xludf.DUMMYFUNCTION("IFERROR(TO_DATE(E2051), """")"),42565.64892361111)</f>
        <v>42565.64892</v>
      </c>
      <c r="G2051" s="20">
        <f t="shared" si="1"/>
        <v>15</v>
      </c>
      <c r="H2051" s="27">
        <v>42565.68734953704</v>
      </c>
      <c r="I2051" s="19">
        <f>IFERROR(__xludf.DUMMYFUNCTION("IFERROR(TO_DATE(H2051), """")"),42565.68734953704)</f>
        <v>42565.68735</v>
      </c>
      <c r="J2051" s="19" t="s">
        <v>10</v>
      </c>
      <c r="K2051" s="22">
        <f t="shared" si="2"/>
        <v>0</v>
      </c>
    </row>
    <row r="2052">
      <c r="A2052" s="18">
        <v>5505.0</v>
      </c>
      <c r="B2052" s="18" t="s">
        <v>32</v>
      </c>
      <c r="C2052" s="18">
        <v>215.0</v>
      </c>
      <c r="D2052" s="18" t="s">
        <v>31</v>
      </c>
      <c r="E2052" s="27">
        <v>42566.2103587963</v>
      </c>
      <c r="F2052" s="19">
        <f>IFERROR(__xludf.DUMMYFUNCTION("IFERROR(TO_DATE(E2052), """")"),42566.2103587963)</f>
        <v>42566.21036</v>
      </c>
      <c r="G2052" s="20">
        <f t="shared" si="1"/>
        <v>5</v>
      </c>
      <c r="H2052" s="27">
        <v>42566.24252314815</v>
      </c>
      <c r="I2052" s="19">
        <f>IFERROR(__xludf.DUMMYFUNCTION("IFERROR(TO_DATE(H2052), """")"),42566.24252314815)</f>
        <v>42566.24252</v>
      </c>
      <c r="J2052" s="19" t="s">
        <v>11</v>
      </c>
      <c r="K2052" s="22">
        <f t="shared" si="2"/>
        <v>0</v>
      </c>
    </row>
    <row r="2053">
      <c r="A2053" s="18">
        <v>5850.0</v>
      </c>
      <c r="B2053" s="18" t="s">
        <v>32</v>
      </c>
      <c r="C2053" s="18">
        <v>215.0</v>
      </c>
      <c r="D2053" s="18" t="s">
        <v>31</v>
      </c>
      <c r="E2053" s="27">
        <v>42566.37752314815</v>
      </c>
      <c r="F2053" s="19">
        <f>IFERROR(__xludf.DUMMYFUNCTION("IFERROR(TO_DATE(E2053), """")"),42566.37752314815)</f>
        <v>42566.37752</v>
      </c>
      <c r="G2053" s="20">
        <f t="shared" si="1"/>
        <v>9</v>
      </c>
      <c r="H2053" s="27">
        <v>42566.42701388889</v>
      </c>
      <c r="I2053" s="19">
        <f>IFERROR(__xludf.DUMMYFUNCTION("IFERROR(TO_DATE(H2053), """")"),42566.42701388889)</f>
        <v>42566.42701</v>
      </c>
      <c r="J2053" s="19" t="s">
        <v>14</v>
      </c>
      <c r="K2053" s="22">
        <f t="shared" si="2"/>
        <v>0</v>
      </c>
    </row>
    <row r="2054">
      <c r="A2054" s="18">
        <v>484.0</v>
      </c>
      <c r="B2054" s="18" t="s">
        <v>32</v>
      </c>
      <c r="C2054" s="18">
        <v>216.0</v>
      </c>
      <c r="D2054" s="18" t="s">
        <v>31</v>
      </c>
      <c r="E2054" s="26">
        <v>42562.39166666667</v>
      </c>
      <c r="F2054" s="19">
        <f>IFERROR(__xludf.DUMMYFUNCTION("IFERROR(TO_DATE(E2054), """")"),42562.39166666667)</f>
        <v>42562.39167</v>
      </c>
      <c r="G2054" s="20">
        <f t="shared" si="1"/>
        <v>9</v>
      </c>
      <c r="H2054" s="26">
        <v>42562.42361111111</v>
      </c>
      <c r="I2054" s="19">
        <f>IFERROR(__xludf.DUMMYFUNCTION("IFERROR(TO_DATE(H2054), """")"),42562.42361111111)</f>
        <v>42562.42361</v>
      </c>
      <c r="J2054" s="19" t="s">
        <v>14</v>
      </c>
      <c r="K2054" s="22">
        <f t="shared" si="2"/>
        <v>0</v>
      </c>
    </row>
    <row r="2055">
      <c r="A2055" s="18">
        <v>855.0</v>
      </c>
      <c r="B2055" s="18" t="s">
        <v>32</v>
      </c>
      <c r="C2055" s="18">
        <v>216.0</v>
      </c>
      <c r="D2055" s="18" t="s">
        <v>31</v>
      </c>
      <c r="E2055" s="26">
        <v>42562.743055555555</v>
      </c>
      <c r="F2055" s="19">
        <f>IFERROR(__xludf.DUMMYFUNCTION("IFERROR(TO_DATE(E2055), """")"),42562.743055555555)</f>
        <v>42562.74306</v>
      </c>
      <c r="G2055" s="20">
        <f t="shared" si="1"/>
        <v>17</v>
      </c>
      <c r="H2055" s="26">
        <v>42562.76875</v>
      </c>
      <c r="I2055" s="19">
        <f>IFERROR(__xludf.DUMMYFUNCTION("IFERROR(TO_DATE(H2055), """")"),42562.76875)</f>
        <v>42562.76875</v>
      </c>
      <c r="J2055" s="19" t="s">
        <v>12</v>
      </c>
      <c r="K2055" s="22">
        <f t="shared" si="2"/>
        <v>0</v>
      </c>
    </row>
    <row r="2056">
      <c r="A2056" s="18">
        <v>2709.0</v>
      </c>
      <c r="B2056" s="18" t="s">
        <v>30</v>
      </c>
      <c r="C2056" s="18">
        <v>216.0</v>
      </c>
      <c r="D2056" s="18" t="s">
        <v>31</v>
      </c>
      <c r="E2056" s="27">
        <v>42564.06081018518</v>
      </c>
      <c r="F2056" s="19">
        <f>IFERROR(__xludf.DUMMYFUNCTION("IFERROR(TO_DATE(E2056), """")"),42564.06081018518)</f>
        <v>42564.06081</v>
      </c>
      <c r="G2056" s="20">
        <f t="shared" si="1"/>
        <v>1</v>
      </c>
      <c r="H2056" s="27">
        <v>42564.090787037036</v>
      </c>
      <c r="I2056" s="19">
        <f>IFERROR(__xludf.DUMMYFUNCTION("IFERROR(TO_DATE(H2056), """")"),42564.090787037036)</f>
        <v>42564.09079</v>
      </c>
      <c r="J2056" s="19" t="s">
        <v>15</v>
      </c>
      <c r="K2056" s="22">
        <f t="shared" si="2"/>
        <v>0</v>
      </c>
    </row>
    <row r="2057">
      <c r="A2057" s="18">
        <v>5556.0</v>
      </c>
      <c r="B2057" s="18" t="s">
        <v>32</v>
      </c>
      <c r="C2057" s="18">
        <v>216.0</v>
      </c>
      <c r="D2057" s="18" t="s">
        <v>31</v>
      </c>
      <c r="E2057" s="27">
        <v>42566.23318287037</v>
      </c>
      <c r="F2057" s="19">
        <f>IFERROR(__xludf.DUMMYFUNCTION("IFERROR(TO_DATE(E2057), """")"),42566.23318287037)</f>
        <v>42566.23318</v>
      </c>
      <c r="G2057" s="20">
        <f t="shared" si="1"/>
        <v>5</v>
      </c>
      <c r="H2057" s="27">
        <v>42566.2846875</v>
      </c>
      <c r="I2057" s="19">
        <f>IFERROR(__xludf.DUMMYFUNCTION("IFERROR(TO_DATE(H2057), """")"),42566.2846875)</f>
        <v>42566.28469</v>
      </c>
      <c r="J2057" s="19" t="s">
        <v>11</v>
      </c>
      <c r="K2057" s="22">
        <f t="shared" si="2"/>
        <v>0</v>
      </c>
    </row>
    <row r="2058">
      <c r="A2058" s="18">
        <v>5648.0</v>
      </c>
      <c r="B2058" s="18" t="s">
        <v>30</v>
      </c>
      <c r="C2058" s="18">
        <v>216.0</v>
      </c>
      <c r="D2058" s="18" t="s">
        <v>31</v>
      </c>
      <c r="E2058" s="27">
        <v>42566.28869212963</v>
      </c>
      <c r="F2058" s="19">
        <f>IFERROR(__xludf.DUMMYFUNCTION("IFERROR(TO_DATE(E2058), """")"),42566.28869212963)</f>
        <v>42566.28869</v>
      </c>
      <c r="G2058" s="20">
        <f t="shared" si="1"/>
        <v>6</v>
      </c>
      <c r="H2058" s="27">
        <v>42566.317708333336</v>
      </c>
      <c r="I2058" s="19">
        <f>IFERROR(__xludf.DUMMYFUNCTION("IFERROR(TO_DATE(H2058), """")"),42566.317708333336)</f>
        <v>42566.31771</v>
      </c>
      <c r="J2058" s="19" t="s">
        <v>11</v>
      </c>
      <c r="K2058" s="22">
        <f t="shared" si="2"/>
        <v>0</v>
      </c>
    </row>
    <row r="2059">
      <c r="A2059" s="18">
        <v>114.0</v>
      </c>
      <c r="B2059" s="18" t="s">
        <v>32</v>
      </c>
      <c r="C2059" s="18">
        <v>217.0</v>
      </c>
      <c r="D2059" s="18" t="s">
        <v>31</v>
      </c>
      <c r="E2059" s="26">
        <v>42562.21527777778</v>
      </c>
      <c r="F2059" s="19">
        <f>IFERROR(__xludf.DUMMYFUNCTION("IFERROR(TO_DATE(E2059), """")"),42562.21527777778)</f>
        <v>42562.21528</v>
      </c>
      <c r="G2059" s="20">
        <f t="shared" si="1"/>
        <v>5</v>
      </c>
      <c r="H2059" s="26">
        <v>42562.23611111111</v>
      </c>
      <c r="I2059" s="19">
        <f>IFERROR(__xludf.DUMMYFUNCTION("IFERROR(TO_DATE(H2059), """")"),42562.23611111111)</f>
        <v>42562.23611</v>
      </c>
      <c r="J2059" s="19" t="s">
        <v>11</v>
      </c>
      <c r="K2059" s="22">
        <f t="shared" si="2"/>
        <v>0</v>
      </c>
    </row>
    <row r="2060">
      <c r="A2060" s="18">
        <v>470.0</v>
      </c>
      <c r="B2060" s="18" t="s">
        <v>32</v>
      </c>
      <c r="C2060" s="18">
        <v>217.0</v>
      </c>
      <c r="D2060" s="18" t="s">
        <v>31</v>
      </c>
      <c r="E2060" s="26">
        <v>42562.39027777778</v>
      </c>
      <c r="F2060" s="19">
        <f>IFERROR(__xludf.DUMMYFUNCTION("IFERROR(TO_DATE(E2060), """")"),42562.39027777778)</f>
        <v>42562.39028</v>
      </c>
      <c r="G2060" s="20">
        <f t="shared" si="1"/>
        <v>9</v>
      </c>
      <c r="H2060" s="26">
        <v>42562.416666666664</v>
      </c>
      <c r="I2060" s="19">
        <f>IFERROR(__xludf.DUMMYFUNCTION("IFERROR(TO_DATE(H2060), """")"),42562.416666666664)</f>
        <v>42562.41667</v>
      </c>
      <c r="J2060" s="19" t="s">
        <v>14</v>
      </c>
      <c r="K2060" s="22">
        <f t="shared" si="2"/>
        <v>0</v>
      </c>
    </row>
    <row r="2061">
      <c r="A2061" s="18">
        <v>1446.0</v>
      </c>
      <c r="B2061" s="18" t="s">
        <v>32</v>
      </c>
      <c r="C2061" s="18">
        <v>217.0</v>
      </c>
      <c r="D2061" s="18" t="s">
        <v>31</v>
      </c>
      <c r="E2061" s="26">
        <v>42563.197916666664</v>
      </c>
      <c r="F2061" s="19">
        <f>IFERROR(__xludf.DUMMYFUNCTION("IFERROR(TO_DATE(E2061), """")"),42563.197916666664)</f>
        <v>42563.19792</v>
      </c>
      <c r="G2061" s="20">
        <f t="shared" si="1"/>
        <v>4</v>
      </c>
      <c r="H2061" s="26">
        <v>42563.23472222222</v>
      </c>
      <c r="I2061" s="19">
        <f>IFERROR(__xludf.DUMMYFUNCTION("IFERROR(TO_DATE(H2061), """")"),42563.23472222222)</f>
        <v>42563.23472</v>
      </c>
      <c r="J2061" s="19" t="s">
        <v>11</v>
      </c>
      <c r="K2061" s="22">
        <f t="shared" si="2"/>
        <v>0</v>
      </c>
    </row>
    <row r="2062">
      <c r="A2062" s="18">
        <v>3466.0</v>
      </c>
      <c r="B2062" s="18" t="s">
        <v>32</v>
      </c>
      <c r="C2062" s="18">
        <v>217.0</v>
      </c>
      <c r="D2062" s="18" t="s">
        <v>31</v>
      </c>
      <c r="E2062" s="27">
        <v>42564.717152777775</v>
      </c>
      <c r="F2062" s="19">
        <f>IFERROR(__xludf.DUMMYFUNCTION("IFERROR(TO_DATE(E2062), """")"),42564.717152777775)</f>
        <v>42564.71715</v>
      </c>
      <c r="G2062" s="20">
        <f t="shared" si="1"/>
        <v>17</v>
      </c>
      <c r="H2062" s="27">
        <v>42564.749756944446</v>
      </c>
      <c r="I2062" s="19">
        <f>IFERROR(__xludf.DUMMYFUNCTION("IFERROR(TO_DATE(H2062), """")"),42564.749756944446)</f>
        <v>42564.74976</v>
      </c>
      <c r="J2062" s="19" t="s">
        <v>12</v>
      </c>
      <c r="K2062" s="22">
        <f t="shared" si="2"/>
        <v>0</v>
      </c>
    </row>
    <row r="2063">
      <c r="A2063" s="18">
        <v>4775.0</v>
      </c>
      <c r="B2063" s="18" t="s">
        <v>30</v>
      </c>
      <c r="C2063" s="18">
        <v>217.0</v>
      </c>
      <c r="D2063" s="18" t="s">
        <v>31</v>
      </c>
      <c r="E2063" s="27">
        <v>42565.67175925926</v>
      </c>
      <c r="F2063" s="19">
        <f>IFERROR(__xludf.DUMMYFUNCTION("IFERROR(TO_DATE(E2063), """")"),42565.67175925926)</f>
        <v>42565.67176</v>
      </c>
      <c r="G2063" s="20">
        <f t="shared" si="1"/>
        <v>16</v>
      </c>
      <c r="H2063" s="27">
        <v>42565.703831018516</v>
      </c>
      <c r="I2063" s="19">
        <f>IFERROR(__xludf.DUMMYFUNCTION("IFERROR(TO_DATE(H2063), """")"),42565.703831018516)</f>
        <v>42565.70383</v>
      </c>
      <c r="J2063" s="19" t="s">
        <v>12</v>
      </c>
      <c r="K2063" s="22">
        <f t="shared" si="2"/>
        <v>0</v>
      </c>
    </row>
    <row r="2064">
      <c r="A2064" s="18">
        <v>1065.0</v>
      </c>
      <c r="B2064" s="18" t="s">
        <v>30</v>
      </c>
      <c r="C2064" s="18">
        <v>218.0</v>
      </c>
      <c r="D2064" s="18" t="s">
        <v>31</v>
      </c>
      <c r="E2064" s="26">
        <v>42562.82708333333</v>
      </c>
      <c r="F2064" s="19">
        <f>IFERROR(__xludf.DUMMYFUNCTION("IFERROR(TO_DATE(E2064), """")"),42562.82708333333)</f>
        <v>42562.82708</v>
      </c>
      <c r="G2064" s="20">
        <f t="shared" si="1"/>
        <v>19</v>
      </c>
      <c r="H2064" s="26">
        <v>42562.86319444444</v>
      </c>
      <c r="I2064" s="19">
        <f>IFERROR(__xludf.DUMMYFUNCTION("IFERROR(TO_DATE(H2064), """")"),42562.86319444444)</f>
        <v>42562.86319</v>
      </c>
      <c r="J2064" s="19" t="s">
        <v>12</v>
      </c>
      <c r="K2064" s="22">
        <f t="shared" si="2"/>
        <v>0</v>
      </c>
    </row>
    <row r="2065">
      <c r="A2065" s="18">
        <v>1457.0</v>
      </c>
      <c r="B2065" s="18" t="s">
        <v>30</v>
      </c>
      <c r="C2065" s="18">
        <v>218.0</v>
      </c>
      <c r="D2065" s="18" t="s">
        <v>31</v>
      </c>
      <c r="E2065" s="26">
        <v>42563.20694444444</v>
      </c>
      <c r="F2065" s="19">
        <f>IFERROR(__xludf.DUMMYFUNCTION("IFERROR(TO_DATE(E2065), """")"),42563.20694444444)</f>
        <v>42563.20694</v>
      </c>
      <c r="G2065" s="20">
        <f t="shared" si="1"/>
        <v>4</v>
      </c>
      <c r="H2065" s="26">
        <v>42563.22638888889</v>
      </c>
      <c r="I2065" s="19">
        <f>IFERROR(__xludf.DUMMYFUNCTION("IFERROR(TO_DATE(H2065), """")"),42563.22638888889)</f>
        <v>42563.22639</v>
      </c>
      <c r="J2065" s="19" t="s">
        <v>11</v>
      </c>
      <c r="K2065" s="22">
        <f t="shared" si="2"/>
        <v>0</v>
      </c>
    </row>
    <row r="2066">
      <c r="A2066" s="18">
        <v>3363.0</v>
      </c>
      <c r="B2066" s="18" t="s">
        <v>32</v>
      </c>
      <c r="C2066" s="18">
        <v>218.0</v>
      </c>
      <c r="D2066" s="18" t="s">
        <v>31</v>
      </c>
      <c r="E2066" s="27">
        <v>42564.56679398148</v>
      </c>
      <c r="F2066" s="19">
        <f>IFERROR(__xludf.DUMMYFUNCTION("IFERROR(TO_DATE(E2066), """")"),42564.56679398148)</f>
        <v>42564.56679</v>
      </c>
      <c r="G2066" s="20">
        <f t="shared" si="1"/>
        <v>13</v>
      </c>
      <c r="H2066" s="27">
        <v>42564.607199074075</v>
      </c>
      <c r="I2066" s="19">
        <f>IFERROR(__xludf.DUMMYFUNCTION("IFERROR(TO_DATE(H2066), """")"),42564.607199074075)</f>
        <v>42564.6072</v>
      </c>
      <c r="J2066" s="19" t="s">
        <v>10</v>
      </c>
      <c r="K2066" s="22">
        <f t="shared" si="2"/>
        <v>0</v>
      </c>
    </row>
    <row r="2067">
      <c r="A2067" s="18">
        <v>3994.0</v>
      </c>
      <c r="B2067" s="18" t="s">
        <v>30</v>
      </c>
      <c r="C2067" s="18">
        <v>218.0</v>
      </c>
      <c r="D2067" s="18" t="s">
        <v>31</v>
      </c>
      <c r="E2067" s="27">
        <v>42564.97319444444</v>
      </c>
      <c r="F2067" s="19">
        <f>IFERROR(__xludf.DUMMYFUNCTION("IFERROR(TO_DATE(E2067), """")"),42564.97319444444)</f>
        <v>42564.97319</v>
      </c>
      <c r="G2067" s="20">
        <f t="shared" si="1"/>
        <v>23</v>
      </c>
      <c r="H2067" s="27">
        <v>42565.00519675926</v>
      </c>
      <c r="I2067" s="19">
        <f>IFERROR(__xludf.DUMMYFUNCTION("IFERROR(TO_DATE(H2067), """")"),42565.00519675926)</f>
        <v>42565.0052</v>
      </c>
      <c r="J2067" s="19" t="s">
        <v>13</v>
      </c>
      <c r="K2067" s="22">
        <f t="shared" si="2"/>
        <v>0</v>
      </c>
    </row>
    <row r="2068">
      <c r="A2068" s="18">
        <v>4340.0</v>
      </c>
      <c r="B2068" s="18" t="s">
        <v>32</v>
      </c>
      <c r="C2068" s="18">
        <v>218.0</v>
      </c>
      <c r="D2068" s="18" t="s">
        <v>31</v>
      </c>
      <c r="E2068" s="27">
        <v>42565.301203703704</v>
      </c>
      <c r="F2068" s="19">
        <f>IFERROR(__xludf.DUMMYFUNCTION("IFERROR(TO_DATE(E2068), """")"),42565.301203703704)</f>
        <v>42565.3012</v>
      </c>
      <c r="G2068" s="20">
        <f t="shared" si="1"/>
        <v>7</v>
      </c>
      <c r="H2068" s="27">
        <v>42565.3383912037</v>
      </c>
      <c r="I2068" s="19">
        <f>IFERROR(__xludf.DUMMYFUNCTION("IFERROR(TO_DATE(H2068), """")"),42565.3383912037)</f>
        <v>42565.33839</v>
      </c>
      <c r="J2068" s="19" t="s">
        <v>11</v>
      </c>
      <c r="K2068" s="22">
        <f t="shared" si="2"/>
        <v>0</v>
      </c>
    </row>
    <row r="2069">
      <c r="A2069" s="18">
        <v>4902.0</v>
      </c>
      <c r="B2069" s="18" t="s">
        <v>32</v>
      </c>
      <c r="C2069" s="18">
        <v>218.0</v>
      </c>
      <c r="D2069" s="18" t="s">
        <v>31</v>
      </c>
      <c r="E2069" s="27">
        <v>42565.75256944444</v>
      </c>
      <c r="F2069" s="19">
        <f>IFERROR(__xludf.DUMMYFUNCTION("IFERROR(TO_DATE(E2069), """")"),42565.75256944444)</f>
        <v>42565.75257</v>
      </c>
      <c r="G2069" s="20">
        <f t="shared" si="1"/>
        <v>18</v>
      </c>
      <c r="H2069" s="27">
        <v>42565.79969907407</v>
      </c>
      <c r="I2069" s="19">
        <f>IFERROR(__xludf.DUMMYFUNCTION("IFERROR(TO_DATE(H2069), """")"),42565.79969907407)</f>
        <v>42565.7997</v>
      </c>
      <c r="J2069" s="19" t="s">
        <v>12</v>
      </c>
      <c r="K2069" s="22">
        <f t="shared" si="2"/>
        <v>0</v>
      </c>
    </row>
    <row r="2070">
      <c r="A2070" s="18">
        <v>5360.0</v>
      </c>
      <c r="B2070" s="18" t="s">
        <v>30</v>
      </c>
      <c r="C2070" s="18">
        <v>218.0</v>
      </c>
      <c r="D2070" s="18" t="s">
        <v>31</v>
      </c>
      <c r="E2070" s="27">
        <v>42565.97170138889</v>
      </c>
      <c r="F2070" s="19">
        <f>IFERROR(__xludf.DUMMYFUNCTION("IFERROR(TO_DATE(E2070), """")"),42565.97170138889)</f>
        <v>42565.9717</v>
      </c>
      <c r="G2070" s="20">
        <f t="shared" si="1"/>
        <v>23</v>
      </c>
      <c r="H2070" s="27">
        <v>42565.99890046296</v>
      </c>
      <c r="I2070" s="19">
        <f>IFERROR(__xludf.DUMMYFUNCTION("IFERROR(TO_DATE(H2070), """")"),42565.99890046296)</f>
        <v>42565.9989</v>
      </c>
      <c r="J2070" s="19" t="s">
        <v>13</v>
      </c>
      <c r="K2070" s="22">
        <f t="shared" si="2"/>
        <v>0</v>
      </c>
    </row>
    <row r="2071">
      <c r="A2071" s="18">
        <v>5665.0</v>
      </c>
      <c r="B2071" s="18" t="s">
        <v>32</v>
      </c>
      <c r="C2071" s="18">
        <v>218.0</v>
      </c>
      <c r="D2071" s="18" t="s">
        <v>31</v>
      </c>
      <c r="E2071" s="27">
        <v>42566.293900462966</v>
      </c>
      <c r="F2071" s="19">
        <f>IFERROR(__xludf.DUMMYFUNCTION("IFERROR(TO_DATE(E2071), """")"),42566.293900462966)</f>
        <v>42566.2939</v>
      </c>
      <c r="G2071" s="20">
        <f t="shared" si="1"/>
        <v>7</v>
      </c>
      <c r="H2071" s="27">
        <v>42566.33546296296</v>
      </c>
      <c r="I2071" s="19">
        <f>IFERROR(__xludf.DUMMYFUNCTION("IFERROR(TO_DATE(H2071), """")"),42566.33546296296)</f>
        <v>42566.33546</v>
      </c>
      <c r="J2071" s="19" t="s">
        <v>11</v>
      </c>
      <c r="K2071" s="22">
        <f t="shared" si="2"/>
        <v>0</v>
      </c>
    </row>
    <row r="2072">
      <c r="A2072" s="18">
        <v>5977.0</v>
      </c>
      <c r="B2072" s="18" t="s">
        <v>32</v>
      </c>
      <c r="C2072" s="18">
        <v>218.0</v>
      </c>
      <c r="D2072" s="18" t="s">
        <v>31</v>
      </c>
      <c r="E2072" s="27">
        <v>42566.47746527778</v>
      </c>
      <c r="F2072" s="19">
        <f>IFERROR(__xludf.DUMMYFUNCTION("IFERROR(TO_DATE(E2072), """")"),42566.47746527778)</f>
        <v>42566.47747</v>
      </c>
      <c r="G2072" s="20">
        <f t="shared" si="1"/>
        <v>11</v>
      </c>
      <c r="H2072" s="27">
        <v>42566.50295138889</v>
      </c>
      <c r="I2072" s="19">
        <f>IFERROR(__xludf.DUMMYFUNCTION("IFERROR(TO_DATE(H2072), """")"),42566.50295138889)</f>
        <v>42566.50295</v>
      </c>
      <c r="J2072" s="19" t="s">
        <v>14</v>
      </c>
      <c r="K2072" s="22">
        <f t="shared" si="2"/>
        <v>0</v>
      </c>
    </row>
    <row r="2073">
      <c r="A2073" s="18">
        <v>6742.0</v>
      </c>
      <c r="B2073" s="18" t="s">
        <v>32</v>
      </c>
      <c r="C2073" s="18">
        <v>218.0</v>
      </c>
      <c r="D2073" s="18" t="s">
        <v>31</v>
      </c>
      <c r="E2073" s="27">
        <v>42566.9849537037</v>
      </c>
      <c r="F2073" s="19">
        <f>IFERROR(__xludf.DUMMYFUNCTION("IFERROR(TO_DATE(E2073), """")"),42566.9849537037)</f>
        <v>42566.98495</v>
      </c>
      <c r="G2073" s="20">
        <f t="shared" si="1"/>
        <v>23</v>
      </c>
      <c r="H2073" s="27">
        <v>42567.02752314815</v>
      </c>
      <c r="I2073" s="19">
        <f>IFERROR(__xludf.DUMMYFUNCTION("IFERROR(TO_DATE(H2073), """")"),42567.02752314815)</f>
        <v>42567.02752</v>
      </c>
      <c r="J2073" s="19" t="s">
        <v>13</v>
      </c>
      <c r="K2073" s="22">
        <f t="shared" si="2"/>
        <v>0</v>
      </c>
    </row>
    <row r="2074">
      <c r="A2074" s="18">
        <v>280.0</v>
      </c>
      <c r="B2074" s="18" t="s">
        <v>30</v>
      </c>
      <c r="C2074" s="18">
        <v>219.0</v>
      </c>
      <c r="D2074" s="18" t="s">
        <v>31</v>
      </c>
      <c r="E2074" s="26">
        <v>42562.29513888889</v>
      </c>
      <c r="F2074" s="19">
        <f>IFERROR(__xludf.DUMMYFUNCTION("IFERROR(TO_DATE(E2074), """")"),42562.29513888889)</f>
        <v>42562.29514</v>
      </c>
      <c r="G2074" s="20">
        <f t="shared" si="1"/>
        <v>7</v>
      </c>
      <c r="H2074" s="26">
        <v>42562.32013888889</v>
      </c>
      <c r="I2074" s="19">
        <f>IFERROR(__xludf.DUMMYFUNCTION("IFERROR(TO_DATE(H2074), """")"),42562.32013888889)</f>
        <v>42562.32014</v>
      </c>
      <c r="J2074" s="19" t="s">
        <v>11</v>
      </c>
      <c r="K2074" s="22">
        <f t="shared" si="2"/>
        <v>0</v>
      </c>
    </row>
    <row r="2075">
      <c r="A2075" s="18">
        <v>475.0</v>
      </c>
      <c r="B2075" s="18" t="s">
        <v>30</v>
      </c>
      <c r="C2075" s="18">
        <v>219.0</v>
      </c>
      <c r="D2075" s="18" t="s">
        <v>31</v>
      </c>
      <c r="E2075" s="26">
        <v>42562.39166666667</v>
      </c>
      <c r="F2075" s="19">
        <f>IFERROR(__xludf.DUMMYFUNCTION("IFERROR(TO_DATE(E2075), """")"),42562.39166666667)</f>
        <v>42562.39167</v>
      </c>
      <c r="G2075" s="20">
        <f t="shared" si="1"/>
        <v>9</v>
      </c>
      <c r="H2075" s="26">
        <v>42562.43125</v>
      </c>
      <c r="I2075" s="19">
        <f>IFERROR(__xludf.DUMMYFUNCTION("IFERROR(TO_DATE(H2075), """")"),42562.43125)</f>
        <v>42562.43125</v>
      </c>
      <c r="J2075" s="19" t="s">
        <v>14</v>
      </c>
      <c r="K2075" s="22">
        <f t="shared" si="2"/>
        <v>0</v>
      </c>
    </row>
    <row r="2076">
      <c r="A2076" s="18">
        <v>1350.0</v>
      </c>
      <c r="B2076" s="18" t="s">
        <v>32</v>
      </c>
      <c r="C2076" s="18">
        <v>219.0</v>
      </c>
      <c r="D2076" s="18" t="s">
        <v>31</v>
      </c>
      <c r="E2076" s="26">
        <v>42562.98611111111</v>
      </c>
      <c r="F2076" s="19">
        <f>IFERROR(__xludf.DUMMYFUNCTION("IFERROR(TO_DATE(E2076), """")"),42562.98611111111)</f>
        <v>42562.98611</v>
      </c>
      <c r="G2076" s="20">
        <f t="shared" si="1"/>
        <v>23</v>
      </c>
      <c r="H2076" s="26">
        <v>42563.018055555556</v>
      </c>
      <c r="I2076" s="19">
        <f>IFERROR(__xludf.DUMMYFUNCTION("IFERROR(TO_DATE(H2076), """")"),42563.018055555556)</f>
        <v>42563.01806</v>
      </c>
      <c r="J2076" s="19" t="s">
        <v>13</v>
      </c>
      <c r="K2076" s="22">
        <f t="shared" si="2"/>
        <v>0</v>
      </c>
    </row>
    <row r="2077">
      <c r="A2077" s="18">
        <v>2707.0</v>
      </c>
      <c r="B2077" s="18" t="s">
        <v>30</v>
      </c>
      <c r="C2077" s="18">
        <v>219.0</v>
      </c>
      <c r="D2077" s="18" t="s">
        <v>31</v>
      </c>
      <c r="E2077" s="27">
        <v>42564.0541087963</v>
      </c>
      <c r="F2077" s="19">
        <f>IFERROR(__xludf.DUMMYFUNCTION("IFERROR(TO_DATE(E2077), """")"),42564.0541087963)</f>
        <v>42564.05411</v>
      </c>
      <c r="G2077" s="20">
        <f t="shared" si="1"/>
        <v>1</v>
      </c>
      <c r="H2077" s="27">
        <v>42564.108310185184</v>
      </c>
      <c r="I2077" s="19">
        <f>IFERROR(__xludf.DUMMYFUNCTION("IFERROR(TO_DATE(H2077), """")"),42564.108310185184)</f>
        <v>42564.10831</v>
      </c>
      <c r="J2077" s="19" t="s">
        <v>15</v>
      </c>
      <c r="K2077" s="22">
        <f t="shared" si="2"/>
        <v>0</v>
      </c>
    </row>
    <row r="2078">
      <c r="A2078" s="18">
        <v>2928.0</v>
      </c>
      <c r="B2078" s="18" t="s">
        <v>30</v>
      </c>
      <c r="C2078" s="18">
        <v>219.0</v>
      </c>
      <c r="D2078" s="18" t="s">
        <v>31</v>
      </c>
      <c r="E2078" s="27">
        <v>42564.26831018519</v>
      </c>
      <c r="F2078" s="19">
        <f>IFERROR(__xludf.DUMMYFUNCTION("IFERROR(TO_DATE(E2078), """")"),42564.26831018519)</f>
        <v>42564.26831</v>
      </c>
      <c r="G2078" s="20">
        <f t="shared" si="1"/>
        <v>6</v>
      </c>
      <c r="H2078" s="27">
        <v>42564.30454861111</v>
      </c>
      <c r="I2078" s="19">
        <f>IFERROR(__xludf.DUMMYFUNCTION("IFERROR(TO_DATE(H2078), """")"),42564.30454861111)</f>
        <v>42564.30455</v>
      </c>
      <c r="J2078" s="19" t="s">
        <v>11</v>
      </c>
      <c r="K2078" s="22">
        <f t="shared" si="2"/>
        <v>0</v>
      </c>
    </row>
    <row r="2079">
      <c r="A2079" s="18">
        <v>4534.0</v>
      </c>
      <c r="B2079" s="18" t="s">
        <v>32</v>
      </c>
      <c r="C2079" s="18">
        <v>219.0</v>
      </c>
      <c r="D2079" s="18" t="s">
        <v>31</v>
      </c>
      <c r="E2079" s="27">
        <v>42565.39576388889</v>
      </c>
      <c r="F2079" s="19">
        <f>IFERROR(__xludf.DUMMYFUNCTION("IFERROR(TO_DATE(E2079), """")"),42565.39576388889)</f>
        <v>42565.39576</v>
      </c>
      <c r="G2079" s="20">
        <f t="shared" si="1"/>
        <v>9</v>
      </c>
      <c r="H2079" s="27">
        <v>42565.428194444445</v>
      </c>
      <c r="I2079" s="19">
        <f>IFERROR(__xludf.DUMMYFUNCTION("IFERROR(TO_DATE(H2079), """")"),42565.428194444445)</f>
        <v>42565.42819</v>
      </c>
      <c r="J2079" s="19" t="s">
        <v>14</v>
      </c>
      <c r="K2079" s="22">
        <f t="shared" si="2"/>
        <v>0</v>
      </c>
    </row>
    <row r="2080">
      <c r="A2080" s="18">
        <v>4715.0</v>
      </c>
      <c r="B2080" s="18" t="s">
        <v>32</v>
      </c>
      <c r="C2080" s="18">
        <v>219.0</v>
      </c>
      <c r="D2080" s="18" t="s">
        <v>31</v>
      </c>
      <c r="E2080" s="27">
        <v>42565.55719907407</v>
      </c>
      <c r="F2080" s="19">
        <f>IFERROR(__xludf.DUMMYFUNCTION("IFERROR(TO_DATE(E2080), """")"),42565.55719907407)</f>
        <v>42565.5572</v>
      </c>
      <c r="G2080" s="20">
        <f t="shared" si="1"/>
        <v>13</v>
      </c>
      <c r="H2080" s="27">
        <v>42565.6025</v>
      </c>
      <c r="I2080" s="19">
        <f>IFERROR(__xludf.DUMMYFUNCTION("IFERROR(TO_DATE(H2080), """")"),42565.6025)</f>
        <v>42565.6025</v>
      </c>
      <c r="J2080" s="19" t="s">
        <v>10</v>
      </c>
      <c r="K2080" s="22">
        <f t="shared" si="2"/>
        <v>0</v>
      </c>
    </row>
    <row r="2081">
      <c r="A2081" s="18">
        <v>4814.0</v>
      </c>
      <c r="B2081" s="18" t="s">
        <v>30</v>
      </c>
      <c r="C2081" s="18">
        <v>219.0</v>
      </c>
      <c r="D2081" s="18" t="s">
        <v>31</v>
      </c>
      <c r="E2081" s="27">
        <v>42565.720497685186</v>
      </c>
      <c r="F2081" s="19">
        <f>IFERROR(__xludf.DUMMYFUNCTION("IFERROR(TO_DATE(E2081), """")"),42565.720497685186)</f>
        <v>42565.7205</v>
      </c>
      <c r="G2081" s="20">
        <f t="shared" si="1"/>
        <v>17</v>
      </c>
      <c r="H2081" s="27">
        <v>42565.74930555555</v>
      </c>
      <c r="I2081" s="19">
        <f>IFERROR(__xludf.DUMMYFUNCTION("IFERROR(TO_DATE(H2081), """")"),42565.74930555555)</f>
        <v>42565.74931</v>
      </c>
      <c r="J2081" s="19" t="s">
        <v>12</v>
      </c>
      <c r="K2081" s="22">
        <f t="shared" si="2"/>
        <v>0</v>
      </c>
    </row>
    <row r="2082">
      <c r="A2082" s="18">
        <v>5878.0</v>
      </c>
      <c r="B2082" s="18" t="s">
        <v>32</v>
      </c>
      <c r="C2082" s="18">
        <v>219.0</v>
      </c>
      <c r="D2082" s="18" t="s">
        <v>31</v>
      </c>
      <c r="E2082" s="27">
        <v>42566.398310185185</v>
      </c>
      <c r="F2082" s="19">
        <f>IFERROR(__xludf.DUMMYFUNCTION("IFERROR(TO_DATE(E2082), """")"),42566.398310185185)</f>
        <v>42566.39831</v>
      </c>
      <c r="G2082" s="20">
        <f t="shared" si="1"/>
        <v>9</v>
      </c>
      <c r="H2082" s="27">
        <v>42566.43780092592</v>
      </c>
      <c r="I2082" s="19">
        <f>IFERROR(__xludf.DUMMYFUNCTION("IFERROR(TO_DATE(H2082), """")"),42566.43780092592)</f>
        <v>42566.4378</v>
      </c>
      <c r="J2082" s="19" t="s">
        <v>14</v>
      </c>
      <c r="K2082" s="22">
        <f t="shared" si="2"/>
        <v>0</v>
      </c>
    </row>
    <row r="2083">
      <c r="A2083" s="18">
        <v>6076.0</v>
      </c>
      <c r="B2083" s="18" t="s">
        <v>30</v>
      </c>
      <c r="C2083" s="18">
        <v>219.0</v>
      </c>
      <c r="D2083" s="18" t="s">
        <v>31</v>
      </c>
      <c r="E2083" s="27">
        <v>42566.59280092592</v>
      </c>
      <c r="F2083" s="19">
        <f>IFERROR(__xludf.DUMMYFUNCTION("IFERROR(TO_DATE(E2083), """")"),42566.59280092592)</f>
        <v>42566.5928</v>
      </c>
      <c r="G2083" s="20">
        <f t="shared" si="1"/>
        <v>14</v>
      </c>
      <c r="H2083" s="27">
        <v>42566.614895833336</v>
      </c>
      <c r="I2083" s="19">
        <f>IFERROR(__xludf.DUMMYFUNCTION("IFERROR(TO_DATE(H2083), """")"),42566.614895833336)</f>
        <v>42566.6149</v>
      </c>
      <c r="J2083" s="19" t="s">
        <v>10</v>
      </c>
      <c r="K2083" s="22">
        <f t="shared" si="2"/>
        <v>0</v>
      </c>
    </row>
    <row r="2084">
      <c r="A2084" s="18">
        <v>609.0</v>
      </c>
      <c r="B2084" s="18" t="s">
        <v>32</v>
      </c>
      <c r="C2084" s="18">
        <v>220.0</v>
      </c>
      <c r="D2084" s="18" t="s">
        <v>31</v>
      </c>
      <c r="E2084" s="26">
        <v>42562.49444444444</v>
      </c>
      <c r="F2084" s="19">
        <f>IFERROR(__xludf.DUMMYFUNCTION("IFERROR(TO_DATE(E2084), """")"),42562.49444444444)</f>
        <v>42562.49444</v>
      </c>
      <c r="G2084" s="20">
        <f t="shared" si="1"/>
        <v>11</v>
      </c>
      <c r="H2084" s="26">
        <v>42562.532638888886</v>
      </c>
      <c r="I2084" s="19">
        <f>IFERROR(__xludf.DUMMYFUNCTION("IFERROR(TO_DATE(H2084), """")"),42562.532638888886)</f>
        <v>42562.53264</v>
      </c>
      <c r="J2084" s="19" t="s">
        <v>14</v>
      </c>
      <c r="K2084" s="22">
        <f t="shared" si="2"/>
        <v>0</v>
      </c>
    </row>
    <row r="2085">
      <c r="A2085" s="18">
        <v>1414.0</v>
      </c>
      <c r="B2085" s="18" t="s">
        <v>30</v>
      </c>
      <c r="C2085" s="18">
        <v>220.0</v>
      </c>
      <c r="D2085" s="18" t="s">
        <v>31</v>
      </c>
      <c r="E2085" s="26">
        <v>42563.14236111111</v>
      </c>
      <c r="F2085" s="19">
        <f>IFERROR(__xludf.DUMMYFUNCTION("IFERROR(TO_DATE(E2085), """")"),42563.14236111111)</f>
        <v>42563.14236</v>
      </c>
      <c r="G2085" s="20">
        <f t="shared" si="1"/>
        <v>3</v>
      </c>
      <c r="H2085" s="26">
        <v>42563.18958333333</v>
      </c>
      <c r="I2085" s="19">
        <f>IFERROR(__xludf.DUMMYFUNCTION("IFERROR(TO_DATE(H2085), """")"),42563.18958333333)</f>
        <v>42563.18958</v>
      </c>
      <c r="J2085" s="19" t="s">
        <v>15</v>
      </c>
      <c r="K2085" s="22">
        <f t="shared" si="2"/>
        <v>0</v>
      </c>
    </row>
    <row r="2086">
      <c r="A2086" s="18">
        <v>1713.0</v>
      </c>
      <c r="B2086" s="18" t="s">
        <v>30</v>
      </c>
      <c r="C2086" s="18">
        <v>220.0</v>
      </c>
      <c r="D2086" s="18" t="s">
        <v>31</v>
      </c>
      <c r="E2086" s="26">
        <v>42563.33888888889</v>
      </c>
      <c r="F2086" s="19">
        <f>IFERROR(__xludf.DUMMYFUNCTION("IFERROR(TO_DATE(E2086), """")"),42563.33888888889)</f>
        <v>42563.33889</v>
      </c>
      <c r="G2086" s="20">
        <f t="shared" si="1"/>
        <v>8</v>
      </c>
      <c r="H2086" s="26">
        <v>42563.364583333336</v>
      </c>
      <c r="I2086" s="19">
        <f>IFERROR(__xludf.DUMMYFUNCTION("IFERROR(TO_DATE(H2086), """")"),42563.364583333336)</f>
        <v>42563.36458</v>
      </c>
      <c r="J2086" s="19" t="s">
        <v>14</v>
      </c>
      <c r="K2086" s="22">
        <f t="shared" si="2"/>
        <v>0</v>
      </c>
    </row>
    <row r="2087">
      <c r="A2087" s="18">
        <v>1991.0</v>
      </c>
      <c r="B2087" s="18" t="s">
        <v>32</v>
      </c>
      <c r="C2087" s="18">
        <v>220.0</v>
      </c>
      <c r="D2087" s="18" t="s">
        <v>31</v>
      </c>
      <c r="E2087" s="26">
        <v>42563.52222222222</v>
      </c>
      <c r="F2087" s="19">
        <f>IFERROR(__xludf.DUMMYFUNCTION("IFERROR(TO_DATE(E2087), """")"),42563.52222222222)</f>
        <v>42563.52222</v>
      </c>
      <c r="G2087" s="20">
        <f t="shared" si="1"/>
        <v>12</v>
      </c>
      <c r="H2087" s="26">
        <v>42563.55625</v>
      </c>
      <c r="I2087" s="19">
        <f>IFERROR(__xludf.DUMMYFUNCTION("IFERROR(TO_DATE(H2087), """")"),42563.55625)</f>
        <v>42563.55625</v>
      </c>
      <c r="J2087" s="19" t="s">
        <v>10</v>
      </c>
      <c r="K2087" s="22">
        <f t="shared" si="2"/>
        <v>0</v>
      </c>
    </row>
    <row r="2088">
      <c r="A2088" s="18">
        <v>2082.0</v>
      </c>
      <c r="B2088" s="18" t="s">
        <v>30</v>
      </c>
      <c r="C2088" s="18">
        <v>220.0</v>
      </c>
      <c r="D2088" s="18" t="s">
        <v>31</v>
      </c>
      <c r="E2088" s="26">
        <v>42563.65416666667</v>
      </c>
      <c r="F2088" s="19">
        <f>IFERROR(__xludf.DUMMYFUNCTION("IFERROR(TO_DATE(E2088), """")"),42563.65416666667)</f>
        <v>42563.65417</v>
      </c>
      <c r="G2088" s="20">
        <f t="shared" si="1"/>
        <v>15</v>
      </c>
      <c r="H2088" s="26">
        <v>42563.69305555556</v>
      </c>
      <c r="I2088" s="19">
        <f>IFERROR(__xludf.DUMMYFUNCTION("IFERROR(TO_DATE(H2088), """")"),42563.69305555556)</f>
        <v>42563.69306</v>
      </c>
      <c r="J2088" s="19" t="s">
        <v>10</v>
      </c>
      <c r="K2088" s="22">
        <f t="shared" si="2"/>
        <v>0</v>
      </c>
    </row>
    <row r="2089">
      <c r="A2089" s="18">
        <v>2798.0</v>
      </c>
      <c r="B2089" s="18" t="s">
        <v>32</v>
      </c>
      <c r="C2089" s="18">
        <v>220.0</v>
      </c>
      <c r="D2089" s="18" t="s">
        <v>31</v>
      </c>
      <c r="E2089" s="27">
        <v>42564.20234953704</v>
      </c>
      <c r="F2089" s="19">
        <f>IFERROR(__xludf.DUMMYFUNCTION("IFERROR(TO_DATE(E2089), """")"),42564.20234953704)</f>
        <v>42564.20235</v>
      </c>
      <c r="G2089" s="20">
        <f t="shared" si="1"/>
        <v>4</v>
      </c>
      <c r="H2089" s="27">
        <v>42564.226064814815</v>
      </c>
      <c r="I2089" s="19">
        <f>IFERROR(__xludf.DUMMYFUNCTION("IFERROR(TO_DATE(H2089), """")"),42564.226064814815)</f>
        <v>42564.22606</v>
      </c>
      <c r="J2089" s="19" t="s">
        <v>11</v>
      </c>
      <c r="K2089" s="22">
        <f t="shared" si="2"/>
        <v>0</v>
      </c>
    </row>
    <row r="2090">
      <c r="A2090" s="18">
        <v>3763.0</v>
      </c>
      <c r="B2090" s="18" t="s">
        <v>32</v>
      </c>
      <c r="C2090" s="18">
        <v>220.0</v>
      </c>
      <c r="D2090" s="18" t="s">
        <v>31</v>
      </c>
      <c r="E2090" s="27">
        <v>42564.85806712963</v>
      </c>
      <c r="F2090" s="19">
        <f>IFERROR(__xludf.DUMMYFUNCTION("IFERROR(TO_DATE(E2090), """")"),42564.85806712963)</f>
        <v>42564.85807</v>
      </c>
      <c r="G2090" s="20">
        <f t="shared" si="1"/>
        <v>20</v>
      </c>
      <c r="H2090" s="27">
        <v>42564.902233796296</v>
      </c>
      <c r="I2090" s="19">
        <f>IFERROR(__xludf.DUMMYFUNCTION("IFERROR(TO_DATE(H2090), """")"),42564.902233796296)</f>
        <v>42564.90223</v>
      </c>
      <c r="J2090" s="19" t="s">
        <v>13</v>
      </c>
      <c r="K2090" s="22">
        <f t="shared" si="2"/>
        <v>0</v>
      </c>
    </row>
    <row r="2091">
      <c r="A2091" s="18">
        <v>4091.0</v>
      </c>
      <c r="B2091" s="18" t="s">
        <v>30</v>
      </c>
      <c r="C2091" s="18">
        <v>220.0</v>
      </c>
      <c r="D2091" s="18" t="s">
        <v>31</v>
      </c>
      <c r="E2091" s="27">
        <v>42565.125231481485</v>
      </c>
      <c r="F2091" s="19">
        <f>IFERROR(__xludf.DUMMYFUNCTION("IFERROR(TO_DATE(E2091), """")"),42565.125231481485)</f>
        <v>42565.12523</v>
      </c>
      <c r="G2091" s="20">
        <f t="shared" si="1"/>
        <v>3</v>
      </c>
      <c r="H2091" s="27">
        <v>42565.15048611111</v>
      </c>
      <c r="I2091" s="19">
        <f>IFERROR(__xludf.DUMMYFUNCTION("IFERROR(TO_DATE(H2091), """")"),42565.15048611111)</f>
        <v>42565.15049</v>
      </c>
      <c r="J2091" s="19" t="s">
        <v>15</v>
      </c>
      <c r="K2091" s="22">
        <f t="shared" si="2"/>
        <v>0</v>
      </c>
    </row>
    <row r="2092">
      <c r="A2092" s="18">
        <v>4372.0</v>
      </c>
      <c r="B2092" s="18" t="s">
        <v>32</v>
      </c>
      <c r="C2092" s="18">
        <v>220.0</v>
      </c>
      <c r="D2092" s="18" t="s">
        <v>31</v>
      </c>
      <c r="E2092" s="27">
        <v>42565.31449074074</v>
      </c>
      <c r="F2092" s="19">
        <f>IFERROR(__xludf.DUMMYFUNCTION("IFERROR(TO_DATE(E2092), """")"),42565.31449074074)</f>
        <v>42565.31449</v>
      </c>
      <c r="G2092" s="20">
        <f t="shared" si="1"/>
        <v>7</v>
      </c>
      <c r="H2092" s="27">
        <v>42565.367997685185</v>
      </c>
      <c r="I2092" s="19">
        <f>IFERROR(__xludf.DUMMYFUNCTION("IFERROR(TO_DATE(H2092), """")"),42565.367997685185)</f>
        <v>42565.368</v>
      </c>
      <c r="J2092" s="19" t="s">
        <v>11</v>
      </c>
      <c r="K2092" s="22">
        <f t="shared" si="2"/>
        <v>0</v>
      </c>
    </row>
    <row r="2093">
      <c r="A2093" s="18">
        <v>4609.0</v>
      </c>
      <c r="B2093" s="18" t="s">
        <v>32</v>
      </c>
      <c r="C2093" s="18">
        <v>220.0</v>
      </c>
      <c r="D2093" s="18" t="s">
        <v>31</v>
      </c>
      <c r="E2093" s="27">
        <v>42565.43498842593</v>
      </c>
      <c r="F2093" s="19">
        <f>IFERROR(__xludf.DUMMYFUNCTION("IFERROR(TO_DATE(E2093), """")"),42565.43498842593)</f>
        <v>42565.43499</v>
      </c>
      <c r="G2093" s="20">
        <f t="shared" si="1"/>
        <v>10</v>
      </c>
      <c r="H2093" s="27">
        <v>42565.480775462966</v>
      </c>
      <c r="I2093" s="19">
        <f>IFERROR(__xludf.DUMMYFUNCTION("IFERROR(TO_DATE(H2093), """")"),42565.480775462966)</f>
        <v>42565.48078</v>
      </c>
      <c r="J2093" s="19" t="s">
        <v>14</v>
      </c>
      <c r="K2093" s="22">
        <f t="shared" si="2"/>
        <v>0</v>
      </c>
    </row>
    <row r="2094">
      <c r="A2094" s="18">
        <v>4949.0</v>
      </c>
      <c r="B2094" s="18" t="s">
        <v>30</v>
      </c>
      <c r="C2094" s="18">
        <v>220.0</v>
      </c>
      <c r="D2094" s="18" t="s">
        <v>31</v>
      </c>
      <c r="E2094" s="27">
        <v>42565.769780092596</v>
      </c>
      <c r="F2094" s="19">
        <f>IFERROR(__xludf.DUMMYFUNCTION("IFERROR(TO_DATE(E2094), """")"),42565.769780092596)</f>
        <v>42565.76978</v>
      </c>
      <c r="G2094" s="20">
        <f t="shared" si="1"/>
        <v>18</v>
      </c>
      <c r="H2094" s="27">
        <v>42565.79056712963</v>
      </c>
      <c r="I2094" s="19">
        <f>IFERROR(__xludf.DUMMYFUNCTION("IFERROR(TO_DATE(H2094), """")"),42565.79056712963)</f>
        <v>42565.79057</v>
      </c>
      <c r="J2094" s="19" t="s">
        <v>12</v>
      </c>
      <c r="K2094" s="22">
        <f t="shared" si="2"/>
        <v>0</v>
      </c>
    </row>
    <row r="2095">
      <c r="A2095" s="18">
        <v>6004.0</v>
      </c>
      <c r="B2095" s="18" t="s">
        <v>30</v>
      </c>
      <c r="C2095" s="18">
        <v>220.0</v>
      </c>
      <c r="D2095" s="18" t="s">
        <v>31</v>
      </c>
      <c r="E2095" s="27">
        <v>42566.50898148148</v>
      </c>
      <c r="F2095" s="19">
        <f>IFERROR(__xludf.DUMMYFUNCTION("IFERROR(TO_DATE(E2095), """")"),42566.50898148148)</f>
        <v>42566.50898</v>
      </c>
      <c r="G2095" s="20">
        <f t="shared" si="1"/>
        <v>12</v>
      </c>
      <c r="H2095" s="27">
        <v>42566.5594212963</v>
      </c>
      <c r="I2095" s="19">
        <f>IFERROR(__xludf.DUMMYFUNCTION("IFERROR(TO_DATE(H2095), """")"),42566.5594212963)</f>
        <v>42566.55942</v>
      </c>
      <c r="J2095" s="19" t="s">
        <v>10</v>
      </c>
      <c r="K2095" s="22">
        <f t="shared" si="2"/>
        <v>0</v>
      </c>
    </row>
    <row r="2096">
      <c r="A2096" s="18">
        <v>304.0</v>
      </c>
      <c r="B2096" s="18" t="s">
        <v>32</v>
      </c>
      <c r="C2096" s="18">
        <v>221.0</v>
      </c>
      <c r="D2096" s="18" t="s">
        <v>31</v>
      </c>
      <c r="E2096" s="26">
        <v>42562.30625</v>
      </c>
      <c r="F2096" s="19">
        <f>IFERROR(__xludf.DUMMYFUNCTION("IFERROR(TO_DATE(E2096), """")"),42562.30625)</f>
        <v>42562.30625</v>
      </c>
      <c r="G2096" s="20">
        <f t="shared" si="1"/>
        <v>7</v>
      </c>
      <c r="H2096" s="26">
        <v>42562.32638888889</v>
      </c>
      <c r="I2096" s="19">
        <f>IFERROR(__xludf.DUMMYFUNCTION("IFERROR(TO_DATE(H2096), """")"),42562.32638888889)</f>
        <v>42562.32639</v>
      </c>
      <c r="J2096" s="19" t="s">
        <v>11</v>
      </c>
      <c r="K2096" s="22">
        <f t="shared" si="2"/>
        <v>0</v>
      </c>
    </row>
    <row r="2097">
      <c r="A2097" s="18">
        <v>700.0</v>
      </c>
      <c r="B2097" s="18" t="s">
        <v>32</v>
      </c>
      <c r="C2097" s="18">
        <v>221.0</v>
      </c>
      <c r="D2097" s="18" t="s">
        <v>31</v>
      </c>
      <c r="E2097" s="26">
        <v>42562.586805555555</v>
      </c>
      <c r="F2097" s="19">
        <f>IFERROR(__xludf.DUMMYFUNCTION("IFERROR(TO_DATE(E2097), """")"),42562.586805555555)</f>
        <v>42562.58681</v>
      </c>
      <c r="G2097" s="20">
        <f t="shared" si="1"/>
        <v>14</v>
      </c>
      <c r="H2097" s="26">
        <v>42562.61111111111</v>
      </c>
      <c r="I2097" s="19">
        <f>IFERROR(__xludf.DUMMYFUNCTION("IFERROR(TO_DATE(H2097), """")"),42562.61111111111)</f>
        <v>42562.61111</v>
      </c>
      <c r="J2097" s="19" t="s">
        <v>10</v>
      </c>
      <c r="K2097" s="22">
        <f t="shared" si="2"/>
        <v>0</v>
      </c>
    </row>
    <row r="2098">
      <c r="A2098" s="18">
        <v>1708.0</v>
      </c>
      <c r="B2098" s="18" t="s">
        <v>30</v>
      </c>
      <c r="C2098" s="18">
        <v>221.0</v>
      </c>
      <c r="D2098" s="18" t="s">
        <v>31</v>
      </c>
      <c r="E2098" s="26">
        <v>42563.34027777778</v>
      </c>
      <c r="F2098" s="19">
        <f>IFERROR(__xludf.DUMMYFUNCTION("IFERROR(TO_DATE(E2098), """")"),42563.34027777778)</f>
        <v>42563.34028</v>
      </c>
      <c r="G2098" s="20">
        <f t="shared" si="1"/>
        <v>8</v>
      </c>
      <c r="H2098" s="26">
        <v>42563.36041666667</v>
      </c>
      <c r="I2098" s="19">
        <f>IFERROR(__xludf.DUMMYFUNCTION("IFERROR(TO_DATE(H2098), """")"),42563.36041666667)</f>
        <v>42563.36042</v>
      </c>
      <c r="J2098" s="19" t="s">
        <v>14</v>
      </c>
      <c r="K2098" s="22">
        <f t="shared" si="2"/>
        <v>0</v>
      </c>
    </row>
    <row r="2099">
      <c r="A2099" s="18">
        <v>1918.0</v>
      </c>
      <c r="B2099" s="18" t="s">
        <v>32</v>
      </c>
      <c r="C2099" s="18">
        <v>221.0</v>
      </c>
      <c r="D2099" s="18" t="s">
        <v>31</v>
      </c>
      <c r="E2099" s="26">
        <v>42563.455555555556</v>
      </c>
      <c r="F2099" s="19">
        <f>IFERROR(__xludf.DUMMYFUNCTION("IFERROR(TO_DATE(E2099), """")"),42563.455555555556)</f>
        <v>42563.45556</v>
      </c>
      <c r="G2099" s="20">
        <f t="shared" si="1"/>
        <v>10</v>
      </c>
      <c r="H2099" s="26">
        <v>42563.506944444445</v>
      </c>
      <c r="I2099" s="19">
        <f>IFERROR(__xludf.DUMMYFUNCTION("IFERROR(TO_DATE(H2099), """")"),42563.506944444445)</f>
        <v>42563.50694</v>
      </c>
      <c r="J2099" s="19" t="s">
        <v>14</v>
      </c>
      <c r="K2099" s="22">
        <f t="shared" si="2"/>
        <v>0</v>
      </c>
    </row>
    <row r="2100">
      <c r="A2100" s="18">
        <v>2067.0</v>
      </c>
      <c r="B2100" s="18" t="s">
        <v>30</v>
      </c>
      <c r="C2100" s="18">
        <v>221.0</v>
      </c>
      <c r="D2100" s="18" t="s">
        <v>31</v>
      </c>
      <c r="E2100" s="26">
        <v>42563.63402777778</v>
      </c>
      <c r="F2100" s="19">
        <f>IFERROR(__xludf.DUMMYFUNCTION("IFERROR(TO_DATE(E2100), """")"),42563.63402777778)</f>
        <v>42563.63403</v>
      </c>
      <c r="G2100" s="20">
        <f t="shared" si="1"/>
        <v>15</v>
      </c>
      <c r="H2100" s="26">
        <v>42563.67638888889</v>
      </c>
      <c r="I2100" s="19">
        <f>IFERROR(__xludf.DUMMYFUNCTION("IFERROR(TO_DATE(H2100), """")"),42563.67638888889)</f>
        <v>42563.67639</v>
      </c>
      <c r="J2100" s="19" t="s">
        <v>10</v>
      </c>
      <c r="K2100" s="22">
        <f t="shared" si="2"/>
        <v>0</v>
      </c>
    </row>
    <row r="2101">
      <c r="A2101" s="18">
        <v>3632.0</v>
      </c>
      <c r="B2101" s="18" t="s">
        <v>32</v>
      </c>
      <c r="C2101" s="18">
        <v>221.0</v>
      </c>
      <c r="D2101" s="18" t="s">
        <v>31</v>
      </c>
      <c r="E2101" s="27">
        <v>42564.793541666666</v>
      </c>
      <c r="F2101" s="19">
        <f>IFERROR(__xludf.DUMMYFUNCTION("IFERROR(TO_DATE(E2101), """")"),42564.793541666666)</f>
        <v>42564.79354</v>
      </c>
      <c r="G2101" s="20">
        <f t="shared" si="1"/>
        <v>19</v>
      </c>
      <c r="H2101" s="27">
        <v>42564.838229166664</v>
      </c>
      <c r="I2101" s="19">
        <f>IFERROR(__xludf.DUMMYFUNCTION("IFERROR(TO_DATE(H2101), """")"),42564.838229166664)</f>
        <v>42564.83823</v>
      </c>
      <c r="J2101" s="19" t="s">
        <v>12</v>
      </c>
      <c r="K2101" s="22">
        <f t="shared" si="2"/>
        <v>0</v>
      </c>
    </row>
    <row r="2102">
      <c r="A2102" s="18">
        <v>4332.0</v>
      </c>
      <c r="B2102" s="18" t="s">
        <v>32</v>
      </c>
      <c r="C2102" s="18">
        <v>221.0</v>
      </c>
      <c r="D2102" s="18" t="s">
        <v>31</v>
      </c>
      <c r="E2102" s="27">
        <v>42565.29924768519</v>
      </c>
      <c r="F2102" s="19">
        <f>IFERROR(__xludf.DUMMYFUNCTION("IFERROR(TO_DATE(E2102), """")"),42565.29924768519)</f>
        <v>42565.29925</v>
      </c>
      <c r="G2102" s="20">
        <f t="shared" si="1"/>
        <v>7</v>
      </c>
      <c r="H2102" s="27">
        <v>42565.33802083333</v>
      </c>
      <c r="I2102" s="19">
        <f>IFERROR(__xludf.DUMMYFUNCTION("IFERROR(TO_DATE(H2102), """")"),42565.33802083333)</f>
        <v>42565.33802</v>
      </c>
      <c r="J2102" s="19" t="s">
        <v>11</v>
      </c>
      <c r="K2102" s="22">
        <f t="shared" si="2"/>
        <v>0</v>
      </c>
    </row>
    <row r="2103">
      <c r="A2103" s="18">
        <v>4875.0</v>
      </c>
      <c r="B2103" s="18" t="s">
        <v>32</v>
      </c>
      <c r="C2103" s="18">
        <v>221.0</v>
      </c>
      <c r="D2103" s="18" t="s">
        <v>31</v>
      </c>
      <c r="E2103" s="27">
        <v>42565.74333333333</v>
      </c>
      <c r="F2103" s="19">
        <f>IFERROR(__xludf.DUMMYFUNCTION("IFERROR(TO_DATE(E2103), """")"),42565.74333333333)</f>
        <v>42565.74333</v>
      </c>
      <c r="G2103" s="20">
        <f t="shared" si="1"/>
        <v>17</v>
      </c>
      <c r="H2103" s="27">
        <v>42565.772048611114</v>
      </c>
      <c r="I2103" s="19">
        <f>IFERROR(__xludf.DUMMYFUNCTION("IFERROR(TO_DATE(H2103), """")"),42565.772048611114)</f>
        <v>42565.77205</v>
      </c>
      <c r="J2103" s="19" t="s">
        <v>12</v>
      </c>
      <c r="K2103" s="22">
        <f t="shared" si="2"/>
        <v>0</v>
      </c>
    </row>
    <row r="2104">
      <c r="A2104" s="18">
        <v>5108.0</v>
      </c>
      <c r="B2104" s="18" t="s">
        <v>32</v>
      </c>
      <c r="C2104" s="18">
        <v>221.0</v>
      </c>
      <c r="D2104" s="18" t="s">
        <v>31</v>
      </c>
      <c r="E2104" s="27">
        <v>42565.83605324074</v>
      </c>
      <c r="F2104" s="19">
        <f>IFERROR(__xludf.DUMMYFUNCTION("IFERROR(TO_DATE(E2104), """")"),42565.83605324074)</f>
        <v>42565.83605</v>
      </c>
      <c r="G2104" s="20">
        <f t="shared" si="1"/>
        <v>20</v>
      </c>
      <c r="H2104" s="27">
        <v>42565.854733796295</v>
      </c>
      <c r="I2104" s="19">
        <f>IFERROR(__xludf.DUMMYFUNCTION("IFERROR(TO_DATE(H2104), """")"),42565.854733796295)</f>
        <v>42565.85473</v>
      </c>
      <c r="J2104" s="19" t="s">
        <v>13</v>
      </c>
      <c r="K2104" s="22">
        <f t="shared" si="2"/>
        <v>0</v>
      </c>
    </row>
    <row r="2105">
      <c r="A2105" s="18">
        <v>5683.0</v>
      </c>
      <c r="B2105" s="18" t="s">
        <v>30</v>
      </c>
      <c r="C2105" s="18">
        <v>221.0</v>
      </c>
      <c r="D2105" s="18" t="s">
        <v>31</v>
      </c>
      <c r="E2105" s="27">
        <v>42566.30273148148</v>
      </c>
      <c r="F2105" s="19">
        <f>IFERROR(__xludf.DUMMYFUNCTION("IFERROR(TO_DATE(E2105), """")"),42566.30273148148)</f>
        <v>42566.30273</v>
      </c>
      <c r="G2105" s="20">
        <f t="shared" si="1"/>
        <v>7</v>
      </c>
      <c r="H2105" s="27">
        <v>42566.333449074074</v>
      </c>
      <c r="I2105" s="19">
        <f>IFERROR(__xludf.DUMMYFUNCTION("IFERROR(TO_DATE(H2105), """")"),42566.333449074074)</f>
        <v>42566.33345</v>
      </c>
      <c r="J2105" s="19" t="s">
        <v>11</v>
      </c>
      <c r="K2105" s="22">
        <f t="shared" si="2"/>
        <v>0</v>
      </c>
    </row>
    <row r="2106">
      <c r="A2106" s="18">
        <v>5976.0</v>
      </c>
      <c r="B2106" s="18" t="s">
        <v>30</v>
      </c>
      <c r="C2106" s="18">
        <v>221.0</v>
      </c>
      <c r="D2106" s="18" t="s">
        <v>31</v>
      </c>
      <c r="E2106" s="27">
        <v>42566.46543981481</v>
      </c>
      <c r="F2106" s="19">
        <f>IFERROR(__xludf.DUMMYFUNCTION("IFERROR(TO_DATE(E2106), """")"),42566.46543981481)</f>
        <v>42566.46544</v>
      </c>
      <c r="G2106" s="20">
        <f t="shared" si="1"/>
        <v>11</v>
      </c>
      <c r="H2106" s="27">
        <v>42566.52243055555</v>
      </c>
      <c r="I2106" s="19">
        <f>IFERROR(__xludf.DUMMYFUNCTION("IFERROR(TO_DATE(H2106), """")"),42566.52243055555)</f>
        <v>42566.52243</v>
      </c>
      <c r="J2106" s="19" t="s">
        <v>14</v>
      </c>
      <c r="K2106" s="22">
        <f t="shared" si="2"/>
        <v>0</v>
      </c>
    </row>
    <row r="2107">
      <c r="A2107" s="18">
        <v>6229.0</v>
      </c>
      <c r="B2107" s="18" t="s">
        <v>32</v>
      </c>
      <c r="C2107" s="18">
        <v>221.0</v>
      </c>
      <c r="D2107" s="18" t="s">
        <v>31</v>
      </c>
      <c r="E2107" s="27">
        <v>42566.73842592593</v>
      </c>
      <c r="F2107" s="19">
        <f>IFERROR(__xludf.DUMMYFUNCTION("IFERROR(TO_DATE(E2107), """")"),42566.73842592593)</f>
        <v>42566.73843</v>
      </c>
      <c r="G2107" s="20">
        <f t="shared" si="1"/>
        <v>17</v>
      </c>
      <c r="H2107" s="27">
        <v>42566.77208333334</v>
      </c>
      <c r="I2107" s="19">
        <f>IFERROR(__xludf.DUMMYFUNCTION("IFERROR(TO_DATE(H2107), """")"),42566.77208333334)</f>
        <v>42566.77208</v>
      </c>
      <c r="J2107" s="19" t="s">
        <v>12</v>
      </c>
      <c r="K2107" s="22">
        <f t="shared" si="2"/>
        <v>0</v>
      </c>
    </row>
    <row r="2108">
      <c r="A2108" s="18">
        <v>6478.0</v>
      </c>
      <c r="B2108" s="18" t="s">
        <v>30</v>
      </c>
      <c r="C2108" s="18">
        <v>221.0</v>
      </c>
      <c r="D2108" s="18" t="s">
        <v>31</v>
      </c>
      <c r="E2108" s="27">
        <v>42566.84307870371</v>
      </c>
      <c r="F2108" s="19">
        <f>IFERROR(__xludf.DUMMYFUNCTION("IFERROR(TO_DATE(E2108), """")"),42566.84307870371)</f>
        <v>42566.84308</v>
      </c>
      <c r="G2108" s="20">
        <f t="shared" si="1"/>
        <v>20</v>
      </c>
      <c r="H2108" s="27">
        <v>42566.873703703706</v>
      </c>
      <c r="I2108" s="19">
        <f>IFERROR(__xludf.DUMMYFUNCTION("IFERROR(TO_DATE(H2108), """")"),42566.873703703706)</f>
        <v>42566.8737</v>
      </c>
      <c r="J2108" s="19" t="s">
        <v>13</v>
      </c>
      <c r="K2108" s="22">
        <f t="shared" si="2"/>
        <v>0</v>
      </c>
    </row>
    <row r="2109">
      <c r="A2109" s="18">
        <v>1295.0</v>
      </c>
      <c r="B2109" s="18" t="s">
        <v>32</v>
      </c>
      <c r="C2109" s="18">
        <v>222.0</v>
      </c>
      <c r="D2109" s="18" t="s">
        <v>31</v>
      </c>
      <c r="E2109" s="26">
        <v>42562.93402777778</v>
      </c>
      <c r="F2109" s="19">
        <f>IFERROR(__xludf.DUMMYFUNCTION("IFERROR(TO_DATE(E2109), """")"),42562.93402777778)</f>
        <v>42562.93403</v>
      </c>
      <c r="G2109" s="20">
        <f t="shared" si="1"/>
        <v>22</v>
      </c>
      <c r="H2109" s="26">
        <v>42562.96041666667</v>
      </c>
      <c r="I2109" s="19">
        <f>IFERROR(__xludf.DUMMYFUNCTION("IFERROR(TO_DATE(H2109), """")"),42562.96041666667)</f>
        <v>42562.96042</v>
      </c>
      <c r="J2109" s="19" t="s">
        <v>13</v>
      </c>
      <c r="K2109" s="22">
        <f t="shared" si="2"/>
        <v>0</v>
      </c>
    </row>
    <row r="2110">
      <c r="A2110" s="18">
        <v>1829.0</v>
      </c>
      <c r="B2110" s="18" t="s">
        <v>30</v>
      </c>
      <c r="C2110" s="18">
        <v>222.0</v>
      </c>
      <c r="D2110" s="18" t="s">
        <v>31</v>
      </c>
      <c r="E2110" s="26">
        <v>42563.39791666667</v>
      </c>
      <c r="F2110" s="19">
        <f>IFERROR(__xludf.DUMMYFUNCTION("IFERROR(TO_DATE(E2110), """")"),42563.39791666667)</f>
        <v>42563.39792</v>
      </c>
      <c r="G2110" s="20">
        <f t="shared" si="1"/>
        <v>9</v>
      </c>
      <c r="H2110" s="26">
        <v>42563.430555555555</v>
      </c>
      <c r="I2110" s="19">
        <f>IFERROR(__xludf.DUMMYFUNCTION("IFERROR(TO_DATE(H2110), """")"),42563.430555555555)</f>
        <v>42563.43056</v>
      </c>
      <c r="J2110" s="19" t="s">
        <v>14</v>
      </c>
      <c r="K2110" s="22">
        <f t="shared" si="2"/>
        <v>0</v>
      </c>
    </row>
    <row r="2111">
      <c r="A2111" s="18">
        <v>2135.0</v>
      </c>
      <c r="B2111" s="18" t="s">
        <v>32</v>
      </c>
      <c r="C2111" s="18">
        <v>222.0</v>
      </c>
      <c r="D2111" s="18" t="s">
        <v>31</v>
      </c>
      <c r="E2111" s="26">
        <v>42563.71666666667</v>
      </c>
      <c r="F2111" s="19">
        <f>IFERROR(__xludf.DUMMYFUNCTION("IFERROR(TO_DATE(E2111), """")"),42563.71666666667)</f>
        <v>42563.71667</v>
      </c>
      <c r="G2111" s="20">
        <f t="shared" si="1"/>
        <v>17</v>
      </c>
      <c r="H2111" s="26">
        <v>42563.748611111114</v>
      </c>
      <c r="I2111" s="19">
        <f>IFERROR(__xludf.DUMMYFUNCTION("IFERROR(TO_DATE(H2111), """")"),42563.748611111114)</f>
        <v>42563.74861</v>
      </c>
      <c r="J2111" s="19" t="s">
        <v>12</v>
      </c>
      <c r="K2111" s="22">
        <f t="shared" si="2"/>
        <v>0</v>
      </c>
    </row>
    <row r="2112">
      <c r="A2112" s="18">
        <v>2719.0</v>
      </c>
      <c r="B2112" s="18" t="s">
        <v>32</v>
      </c>
      <c r="C2112" s="18">
        <v>222.0</v>
      </c>
      <c r="D2112" s="18" t="s">
        <v>31</v>
      </c>
      <c r="E2112" s="27">
        <v>42564.09054398148</v>
      </c>
      <c r="F2112" s="19">
        <f>IFERROR(__xludf.DUMMYFUNCTION("IFERROR(TO_DATE(E2112), """")"),42564.09054398148)</f>
        <v>42564.09054</v>
      </c>
      <c r="G2112" s="20">
        <f t="shared" si="1"/>
        <v>2</v>
      </c>
      <c r="H2112" s="27">
        <v>42564.11951388889</v>
      </c>
      <c r="I2112" s="19">
        <f>IFERROR(__xludf.DUMMYFUNCTION("IFERROR(TO_DATE(H2112), """")"),42564.11951388889)</f>
        <v>42564.11951</v>
      </c>
      <c r="J2112" s="19" t="s">
        <v>15</v>
      </c>
      <c r="K2112" s="22">
        <f t="shared" si="2"/>
        <v>0</v>
      </c>
    </row>
    <row r="2113">
      <c r="A2113" s="18">
        <v>3016.0</v>
      </c>
      <c r="B2113" s="18" t="s">
        <v>30</v>
      </c>
      <c r="C2113" s="18">
        <v>222.0</v>
      </c>
      <c r="D2113" s="18" t="s">
        <v>31</v>
      </c>
      <c r="E2113" s="27">
        <v>42564.31251157408</v>
      </c>
      <c r="F2113" s="19">
        <f>IFERROR(__xludf.DUMMYFUNCTION("IFERROR(TO_DATE(E2113), """")"),42564.31251157408)</f>
        <v>42564.31251</v>
      </c>
      <c r="G2113" s="20">
        <f t="shared" si="1"/>
        <v>7</v>
      </c>
      <c r="H2113" s="27">
        <v>42564.341261574074</v>
      </c>
      <c r="I2113" s="19">
        <f>IFERROR(__xludf.DUMMYFUNCTION("IFERROR(TO_DATE(H2113), """")"),42564.341261574074)</f>
        <v>42564.34126</v>
      </c>
      <c r="J2113" s="19" t="s">
        <v>11</v>
      </c>
      <c r="K2113" s="22">
        <f t="shared" si="2"/>
        <v>0</v>
      </c>
    </row>
    <row r="2114">
      <c r="A2114" s="18">
        <v>4065.0</v>
      </c>
      <c r="B2114" s="18" t="s">
        <v>32</v>
      </c>
      <c r="C2114" s="18">
        <v>222.0</v>
      </c>
      <c r="D2114" s="18" t="s">
        <v>31</v>
      </c>
      <c r="E2114" s="27">
        <v>42565.07925925926</v>
      </c>
      <c r="F2114" s="19">
        <f>IFERROR(__xludf.DUMMYFUNCTION("IFERROR(TO_DATE(E2114), """")"),42565.07925925926)</f>
        <v>42565.07926</v>
      </c>
      <c r="G2114" s="20">
        <f t="shared" si="1"/>
        <v>1</v>
      </c>
      <c r="H2114" s="27">
        <v>42565.11350694444</v>
      </c>
      <c r="I2114" s="19">
        <f>IFERROR(__xludf.DUMMYFUNCTION("IFERROR(TO_DATE(H2114), """")"),42565.11350694444)</f>
        <v>42565.11351</v>
      </c>
      <c r="J2114" s="19" t="s">
        <v>15</v>
      </c>
      <c r="K2114" s="22">
        <f t="shared" si="2"/>
        <v>0</v>
      </c>
    </row>
    <row r="2115">
      <c r="A2115" s="18">
        <v>4911.0</v>
      </c>
      <c r="B2115" s="18" t="s">
        <v>32</v>
      </c>
      <c r="C2115" s="18">
        <v>222.0</v>
      </c>
      <c r="D2115" s="18" t="s">
        <v>31</v>
      </c>
      <c r="E2115" s="27">
        <v>42565.75678240741</v>
      </c>
      <c r="F2115" s="19">
        <f>IFERROR(__xludf.DUMMYFUNCTION("IFERROR(TO_DATE(E2115), """")"),42565.75678240741)</f>
        <v>42565.75678</v>
      </c>
      <c r="G2115" s="20">
        <f t="shared" si="1"/>
        <v>18</v>
      </c>
      <c r="H2115" s="27">
        <v>42565.7965625</v>
      </c>
      <c r="I2115" s="19">
        <f>IFERROR(__xludf.DUMMYFUNCTION("IFERROR(TO_DATE(H2115), """")"),42565.7965625)</f>
        <v>42565.79656</v>
      </c>
      <c r="J2115" s="19" t="s">
        <v>12</v>
      </c>
      <c r="K2115" s="22">
        <f t="shared" si="2"/>
        <v>0</v>
      </c>
    </row>
    <row r="2116">
      <c r="A2116" s="18">
        <v>5338.0</v>
      </c>
      <c r="B2116" s="18" t="s">
        <v>30</v>
      </c>
      <c r="C2116" s="18">
        <v>222.0</v>
      </c>
      <c r="D2116" s="18" t="s">
        <v>31</v>
      </c>
      <c r="E2116" s="27">
        <v>42565.93556712963</v>
      </c>
      <c r="F2116" s="19">
        <f>IFERROR(__xludf.DUMMYFUNCTION("IFERROR(TO_DATE(E2116), """")"),42565.93556712963)</f>
        <v>42565.93557</v>
      </c>
      <c r="G2116" s="20">
        <f t="shared" si="1"/>
        <v>22</v>
      </c>
      <c r="H2116" s="27">
        <v>42565.98201388889</v>
      </c>
      <c r="I2116" s="19">
        <f>IFERROR(__xludf.DUMMYFUNCTION("IFERROR(TO_DATE(H2116), """")"),42565.98201388889)</f>
        <v>42565.98201</v>
      </c>
      <c r="J2116" s="19" t="s">
        <v>13</v>
      </c>
      <c r="K2116" s="22">
        <f t="shared" si="2"/>
        <v>0</v>
      </c>
    </row>
    <row r="2117">
      <c r="A2117" s="18">
        <v>6086.0</v>
      </c>
      <c r="B2117" s="18" t="s">
        <v>32</v>
      </c>
      <c r="C2117" s="18">
        <v>222.0</v>
      </c>
      <c r="D2117" s="18" t="s">
        <v>31</v>
      </c>
      <c r="E2117" s="27">
        <v>42566.59873842593</v>
      </c>
      <c r="F2117" s="19">
        <f>IFERROR(__xludf.DUMMYFUNCTION("IFERROR(TO_DATE(E2117), """")"),42566.59873842593)</f>
        <v>42566.59874</v>
      </c>
      <c r="G2117" s="20">
        <f t="shared" si="1"/>
        <v>14</v>
      </c>
      <c r="H2117" s="27">
        <v>42566.63791666667</v>
      </c>
      <c r="I2117" s="19">
        <f>IFERROR(__xludf.DUMMYFUNCTION("IFERROR(TO_DATE(H2117), """")"),42566.63791666667)</f>
        <v>42566.63792</v>
      </c>
      <c r="J2117" s="19" t="s">
        <v>10</v>
      </c>
      <c r="K2117" s="22">
        <f t="shared" si="2"/>
        <v>0</v>
      </c>
    </row>
    <row r="2118">
      <c r="A2118" s="18">
        <v>6457.0</v>
      </c>
      <c r="B2118" s="18" t="s">
        <v>30</v>
      </c>
      <c r="C2118" s="18">
        <v>222.0</v>
      </c>
      <c r="D2118" s="18" t="s">
        <v>31</v>
      </c>
      <c r="E2118" s="27">
        <v>42566.837916666664</v>
      </c>
      <c r="F2118" s="19">
        <f>IFERROR(__xludf.DUMMYFUNCTION("IFERROR(TO_DATE(E2118), """")"),42566.837916666664)</f>
        <v>42566.83792</v>
      </c>
      <c r="G2118" s="20">
        <f t="shared" si="1"/>
        <v>20</v>
      </c>
      <c r="H2118" s="27">
        <v>42566.88878472222</v>
      </c>
      <c r="I2118" s="19">
        <f>IFERROR(__xludf.DUMMYFUNCTION("IFERROR(TO_DATE(H2118), """")"),42566.88878472222)</f>
        <v>42566.88878</v>
      </c>
      <c r="J2118" s="19" t="s">
        <v>13</v>
      </c>
      <c r="K2118" s="22">
        <f t="shared" si="2"/>
        <v>0</v>
      </c>
    </row>
    <row r="2119">
      <c r="A2119" s="18">
        <v>330.0</v>
      </c>
      <c r="B2119" s="18" t="s">
        <v>30</v>
      </c>
      <c r="C2119" s="18">
        <v>223.0</v>
      </c>
      <c r="D2119" s="18" t="s">
        <v>31</v>
      </c>
      <c r="E2119" s="26">
        <v>42562.31875</v>
      </c>
      <c r="F2119" s="19">
        <f>IFERROR(__xludf.DUMMYFUNCTION("IFERROR(TO_DATE(E2119), """")"),42562.31875)</f>
        <v>42562.31875</v>
      </c>
      <c r="G2119" s="20">
        <f t="shared" si="1"/>
        <v>7</v>
      </c>
      <c r="H2119" s="26">
        <v>42562.36944444444</v>
      </c>
      <c r="I2119" s="19">
        <f>IFERROR(__xludf.DUMMYFUNCTION("IFERROR(TO_DATE(H2119), """")"),42562.36944444444)</f>
        <v>42562.36944</v>
      </c>
      <c r="J2119" s="19" t="s">
        <v>11</v>
      </c>
      <c r="K2119" s="22">
        <f t="shared" si="2"/>
        <v>0</v>
      </c>
    </row>
    <row r="2120">
      <c r="A2120" s="18">
        <v>626.0</v>
      </c>
      <c r="B2120" s="18" t="s">
        <v>30</v>
      </c>
      <c r="C2120" s="18">
        <v>223.0</v>
      </c>
      <c r="D2120" s="18" t="s">
        <v>31</v>
      </c>
      <c r="E2120" s="26">
        <v>42562.506944444445</v>
      </c>
      <c r="F2120" s="19">
        <f>IFERROR(__xludf.DUMMYFUNCTION("IFERROR(TO_DATE(E2120), """")"),42562.506944444445)</f>
        <v>42562.50694</v>
      </c>
      <c r="G2120" s="20">
        <f t="shared" si="1"/>
        <v>12</v>
      </c>
      <c r="H2120" s="26">
        <v>42562.541666666664</v>
      </c>
      <c r="I2120" s="19">
        <f>IFERROR(__xludf.DUMMYFUNCTION("IFERROR(TO_DATE(H2120), """")"),42562.541666666664)</f>
        <v>42562.54167</v>
      </c>
      <c r="J2120" s="19" t="s">
        <v>10</v>
      </c>
      <c r="K2120" s="22">
        <f t="shared" si="2"/>
        <v>0</v>
      </c>
    </row>
    <row r="2121">
      <c r="A2121" s="18">
        <v>857.0</v>
      </c>
      <c r="B2121" s="18" t="s">
        <v>32</v>
      </c>
      <c r="C2121" s="18">
        <v>223.0</v>
      </c>
      <c r="D2121" s="18" t="s">
        <v>31</v>
      </c>
      <c r="E2121" s="26">
        <v>42562.74444444444</v>
      </c>
      <c r="F2121" s="19">
        <f>IFERROR(__xludf.DUMMYFUNCTION("IFERROR(TO_DATE(E2121), """")"),42562.74444444444)</f>
        <v>42562.74444</v>
      </c>
      <c r="G2121" s="20">
        <f t="shared" si="1"/>
        <v>17</v>
      </c>
      <c r="H2121" s="26">
        <v>42562.77916666667</v>
      </c>
      <c r="I2121" s="19">
        <f>IFERROR(__xludf.DUMMYFUNCTION("IFERROR(TO_DATE(H2121), """")"),42562.77916666667)</f>
        <v>42562.77917</v>
      </c>
      <c r="J2121" s="19" t="s">
        <v>12</v>
      </c>
      <c r="K2121" s="22">
        <f t="shared" si="2"/>
        <v>0</v>
      </c>
    </row>
    <row r="2122">
      <c r="A2122" s="18">
        <v>2679.0</v>
      </c>
      <c r="B2122" s="18" t="s">
        <v>30</v>
      </c>
      <c r="C2122" s="18">
        <v>223.0</v>
      </c>
      <c r="D2122" s="18" t="s">
        <v>31</v>
      </c>
      <c r="E2122" s="26">
        <v>42563.995833333334</v>
      </c>
      <c r="F2122" s="19">
        <f>IFERROR(__xludf.DUMMYFUNCTION("IFERROR(TO_DATE(E2122), """")"),42563.995833333334)</f>
        <v>42563.99583</v>
      </c>
      <c r="G2122" s="20">
        <f t="shared" si="1"/>
        <v>23</v>
      </c>
      <c r="H2122" s="27">
        <v>42564.04903935185</v>
      </c>
      <c r="I2122" s="19">
        <f>IFERROR(__xludf.DUMMYFUNCTION("IFERROR(TO_DATE(H2122), """")"),42564.04903935185)</f>
        <v>42564.04904</v>
      </c>
      <c r="J2122" s="19" t="s">
        <v>13</v>
      </c>
      <c r="K2122" s="22">
        <f t="shared" si="2"/>
        <v>0</v>
      </c>
    </row>
    <row r="2123">
      <c r="A2123" s="18">
        <v>3098.0</v>
      </c>
      <c r="B2123" s="18" t="s">
        <v>30</v>
      </c>
      <c r="C2123" s="18">
        <v>223.0</v>
      </c>
      <c r="D2123" s="18" t="s">
        <v>31</v>
      </c>
      <c r="E2123" s="27">
        <v>42564.34903935185</v>
      </c>
      <c r="F2123" s="19">
        <f>IFERROR(__xludf.DUMMYFUNCTION("IFERROR(TO_DATE(E2123), """")"),42564.34903935185)</f>
        <v>42564.34904</v>
      </c>
      <c r="G2123" s="20">
        <f t="shared" si="1"/>
        <v>8</v>
      </c>
      <c r="H2123" s="27">
        <v>42564.37119212963</v>
      </c>
      <c r="I2123" s="19">
        <f>IFERROR(__xludf.DUMMYFUNCTION("IFERROR(TO_DATE(H2123), """")"),42564.37119212963)</f>
        <v>42564.37119</v>
      </c>
      <c r="J2123" s="19" t="s">
        <v>14</v>
      </c>
      <c r="K2123" s="22">
        <f t="shared" si="2"/>
        <v>0</v>
      </c>
    </row>
    <row r="2124">
      <c r="A2124" s="18">
        <v>3344.0</v>
      </c>
      <c r="B2124" s="18" t="s">
        <v>30</v>
      </c>
      <c r="C2124" s="18">
        <v>223.0</v>
      </c>
      <c r="D2124" s="18" t="s">
        <v>31</v>
      </c>
      <c r="E2124" s="27">
        <v>42564.543969907405</v>
      </c>
      <c r="F2124" s="19">
        <f>IFERROR(__xludf.DUMMYFUNCTION("IFERROR(TO_DATE(E2124), """")"),42564.543969907405)</f>
        <v>42564.54397</v>
      </c>
      <c r="G2124" s="20">
        <f t="shared" si="1"/>
        <v>13</v>
      </c>
      <c r="H2124" s="27">
        <v>42564.5805787037</v>
      </c>
      <c r="I2124" s="19">
        <f>IFERROR(__xludf.DUMMYFUNCTION("IFERROR(TO_DATE(H2124), """")"),42564.5805787037)</f>
        <v>42564.58058</v>
      </c>
      <c r="J2124" s="19" t="s">
        <v>10</v>
      </c>
      <c r="K2124" s="22">
        <f t="shared" si="2"/>
        <v>0</v>
      </c>
    </row>
    <row r="2125">
      <c r="A2125" s="18">
        <v>4428.0</v>
      </c>
      <c r="B2125" s="18" t="s">
        <v>32</v>
      </c>
      <c r="C2125" s="18">
        <v>223.0</v>
      </c>
      <c r="D2125" s="18" t="s">
        <v>31</v>
      </c>
      <c r="E2125" s="27">
        <v>42565.34600694444</v>
      </c>
      <c r="F2125" s="19">
        <f>IFERROR(__xludf.DUMMYFUNCTION("IFERROR(TO_DATE(E2125), """")"),42565.34600694444)</f>
        <v>42565.34601</v>
      </c>
      <c r="G2125" s="20">
        <f t="shared" si="1"/>
        <v>8</v>
      </c>
      <c r="H2125" s="27">
        <v>42565.388819444444</v>
      </c>
      <c r="I2125" s="19">
        <f>IFERROR(__xludf.DUMMYFUNCTION("IFERROR(TO_DATE(H2125), """")"),42565.388819444444)</f>
        <v>42565.38882</v>
      </c>
      <c r="J2125" s="19" t="s">
        <v>14</v>
      </c>
      <c r="K2125" s="22">
        <f t="shared" si="2"/>
        <v>0</v>
      </c>
    </row>
    <row r="2126">
      <c r="A2126" s="18">
        <v>5198.0</v>
      </c>
      <c r="B2126" s="18" t="s">
        <v>30</v>
      </c>
      <c r="C2126" s="18">
        <v>223.0</v>
      </c>
      <c r="D2126" s="18" t="s">
        <v>31</v>
      </c>
      <c r="E2126" s="27">
        <v>42565.86481481481</v>
      </c>
      <c r="F2126" s="19">
        <f>IFERROR(__xludf.DUMMYFUNCTION("IFERROR(TO_DATE(E2126), """")"),42565.86481481481)</f>
        <v>42565.86481</v>
      </c>
      <c r="G2126" s="20">
        <f t="shared" si="1"/>
        <v>20</v>
      </c>
      <c r="H2126" s="27">
        <v>42565.90146990741</v>
      </c>
      <c r="I2126" s="19">
        <f>IFERROR(__xludf.DUMMYFUNCTION("IFERROR(TO_DATE(H2126), """")"),42565.90146990741)</f>
        <v>42565.90147</v>
      </c>
      <c r="J2126" s="19" t="s">
        <v>13</v>
      </c>
      <c r="K2126" s="22">
        <f t="shared" si="2"/>
        <v>0</v>
      </c>
    </row>
    <row r="2127">
      <c r="A2127" s="18">
        <v>5368.0</v>
      </c>
      <c r="B2127" s="18" t="s">
        <v>32</v>
      </c>
      <c r="C2127" s="18">
        <v>223.0</v>
      </c>
      <c r="D2127" s="18" t="s">
        <v>31</v>
      </c>
      <c r="E2127" s="27">
        <v>42565.98347222222</v>
      </c>
      <c r="F2127" s="19">
        <f>IFERROR(__xludf.DUMMYFUNCTION("IFERROR(TO_DATE(E2127), """")"),42565.98347222222)</f>
        <v>42565.98347</v>
      </c>
      <c r="G2127" s="20">
        <f t="shared" si="1"/>
        <v>23</v>
      </c>
      <c r="H2127" s="27">
        <v>42566.01939814815</v>
      </c>
      <c r="I2127" s="19">
        <f>IFERROR(__xludf.DUMMYFUNCTION("IFERROR(TO_DATE(H2127), """")"),42566.01939814815)</f>
        <v>42566.0194</v>
      </c>
      <c r="J2127" s="19" t="s">
        <v>13</v>
      </c>
      <c r="K2127" s="22">
        <f t="shared" si="2"/>
        <v>0</v>
      </c>
    </row>
    <row r="2128">
      <c r="A2128" s="18">
        <v>5513.0</v>
      </c>
      <c r="B2128" s="18" t="s">
        <v>30</v>
      </c>
      <c r="C2128" s="18">
        <v>223.0</v>
      </c>
      <c r="D2128" s="18" t="s">
        <v>31</v>
      </c>
      <c r="E2128" s="27">
        <v>42566.21140046296</v>
      </c>
      <c r="F2128" s="19">
        <f>IFERROR(__xludf.DUMMYFUNCTION("IFERROR(TO_DATE(E2128), """")"),42566.21140046296)</f>
        <v>42566.2114</v>
      </c>
      <c r="G2128" s="20">
        <f t="shared" si="1"/>
        <v>5</v>
      </c>
      <c r="H2128" s="27">
        <v>42566.24398148148</v>
      </c>
      <c r="I2128" s="19">
        <f>IFERROR(__xludf.DUMMYFUNCTION("IFERROR(TO_DATE(H2128), """")"),42566.24398148148)</f>
        <v>42566.24398</v>
      </c>
      <c r="J2128" s="19" t="s">
        <v>11</v>
      </c>
      <c r="K2128" s="22">
        <f t="shared" si="2"/>
        <v>0</v>
      </c>
    </row>
    <row r="2129">
      <c r="A2129" s="18">
        <v>5742.0</v>
      </c>
      <c r="B2129" s="18" t="s">
        <v>32</v>
      </c>
      <c r="C2129" s="18">
        <v>223.0</v>
      </c>
      <c r="D2129" s="18" t="s">
        <v>31</v>
      </c>
      <c r="E2129" s="27">
        <v>42566.32798611111</v>
      </c>
      <c r="F2129" s="19">
        <f>IFERROR(__xludf.DUMMYFUNCTION("IFERROR(TO_DATE(E2129), """")"),42566.32798611111)</f>
        <v>42566.32799</v>
      </c>
      <c r="G2129" s="20">
        <f t="shared" si="1"/>
        <v>7</v>
      </c>
      <c r="H2129" s="27">
        <v>42566.36931712963</v>
      </c>
      <c r="I2129" s="19">
        <f>IFERROR(__xludf.DUMMYFUNCTION("IFERROR(TO_DATE(H2129), """")"),42566.36931712963)</f>
        <v>42566.36932</v>
      </c>
      <c r="J2129" s="19" t="s">
        <v>11</v>
      </c>
      <c r="K2129" s="22">
        <f t="shared" si="2"/>
        <v>0</v>
      </c>
    </row>
    <row r="2130">
      <c r="A2130" s="18">
        <v>6107.0</v>
      </c>
      <c r="B2130" s="18" t="s">
        <v>30</v>
      </c>
      <c r="C2130" s="18">
        <v>223.0</v>
      </c>
      <c r="D2130" s="18" t="s">
        <v>31</v>
      </c>
      <c r="E2130" s="27">
        <v>42566.62331018518</v>
      </c>
      <c r="F2130" s="19">
        <f>IFERROR(__xludf.DUMMYFUNCTION("IFERROR(TO_DATE(E2130), """")"),42566.62331018518)</f>
        <v>42566.62331</v>
      </c>
      <c r="G2130" s="20">
        <f t="shared" si="1"/>
        <v>14</v>
      </c>
      <c r="H2130" s="27">
        <v>42566.663611111115</v>
      </c>
      <c r="I2130" s="19">
        <f>IFERROR(__xludf.DUMMYFUNCTION("IFERROR(TO_DATE(H2130), """")"),42566.663611111115)</f>
        <v>42566.66361</v>
      </c>
      <c r="J2130" s="19" t="s">
        <v>10</v>
      </c>
      <c r="K2130" s="22">
        <f t="shared" si="2"/>
        <v>0</v>
      </c>
    </row>
    <row r="2131">
      <c r="A2131" s="18">
        <v>6729.0</v>
      </c>
      <c r="B2131" s="18" t="s">
        <v>32</v>
      </c>
      <c r="C2131" s="18">
        <v>223.0</v>
      </c>
      <c r="D2131" s="18" t="s">
        <v>31</v>
      </c>
      <c r="E2131" s="27">
        <v>42566.971608796295</v>
      </c>
      <c r="F2131" s="19">
        <f>IFERROR(__xludf.DUMMYFUNCTION("IFERROR(TO_DATE(E2131), """")"),42566.971608796295)</f>
        <v>42566.97161</v>
      </c>
      <c r="G2131" s="20">
        <f t="shared" si="1"/>
        <v>23</v>
      </c>
      <c r="H2131" s="27">
        <v>42567.01741898148</v>
      </c>
      <c r="I2131" s="19">
        <f>IFERROR(__xludf.DUMMYFUNCTION("IFERROR(TO_DATE(H2131), """")"),42567.01741898148)</f>
        <v>42567.01742</v>
      </c>
      <c r="J2131" s="19" t="s">
        <v>13</v>
      </c>
      <c r="K2131" s="22">
        <f t="shared" si="2"/>
        <v>0</v>
      </c>
    </row>
    <row r="2132">
      <c r="A2132" s="18">
        <v>904.0</v>
      </c>
      <c r="B2132" s="18" t="s">
        <v>30</v>
      </c>
      <c r="C2132" s="18">
        <v>224.0</v>
      </c>
      <c r="D2132" s="18" t="s">
        <v>31</v>
      </c>
      <c r="E2132" s="26">
        <v>42562.75763888889</v>
      </c>
      <c r="F2132" s="19">
        <f>IFERROR(__xludf.DUMMYFUNCTION("IFERROR(TO_DATE(E2132), """")"),42562.75763888889)</f>
        <v>42562.75764</v>
      </c>
      <c r="G2132" s="20">
        <f t="shared" si="1"/>
        <v>18</v>
      </c>
      <c r="H2132" s="26">
        <v>42562.80763888889</v>
      </c>
      <c r="I2132" s="19">
        <f>IFERROR(__xludf.DUMMYFUNCTION("IFERROR(TO_DATE(H2132), """")"),42562.80763888889)</f>
        <v>42562.80764</v>
      </c>
      <c r="J2132" s="19" t="s">
        <v>12</v>
      </c>
      <c r="K2132" s="22">
        <f t="shared" si="2"/>
        <v>0</v>
      </c>
    </row>
    <row r="2133">
      <c r="A2133" s="18">
        <v>1459.0</v>
      </c>
      <c r="B2133" s="18" t="s">
        <v>30</v>
      </c>
      <c r="C2133" s="18">
        <v>224.0</v>
      </c>
      <c r="D2133" s="18" t="s">
        <v>31</v>
      </c>
      <c r="E2133" s="26">
        <v>42563.20763888889</v>
      </c>
      <c r="F2133" s="19">
        <f>IFERROR(__xludf.DUMMYFUNCTION("IFERROR(TO_DATE(E2133), """")"),42563.20763888889)</f>
        <v>42563.20764</v>
      </c>
      <c r="G2133" s="20">
        <f t="shared" si="1"/>
        <v>4</v>
      </c>
      <c r="H2133" s="26">
        <v>42563.236805555556</v>
      </c>
      <c r="I2133" s="19">
        <f>IFERROR(__xludf.DUMMYFUNCTION("IFERROR(TO_DATE(H2133), """")"),42563.236805555556)</f>
        <v>42563.23681</v>
      </c>
      <c r="J2133" s="19" t="s">
        <v>11</v>
      </c>
      <c r="K2133" s="22">
        <f t="shared" si="2"/>
        <v>0</v>
      </c>
    </row>
    <row r="2134">
      <c r="A2134" s="18">
        <v>2636.0</v>
      </c>
      <c r="B2134" s="18" t="s">
        <v>30</v>
      </c>
      <c r="C2134" s="18">
        <v>224.0</v>
      </c>
      <c r="D2134" s="18" t="s">
        <v>31</v>
      </c>
      <c r="E2134" s="26">
        <v>42563.92916666667</v>
      </c>
      <c r="F2134" s="19">
        <f>IFERROR(__xludf.DUMMYFUNCTION("IFERROR(TO_DATE(E2134), """")"),42563.92916666667)</f>
        <v>42563.92917</v>
      </c>
      <c r="G2134" s="20">
        <f t="shared" si="1"/>
        <v>22</v>
      </c>
      <c r="H2134" s="26">
        <v>42563.978472222225</v>
      </c>
      <c r="I2134" s="19">
        <f>IFERROR(__xludf.DUMMYFUNCTION("IFERROR(TO_DATE(H2134), """")"),42563.978472222225)</f>
        <v>42563.97847</v>
      </c>
      <c r="J2134" s="19" t="s">
        <v>13</v>
      </c>
      <c r="K2134" s="22">
        <f t="shared" si="2"/>
        <v>0</v>
      </c>
    </row>
    <row r="2135">
      <c r="A2135" s="18">
        <v>2816.0</v>
      </c>
      <c r="B2135" s="18" t="s">
        <v>32</v>
      </c>
      <c r="C2135" s="18">
        <v>224.0</v>
      </c>
      <c r="D2135" s="18" t="s">
        <v>31</v>
      </c>
      <c r="E2135" s="27">
        <v>42564.216840277775</v>
      </c>
      <c r="F2135" s="19">
        <f>IFERROR(__xludf.DUMMYFUNCTION("IFERROR(TO_DATE(E2135), """")"),42564.216840277775)</f>
        <v>42564.21684</v>
      </c>
      <c r="G2135" s="20">
        <f t="shared" si="1"/>
        <v>5</v>
      </c>
      <c r="H2135" s="27">
        <v>42564.25570601852</v>
      </c>
      <c r="I2135" s="19">
        <f>IFERROR(__xludf.DUMMYFUNCTION("IFERROR(TO_DATE(H2135), """")"),42564.25570601852)</f>
        <v>42564.25571</v>
      </c>
      <c r="J2135" s="19" t="s">
        <v>11</v>
      </c>
      <c r="K2135" s="22">
        <f t="shared" si="2"/>
        <v>0</v>
      </c>
    </row>
    <row r="2136">
      <c r="A2136" s="18">
        <v>3341.0</v>
      </c>
      <c r="B2136" s="18" t="s">
        <v>30</v>
      </c>
      <c r="C2136" s="18">
        <v>224.0</v>
      </c>
      <c r="D2136" s="18" t="s">
        <v>31</v>
      </c>
      <c r="E2136" s="27">
        <v>42564.53570601852</v>
      </c>
      <c r="F2136" s="19">
        <f>IFERROR(__xludf.DUMMYFUNCTION("IFERROR(TO_DATE(E2136), """")"),42564.53570601852)</f>
        <v>42564.53571</v>
      </c>
      <c r="G2136" s="20">
        <f t="shared" si="1"/>
        <v>12</v>
      </c>
      <c r="H2136" s="27">
        <v>42564.56420138889</v>
      </c>
      <c r="I2136" s="19">
        <f>IFERROR(__xludf.DUMMYFUNCTION("IFERROR(TO_DATE(H2136), """")"),42564.56420138889)</f>
        <v>42564.5642</v>
      </c>
      <c r="J2136" s="19" t="s">
        <v>10</v>
      </c>
      <c r="K2136" s="22">
        <f t="shared" si="2"/>
        <v>0</v>
      </c>
    </row>
    <row r="2137">
      <c r="A2137" s="18">
        <v>3657.0</v>
      </c>
      <c r="B2137" s="18" t="s">
        <v>30</v>
      </c>
      <c r="C2137" s="18">
        <v>224.0</v>
      </c>
      <c r="D2137" s="18" t="s">
        <v>31</v>
      </c>
      <c r="E2137" s="27">
        <v>42564.80619212963</v>
      </c>
      <c r="F2137" s="19">
        <f>IFERROR(__xludf.DUMMYFUNCTION("IFERROR(TO_DATE(E2137), """")"),42564.80619212963)</f>
        <v>42564.80619</v>
      </c>
      <c r="G2137" s="20">
        <f t="shared" si="1"/>
        <v>19</v>
      </c>
      <c r="H2137" s="27">
        <v>42564.85627314815</v>
      </c>
      <c r="I2137" s="19">
        <f>IFERROR(__xludf.DUMMYFUNCTION("IFERROR(TO_DATE(H2137), """")"),42564.85627314815)</f>
        <v>42564.85627</v>
      </c>
      <c r="J2137" s="19" t="s">
        <v>12</v>
      </c>
      <c r="K2137" s="22">
        <f t="shared" si="2"/>
        <v>0</v>
      </c>
    </row>
    <row r="2138">
      <c r="A2138" s="18">
        <v>5032.0</v>
      </c>
      <c r="B2138" s="18" t="s">
        <v>32</v>
      </c>
      <c r="C2138" s="18">
        <v>224.0</v>
      </c>
      <c r="D2138" s="18" t="s">
        <v>31</v>
      </c>
      <c r="E2138" s="27">
        <v>42565.79702546296</v>
      </c>
      <c r="F2138" s="19">
        <f>IFERROR(__xludf.DUMMYFUNCTION("IFERROR(TO_DATE(E2138), """")"),42565.79702546296)</f>
        <v>42565.79703</v>
      </c>
      <c r="G2138" s="20">
        <f t="shared" si="1"/>
        <v>19</v>
      </c>
      <c r="H2138" s="27">
        <v>42565.82240740741</v>
      </c>
      <c r="I2138" s="19">
        <f>IFERROR(__xludf.DUMMYFUNCTION("IFERROR(TO_DATE(H2138), """")"),42565.82240740741)</f>
        <v>42565.82241</v>
      </c>
      <c r="J2138" s="19" t="s">
        <v>12</v>
      </c>
      <c r="K2138" s="22">
        <f t="shared" si="2"/>
        <v>0</v>
      </c>
    </row>
    <row r="2139">
      <c r="A2139" s="18">
        <v>6763.0</v>
      </c>
      <c r="B2139" s="18" t="s">
        <v>32</v>
      </c>
      <c r="C2139" s="18">
        <v>224.0</v>
      </c>
      <c r="D2139" s="18" t="s">
        <v>31</v>
      </c>
      <c r="E2139" s="27">
        <v>42566.003287037034</v>
      </c>
      <c r="F2139" s="19">
        <f>IFERROR(__xludf.DUMMYFUNCTION("IFERROR(TO_DATE(E2139), """")"),42566.003287037034)</f>
        <v>42566.00329</v>
      </c>
      <c r="G2139" s="20">
        <f t="shared" si="1"/>
        <v>0</v>
      </c>
      <c r="H2139" s="27">
        <v>42566.046319444446</v>
      </c>
      <c r="I2139" s="19">
        <f>IFERROR(__xludf.DUMMYFUNCTION("IFERROR(TO_DATE(H2139), """")"),42566.046319444446)</f>
        <v>42566.04632</v>
      </c>
      <c r="J2139" s="19" t="s">
        <v>15</v>
      </c>
      <c r="K2139" s="22">
        <f t="shared" si="2"/>
        <v>0</v>
      </c>
    </row>
    <row r="2140">
      <c r="A2140" s="18">
        <v>5649.0</v>
      </c>
      <c r="B2140" s="18" t="s">
        <v>30</v>
      </c>
      <c r="C2140" s="18">
        <v>224.0</v>
      </c>
      <c r="D2140" s="18" t="s">
        <v>31</v>
      </c>
      <c r="E2140" s="27">
        <v>42566.286087962966</v>
      </c>
      <c r="F2140" s="19">
        <f>IFERROR(__xludf.DUMMYFUNCTION("IFERROR(TO_DATE(E2140), """")"),42566.286087962966)</f>
        <v>42566.28609</v>
      </c>
      <c r="G2140" s="20">
        <f t="shared" si="1"/>
        <v>6</v>
      </c>
      <c r="H2140" s="27">
        <v>42566.322534722225</v>
      </c>
      <c r="I2140" s="19">
        <f>IFERROR(__xludf.DUMMYFUNCTION("IFERROR(TO_DATE(H2140), """")"),42566.322534722225)</f>
        <v>42566.32253</v>
      </c>
      <c r="J2140" s="19" t="s">
        <v>11</v>
      </c>
      <c r="K2140" s="22">
        <f t="shared" si="2"/>
        <v>0</v>
      </c>
    </row>
    <row r="2141">
      <c r="A2141" s="18">
        <v>6430.0</v>
      </c>
      <c r="B2141" s="18" t="s">
        <v>32</v>
      </c>
      <c r="C2141" s="18">
        <v>224.0</v>
      </c>
      <c r="D2141" s="18" t="s">
        <v>31</v>
      </c>
      <c r="E2141" s="27">
        <v>42566.82753472222</v>
      </c>
      <c r="F2141" s="19">
        <f>IFERROR(__xludf.DUMMYFUNCTION("IFERROR(TO_DATE(E2141), """")"),42566.82753472222)</f>
        <v>42566.82753</v>
      </c>
      <c r="G2141" s="20">
        <f t="shared" si="1"/>
        <v>19</v>
      </c>
      <c r="H2141" s="27">
        <v>42566.87228009259</v>
      </c>
      <c r="I2141" s="19">
        <f>IFERROR(__xludf.DUMMYFUNCTION("IFERROR(TO_DATE(H2141), """")"),42566.87228009259)</f>
        <v>42566.87228</v>
      </c>
      <c r="J2141" s="19" t="s">
        <v>12</v>
      </c>
      <c r="K2141" s="22">
        <f t="shared" si="2"/>
        <v>0</v>
      </c>
    </row>
    <row r="2142">
      <c r="A2142" s="18">
        <v>182.0</v>
      </c>
      <c r="B2142" s="18" t="s">
        <v>30</v>
      </c>
      <c r="C2142" s="18">
        <v>225.0</v>
      </c>
      <c r="D2142" s="18" t="s">
        <v>31</v>
      </c>
      <c r="E2142" s="26">
        <v>42562.240277777775</v>
      </c>
      <c r="F2142" s="19">
        <f>IFERROR(__xludf.DUMMYFUNCTION("IFERROR(TO_DATE(E2142), """")"),42562.240277777775)</f>
        <v>42562.24028</v>
      </c>
      <c r="G2142" s="20">
        <f t="shared" si="1"/>
        <v>5</v>
      </c>
      <c r="H2142" s="26">
        <v>42562.29027777778</v>
      </c>
      <c r="I2142" s="19">
        <f>IFERROR(__xludf.DUMMYFUNCTION("IFERROR(TO_DATE(H2142), """")"),42562.29027777778)</f>
        <v>42562.29028</v>
      </c>
      <c r="J2142" s="19" t="s">
        <v>11</v>
      </c>
      <c r="K2142" s="22">
        <f t="shared" si="2"/>
        <v>0</v>
      </c>
    </row>
    <row r="2143">
      <c r="A2143" s="18">
        <v>621.0</v>
      </c>
      <c r="B2143" s="18" t="s">
        <v>30</v>
      </c>
      <c r="C2143" s="18">
        <v>225.0</v>
      </c>
      <c r="D2143" s="18" t="s">
        <v>31</v>
      </c>
      <c r="E2143" s="26">
        <v>42562.50486111111</v>
      </c>
      <c r="F2143" s="19">
        <f>IFERROR(__xludf.DUMMYFUNCTION("IFERROR(TO_DATE(E2143), """")"),42562.50486111111)</f>
        <v>42562.50486</v>
      </c>
      <c r="G2143" s="20">
        <f t="shared" si="1"/>
        <v>12</v>
      </c>
      <c r="H2143" s="26">
        <v>42562.544444444444</v>
      </c>
      <c r="I2143" s="19">
        <f>IFERROR(__xludf.DUMMYFUNCTION("IFERROR(TO_DATE(H2143), """")"),42562.544444444444)</f>
        <v>42562.54444</v>
      </c>
      <c r="J2143" s="19" t="s">
        <v>10</v>
      </c>
      <c r="K2143" s="22">
        <f t="shared" si="2"/>
        <v>0</v>
      </c>
    </row>
    <row r="2144">
      <c r="A2144" s="18">
        <v>967.0</v>
      </c>
      <c r="B2144" s="18" t="s">
        <v>30</v>
      </c>
      <c r="C2144" s="18">
        <v>225.0</v>
      </c>
      <c r="D2144" s="18" t="s">
        <v>31</v>
      </c>
      <c r="E2144" s="26">
        <v>42562.77916666667</v>
      </c>
      <c r="F2144" s="19">
        <f>IFERROR(__xludf.DUMMYFUNCTION("IFERROR(TO_DATE(E2144), """")"),42562.77916666667)</f>
        <v>42562.77917</v>
      </c>
      <c r="G2144" s="20">
        <f t="shared" si="1"/>
        <v>18</v>
      </c>
      <c r="H2144" s="26">
        <v>42562.81458333333</v>
      </c>
      <c r="I2144" s="19">
        <f>IFERROR(__xludf.DUMMYFUNCTION("IFERROR(TO_DATE(H2144), """")"),42562.81458333333)</f>
        <v>42562.81458</v>
      </c>
      <c r="J2144" s="19" t="s">
        <v>12</v>
      </c>
      <c r="K2144" s="22">
        <f t="shared" si="2"/>
        <v>0</v>
      </c>
    </row>
    <row r="2145">
      <c r="A2145" s="18">
        <v>1422.0</v>
      </c>
      <c r="B2145" s="18" t="s">
        <v>30</v>
      </c>
      <c r="C2145" s="18">
        <v>225.0</v>
      </c>
      <c r="D2145" s="18" t="s">
        <v>31</v>
      </c>
      <c r="E2145" s="26">
        <v>42563.17152777778</v>
      </c>
      <c r="F2145" s="19">
        <f>IFERROR(__xludf.DUMMYFUNCTION("IFERROR(TO_DATE(E2145), """")"),42563.17152777778)</f>
        <v>42563.17153</v>
      </c>
      <c r="G2145" s="20">
        <f t="shared" si="1"/>
        <v>4</v>
      </c>
      <c r="H2145" s="26">
        <v>42563.22222222222</v>
      </c>
      <c r="I2145" s="19">
        <f>IFERROR(__xludf.DUMMYFUNCTION("IFERROR(TO_DATE(H2145), """")"),42563.22222222222)</f>
        <v>42563.22222</v>
      </c>
      <c r="J2145" s="19" t="s">
        <v>11</v>
      </c>
      <c r="K2145" s="22">
        <f t="shared" si="2"/>
        <v>0</v>
      </c>
    </row>
    <row r="2146">
      <c r="A2146" s="18">
        <v>1891.0</v>
      </c>
      <c r="B2146" s="18" t="s">
        <v>32</v>
      </c>
      <c r="C2146" s="18">
        <v>225.0</v>
      </c>
      <c r="D2146" s="18" t="s">
        <v>31</v>
      </c>
      <c r="E2146" s="26">
        <v>42563.42986111111</v>
      </c>
      <c r="F2146" s="19">
        <f>IFERROR(__xludf.DUMMYFUNCTION("IFERROR(TO_DATE(E2146), """")"),42563.42986111111)</f>
        <v>42563.42986</v>
      </c>
      <c r="G2146" s="20">
        <f t="shared" si="1"/>
        <v>10</v>
      </c>
      <c r="H2146" s="26">
        <v>42563.46875</v>
      </c>
      <c r="I2146" s="19">
        <f>IFERROR(__xludf.DUMMYFUNCTION("IFERROR(TO_DATE(H2146), """")"),42563.46875)</f>
        <v>42563.46875</v>
      </c>
      <c r="J2146" s="19" t="s">
        <v>14</v>
      </c>
      <c r="K2146" s="22">
        <f t="shared" si="2"/>
        <v>0</v>
      </c>
    </row>
    <row r="2147">
      <c r="A2147" s="18">
        <v>2307.0</v>
      </c>
      <c r="B2147" s="18" t="s">
        <v>32</v>
      </c>
      <c r="C2147" s="18">
        <v>225.0</v>
      </c>
      <c r="D2147" s="18" t="s">
        <v>31</v>
      </c>
      <c r="E2147" s="26">
        <v>42563.79027777778</v>
      </c>
      <c r="F2147" s="19">
        <f>IFERROR(__xludf.DUMMYFUNCTION("IFERROR(TO_DATE(E2147), """")"),42563.79027777778)</f>
        <v>42563.79028</v>
      </c>
      <c r="G2147" s="20">
        <f t="shared" si="1"/>
        <v>18</v>
      </c>
      <c r="H2147" s="26">
        <v>42563.825694444444</v>
      </c>
      <c r="I2147" s="19">
        <f>IFERROR(__xludf.DUMMYFUNCTION("IFERROR(TO_DATE(H2147), """")"),42563.825694444444)</f>
        <v>42563.82569</v>
      </c>
      <c r="J2147" s="19" t="s">
        <v>12</v>
      </c>
      <c r="K2147" s="22">
        <f t="shared" si="2"/>
        <v>0</v>
      </c>
    </row>
    <row r="2148">
      <c r="A2148" s="18">
        <v>3245.0</v>
      </c>
      <c r="B2148" s="18" t="s">
        <v>30</v>
      </c>
      <c r="C2148" s="18">
        <v>225.0</v>
      </c>
      <c r="D2148" s="18" t="s">
        <v>31</v>
      </c>
      <c r="E2148" s="27">
        <v>42564.422488425924</v>
      </c>
      <c r="F2148" s="19">
        <f>IFERROR(__xludf.DUMMYFUNCTION("IFERROR(TO_DATE(E2148), """")"),42564.422488425924)</f>
        <v>42564.42249</v>
      </c>
      <c r="G2148" s="20">
        <f t="shared" si="1"/>
        <v>10</v>
      </c>
      <c r="H2148" s="27">
        <v>42564.44798611111</v>
      </c>
      <c r="I2148" s="19">
        <f>IFERROR(__xludf.DUMMYFUNCTION("IFERROR(TO_DATE(H2148), """")"),42564.44798611111)</f>
        <v>42564.44799</v>
      </c>
      <c r="J2148" s="19" t="s">
        <v>14</v>
      </c>
      <c r="K2148" s="22">
        <f t="shared" si="2"/>
        <v>0</v>
      </c>
    </row>
    <row r="2149">
      <c r="A2149" s="18">
        <v>3319.0</v>
      </c>
      <c r="B2149" s="18" t="s">
        <v>30</v>
      </c>
      <c r="C2149" s="18">
        <v>225.0</v>
      </c>
      <c r="D2149" s="18" t="s">
        <v>31</v>
      </c>
      <c r="E2149" s="27">
        <v>42564.51199074074</v>
      </c>
      <c r="F2149" s="19">
        <f>IFERROR(__xludf.DUMMYFUNCTION("IFERROR(TO_DATE(E2149), """")"),42564.51199074074)</f>
        <v>42564.51199</v>
      </c>
      <c r="G2149" s="20">
        <f t="shared" si="1"/>
        <v>12</v>
      </c>
      <c r="H2149" s="27">
        <v>42564.54929398148</v>
      </c>
      <c r="I2149" s="19">
        <f>IFERROR(__xludf.DUMMYFUNCTION("IFERROR(TO_DATE(H2149), """")"),42564.54929398148)</f>
        <v>42564.54929</v>
      </c>
      <c r="J2149" s="19" t="s">
        <v>10</v>
      </c>
      <c r="K2149" s="22">
        <f t="shared" si="2"/>
        <v>0</v>
      </c>
    </row>
    <row r="2150">
      <c r="A2150" s="18">
        <v>3970.0</v>
      </c>
      <c r="B2150" s="18" t="s">
        <v>30</v>
      </c>
      <c r="C2150" s="18">
        <v>225.0</v>
      </c>
      <c r="D2150" s="18" t="s">
        <v>31</v>
      </c>
      <c r="E2150" s="27">
        <v>42564.956296296295</v>
      </c>
      <c r="F2150" s="19">
        <f>IFERROR(__xludf.DUMMYFUNCTION("IFERROR(TO_DATE(E2150), """")"),42564.956296296295)</f>
        <v>42564.9563</v>
      </c>
      <c r="G2150" s="20">
        <f t="shared" si="1"/>
        <v>22</v>
      </c>
      <c r="H2150" s="27">
        <v>42565.009409722225</v>
      </c>
      <c r="I2150" s="19">
        <f>IFERROR(__xludf.DUMMYFUNCTION("IFERROR(TO_DATE(H2150), """")"),42565.009409722225)</f>
        <v>42565.00941</v>
      </c>
      <c r="J2150" s="19" t="s">
        <v>13</v>
      </c>
      <c r="K2150" s="22">
        <f t="shared" si="2"/>
        <v>0</v>
      </c>
    </row>
    <row r="2151">
      <c r="A2151" s="18">
        <v>4303.0</v>
      </c>
      <c r="B2151" s="18" t="s">
        <v>32</v>
      </c>
      <c r="C2151" s="18">
        <v>225.0</v>
      </c>
      <c r="D2151" s="18" t="s">
        <v>31</v>
      </c>
      <c r="E2151" s="27">
        <v>42565.28089120371</v>
      </c>
      <c r="F2151" s="19">
        <f>IFERROR(__xludf.DUMMYFUNCTION("IFERROR(TO_DATE(E2151), """")"),42565.28089120371)</f>
        <v>42565.28089</v>
      </c>
      <c r="G2151" s="20">
        <f t="shared" si="1"/>
        <v>6</v>
      </c>
      <c r="H2151" s="27">
        <v>42565.320555555554</v>
      </c>
      <c r="I2151" s="19">
        <f>IFERROR(__xludf.DUMMYFUNCTION("IFERROR(TO_DATE(H2151), """")"),42565.320555555554)</f>
        <v>42565.32056</v>
      </c>
      <c r="J2151" s="19" t="s">
        <v>11</v>
      </c>
      <c r="K2151" s="22">
        <f t="shared" si="2"/>
        <v>0</v>
      </c>
    </row>
    <row r="2152">
      <c r="A2152" s="18">
        <v>5358.0</v>
      </c>
      <c r="B2152" s="18" t="s">
        <v>30</v>
      </c>
      <c r="C2152" s="18">
        <v>225.0</v>
      </c>
      <c r="D2152" s="18" t="s">
        <v>31</v>
      </c>
      <c r="E2152" s="27">
        <v>42565.97037037037</v>
      </c>
      <c r="F2152" s="19">
        <f>IFERROR(__xludf.DUMMYFUNCTION("IFERROR(TO_DATE(E2152), """")"),42565.97037037037)</f>
        <v>42565.97037</v>
      </c>
      <c r="G2152" s="20">
        <f t="shared" si="1"/>
        <v>23</v>
      </c>
      <c r="H2152" s="27">
        <v>42566.002384259256</v>
      </c>
      <c r="I2152" s="19">
        <f>IFERROR(__xludf.DUMMYFUNCTION("IFERROR(TO_DATE(H2152), """")"),42566.002384259256)</f>
        <v>42566.00238</v>
      </c>
      <c r="J2152" s="19" t="s">
        <v>13</v>
      </c>
      <c r="K2152" s="22">
        <f t="shared" si="2"/>
        <v>0</v>
      </c>
    </row>
    <row r="2153">
      <c r="A2153" s="18">
        <v>5793.0</v>
      </c>
      <c r="B2153" s="18" t="s">
        <v>30</v>
      </c>
      <c r="C2153" s="18">
        <v>225.0</v>
      </c>
      <c r="D2153" s="18" t="s">
        <v>31</v>
      </c>
      <c r="E2153" s="27">
        <v>42566.36038194445</v>
      </c>
      <c r="F2153" s="19">
        <f>IFERROR(__xludf.DUMMYFUNCTION("IFERROR(TO_DATE(E2153), """")"),42566.36038194445)</f>
        <v>42566.36038</v>
      </c>
      <c r="G2153" s="20">
        <f t="shared" si="1"/>
        <v>8</v>
      </c>
      <c r="H2153" s="27">
        <v>42566.40412037037</v>
      </c>
      <c r="I2153" s="19">
        <f>IFERROR(__xludf.DUMMYFUNCTION("IFERROR(TO_DATE(H2153), """")"),42566.40412037037)</f>
        <v>42566.40412</v>
      </c>
      <c r="J2153" s="19" t="s">
        <v>14</v>
      </c>
      <c r="K2153" s="22">
        <f t="shared" si="2"/>
        <v>0</v>
      </c>
    </row>
    <row r="2154">
      <c r="A2154" s="18">
        <v>6203.0</v>
      </c>
      <c r="B2154" s="18" t="s">
        <v>30</v>
      </c>
      <c r="C2154" s="18">
        <v>225.0</v>
      </c>
      <c r="D2154" s="18" t="s">
        <v>31</v>
      </c>
      <c r="E2154" s="27">
        <v>42566.72211805556</v>
      </c>
      <c r="F2154" s="19">
        <f>IFERROR(__xludf.DUMMYFUNCTION("IFERROR(TO_DATE(E2154), """")"),42566.72211805556)</f>
        <v>42566.72212</v>
      </c>
      <c r="G2154" s="20">
        <f t="shared" si="1"/>
        <v>17</v>
      </c>
      <c r="H2154" s="27">
        <v>42566.75619212963</v>
      </c>
      <c r="I2154" s="19">
        <f>IFERROR(__xludf.DUMMYFUNCTION("IFERROR(TO_DATE(H2154), """")"),42566.75619212963)</f>
        <v>42566.75619</v>
      </c>
      <c r="J2154" s="19" t="s">
        <v>12</v>
      </c>
      <c r="K2154" s="22">
        <f t="shared" si="2"/>
        <v>0</v>
      </c>
    </row>
    <row r="2155">
      <c r="A2155" s="18">
        <v>642.0</v>
      </c>
      <c r="B2155" s="18" t="s">
        <v>32</v>
      </c>
      <c r="C2155" s="18">
        <v>226.0</v>
      </c>
      <c r="D2155" s="18" t="s">
        <v>31</v>
      </c>
      <c r="E2155" s="26">
        <v>42562.52361111111</v>
      </c>
      <c r="F2155" s="19">
        <f>IFERROR(__xludf.DUMMYFUNCTION("IFERROR(TO_DATE(E2155), """")"),42562.52361111111)</f>
        <v>42562.52361</v>
      </c>
      <c r="G2155" s="20">
        <f t="shared" si="1"/>
        <v>12</v>
      </c>
      <c r="H2155" s="26">
        <v>42562.57708333333</v>
      </c>
      <c r="I2155" s="19">
        <f>IFERROR(__xludf.DUMMYFUNCTION("IFERROR(TO_DATE(H2155), """")"),42562.57708333333)</f>
        <v>42562.57708</v>
      </c>
      <c r="J2155" s="19" t="s">
        <v>10</v>
      </c>
      <c r="K2155" s="22">
        <f t="shared" si="2"/>
        <v>0</v>
      </c>
    </row>
    <row r="2156">
      <c r="A2156" s="18">
        <v>1119.0</v>
      </c>
      <c r="B2156" s="18" t="s">
        <v>30</v>
      </c>
      <c r="C2156" s="18">
        <v>226.0</v>
      </c>
      <c r="D2156" s="18" t="s">
        <v>31</v>
      </c>
      <c r="E2156" s="26">
        <v>42562.85486111111</v>
      </c>
      <c r="F2156" s="19">
        <f>IFERROR(__xludf.DUMMYFUNCTION("IFERROR(TO_DATE(E2156), """")"),42562.85486111111)</f>
        <v>42562.85486</v>
      </c>
      <c r="G2156" s="20">
        <f t="shared" si="1"/>
        <v>20</v>
      </c>
      <c r="H2156" s="26">
        <v>42562.88402777778</v>
      </c>
      <c r="I2156" s="19">
        <f>IFERROR(__xludf.DUMMYFUNCTION("IFERROR(TO_DATE(H2156), """")"),42562.88402777778)</f>
        <v>42562.88403</v>
      </c>
      <c r="J2156" s="19" t="s">
        <v>13</v>
      </c>
      <c r="K2156" s="22">
        <f t="shared" si="2"/>
        <v>0</v>
      </c>
    </row>
    <row r="2157">
      <c r="A2157" s="18">
        <v>1861.0</v>
      </c>
      <c r="B2157" s="18" t="s">
        <v>32</v>
      </c>
      <c r="C2157" s="18">
        <v>226.0</v>
      </c>
      <c r="D2157" s="18" t="s">
        <v>31</v>
      </c>
      <c r="E2157" s="26">
        <v>42563.41388888889</v>
      </c>
      <c r="F2157" s="19">
        <f>IFERROR(__xludf.DUMMYFUNCTION("IFERROR(TO_DATE(E2157), """")"),42563.41388888889)</f>
        <v>42563.41389</v>
      </c>
      <c r="G2157" s="20">
        <f t="shared" si="1"/>
        <v>9</v>
      </c>
      <c r="H2157" s="26">
        <v>42563.44027777778</v>
      </c>
      <c r="I2157" s="19">
        <f>IFERROR(__xludf.DUMMYFUNCTION("IFERROR(TO_DATE(H2157), """")"),42563.44027777778)</f>
        <v>42563.44028</v>
      </c>
      <c r="J2157" s="19" t="s">
        <v>14</v>
      </c>
      <c r="K2157" s="22">
        <f t="shared" si="2"/>
        <v>0</v>
      </c>
    </row>
    <row r="2158">
      <c r="A2158" s="18">
        <v>2168.0</v>
      </c>
      <c r="B2158" s="18" t="s">
        <v>30</v>
      </c>
      <c r="C2158" s="18">
        <v>226.0</v>
      </c>
      <c r="D2158" s="18" t="s">
        <v>31</v>
      </c>
      <c r="E2158" s="26">
        <v>42563.728472222225</v>
      </c>
      <c r="F2158" s="19">
        <f>IFERROR(__xludf.DUMMYFUNCTION("IFERROR(TO_DATE(E2158), """")"),42563.728472222225)</f>
        <v>42563.72847</v>
      </c>
      <c r="G2158" s="20">
        <f t="shared" si="1"/>
        <v>17</v>
      </c>
      <c r="H2158" s="26">
        <v>42563.77222222222</v>
      </c>
      <c r="I2158" s="19">
        <f>IFERROR(__xludf.DUMMYFUNCTION("IFERROR(TO_DATE(H2158), """")"),42563.77222222222)</f>
        <v>42563.77222</v>
      </c>
      <c r="J2158" s="19" t="s">
        <v>12</v>
      </c>
      <c r="K2158" s="22">
        <f t="shared" si="2"/>
        <v>0</v>
      </c>
    </row>
    <row r="2159">
      <c r="A2159" s="18">
        <v>2853.0</v>
      </c>
      <c r="B2159" s="18" t="s">
        <v>30</v>
      </c>
      <c r="C2159" s="18">
        <v>226.0</v>
      </c>
      <c r="D2159" s="18" t="s">
        <v>31</v>
      </c>
      <c r="E2159" s="27">
        <v>42564.23384259259</v>
      </c>
      <c r="F2159" s="19">
        <f>IFERROR(__xludf.DUMMYFUNCTION("IFERROR(TO_DATE(E2159), """")"),42564.23384259259)</f>
        <v>42564.23384</v>
      </c>
      <c r="G2159" s="20">
        <f t="shared" si="1"/>
        <v>5</v>
      </c>
      <c r="H2159" s="27">
        <v>42564.26787037037</v>
      </c>
      <c r="I2159" s="19">
        <f>IFERROR(__xludf.DUMMYFUNCTION("IFERROR(TO_DATE(H2159), """")"),42564.26787037037)</f>
        <v>42564.26787</v>
      </c>
      <c r="J2159" s="19" t="s">
        <v>11</v>
      </c>
      <c r="K2159" s="22">
        <f t="shared" si="2"/>
        <v>0</v>
      </c>
    </row>
    <row r="2160">
      <c r="A2160" s="18">
        <v>3299.0</v>
      </c>
      <c r="B2160" s="18" t="s">
        <v>32</v>
      </c>
      <c r="C2160" s="18">
        <v>226.0</v>
      </c>
      <c r="D2160" s="18" t="s">
        <v>31</v>
      </c>
      <c r="E2160" s="27">
        <v>42564.48899305556</v>
      </c>
      <c r="F2160" s="19">
        <f>IFERROR(__xludf.DUMMYFUNCTION("IFERROR(TO_DATE(E2160), """")"),42564.48899305556)</f>
        <v>42564.48899</v>
      </c>
      <c r="G2160" s="20">
        <f t="shared" si="1"/>
        <v>11</v>
      </c>
      <c r="H2160" s="27">
        <v>42564.51445601852</v>
      </c>
      <c r="I2160" s="19">
        <f>IFERROR(__xludf.DUMMYFUNCTION("IFERROR(TO_DATE(H2160), """")"),42564.51445601852)</f>
        <v>42564.51446</v>
      </c>
      <c r="J2160" s="19" t="s">
        <v>14</v>
      </c>
      <c r="K2160" s="22">
        <f t="shared" si="2"/>
        <v>0</v>
      </c>
    </row>
    <row r="2161">
      <c r="A2161" s="18">
        <v>4285.0</v>
      </c>
      <c r="B2161" s="18" t="s">
        <v>32</v>
      </c>
      <c r="C2161" s="18">
        <v>226.0</v>
      </c>
      <c r="D2161" s="18" t="s">
        <v>31</v>
      </c>
      <c r="E2161" s="27">
        <v>42565.273460648146</v>
      </c>
      <c r="F2161" s="19">
        <f>IFERROR(__xludf.DUMMYFUNCTION("IFERROR(TO_DATE(E2161), """")"),42565.273460648146)</f>
        <v>42565.27346</v>
      </c>
      <c r="G2161" s="20">
        <f t="shared" si="1"/>
        <v>6</v>
      </c>
      <c r="H2161" s="27">
        <v>42565.32349537037</v>
      </c>
      <c r="I2161" s="19">
        <f>IFERROR(__xludf.DUMMYFUNCTION("IFERROR(TO_DATE(H2161), """")"),42565.32349537037)</f>
        <v>42565.3235</v>
      </c>
      <c r="J2161" s="19" t="s">
        <v>11</v>
      </c>
      <c r="K2161" s="22">
        <f t="shared" si="2"/>
        <v>0</v>
      </c>
    </row>
    <row r="2162">
      <c r="A2162" s="18">
        <v>5210.0</v>
      </c>
      <c r="B2162" s="18" t="s">
        <v>32</v>
      </c>
      <c r="C2162" s="18">
        <v>226.0</v>
      </c>
      <c r="D2162" s="18" t="s">
        <v>31</v>
      </c>
      <c r="E2162" s="27">
        <v>42565.87258101852</v>
      </c>
      <c r="F2162" s="19">
        <f>IFERROR(__xludf.DUMMYFUNCTION("IFERROR(TO_DATE(E2162), """")"),42565.87258101852)</f>
        <v>42565.87258</v>
      </c>
      <c r="G2162" s="20">
        <f t="shared" si="1"/>
        <v>20</v>
      </c>
      <c r="H2162" s="27">
        <v>42565.922372685185</v>
      </c>
      <c r="I2162" s="19">
        <f>IFERROR(__xludf.DUMMYFUNCTION("IFERROR(TO_DATE(H2162), """")"),42565.922372685185)</f>
        <v>42565.92237</v>
      </c>
      <c r="J2162" s="19" t="s">
        <v>13</v>
      </c>
      <c r="K2162" s="22">
        <f t="shared" si="2"/>
        <v>0</v>
      </c>
    </row>
    <row r="2163">
      <c r="A2163" s="18">
        <v>5400.0</v>
      </c>
      <c r="B2163" s="18" t="s">
        <v>30</v>
      </c>
      <c r="C2163" s="18">
        <v>226.0</v>
      </c>
      <c r="D2163" s="18" t="s">
        <v>31</v>
      </c>
      <c r="E2163" s="27">
        <v>42566.04537037037</v>
      </c>
      <c r="F2163" s="19">
        <f>IFERROR(__xludf.DUMMYFUNCTION("IFERROR(TO_DATE(E2163), """")"),42566.04537037037)</f>
        <v>42566.04537</v>
      </c>
      <c r="G2163" s="20">
        <f t="shared" si="1"/>
        <v>1</v>
      </c>
      <c r="H2163" s="27">
        <v>42566.086168981485</v>
      </c>
      <c r="I2163" s="19">
        <f>IFERROR(__xludf.DUMMYFUNCTION("IFERROR(TO_DATE(H2163), """")"),42566.086168981485)</f>
        <v>42566.08617</v>
      </c>
      <c r="J2163" s="19" t="s">
        <v>15</v>
      </c>
      <c r="K2163" s="22">
        <f t="shared" si="2"/>
        <v>0</v>
      </c>
    </row>
    <row r="2164">
      <c r="A2164" s="18">
        <v>5553.0</v>
      </c>
      <c r="B2164" s="18" t="s">
        <v>30</v>
      </c>
      <c r="C2164" s="18">
        <v>226.0</v>
      </c>
      <c r="D2164" s="18" t="s">
        <v>31</v>
      </c>
      <c r="E2164" s="27">
        <v>42566.23217592593</v>
      </c>
      <c r="F2164" s="19">
        <f>IFERROR(__xludf.DUMMYFUNCTION("IFERROR(TO_DATE(E2164), """")"),42566.23217592593)</f>
        <v>42566.23218</v>
      </c>
      <c r="G2164" s="20">
        <f t="shared" si="1"/>
        <v>5</v>
      </c>
      <c r="H2164" s="27">
        <v>42566.26320601852</v>
      </c>
      <c r="I2164" s="19">
        <f>IFERROR(__xludf.DUMMYFUNCTION("IFERROR(TO_DATE(H2164), """")"),42566.26320601852)</f>
        <v>42566.26321</v>
      </c>
      <c r="J2164" s="19" t="s">
        <v>11</v>
      </c>
      <c r="K2164" s="22">
        <f t="shared" si="2"/>
        <v>0</v>
      </c>
    </row>
    <row r="2165">
      <c r="A2165" s="18">
        <v>6031.0</v>
      </c>
      <c r="B2165" s="18" t="s">
        <v>30</v>
      </c>
      <c r="C2165" s="18">
        <v>226.0</v>
      </c>
      <c r="D2165" s="18" t="s">
        <v>31</v>
      </c>
      <c r="E2165" s="27">
        <v>42566.53710648148</v>
      </c>
      <c r="F2165" s="19">
        <f>IFERROR(__xludf.DUMMYFUNCTION("IFERROR(TO_DATE(E2165), """")"),42566.53710648148)</f>
        <v>42566.53711</v>
      </c>
      <c r="G2165" s="20">
        <f t="shared" si="1"/>
        <v>12</v>
      </c>
      <c r="H2165" s="27">
        <v>42566.57769675926</v>
      </c>
      <c r="I2165" s="19">
        <f>IFERROR(__xludf.DUMMYFUNCTION("IFERROR(TO_DATE(H2165), """")"),42566.57769675926)</f>
        <v>42566.5777</v>
      </c>
      <c r="J2165" s="19" t="s">
        <v>10</v>
      </c>
      <c r="K2165" s="22">
        <f t="shared" si="2"/>
        <v>0</v>
      </c>
    </row>
    <row r="2166">
      <c r="A2166" s="18">
        <v>919.0</v>
      </c>
      <c r="B2166" s="18" t="s">
        <v>30</v>
      </c>
      <c r="C2166" s="18">
        <v>227.0</v>
      </c>
      <c r="D2166" s="18" t="s">
        <v>31</v>
      </c>
      <c r="E2166" s="26">
        <v>42562.76736111111</v>
      </c>
      <c r="F2166" s="19">
        <f>IFERROR(__xludf.DUMMYFUNCTION("IFERROR(TO_DATE(E2166), """")"),42562.76736111111)</f>
        <v>42562.76736</v>
      </c>
      <c r="G2166" s="20">
        <f t="shared" si="1"/>
        <v>18</v>
      </c>
      <c r="H2166" s="26">
        <v>42562.79375</v>
      </c>
      <c r="I2166" s="19">
        <f>IFERROR(__xludf.DUMMYFUNCTION("IFERROR(TO_DATE(H2166), """")"),42562.79375)</f>
        <v>42562.79375</v>
      </c>
      <c r="J2166" s="19" t="s">
        <v>12</v>
      </c>
      <c r="K2166" s="22">
        <f t="shared" si="2"/>
        <v>0</v>
      </c>
    </row>
    <row r="2167">
      <c r="A2167" s="18">
        <v>1097.0</v>
      </c>
      <c r="B2167" s="18" t="s">
        <v>32</v>
      </c>
      <c r="C2167" s="18">
        <v>227.0</v>
      </c>
      <c r="D2167" s="18" t="s">
        <v>31</v>
      </c>
      <c r="E2167" s="26">
        <v>42562.84097222222</v>
      </c>
      <c r="F2167" s="19">
        <f>IFERROR(__xludf.DUMMYFUNCTION("IFERROR(TO_DATE(E2167), """")"),42562.84097222222)</f>
        <v>42562.84097</v>
      </c>
      <c r="G2167" s="20">
        <f t="shared" si="1"/>
        <v>20</v>
      </c>
      <c r="H2167" s="26">
        <v>42562.876388888886</v>
      </c>
      <c r="I2167" s="19">
        <f>IFERROR(__xludf.DUMMYFUNCTION("IFERROR(TO_DATE(H2167), """")"),42562.876388888886)</f>
        <v>42562.87639</v>
      </c>
      <c r="J2167" s="19" t="s">
        <v>13</v>
      </c>
      <c r="K2167" s="22">
        <f t="shared" si="2"/>
        <v>0</v>
      </c>
    </row>
    <row r="2168">
      <c r="A2168" s="18">
        <v>1447.0</v>
      </c>
      <c r="B2168" s="18" t="s">
        <v>30</v>
      </c>
      <c r="C2168" s="18">
        <v>227.0</v>
      </c>
      <c r="D2168" s="18" t="s">
        <v>31</v>
      </c>
      <c r="E2168" s="26">
        <v>42563.19861111111</v>
      </c>
      <c r="F2168" s="19">
        <f>IFERROR(__xludf.DUMMYFUNCTION("IFERROR(TO_DATE(E2168), """")"),42563.19861111111)</f>
        <v>42563.19861</v>
      </c>
      <c r="G2168" s="20">
        <f t="shared" si="1"/>
        <v>4</v>
      </c>
      <c r="H2168" s="26">
        <v>42563.225694444445</v>
      </c>
      <c r="I2168" s="19">
        <f>IFERROR(__xludf.DUMMYFUNCTION("IFERROR(TO_DATE(H2168), """")"),42563.225694444445)</f>
        <v>42563.22569</v>
      </c>
      <c r="J2168" s="19" t="s">
        <v>11</v>
      </c>
      <c r="K2168" s="22">
        <f t="shared" si="2"/>
        <v>0</v>
      </c>
    </row>
    <row r="2169">
      <c r="A2169" s="18">
        <v>2105.0</v>
      </c>
      <c r="B2169" s="18" t="s">
        <v>32</v>
      </c>
      <c r="C2169" s="18">
        <v>227.0</v>
      </c>
      <c r="D2169" s="18" t="s">
        <v>31</v>
      </c>
      <c r="E2169" s="26">
        <v>42563.67222222222</v>
      </c>
      <c r="F2169" s="19">
        <f>IFERROR(__xludf.DUMMYFUNCTION("IFERROR(TO_DATE(E2169), """")"),42563.67222222222)</f>
        <v>42563.67222</v>
      </c>
      <c r="G2169" s="20">
        <f t="shared" si="1"/>
        <v>16</v>
      </c>
      <c r="H2169" s="26">
        <v>42563.72361111111</v>
      </c>
      <c r="I2169" s="19">
        <f>IFERROR(__xludf.DUMMYFUNCTION("IFERROR(TO_DATE(H2169), """")"),42563.72361111111)</f>
        <v>42563.72361</v>
      </c>
      <c r="J2169" s="19" t="s">
        <v>12</v>
      </c>
      <c r="K2169" s="22">
        <f t="shared" si="2"/>
        <v>0</v>
      </c>
    </row>
    <row r="2170">
      <c r="A2170" s="18">
        <v>2598.0</v>
      </c>
      <c r="B2170" s="18" t="s">
        <v>30</v>
      </c>
      <c r="C2170" s="18">
        <v>227.0</v>
      </c>
      <c r="D2170" s="18" t="s">
        <v>31</v>
      </c>
      <c r="E2170" s="26">
        <v>42563.90972222222</v>
      </c>
      <c r="F2170" s="19">
        <f>IFERROR(__xludf.DUMMYFUNCTION("IFERROR(TO_DATE(E2170), """")"),42563.90972222222)</f>
        <v>42563.90972</v>
      </c>
      <c r="G2170" s="20">
        <f t="shared" si="1"/>
        <v>21</v>
      </c>
      <c r="H2170" s="26">
        <v>42563.93125</v>
      </c>
      <c r="I2170" s="19">
        <f>IFERROR(__xludf.DUMMYFUNCTION("IFERROR(TO_DATE(H2170), """")"),42563.93125)</f>
        <v>42563.93125</v>
      </c>
      <c r="J2170" s="19" t="s">
        <v>13</v>
      </c>
      <c r="K2170" s="22">
        <f t="shared" si="2"/>
        <v>0</v>
      </c>
    </row>
    <row r="2171">
      <c r="A2171" s="18">
        <v>3469.0</v>
      </c>
      <c r="B2171" s="18" t="s">
        <v>30</v>
      </c>
      <c r="C2171" s="18">
        <v>227.0</v>
      </c>
      <c r="D2171" s="18" t="s">
        <v>31</v>
      </c>
      <c r="E2171" s="27">
        <v>42564.7184375</v>
      </c>
      <c r="F2171" s="19">
        <f>IFERROR(__xludf.DUMMYFUNCTION("IFERROR(TO_DATE(E2171), """")"),42564.7184375)</f>
        <v>42564.71844</v>
      </c>
      <c r="G2171" s="20">
        <f t="shared" si="1"/>
        <v>17</v>
      </c>
      <c r="H2171" s="27">
        <v>42564.76291666667</v>
      </c>
      <c r="I2171" s="19">
        <f>IFERROR(__xludf.DUMMYFUNCTION("IFERROR(TO_DATE(H2171), """")"),42564.76291666667)</f>
        <v>42564.76292</v>
      </c>
      <c r="J2171" s="19" t="s">
        <v>12</v>
      </c>
      <c r="K2171" s="22">
        <f t="shared" si="2"/>
        <v>0</v>
      </c>
    </row>
    <row r="2172">
      <c r="A2172" s="18">
        <v>3932.0</v>
      </c>
      <c r="B2172" s="18" t="s">
        <v>30</v>
      </c>
      <c r="C2172" s="18">
        <v>227.0</v>
      </c>
      <c r="D2172" s="18" t="s">
        <v>31</v>
      </c>
      <c r="E2172" s="27">
        <v>42564.932916666665</v>
      </c>
      <c r="F2172" s="19">
        <f>IFERROR(__xludf.DUMMYFUNCTION("IFERROR(TO_DATE(E2172), """")"),42564.932916666665)</f>
        <v>42564.93292</v>
      </c>
      <c r="G2172" s="20">
        <f t="shared" si="1"/>
        <v>22</v>
      </c>
      <c r="H2172" s="27">
        <v>42564.981990740744</v>
      </c>
      <c r="I2172" s="19">
        <f>IFERROR(__xludf.DUMMYFUNCTION("IFERROR(TO_DATE(H2172), """")"),42564.981990740744)</f>
        <v>42564.98199</v>
      </c>
      <c r="J2172" s="19" t="s">
        <v>13</v>
      </c>
      <c r="K2172" s="22">
        <f t="shared" si="2"/>
        <v>0</v>
      </c>
    </row>
    <row r="2173">
      <c r="A2173" s="18">
        <v>5344.0</v>
      </c>
      <c r="B2173" s="18" t="s">
        <v>30</v>
      </c>
      <c r="C2173" s="18">
        <v>227.0</v>
      </c>
      <c r="D2173" s="18" t="s">
        <v>31</v>
      </c>
      <c r="E2173" s="27">
        <v>42565.94295138889</v>
      </c>
      <c r="F2173" s="19">
        <f>IFERROR(__xludf.DUMMYFUNCTION("IFERROR(TO_DATE(E2173), """")"),42565.94295138889)</f>
        <v>42565.94295</v>
      </c>
      <c r="G2173" s="20">
        <f t="shared" si="1"/>
        <v>22</v>
      </c>
      <c r="H2173" s="27">
        <v>42565.98280092593</v>
      </c>
      <c r="I2173" s="19">
        <f>IFERROR(__xludf.DUMMYFUNCTION("IFERROR(TO_DATE(H2173), """")"),42565.98280092593)</f>
        <v>42565.9828</v>
      </c>
      <c r="J2173" s="19" t="s">
        <v>13</v>
      </c>
      <c r="K2173" s="22">
        <f t="shared" si="2"/>
        <v>0</v>
      </c>
    </row>
    <row r="2174">
      <c r="A2174" s="18">
        <v>6707.0</v>
      </c>
      <c r="B2174" s="18" t="s">
        <v>30</v>
      </c>
      <c r="C2174" s="18">
        <v>227.0</v>
      </c>
      <c r="D2174" s="18" t="s">
        <v>31</v>
      </c>
      <c r="E2174" s="27">
        <v>42566.95680555556</v>
      </c>
      <c r="F2174" s="19">
        <f>IFERROR(__xludf.DUMMYFUNCTION("IFERROR(TO_DATE(E2174), """")"),42566.95680555556)</f>
        <v>42566.95681</v>
      </c>
      <c r="G2174" s="20">
        <f t="shared" si="1"/>
        <v>22</v>
      </c>
      <c r="H2174" s="27">
        <v>42567.009675925925</v>
      </c>
      <c r="I2174" s="19">
        <f>IFERROR(__xludf.DUMMYFUNCTION("IFERROR(TO_DATE(H2174), """")"),42567.009675925925)</f>
        <v>42567.00968</v>
      </c>
      <c r="J2174" s="19" t="s">
        <v>13</v>
      </c>
      <c r="K2174" s="22">
        <f t="shared" si="2"/>
        <v>0</v>
      </c>
    </row>
    <row r="2175">
      <c r="A2175" s="18">
        <v>10.0</v>
      </c>
      <c r="B2175" s="18" t="s">
        <v>32</v>
      </c>
      <c r="C2175" s="18">
        <v>228.0</v>
      </c>
      <c r="D2175" s="18" t="s">
        <v>31</v>
      </c>
      <c r="E2175" s="26">
        <v>42562.0375</v>
      </c>
      <c r="F2175" s="19">
        <f>IFERROR(__xludf.DUMMYFUNCTION("IFERROR(TO_DATE(E2175), """")"),42562.0375)</f>
        <v>42562.0375</v>
      </c>
      <c r="G2175" s="20">
        <f t="shared" si="1"/>
        <v>0</v>
      </c>
      <c r="H2175" s="26">
        <v>42562.08263888889</v>
      </c>
      <c r="I2175" s="19">
        <f>IFERROR(__xludf.DUMMYFUNCTION("IFERROR(TO_DATE(H2175), """")"),42562.08263888889)</f>
        <v>42562.08264</v>
      </c>
      <c r="J2175" s="19" t="s">
        <v>15</v>
      </c>
      <c r="K2175" s="22">
        <f t="shared" si="2"/>
        <v>0</v>
      </c>
    </row>
    <row r="2176">
      <c r="A2176" s="18">
        <v>387.0</v>
      </c>
      <c r="B2176" s="18" t="s">
        <v>30</v>
      </c>
      <c r="C2176" s="18">
        <v>228.0</v>
      </c>
      <c r="D2176" s="18" t="s">
        <v>31</v>
      </c>
      <c r="E2176" s="26">
        <v>42562.34652777778</v>
      </c>
      <c r="F2176" s="19">
        <f>IFERROR(__xludf.DUMMYFUNCTION("IFERROR(TO_DATE(E2176), """")"),42562.34652777778)</f>
        <v>42562.34653</v>
      </c>
      <c r="G2176" s="20">
        <f t="shared" si="1"/>
        <v>8</v>
      </c>
      <c r="H2176" s="26">
        <v>42562.37986111111</v>
      </c>
      <c r="I2176" s="19">
        <f>IFERROR(__xludf.DUMMYFUNCTION("IFERROR(TO_DATE(H2176), """")"),42562.37986111111)</f>
        <v>42562.37986</v>
      </c>
      <c r="J2176" s="19" t="s">
        <v>14</v>
      </c>
      <c r="K2176" s="22">
        <f t="shared" si="2"/>
        <v>0</v>
      </c>
    </row>
    <row r="2177">
      <c r="A2177" s="18">
        <v>586.0</v>
      </c>
      <c r="B2177" s="18" t="s">
        <v>32</v>
      </c>
      <c r="C2177" s="18">
        <v>228.0</v>
      </c>
      <c r="D2177" s="18" t="s">
        <v>31</v>
      </c>
      <c r="E2177" s="26">
        <v>42562.467361111114</v>
      </c>
      <c r="F2177" s="19">
        <f>IFERROR(__xludf.DUMMYFUNCTION("IFERROR(TO_DATE(E2177), """")"),42562.467361111114)</f>
        <v>42562.46736</v>
      </c>
      <c r="G2177" s="20">
        <f t="shared" si="1"/>
        <v>11</v>
      </c>
      <c r="H2177" s="26">
        <v>42562.49375</v>
      </c>
      <c r="I2177" s="19">
        <f>IFERROR(__xludf.DUMMYFUNCTION("IFERROR(TO_DATE(H2177), """")"),42562.49375)</f>
        <v>42562.49375</v>
      </c>
      <c r="J2177" s="19" t="s">
        <v>14</v>
      </c>
      <c r="K2177" s="22">
        <f t="shared" si="2"/>
        <v>0</v>
      </c>
    </row>
    <row r="2178">
      <c r="A2178" s="18">
        <v>710.0</v>
      </c>
      <c r="B2178" s="18" t="s">
        <v>32</v>
      </c>
      <c r="C2178" s="18">
        <v>228.0</v>
      </c>
      <c r="D2178" s="18" t="s">
        <v>31</v>
      </c>
      <c r="E2178" s="26">
        <v>42562.592361111114</v>
      </c>
      <c r="F2178" s="19">
        <f>IFERROR(__xludf.DUMMYFUNCTION("IFERROR(TO_DATE(E2178), """")"),42562.592361111114)</f>
        <v>42562.59236</v>
      </c>
      <c r="G2178" s="20">
        <f t="shared" si="1"/>
        <v>14</v>
      </c>
      <c r="H2178" s="26">
        <v>42562.63263888889</v>
      </c>
      <c r="I2178" s="19">
        <f>IFERROR(__xludf.DUMMYFUNCTION("IFERROR(TO_DATE(H2178), """")"),42562.63263888889)</f>
        <v>42562.63264</v>
      </c>
      <c r="J2178" s="19" t="s">
        <v>10</v>
      </c>
      <c r="K2178" s="22">
        <f t="shared" si="2"/>
        <v>0</v>
      </c>
    </row>
    <row r="2179">
      <c r="A2179" s="18">
        <v>1658.0</v>
      </c>
      <c r="B2179" s="18" t="s">
        <v>30</v>
      </c>
      <c r="C2179" s="18">
        <v>228.0</v>
      </c>
      <c r="D2179" s="18" t="s">
        <v>31</v>
      </c>
      <c r="E2179" s="26">
        <v>42563.31180555555</v>
      </c>
      <c r="F2179" s="19">
        <f>IFERROR(__xludf.DUMMYFUNCTION("IFERROR(TO_DATE(E2179), """")"),42563.31180555555)</f>
        <v>42563.31181</v>
      </c>
      <c r="G2179" s="20">
        <f t="shared" si="1"/>
        <v>7</v>
      </c>
      <c r="H2179" s="26">
        <v>42563.36041666667</v>
      </c>
      <c r="I2179" s="19">
        <f>IFERROR(__xludf.DUMMYFUNCTION("IFERROR(TO_DATE(H2179), """")"),42563.36041666667)</f>
        <v>42563.36042</v>
      </c>
      <c r="J2179" s="19" t="s">
        <v>11</v>
      </c>
      <c r="K2179" s="22">
        <f t="shared" si="2"/>
        <v>0</v>
      </c>
    </row>
    <row r="2180">
      <c r="A2180" s="18">
        <v>2227.0</v>
      </c>
      <c r="B2180" s="18" t="s">
        <v>32</v>
      </c>
      <c r="C2180" s="18">
        <v>228.0</v>
      </c>
      <c r="D2180" s="18" t="s">
        <v>31</v>
      </c>
      <c r="E2180" s="26">
        <v>42563.75555555556</v>
      </c>
      <c r="F2180" s="19">
        <f>IFERROR(__xludf.DUMMYFUNCTION("IFERROR(TO_DATE(E2180), """")"),42563.75555555556)</f>
        <v>42563.75556</v>
      </c>
      <c r="G2180" s="20">
        <f t="shared" si="1"/>
        <v>18</v>
      </c>
      <c r="H2180" s="26">
        <v>42563.77638888889</v>
      </c>
      <c r="I2180" s="19">
        <f>IFERROR(__xludf.DUMMYFUNCTION("IFERROR(TO_DATE(H2180), """")"),42563.77638888889)</f>
        <v>42563.77639</v>
      </c>
      <c r="J2180" s="19" t="s">
        <v>12</v>
      </c>
      <c r="K2180" s="22">
        <f t="shared" si="2"/>
        <v>0</v>
      </c>
    </row>
    <row r="2181">
      <c r="A2181" s="18">
        <v>2668.0</v>
      </c>
      <c r="B2181" s="18" t="s">
        <v>30</v>
      </c>
      <c r="C2181" s="18">
        <v>228.0</v>
      </c>
      <c r="D2181" s="18" t="s">
        <v>31</v>
      </c>
      <c r="E2181" s="26">
        <v>42563.98263888889</v>
      </c>
      <c r="F2181" s="19">
        <f>IFERROR(__xludf.DUMMYFUNCTION("IFERROR(TO_DATE(E2181), """")"),42563.98263888889)</f>
        <v>42563.98264</v>
      </c>
      <c r="G2181" s="20">
        <f t="shared" si="1"/>
        <v>23</v>
      </c>
      <c r="H2181" s="27">
        <v>42564.01163194444</v>
      </c>
      <c r="I2181" s="19">
        <f>IFERROR(__xludf.DUMMYFUNCTION("IFERROR(TO_DATE(H2181), """")"),42564.01163194444)</f>
        <v>42564.01163</v>
      </c>
      <c r="J2181" s="19" t="s">
        <v>13</v>
      </c>
      <c r="K2181" s="22">
        <f t="shared" si="2"/>
        <v>0</v>
      </c>
    </row>
    <row r="2182">
      <c r="A2182" s="18">
        <v>3312.0</v>
      </c>
      <c r="B2182" s="18" t="s">
        <v>30</v>
      </c>
      <c r="C2182" s="18">
        <v>228.0</v>
      </c>
      <c r="D2182" s="18" t="s">
        <v>31</v>
      </c>
      <c r="E2182" s="27">
        <v>42564.50273148148</v>
      </c>
      <c r="F2182" s="19">
        <f>IFERROR(__xludf.DUMMYFUNCTION("IFERROR(TO_DATE(E2182), """")"),42564.50273148148)</f>
        <v>42564.50273</v>
      </c>
      <c r="G2182" s="20">
        <f t="shared" si="1"/>
        <v>12</v>
      </c>
      <c r="H2182" s="27">
        <v>42564.54107638889</v>
      </c>
      <c r="I2182" s="19">
        <f>IFERROR(__xludf.DUMMYFUNCTION("IFERROR(TO_DATE(H2182), """")"),42564.54107638889)</f>
        <v>42564.54108</v>
      </c>
      <c r="J2182" s="19" t="s">
        <v>10</v>
      </c>
      <c r="K2182" s="22">
        <f t="shared" si="2"/>
        <v>0</v>
      </c>
    </row>
    <row r="2183">
      <c r="A2183" s="18">
        <v>4212.0</v>
      </c>
      <c r="B2183" s="18" t="s">
        <v>32</v>
      </c>
      <c r="C2183" s="18">
        <v>228.0</v>
      </c>
      <c r="D2183" s="18" t="s">
        <v>31</v>
      </c>
      <c r="E2183" s="27">
        <v>42565.231770833336</v>
      </c>
      <c r="F2183" s="19">
        <f>IFERROR(__xludf.DUMMYFUNCTION("IFERROR(TO_DATE(E2183), """")"),42565.231770833336)</f>
        <v>42565.23177</v>
      </c>
      <c r="G2183" s="20">
        <f t="shared" si="1"/>
        <v>5</v>
      </c>
      <c r="H2183" s="27">
        <v>42565.25890046296</v>
      </c>
      <c r="I2183" s="19">
        <f>IFERROR(__xludf.DUMMYFUNCTION("IFERROR(TO_DATE(H2183), """")"),42565.25890046296)</f>
        <v>42565.2589</v>
      </c>
      <c r="J2183" s="19" t="s">
        <v>11</v>
      </c>
      <c r="K2183" s="22">
        <f t="shared" si="2"/>
        <v>0</v>
      </c>
    </row>
    <row r="2184">
      <c r="A2184" s="18">
        <v>6250.0</v>
      </c>
      <c r="B2184" s="18" t="s">
        <v>32</v>
      </c>
      <c r="C2184" s="18">
        <v>228.0</v>
      </c>
      <c r="D2184" s="18" t="s">
        <v>31</v>
      </c>
      <c r="E2184" s="27">
        <v>42566.74989583333</v>
      </c>
      <c r="F2184" s="19">
        <f>IFERROR(__xludf.DUMMYFUNCTION("IFERROR(TO_DATE(E2184), """")"),42566.74989583333)</f>
        <v>42566.7499</v>
      </c>
      <c r="G2184" s="20">
        <f t="shared" si="1"/>
        <v>17</v>
      </c>
      <c r="H2184" s="27">
        <v>42566.796875</v>
      </c>
      <c r="I2184" s="19">
        <f>IFERROR(__xludf.DUMMYFUNCTION("IFERROR(TO_DATE(H2184), """")"),42566.796875)</f>
        <v>42566.79688</v>
      </c>
      <c r="J2184" s="19" t="s">
        <v>12</v>
      </c>
      <c r="K2184" s="22">
        <f t="shared" si="2"/>
        <v>0</v>
      </c>
    </row>
    <row r="2185">
      <c r="A2185" s="18">
        <v>6692.0</v>
      </c>
      <c r="B2185" s="18" t="s">
        <v>32</v>
      </c>
      <c r="C2185" s="18">
        <v>228.0</v>
      </c>
      <c r="D2185" s="18" t="s">
        <v>31</v>
      </c>
      <c r="E2185" s="27">
        <v>42566.94987268518</v>
      </c>
      <c r="F2185" s="19">
        <f>IFERROR(__xludf.DUMMYFUNCTION("IFERROR(TO_DATE(E2185), """")"),42566.94987268518)</f>
        <v>42566.94987</v>
      </c>
      <c r="G2185" s="20">
        <f t="shared" si="1"/>
        <v>22</v>
      </c>
      <c r="H2185" s="27">
        <v>42566.99864583334</v>
      </c>
      <c r="I2185" s="19">
        <f>IFERROR(__xludf.DUMMYFUNCTION("IFERROR(TO_DATE(H2185), """")"),42566.99864583334)</f>
        <v>42566.99865</v>
      </c>
      <c r="J2185" s="19" t="s">
        <v>13</v>
      </c>
      <c r="K2185" s="22">
        <f t="shared" si="2"/>
        <v>0</v>
      </c>
    </row>
    <row r="2186">
      <c r="A2186" s="18">
        <v>1960.0</v>
      </c>
      <c r="B2186" s="18" t="s">
        <v>30</v>
      </c>
      <c r="C2186" s="18">
        <v>229.0</v>
      </c>
      <c r="D2186" s="18" t="s">
        <v>31</v>
      </c>
      <c r="E2186" s="26">
        <v>42563.49097222222</v>
      </c>
      <c r="F2186" s="19">
        <f>IFERROR(__xludf.DUMMYFUNCTION("IFERROR(TO_DATE(E2186), """")"),42563.49097222222)</f>
        <v>42563.49097</v>
      </c>
      <c r="G2186" s="20">
        <f t="shared" si="1"/>
        <v>11</v>
      </c>
      <c r="H2186" s="26">
        <v>42563.53333333333</v>
      </c>
      <c r="I2186" s="19">
        <f>IFERROR(__xludf.DUMMYFUNCTION("IFERROR(TO_DATE(H2186), """")"),42563.53333333333)</f>
        <v>42563.53333</v>
      </c>
      <c r="J2186" s="19" t="s">
        <v>14</v>
      </c>
      <c r="K2186" s="22">
        <f t="shared" si="2"/>
        <v>0</v>
      </c>
    </row>
    <row r="2187">
      <c r="A2187" s="18">
        <v>3460.0</v>
      </c>
      <c r="B2187" s="18" t="s">
        <v>32</v>
      </c>
      <c r="C2187" s="18">
        <v>229.0</v>
      </c>
      <c r="D2187" s="18" t="s">
        <v>31</v>
      </c>
      <c r="E2187" s="27">
        <v>42564.71398148148</v>
      </c>
      <c r="F2187" s="19">
        <f>IFERROR(__xludf.DUMMYFUNCTION("IFERROR(TO_DATE(E2187), """")"),42564.71398148148)</f>
        <v>42564.71398</v>
      </c>
      <c r="G2187" s="20">
        <f t="shared" si="1"/>
        <v>17</v>
      </c>
      <c r="H2187" s="27">
        <v>42564.73409722222</v>
      </c>
      <c r="I2187" s="19">
        <f>IFERROR(__xludf.DUMMYFUNCTION("IFERROR(TO_DATE(H2187), """")"),42564.73409722222)</f>
        <v>42564.7341</v>
      </c>
      <c r="J2187" s="19" t="s">
        <v>12</v>
      </c>
      <c r="K2187" s="22">
        <f t="shared" si="2"/>
        <v>0</v>
      </c>
    </row>
    <row r="2188">
      <c r="A2188" s="18">
        <v>4250.0</v>
      </c>
      <c r="B2188" s="18" t="s">
        <v>32</v>
      </c>
      <c r="C2188" s="18">
        <v>229.0</v>
      </c>
      <c r="D2188" s="18" t="s">
        <v>31</v>
      </c>
      <c r="E2188" s="27">
        <v>42565.248819444445</v>
      </c>
      <c r="F2188" s="19">
        <f>IFERROR(__xludf.DUMMYFUNCTION("IFERROR(TO_DATE(E2188), """")"),42565.248819444445)</f>
        <v>42565.24882</v>
      </c>
      <c r="G2188" s="20">
        <f t="shared" si="1"/>
        <v>5</v>
      </c>
      <c r="H2188" s="27">
        <v>42565.2725462963</v>
      </c>
      <c r="I2188" s="19">
        <f>IFERROR(__xludf.DUMMYFUNCTION("IFERROR(TO_DATE(H2188), """")"),42565.2725462963)</f>
        <v>42565.27255</v>
      </c>
      <c r="J2188" s="19" t="s">
        <v>11</v>
      </c>
      <c r="K2188" s="22">
        <f t="shared" si="2"/>
        <v>0</v>
      </c>
    </row>
    <row r="2189">
      <c r="A2189" s="18">
        <v>4504.0</v>
      </c>
      <c r="B2189" s="18" t="s">
        <v>30</v>
      </c>
      <c r="C2189" s="18">
        <v>229.0</v>
      </c>
      <c r="D2189" s="18" t="s">
        <v>31</v>
      </c>
      <c r="E2189" s="27">
        <v>42565.38149305555</v>
      </c>
      <c r="F2189" s="19">
        <f>IFERROR(__xludf.DUMMYFUNCTION("IFERROR(TO_DATE(E2189), """")"),42565.38149305555)</f>
        <v>42565.38149</v>
      </c>
      <c r="G2189" s="20">
        <f t="shared" si="1"/>
        <v>9</v>
      </c>
      <c r="H2189" s="27">
        <v>42565.417604166665</v>
      </c>
      <c r="I2189" s="19">
        <f>IFERROR(__xludf.DUMMYFUNCTION("IFERROR(TO_DATE(H2189), """")"),42565.417604166665)</f>
        <v>42565.4176</v>
      </c>
      <c r="J2189" s="19" t="s">
        <v>14</v>
      </c>
      <c r="K2189" s="22">
        <f t="shared" si="2"/>
        <v>0</v>
      </c>
    </row>
    <row r="2190">
      <c r="A2190" s="18">
        <v>5089.0</v>
      </c>
      <c r="B2190" s="18" t="s">
        <v>32</v>
      </c>
      <c r="C2190" s="18">
        <v>229.0</v>
      </c>
      <c r="D2190" s="18" t="s">
        <v>31</v>
      </c>
      <c r="E2190" s="27">
        <v>42565.824594907404</v>
      </c>
      <c r="F2190" s="19">
        <f>IFERROR(__xludf.DUMMYFUNCTION("IFERROR(TO_DATE(E2190), """")"),42565.824594907404)</f>
        <v>42565.82459</v>
      </c>
      <c r="G2190" s="20">
        <f t="shared" si="1"/>
        <v>19</v>
      </c>
      <c r="H2190" s="27">
        <v>42565.865578703706</v>
      </c>
      <c r="I2190" s="19">
        <f>IFERROR(__xludf.DUMMYFUNCTION("IFERROR(TO_DATE(H2190), """")"),42565.865578703706)</f>
        <v>42565.86558</v>
      </c>
      <c r="J2190" s="19" t="s">
        <v>12</v>
      </c>
      <c r="K2190" s="22">
        <f t="shared" si="2"/>
        <v>0</v>
      </c>
    </row>
    <row r="2191">
      <c r="A2191" s="18">
        <v>5950.0</v>
      </c>
      <c r="B2191" s="18" t="s">
        <v>32</v>
      </c>
      <c r="C2191" s="18">
        <v>229.0</v>
      </c>
      <c r="D2191" s="18" t="s">
        <v>31</v>
      </c>
      <c r="E2191" s="27">
        <v>42566.4490625</v>
      </c>
      <c r="F2191" s="19">
        <f>IFERROR(__xludf.DUMMYFUNCTION("IFERROR(TO_DATE(E2191), """")"),42566.4490625)</f>
        <v>42566.44906</v>
      </c>
      <c r="G2191" s="20">
        <f t="shared" si="1"/>
        <v>10</v>
      </c>
      <c r="H2191" s="27">
        <v>42566.482986111114</v>
      </c>
      <c r="I2191" s="19">
        <f>IFERROR(__xludf.DUMMYFUNCTION("IFERROR(TO_DATE(H2191), """")"),42566.482986111114)</f>
        <v>42566.48299</v>
      </c>
      <c r="J2191" s="19" t="s">
        <v>14</v>
      </c>
      <c r="K2191" s="22">
        <f t="shared" si="2"/>
        <v>0</v>
      </c>
    </row>
    <row r="2192">
      <c r="A2192" s="18">
        <v>205.0</v>
      </c>
      <c r="B2192" s="18" t="s">
        <v>30</v>
      </c>
      <c r="C2192" s="18">
        <v>230.0</v>
      </c>
      <c r="D2192" s="18" t="s">
        <v>31</v>
      </c>
      <c r="E2192" s="26">
        <v>42562.256944444445</v>
      </c>
      <c r="F2192" s="19">
        <f>IFERROR(__xludf.DUMMYFUNCTION("IFERROR(TO_DATE(E2192), """")"),42562.256944444445)</f>
        <v>42562.25694</v>
      </c>
      <c r="G2192" s="20">
        <f t="shared" si="1"/>
        <v>6</v>
      </c>
      <c r="H2192" s="26">
        <v>42562.29861111111</v>
      </c>
      <c r="I2192" s="19">
        <f>IFERROR(__xludf.DUMMYFUNCTION("IFERROR(TO_DATE(H2192), """")"),42562.29861111111)</f>
        <v>42562.29861</v>
      </c>
      <c r="J2192" s="19" t="s">
        <v>11</v>
      </c>
      <c r="K2192" s="22">
        <f t="shared" si="2"/>
        <v>0</v>
      </c>
    </row>
    <row r="2193">
      <c r="A2193" s="18">
        <v>853.0</v>
      </c>
      <c r="B2193" s="18" t="s">
        <v>30</v>
      </c>
      <c r="C2193" s="18">
        <v>230.0</v>
      </c>
      <c r="D2193" s="18" t="s">
        <v>31</v>
      </c>
      <c r="E2193" s="26">
        <v>42562.74166666667</v>
      </c>
      <c r="F2193" s="19">
        <f>IFERROR(__xludf.DUMMYFUNCTION("IFERROR(TO_DATE(E2193), """")"),42562.74166666667)</f>
        <v>42562.74167</v>
      </c>
      <c r="G2193" s="20">
        <f t="shared" si="1"/>
        <v>17</v>
      </c>
      <c r="H2193" s="26">
        <v>42562.790972222225</v>
      </c>
      <c r="I2193" s="19">
        <f>IFERROR(__xludf.DUMMYFUNCTION("IFERROR(TO_DATE(H2193), """")"),42562.790972222225)</f>
        <v>42562.79097</v>
      </c>
      <c r="J2193" s="19" t="s">
        <v>12</v>
      </c>
      <c r="K2193" s="22">
        <f t="shared" si="2"/>
        <v>0</v>
      </c>
    </row>
    <row r="2194">
      <c r="A2194" s="18">
        <v>1196.0</v>
      </c>
      <c r="B2194" s="18" t="s">
        <v>32</v>
      </c>
      <c r="C2194" s="18">
        <v>230.0</v>
      </c>
      <c r="D2194" s="18" t="s">
        <v>31</v>
      </c>
      <c r="E2194" s="26">
        <v>42562.884722222225</v>
      </c>
      <c r="F2194" s="19">
        <f>IFERROR(__xludf.DUMMYFUNCTION("IFERROR(TO_DATE(E2194), """")"),42562.884722222225)</f>
        <v>42562.88472</v>
      </c>
      <c r="G2194" s="20">
        <f t="shared" si="1"/>
        <v>21</v>
      </c>
      <c r="H2194" s="26">
        <v>42562.92013888889</v>
      </c>
      <c r="I2194" s="19">
        <f>IFERROR(__xludf.DUMMYFUNCTION("IFERROR(TO_DATE(H2194), """")"),42562.92013888889)</f>
        <v>42562.92014</v>
      </c>
      <c r="J2194" s="19" t="s">
        <v>13</v>
      </c>
      <c r="K2194" s="22">
        <f t="shared" si="2"/>
        <v>0</v>
      </c>
    </row>
    <row r="2195">
      <c r="A2195" s="18">
        <v>1598.0</v>
      </c>
      <c r="B2195" s="18" t="s">
        <v>30</v>
      </c>
      <c r="C2195" s="18">
        <v>230.0</v>
      </c>
      <c r="D2195" s="18" t="s">
        <v>31</v>
      </c>
      <c r="E2195" s="26">
        <v>42563.27638888889</v>
      </c>
      <c r="F2195" s="19">
        <f>IFERROR(__xludf.DUMMYFUNCTION("IFERROR(TO_DATE(E2195), """")"),42563.27638888889)</f>
        <v>42563.27639</v>
      </c>
      <c r="G2195" s="20">
        <f t="shared" si="1"/>
        <v>6</v>
      </c>
      <c r="H2195" s="26">
        <v>42563.31319444445</v>
      </c>
      <c r="I2195" s="19">
        <f>IFERROR(__xludf.DUMMYFUNCTION("IFERROR(TO_DATE(H2195), """")"),42563.31319444445)</f>
        <v>42563.31319</v>
      </c>
      <c r="J2195" s="19" t="s">
        <v>11</v>
      </c>
      <c r="K2195" s="22">
        <f t="shared" si="2"/>
        <v>0</v>
      </c>
    </row>
    <row r="2196">
      <c r="A2196" s="18">
        <v>2406.0</v>
      </c>
      <c r="B2196" s="18" t="s">
        <v>32</v>
      </c>
      <c r="C2196" s="18">
        <v>230.0</v>
      </c>
      <c r="D2196" s="18" t="s">
        <v>31</v>
      </c>
      <c r="E2196" s="26">
        <v>42563.830555555556</v>
      </c>
      <c r="F2196" s="19">
        <f>IFERROR(__xludf.DUMMYFUNCTION("IFERROR(TO_DATE(E2196), """")"),42563.830555555556)</f>
        <v>42563.83056</v>
      </c>
      <c r="G2196" s="20">
        <f t="shared" si="1"/>
        <v>19</v>
      </c>
      <c r="H2196" s="26">
        <v>42563.85833333333</v>
      </c>
      <c r="I2196" s="19">
        <f>IFERROR(__xludf.DUMMYFUNCTION("IFERROR(TO_DATE(H2196), """")"),42563.85833333333)</f>
        <v>42563.85833</v>
      </c>
      <c r="J2196" s="19" t="s">
        <v>12</v>
      </c>
      <c r="K2196" s="22">
        <f t="shared" si="2"/>
        <v>0</v>
      </c>
    </row>
    <row r="2197">
      <c r="A2197" s="18">
        <v>4299.0</v>
      </c>
      <c r="B2197" s="18" t="s">
        <v>32</v>
      </c>
      <c r="C2197" s="18">
        <v>230.0</v>
      </c>
      <c r="D2197" s="18" t="s">
        <v>31</v>
      </c>
      <c r="E2197" s="27">
        <v>42565.27819444444</v>
      </c>
      <c r="F2197" s="19">
        <f>IFERROR(__xludf.DUMMYFUNCTION("IFERROR(TO_DATE(E2197), """")"),42565.27819444444)</f>
        <v>42565.27819</v>
      </c>
      <c r="G2197" s="20">
        <f t="shared" si="1"/>
        <v>6</v>
      </c>
      <c r="H2197" s="27">
        <v>42565.31721064815</v>
      </c>
      <c r="I2197" s="19">
        <f>IFERROR(__xludf.DUMMYFUNCTION("IFERROR(TO_DATE(H2197), """")"),42565.31721064815)</f>
        <v>42565.31721</v>
      </c>
      <c r="J2197" s="19" t="s">
        <v>11</v>
      </c>
      <c r="K2197" s="22">
        <f t="shared" si="2"/>
        <v>0</v>
      </c>
    </row>
    <row r="2198">
      <c r="A2198" s="18">
        <v>4721.0</v>
      </c>
      <c r="B2198" s="18" t="s">
        <v>32</v>
      </c>
      <c r="C2198" s="18">
        <v>230.0</v>
      </c>
      <c r="D2198" s="18" t="s">
        <v>31</v>
      </c>
      <c r="E2198" s="27">
        <v>42565.57386574074</v>
      </c>
      <c r="F2198" s="19">
        <f>IFERROR(__xludf.DUMMYFUNCTION("IFERROR(TO_DATE(E2198), """")"),42565.57386574074)</f>
        <v>42565.57387</v>
      </c>
      <c r="G2198" s="20">
        <f t="shared" si="1"/>
        <v>13</v>
      </c>
      <c r="H2198" s="27">
        <v>42565.62635416666</v>
      </c>
      <c r="I2198" s="19">
        <f>IFERROR(__xludf.DUMMYFUNCTION("IFERROR(TO_DATE(H2198), """")"),42565.62635416666)</f>
        <v>42565.62635</v>
      </c>
      <c r="J2198" s="19" t="s">
        <v>10</v>
      </c>
      <c r="K2198" s="22">
        <f t="shared" si="2"/>
        <v>0</v>
      </c>
    </row>
    <row r="2199">
      <c r="A2199" s="18">
        <v>4886.0</v>
      </c>
      <c r="B2199" s="18" t="s">
        <v>32</v>
      </c>
      <c r="C2199" s="18">
        <v>230.0</v>
      </c>
      <c r="D2199" s="18" t="s">
        <v>31</v>
      </c>
      <c r="E2199" s="27">
        <v>42565.746354166666</v>
      </c>
      <c r="F2199" s="19">
        <f>IFERROR(__xludf.DUMMYFUNCTION("IFERROR(TO_DATE(E2199), """")"),42565.746354166666)</f>
        <v>42565.74635</v>
      </c>
      <c r="G2199" s="20">
        <f t="shared" si="1"/>
        <v>17</v>
      </c>
      <c r="H2199" s="27">
        <v>42565.773668981485</v>
      </c>
      <c r="I2199" s="19">
        <f>IFERROR(__xludf.DUMMYFUNCTION("IFERROR(TO_DATE(H2199), """")"),42565.773668981485)</f>
        <v>42565.77367</v>
      </c>
      <c r="J2199" s="19" t="s">
        <v>12</v>
      </c>
      <c r="K2199" s="22">
        <f t="shared" si="2"/>
        <v>0</v>
      </c>
    </row>
    <row r="2200">
      <c r="A2200" s="18">
        <v>5851.0</v>
      </c>
      <c r="B2200" s="18" t="s">
        <v>30</v>
      </c>
      <c r="C2200" s="18">
        <v>230.0</v>
      </c>
      <c r="D2200" s="18" t="s">
        <v>31</v>
      </c>
      <c r="E2200" s="27">
        <v>42566.37756944444</v>
      </c>
      <c r="F2200" s="19">
        <f>IFERROR(__xludf.DUMMYFUNCTION("IFERROR(TO_DATE(E2200), """")"),42566.37756944444)</f>
        <v>42566.37757</v>
      </c>
      <c r="G2200" s="20">
        <f t="shared" si="1"/>
        <v>9</v>
      </c>
      <c r="H2200" s="27">
        <v>42566.430439814816</v>
      </c>
      <c r="I2200" s="19">
        <f>IFERROR(__xludf.DUMMYFUNCTION("IFERROR(TO_DATE(H2200), """")"),42566.430439814816)</f>
        <v>42566.43044</v>
      </c>
      <c r="J2200" s="19" t="s">
        <v>14</v>
      </c>
      <c r="K2200" s="22">
        <f t="shared" si="2"/>
        <v>0</v>
      </c>
    </row>
    <row r="2201">
      <c r="A2201" s="18">
        <v>6303.0</v>
      </c>
      <c r="B2201" s="18" t="s">
        <v>30</v>
      </c>
      <c r="C2201" s="18">
        <v>230.0</v>
      </c>
      <c r="D2201" s="18" t="s">
        <v>31</v>
      </c>
      <c r="E2201" s="27">
        <v>42566.76943287037</v>
      </c>
      <c r="F2201" s="19">
        <f>IFERROR(__xludf.DUMMYFUNCTION("IFERROR(TO_DATE(E2201), """")"),42566.76943287037)</f>
        <v>42566.76943</v>
      </c>
      <c r="G2201" s="20">
        <f t="shared" si="1"/>
        <v>18</v>
      </c>
      <c r="H2201" s="27">
        <v>42566.802824074075</v>
      </c>
      <c r="I2201" s="19">
        <f>IFERROR(__xludf.DUMMYFUNCTION("IFERROR(TO_DATE(H2201), """")"),42566.802824074075)</f>
        <v>42566.80282</v>
      </c>
      <c r="J2201" s="19" t="s">
        <v>12</v>
      </c>
      <c r="K2201" s="22">
        <f t="shared" si="2"/>
        <v>0</v>
      </c>
    </row>
    <row r="2202">
      <c r="A2202" s="18">
        <v>292.0</v>
      </c>
      <c r="B2202" s="18" t="s">
        <v>32</v>
      </c>
      <c r="C2202" s="18">
        <v>231.0</v>
      </c>
      <c r="D2202" s="18" t="s">
        <v>31</v>
      </c>
      <c r="E2202" s="26">
        <v>42562.30138888889</v>
      </c>
      <c r="F2202" s="19">
        <f>IFERROR(__xludf.DUMMYFUNCTION("IFERROR(TO_DATE(E2202), """")"),42562.30138888889)</f>
        <v>42562.30139</v>
      </c>
      <c r="G2202" s="20">
        <f t="shared" si="1"/>
        <v>7</v>
      </c>
      <c r="H2202" s="26">
        <v>42562.32708333333</v>
      </c>
      <c r="I2202" s="19">
        <f>IFERROR(__xludf.DUMMYFUNCTION("IFERROR(TO_DATE(H2202), """")"),42562.32708333333)</f>
        <v>42562.32708</v>
      </c>
      <c r="J2202" s="19" t="s">
        <v>11</v>
      </c>
      <c r="K2202" s="22">
        <f t="shared" si="2"/>
        <v>0</v>
      </c>
    </row>
    <row r="2203">
      <c r="A2203" s="18">
        <v>384.0</v>
      </c>
      <c r="B2203" s="18" t="s">
        <v>30</v>
      </c>
      <c r="C2203" s="18">
        <v>231.0</v>
      </c>
      <c r="D2203" s="18" t="s">
        <v>31</v>
      </c>
      <c r="E2203" s="26">
        <v>42562.34583333333</v>
      </c>
      <c r="F2203" s="19">
        <f>IFERROR(__xludf.DUMMYFUNCTION("IFERROR(TO_DATE(E2203), """")"),42562.34583333333)</f>
        <v>42562.34583</v>
      </c>
      <c r="G2203" s="20">
        <f t="shared" si="1"/>
        <v>8</v>
      </c>
      <c r="H2203" s="26">
        <v>42562.370833333334</v>
      </c>
      <c r="I2203" s="19">
        <f>IFERROR(__xludf.DUMMYFUNCTION("IFERROR(TO_DATE(H2203), """")"),42562.370833333334)</f>
        <v>42562.37083</v>
      </c>
      <c r="J2203" s="19" t="s">
        <v>14</v>
      </c>
      <c r="K2203" s="22">
        <f t="shared" si="2"/>
        <v>0</v>
      </c>
    </row>
    <row r="2204">
      <c r="A2204" s="18">
        <v>1296.0</v>
      </c>
      <c r="B2204" s="18" t="s">
        <v>30</v>
      </c>
      <c r="C2204" s="18">
        <v>231.0</v>
      </c>
      <c r="D2204" s="18" t="s">
        <v>31</v>
      </c>
      <c r="E2204" s="26">
        <v>42562.93541666667</v>
      </c>
      <c r="F2204" s="19">
        <f>IFERROR(__xludf.DUMMYFUNCTION("IFERROR(TO_DATE(E2204), """")"),42562.93541666667)</f>
        <v>42562.93542</v>
      </c>
      <c r="G2204" s="20">
        <f t="shared" si="1"/>
        <v>22</v>
      </c>
      <c r="H2204" s="26">
        <v>42562.98402777778</v>
      </c>
      <c r="I2204" s="19">
        <f>IFERROR(__xludf.DUMMYFUNCTION("IFERROR(TO_DATE(H2204), """")"),42562.98402777778)</f>
        <v>42562.98403</v>
      </c>
      <c r="J2204" s="19" t="s">
        <v>13</v>
      </c>
      <c r="K2204" s="22">
        <f t="shared" si="2"/>
        <v>0</v>
      </c>
    </row>
    <row r="2205">
      <c r="A2205" s="18">
        <v>1978.0</v>
      </c>
      <c r="B2205" s="18" t="s">
        <v>32</v>
      </c>
      <c r="C2205" s="18">
        <v>231.0</v>
      </c>
      <c r="D2205" s="18" t="s">
        <v>31</v>
      </c>
      <c r="E2205" s="26">
        <v>42563.51388888889</v>
      </c>
      <c r="F2205" s="19">
        <f>IFERROR(__xludf.DUMMYFUNCTION("IFERROR(TO_DATE(E2205), """")"),42563.51388888889)</f>
        <v>42563.51389</v>
      </c>
      <c r="G2205" s="20">
        <f t="shared" si="1"/>
        <v>12</v>
      </c>
      <c r="H2205" s="26">
        <v>42563.540972222225</v>
      </c>
      <c r="I2205" s="19">
        <f>IFERROR(__xludf.DUMMYFUNCTION("IFERROR(TO_DATE(H2205), """")"),42563.540972222225)</f>
        <v>42563.54097</v>
      </c>
      <c r="J2205" s="19" t="s">
        <v>10</v>
      </c>
      <c r="K2205" s="22">
        <f t="shared" si="2"/>
        <v>0</v>
      </c>
    </row>
    <row r="2206">
      <c r="A2206" s="18">
        <v>3303.0</v>
      </c>
      <c r="B2206" s="18" t="s">
        <v>32</v>
      </c>
      <c r="C2206" s="18">
        <v>231.0</v>
      </c>
      <c r="D2206" s="18" t="s">
        <v>31</v>
      </c>
      <c r="E2206" s="27">
        <v>42564.491122685184</v>
      </c>
      <c r="F2206" s="19">
        <f>IFERROR(__xludf.DUMMYFUNCTION("IFERROR(TO_DATE(E2206), """")"),42564.491122685184)</f>
        <v>42564.49112</v>
      </c>
      <c r="G2206" s="20">
        <f t="shared" si="1"/>
        <v>11</v>
      </c>
      <c r="H2206" s="27">
        <v>42564.544016203705</v>
      </c>
      <c r="I2206" s="19">
        <f>IFERROR(__xludf.DUMMYFUNCTION("IFERROR(TO_DATE(H2206), """")"),42564.544016203705)</f>
        <v>42564.54402</v>
      </c>
      <c r="J2206" s="19" t="s">
        <v>14</v>
      </c>
      <c r="K2206" s="22">
        <f t="shared" si="2"/>
        <v>0</v>
      </c>
    </row>
    <row r="2207">
      <c r="A2207" s="18">
        <v>3953.0</v>
      </c>
      <c r="B2207" s="18" t="s">
        <v>30</v>
      </c>
      <c r="C2207" s="18">
        <v>231.0</v>
      </c>
      <c r="D2207" s="18" t="s">
        <v>31</v>
      </c>
      <c r="E2207" s="27">
        <v>42564.95101851852</v>
      </c>
      <c r="F2207" s="19">
        <f>IFERROR(__xludf.DUMMYFUNCTION("IFERROR(TO_DATE(E2207), """")"),42564.95101851852)</f>
        <v>42564.95102</v>
      </c>
      <c r="G2207" s="20">
        <f t="shared" si="1"/>
        <v>22</v>
      </c>
      <c r="H2207" s="27">
        <v>42564.99481481482</v>
      </c>
      <c r="I2207" s="19">
        <f>IFERROR(__xludf.DUMMYFUNCTION("IFERROR(TO_DATE(H2207), """")"),42564.99481481482)</f>
        <v>42564.99481</v>
      </c>
      <c r="J2207" s="19" t="s">
        <v>13</v>
      </c>
      <c r="K2207" s="22">
        <f t="shared" si="2"/>
        <v>0</v>
      </c>
    </row>
    <row r="2208">
      <c r="A2208" s="18">
        <v>4199.0</v>
      </c>
      <c r="B2208" s="18" t="s">
        <v>32</v>
      </c>
      <c r="C2208" s="18">
        <v>231.0</v>
      </c>
      <c r="D2208" s="18" t="s">
        <v>31</v>
      </c>
      <c r="E2208" s="27">
        <v>42565.23082175926</v>
      </c>
      <c r="F2208" s="19">
        <f>IFERROR(__xludf.DUMMYFUNCTION("IFERROR(TO_DATE(E2208), """")"),42565.23082175926)</f>
        <v>42565.23082</v>
      </c>
      <c r="G2208" s="20">
        <f t="shared" si="1"/>
        <v>5</v>
      </c>
      <c r="H2208" s="27">
        <v>42565.27025462963</v>
      </c>
      <c r="I2208" s="19">
        <f>IFERROR(__xludf.DUMMYFUNCTION("IFERROR(TO_DATE(H2208), """")"),42565.27025462963)</f>
        <v>42565.27025</v>
      </c>
      <c r="J2208" s="19" t="s">
        <v>11</v>
      </c>
      <c r="K2208" s="22">
        <f t="shared" si="2"/>
        <v>0</v>
      </c>
    </row>
    <row r="2209">
      <c r="A2209" s="18">
        <v>4773.0</v>
      </c>
      <c r="B2209" s="18" t="s">
        <v>30</v>
      </c>
      <c r="C2209" s="18">
        <v>231.0</v>
      </c>
      <c r="D2209" s="18" t="s">
        <v>31</v>
      </c>
      <c r="E2209" s="27">
        <v>42565.66336805555</v>
      </c>
      <c r="F2209" s="19">
        <f>IFERROR(__xludf.DUMMYFUNCTION("IFERROR(TO_DATE(E2209), """")"),42565.66336805555)</f>
        <v>42565.66337</v>
      </c>
      <c r="G2209" s="20">
        <f t="shared" si="1"/>
        <v>15</v>
      </c>
      <c r="H2209" s="27">
        <v>42565.70443287037</v>
      </c>
      <c r="I2209" s="19">
        <f>IFERROR(__xludf.DUMMYFUNCTION("IFERROR(TO_DATE(H2209), """")"),42565.70443287037)</f>
        <v>42565.70443</v>
      </c>
      <c r="J2209" s="19" t="s">
        <v>10</v>
      </c>
      <c r="K2209" s="22">
        <f t="shared" si="2"/>
        <v>0</v>
      </c>
    </row>
    <row r="2210">
      <c r="A2210" s="18">
        <v>5217.0</v>
      </c>
      <c r="B2210" s="18" t="s">
        <v>32</v>
      </c>
      <c r="C2210" s="18">
        <v>231.0</v>
      </c>
      <c r="D2210" s="18" t="s">
        <v>31</v>
      </c>
      <c r="E2210" s="27">
        <v>42565.87042824074</v>
      </c>
      <c r="F2210" s="19">
        <f>IFERROR(__xludf.DUMMYFUNCTION("IFERROR(TO_DATE(E2210), """")"),42565.87042824074)</f>
        <v>42565.87043</v>
      </c>
      <c r="G2210" s="20">
        <f t="shared" si="1"/>
        <v>20</v>
      </c>
      <c r="H2210" s="27">
        <v>42565.90243055556</v>
      </c>
      <c r="I2210" s="19">
        <f>IFERROR(__xludf.DUMMYFUNCTION("IFERROR(TO_DATE(H2210), """")"),42565.90243055556)</f>
        <v>42565.90243</v>
      </c>
      <c r="J2210" s="19" t="s">
        <v>13</v>
      </c>
      <c r="K2210" s="22">
        <f t="shared" si="2"/>
        <v>0</v>
      </c>
    </row>
    <row r="2211">
      <c r="A2211" s="18">
        <v>5870.0</v>
      </c>
      <c r="B2211" s="18" t="s">
        <v>30</v>
      </c>
      <c r="C2211" s="18">
        <v>231.0</v>
      </c>
      <c r="D2211" s="18" t="s">
        <v>31</v>
      </c>
      <c r="E2211" s="27">
        <v>42566.39142361111</v>
      </c>
      <c r="F2211" s="19">
        <f>IFERROR(__xludf.DUMMYFUNCTION("IFERROR(TO_DATE(E2211), """")"),42566.39142361111)</f>
        <v>42566.39142</v>
      </c>
      <c r="G2211" s="20">
        <f t="shared" si="1"/>
        <v>9</v>
      </c>
      <c r="H2211" s="27">
        <v>42566.4290625</v>
      </c>
      <c r="I2211" s="19">
        <f>IFERROR(__xludf.DUMMYFUNCTION("IFERROR(TO_DATE(H2211), """")"),42566.4290625)</f>
        <v>42566.42906</v>
      </c>
      <c r="J2211" s="19" t="s">
        <v>14</v>
      </c>
      <c r="K2211" s="22">
        <f t="shared" si="2"/>
        <v>0</v>
      </c>
    </row>
    <row r="2212">
      <c r="A2212" s="18">
        <v>5964.0</v>
      </c>
      <c r="B2212" s="18" t="s">
        <v>32</v>
      </c>
      <c r="C2212" s="18">
        <v>231.0</v>
      </c>
      <c r="D2212" s="18" t="s">
        <v>31</v>
      </c>
      <c r="E2212" s="27">
        <v>42566.45306712963</v>
      </c>
      <c r="F2212" s="19">
        <f>IFERROR(__xludf.DUMMYFUNCTION("IFERROR(TO_DATE(E2212), """")"),42566.45306712963)</f>
        <v>42566.45307</v>
      </c>
      <c r="G2212" s="20">
        <f t="shared" si="1"/>
        <v>10</v>
      </c>
      <c r="H2212" s="27">
        <v>42566.49396990741</v>
      </c>
      <c r="I2212" s="19">
        <f>IFERROR(__xludf.DUMMYFUNCTION("IFERROR(TO_DATE(H2212), """")"),42566.49396990741)</f>
        <v>42566.49397</v>
      </c>
      <c r="J2212" s="19" t="s">
        <v>14</v>
      </c>
      <c r="K2212" s="22">
        <f t="shared" si="2"/>
        <v>0</v>
      </c>
    </row>
    <row r="2213">
      <c r="A2213" s="18">
        <v>6082.0</v>
      </c>
      <c r="B2213" s="18" t="s">
        <v>32</v>
      </c>
      <c r="C2213" s="18">
        <v>231.0</v>
      </c>
      <c r="D2213" s="18" t="s">
        <v>31</v>
      </c>
      <c r="E2213" s="27">
        <v>42566.59596064815</v>
      </c>
      <c r="F2213" s="19">
        <f>IFERROR(__xludf.DUMMYFUNCTION("IFERROR(TO_DATE(E2213), """")"),42566.59596064815)</f>
        <v>42566.59596</v>
      </c>
      <c r="G2213" s="20">
        <f t="shared" si="1"/>
        <v>14</v>
      </c>
      <c r="H2213" s="27">
        <v>42566.644224537034</v>
      </c>
      <c r="I2213" s="19">
        <f>IFERROR(__xludf.DUMMYFUNCTION("IFERROR(TO_DATE(H2213), """")"),42566.644224537034)</f>
        <v>42566.64422</v>
      </c>
      <c r="J2213" s="19" t="s">
        <v>10</v>
      </c>
      <c r="K2213" s="22">
        <f t="shared" si="2"/>
        <v>0</v>
      </c>
    </row>
    <row r="2214">
      <c r="A2214" s="18">
        <v>206.0</v>
      </c>
      <c r="B2214" s="18" t="s">
        <v>32</v>
      </c>
      <c r="C2214" s="18">
        <v>232.0</v>
      </c>
      <c r="D2214" s="18" t="s">
        <v>31</v>
      </c>
      <c r="E2214" s="26">
        <v>42562.25486111111</v>
      </c>
      <c r="F2214" s="19">
        <f>IFERROR(__xludf.DUMMYFUNCTION("IFERROR(TO_DATE(E2214), """")"),42562.25486111111)</f>
        <v>42562.25486</v>
      </c>
      <c r="G2214" s="20">
        <f t="shared" si="1"/>
        <v>6</v>
      </c>
      <c r="H2214" s="26">
        <v>42562.27569444444</v>
      </c>
      <c r="I2214" s="19">
        <f>IFERROR(__xludf.DUMMYFUNCTION("IFERROR(TO_DATE(H2214), """")"),42562.27569444444)</f>
        <v>42562.27569</v>
      </c>
      <c r="J2214" s="19" t="s">
        <v>11</v>
      </c>
      <c r="K2214" s="22">
        <f t="shared" si="2"/>
        <v>0</v>
      </c>
    </row>
    <row r="2215">
      <c r="A2215" s="18">
        <v>595.0</v>
      </c>
      <c r="B2215" s="18" t="s">
        <v>32</v>
      </c>
      <c r="C2215" s="18">
        <v>232.0</v>
      </c>
      <c r="D2215" s="18" t="s">
        <v>31</v>
      </c>
      <c r="E2215" s="26">
        <v>42562.47986111111</v>
      </c>
      <c r="F2215" s="19">
        <f>IFERROR(__xludf.DUMMYFUNCTION("IFERROR(TO_DATE(E2215), """")"),42562.47986111111)</f>
        <v>42562.47986</v>
      </c>
      <c r="G2215" s="20">
        <f t="shared" si="1"/>
        <v>11</v>
      </c>
      <c r="H2215" s="26">
        <v>42562.52847222222</v>
      </c>
      <c r="I2215" s="19">
        <f>IFERROR(__xludf.DUMMYFUNCTION("IFERROR(TO_DATE(H2215), """")"),42562.52847222222)</f>
        <v>42562.52847</v>
      </c>
      <c r="J2215" s="19" t="s">
        <v>14</v>
      </c>
      <c r="K2215" s="22">
        <f t="shared" si="2"/>
        <v>0</v>
      </c>
    </row>
    <row r="2216">
      <c r="A2216" s="18">
        <v>2310.0</v>
      </c>
      <c r="B2216" s="18" t="s">
        <v>32</v>
      </c>
      <c r="C2216" s="18">
        <v>232.0</v>
      </c>
      <c r="D2216" s="18" t="s">
        <v>31</v>
      </c>
      <c r="E2216" s="26">
        <v>42563.78888888889</v>
      </c>
      <c r="F2216" s="19">
        <f>IFERROR(__xludf.DUMMYFUNCTION("IFERROR(TO_DATE(E2216), """")"),42563.78888888889)</f>
        <v>42563.78889</v>
      </c>
      <c r="G2216" s="20">
        <f t="shared" si="1"/>
        <v>18</v>
      </c>
      <c r="H2216" s="26">
        <v>42563.83541666667</v>
      </c>
      <c r="I2216" s="19">
        <f>IFERROR(__xludf.DUMMYFUNCTION("IFERROR(TO_DATE(H2216), """")"),42563.83541666667)</f>
        <v>42563.83542</v>
      </c>
      <c r="J2216" s="19" t="s">
        <v>12</v>
      </c>
      <c r="K2216" s="22">
        <f t="shared" si="2"/>
        <v>0</v>
      </c>
    </row>
    <row r="2217">
      <c r="A2217" s="18">
        <v>2880.0</v>
      </c>
      <c r="B2217" s="18" t="s">
        <v>30</v>
      </c>
      <c r="C2217" s="18">
        <v>232.0</v>
      </c>
      <c r="D2217" s="18" t="s">
        <v>31</v>
      </c>
      <c r="E2217" s="27">
        <v>42564.245717592596</v>
      </c>
      <c r="F2217" s="19">
        <f>IFERROR(__xludf.DUMMYFUNCTION("IFERROR(TO_DATE(E2217), """")"),42564.245717592596)</f>
        <v>42564.24572</v>
      </c>
      <c r="G2217" s="20">
        <f t="shared" si="1"/>
        <v>5</v>
      </c>
      <c r="H2217" s="27">
        <v>42564.29184027778</v>
      </c>
      <c r="I2217" s="19">
        <f>IFERROR(__xludf.DUMMYFUNCTION("IFERROR(TO_DATE(H2217), """")"),42564.29184027778)</f>
        <v>42564.29184</v>
      </c>
      <c r="J2217" s="19" t="s">
        <v>11</v>
      </c>
      <c r="K2217" s="22">
        <f t="shared" si="2"/>
        <v>0</v>
      </c>
    </row>
    <row r="2218">
      <c r="A2218" s="18">
        <v>3585.0</v>
      </c>
      <c r="B2218" s="18" t="s">
        <v>32</v>
      </c>
      <c r="C2218" s="18">
        <v>232.0</v>
      </c>
      <c r="D2218" s="18" t="s">
        <v>31</v>
      </c>
      <c r="E2218" s="27">
        <v>42564.77079861111</v>
      </c>
      <c r="F2218" s="19">
        <f>IFERROR(__xludf.DUMMYFUNCTION("IFERROR(TO_DATE(E2218), """")"),42564.77079861111)</f>
        <v>42564.7708</v>
      </c>
      <c r="G2218" s="20">
        <f t="shared" si="1"/>
        <v>18</v>
      </c>
      <c r="H2218" s="27">
        <v>42564.81508101852</v>
      </c>
      <c r="I2218" s="19">
        <f>IFERROR(__xludf.DUMMYFUNCTION("IFERROR(TO_DATE(H2218), """")"),42564.81508101852)</f>
        <v>42564.81508</v>
      </c>
      <c r="J2218" s="19" t="s">
        <v>12</v>
      </c>
      <c r="K2218" s="22">
        <f t="shared" si="2"/>
        <v>0</v>
      </c>
    </row>
    <row r="2219">
      <c r="A2219" s="18">
        <v>4515.0</v>
      </c>
      <c r="B2219" s="18" t="s">
        <v>32</v>
      </c>
      <c r="C2219" s="18">
        <v>232.0</v>
      </c>
      <c r="D2219" s="18" t="s">
        <v>31</v>
      </c>
      <c r="E2219" s="27">
        <v>42565.38618055556</v>
      </c>
      <c r="F2219" s="19">
        <f>IFERROR(__xludf.DUMMYFUNCTION("IFERROR(TO_DATE(E2219), """")"),42565.38618055556)</f>
        <v>42565.38618</v>
      </c>
      <c r="G2219" s="20">
        <f t="shared" si="1"/>
        <v>9</v>
      </c>
      <c r="H2219" s="27">
        <v>42565.43306712963</v>
      </c>
      <c r="I2219" s="19">
        <f>IFERROR(__xludf.DUMMYFUNCTION("IFERROR(TO_DATE(H2219), """")"),42565.43306712963)</f>
        <v>42565.43307</v>
      </c>
      <c r="J2219" s="19" t="s">
        <v>14</v>
      </c>
      <c r="K2219" s="22">
        <f t="shared" si="2"/>
        <v>0</v>
      </c>
    </row>
    <row r="2220">
      <c r="A2220" s="18">
        <v>5636.0</v>
      </c>
      <c r="B2220" s="18" t="s">
        <v>32</v>
      </c>
      <c r="C2220" s="18">
        <v>232.0</v>
      </c>
      <c r="D2220" s="18" t="s">
        <v>31</v>
      </c>
      <c r="E2220" s="27">
        <v>42566.27707175926</v>
      </c>
      <c r="F2220" s="19">
        <f>IFERROR(__xludf.DUMMYFUNCTION("IFERROR(TO_DATE(E2220), """")"),42566.27707175926)</f>
        <v>42566.27707</v>
      </c>
      <c r="G2220" s="20">
        <f t="shared" si="1"/>
        <v>6</v>
      </c>
      <c r="H2220" s="27">
        <v>42566.31560185185</v>
      </c>
      <c r="I2220" s="19">
        <f>IFERROR(__xludf.DUMMYFUNCTION("IFERROR(TO_DATE(H2220), """")"),42566.31560185185)</f>
        <v>42566.3156</v>
      </c>
      <c r="J2220" s="19" t="s">
        <v>11</v>
      </c>
      <c r="K2220" s="22">
        <f t="shared" si="2"/>
        <v>0</v>
      </c>
    </row>
    <row r="2221">
      <c r="A2221" s="18">
        <v>6132.0</v>
      </c>
      <c r="B2221" s="18" t="s">
        <v>30</v>
      </c>
      <c r="C2221" s="18">
        <v>232.0</v>
      </c>
      <c r="D2221" s="18" t="s">
        <v>31</v>
      </c>
      <c r="E2221" s="27">
        <v>42566.65074074074</v>
      </c>
      <c r="F2221" s="19">
        <f>IFERROR(__xludf.DUMMYFUNCTION("IFERROR(TO_DATE(E2221), """")"),42566.65074074074)</f>
        <v>42566.65074</v>
      </c>
      <c r="G2221" s="20">
        <f t="shared" si="1"/>
        <v>15</v>
      </c>
      <c r="H2221" s="27">
        <v>42566.686006944445</v>
      </c>
      <c r="I2221" s="19">
        <f>IFERROR(__xludf.DUMMYFUNCTION("IFERROR(TO_DATE(H2221), """")"),42566.686006944445)</f>
        <v>42566.68601</v>
      </c>
      <c r="J2221" s="19" t="s">
        <v>10</v>
      </c>
      <c r="K2221" s="22">
        <f t="shared" si="2"/>
        <v>0</v>
      </c>
    </row>
    <row r="2222">
      <c r="A2222" s="18">
        <v>6540.0</v>
      </c>
      <c r="B2222" s="18" t="s">
        <v>32</v>
      </c>
      <c r="C2222" s="18">
        <v>232.0</v>
      </c>
      <c r="D2222" s="18" t="s">
        <v>31</v>
      </c>
      <c r="E2222" s="27">
        <v>42566.87300925926</v>
      </c>
      <c r="F2222" s="19">
        <f>IFERROR(__xludf.DUMMYFUNCTION("IFERROR(TO_DATE(E2222), """")"),42566.87300925926)</f>
        <v>42566.87301</v>
      </c>
      <c r="G2222" s="20">
        <f t="shared" si="1"/>
        <v>20</v>
      </c>
      <c r="H2222" s="27">
        <v>42566.92159722222</v>
      </c>
      <c r="I2222" s="19">
        <f>IFERROR(__xludf.DUMMYFUNCTION("IFERROR(TO_DATE(H2222), """")"),42566.92159722222)</f>
        <v>42566.9216</v>
      </c>
      <c r="J2222" s="19" t="s">
        <v>13</v>
      </c>
      <c r="K2222" s="22">
        <f t="shared" si="2"/>
        <v>0</v>
      </c>
    </row>
    <row r="2223">
      <c r="A2223" s="18">
        <v>301.0</v>
      </c>
      <c r="B2223" s="18" t="s">
        <v>32</v>
      </c>
      <c r="C2223" s="18">
        <v>233.0</v>
      </c>
      <c r="D2223" s="18" t="s">
        <v>31</v>
      </c>
      <c r="E2223" s="26">
        <v>42562.30347222222</v>
      </c>
      <c r="F2223" s="19">
        <f>IFERROR(__xludf.DUMMYFUNCTION("IFERROR(TO_DATE(E2223), """")"),42562.30347222222)</f>
        <v>42562.30347</v>
      </c>
      <c r="G2223" s="20">
        <f t="shared" si="1"/>
        <v>7</v>
      </c>
      <c r="H2223" s="26">
        <v>42562.34583333333</v>
      </c>
      <c r="I2223" s="19">
        <f>IFERROR(__xludf.DUMMYFUNCTION("IFERROR(TO_DATE(H2223), """")"),42562.34583333333)</f>
        <v>42562.34583</v>
      </c>
      <c r="J2223" s="19" t="s">
        <v>11</v>
      </c>
      <c r="K2223" s="22">
        <f t="shared" si="2"/>
        <v>0</v>
      </c>
    </row>
    <row r="2224">
      <c r="A2224" s="18">
        <v>1057.0</v>
      </c>
      <c r="B2224" s="18" t="s">
        <v>30</v>
      </c>
      <c r="C2224" s="18">
        <v>233.0</v>
      </c>
      <c r="D2224" s="18" t="s">
        <v>31</v>
      </c>
      <c r="E2224" s="26">
        <v>42562.82847222222</v>
      </c>
      <c r="F2224" s="19">
        <f>IFERROR(__xludf.DUMMYFUNCTION("IFERROR(TO_DATE(E2224), """")"),42562.82847222222)</f>
        <v>42562.82847</v>
      </c>
      <c r="G2224" s="20">
        <f t="shared" si="1"/>
        <v>19</v>
      </c>
      <c r="H2224" s="26">
        <v>42562.8625</v>
      </c>
      <c r="I2224" s="19">
        <f>IFERROR(__xludf.DUMMYFUNCTION("IFERROR(TO_DATE(H2224), """")"),42562.8625)</f>
        <v>42562.8625</v>
      </c>
      <c r="J2224" s="19" t="s">
        <v>12</v>
      </c>
      <c r="K2224" s="22">
        <f t="shared" si="2"/>
        <v>0</v>
      </c>
    </row>
    <row r="2225">
      <c r="A2225" s="18">
        <v>1408.0</v>
      </c>
      <c r="B2225" s="18" t="s">
        <v>30</v>
      </c>
      <c r="C2225" s="18">
        <v>233.0</v>
      </c>
      <c r="D2225" s="18" t="s">
        <v>31</v>
      </c>
      <c r="E2225" s="26">
        <v>42563.13402777778</v>
      </c>
      <c r="F2225" s="19">
        <f>IFERROR(__xludf.DUMMYFUNCTION("IFERROR(TO_DATE(E2225), """")"),42563.13402777778)</f>
        <v>42563.13403</v>
      </c>
      <c r="G2225" s="20">
        <f t="shared" si="1"/>
        <v>3</v>
      </c>
      <c r="H2225" s="26">
        <v>42563.17222222222</v>
      </c>
      <c r="I2225" s="19">
        <f>IFERROR(__xludf.DUMMYFUNCTION("IFERROR(TO_DATE(H2225), """")"),42563.17222222222)</f>
        <v>42563.17222</v>
      </c>
      <c r="J2225" s="19" t="s">
        <v>15</v>
      </c>
      <c r="K2225" s="22">
        <f t="shared" si="2"/>
        <v>0</v>
      </c>
    </row>
    <row r="2226">
      <c r="A2226" s="18">
        <v>1453.0</v>
      </c>
      <c r="B2226" s="18" t="s">
        <v>32</v>
      </c>
      <c r="C2226" s="18">
        <v>233.0</v>
      </c>
      <c r="D2226" s="18" t="s">
        <v>31</v>
      </c>
      <c r="E2226" s="26">
        <v>42563.20347222222</v>
      </c>
      <c r="F2226" s="19">
        <f>IFERROR(__xludf.DUMMYFUNCTION("IFERROR(TO_DATE(E2226), """")"),42563.20347222222)</f>
        <v>42563.20347</v>
      </c>
      <c r="G2226" s="20">
        <f t="shared" si="1"/>
        <v>4</v>
      </c>
      <c r="H2226" s="26">
        <v>42563.245833333334</v>
      </c>
      <c r="I2226" s="19">
        <f>IFERROR(__xludf.DUMMYFUNCTION("IFERROR(TO_DATE(H2226), """")"),42563.245833333334)</f>
        <v>42563.24583</v>
      </c>
      <c r="J2226" s="19" t="s">
        <v>11</v>
      </c>
      <c r="K2226" s="22">
        <f t="shared" si="2"/>
        <v>0</v>
      </c>
    </row>
    <row r="2227">
      <c r="A2227" s="18">
        <v>1882.0</v>
      </c>
      <c r="B2227" s="18" t="s">
        <v>30</v>
      </c>
      <c r="C2227" s="18">
        <v>233.0</v>
      </c>
      <c r="D2227" s="18" t="s">
        <v>31</v>
      </c>
      <c r="E2227" s="26">
        <v>42563.416666666664</v>
      </c>
      <c r="F2227" s="19">
        <f>IFERROR(__xludf.DUMMYFUNCTION("IFERROR(TO_DATE(E2227), """")"),42563.416666666664)</f>
        <v>42563.41667</v>
      </c>
      <c r="G2227" s="20">
        <f t="shared" si="1"/>
        <v>10</v>
      </c>
      <c r="H2227" s="26">
        <v>42563.461805555555</v>
      </c>
      <c r="I2227" s="19">
        <f>IFERROR(__xludf.DUMMYFUNCTION("IFERROR(TO_DATE(H2227), """")"),42563.461805555555)</f>
        <v>42563.46181</v>
      </c>
      <c r="J2227" s="19" t="s">
        <v>14</v>
      </c>
      <c r="K2227" s="22">
        <f t="shared" si="2"/>
        <v>0</v>
      </c>
    </row>
    <row r="2228">
      <c r="A2228" s="18">
        <v>2111.0</v>
      </c>
      <c r="B2228" s="18" t="s">
        <v>30</v>
      </c>
      <c r="C2228" s="18">
        <v>233.0</v>
      </c>
      <c r="D2228" s="18" t="s">
        <v>31</v>
      </c>
      <c r="E2228" s="26">
        <v>42563.68402777778</v>
      </c>
      <c r="F2228" s="19">
        <f>IFERROR(__xludf.DUMMYFUNCTION("IFERROR(TO_DATE(E2228), """")"),42563.68402777778)</f>
        <v>42563.68403</v>
      </c>
      <c r="G2228" s="20">
        <f t="shared" si="1"/>
        <v>16</v>
      </c>
      <c r="H2228" s="26">
        <v>42563.725694444445</v>
      </c>
      <c r="I2228" s="19">
        <f>IFERROR(__xludf.DUMMYFUNCTION("IFERROR(TO_DATE(H2228), """")"),42563.725694444445)</f>
        <v>42563.72569</v>
      </c>
      <c r="J2228" s="19" t="s">
        <v>12</v>
      </c>
      <c r="K2228" s="22">
        <f t="shared" si="2"/>
        <v>0</v>
      </c>
    </row>
    <row r="2229">
      <c r="A2229" s="18">
        <v>2360.0</v>
      </c>
      <c r="B2229" s="18" t="s">
        <v>32</v>
      </c>
      <c r="C2229" s="18">
        <v>233.0</v>
      </c>
      <c r="D2229" s="18" t="s">
        <v>31</v>
      </c>
      <c r="E2229" s="26">
        <v>42563.81041666667</v>
      </c>
      <c r="F2229" s="19">
        <f>IFERROR(__xludf.DUMMYFUNCTION("IFERROR(TO_DATE(E2229), """")"),42563.81041666667)</f>
        <v>42563.81042</v>
      </c>
      <c r="G2229" s="20">
        <f t="shared" si="1"/>
        <v>19</v>
      </c>
      <c r="H2229" s="26">
        <v>42563.83263888889</v>
      </c>
      <c r="I2229" s="19">
        <f>IFERROR(__xludf.DUMMYFUNCTION("IFERROR(TO_DATE(H2229), """")"),42563.83263888889)</f>
        <v>42563.83264</v>
      </c>
      <c r="J2229" s="19" t="s">
        <v>12</v>
      </c>
      <c r="K2229" s="22">
        <f t="shared" si="2"/>
        <v>0</v>
      </c>
    </row>
    <row r="2230">
      <c r="A2230" s="18">
        <v>3207.0</v>
      </c>
      <c r="B2230" s="18" t="s">
        <v>32</v>
      </c>
      <c r="C2230" s="18">
        <v>233.0</v>
      </c>
      <c r="D2230" s="18" t="s">
        <v>31</v>
      </c>
      <c r="E2230" s="27">
        <v>42564.406180555554</v>
      </c>
      <c r="F2230" s="19">
        <f>IFERROR(__xludf.DUMMYFUNCTION("IFERROR(TO_DATE(E2230), """")"),42564.406180555554)</f>
        <v>42564.40618</v>
      </c>
      <c r="G2230" s="20">
        <f t="shared" si="1"/>
        <v>9</v>
      </c>
      <c r="H2230" s="27">
        <v>42564.44391203704</v>
      </c>
      <c r="I2230" s="19">
        <f>IFERROR(__xludf.DUMMYFUNCTION("IFERROR(TO_DATE(H2230), """")"),42564.44391203704)</f>
        <v>42564.44391</v>
      </c>
      <c r="J2230" s="19" t="s">
        <v>14</v>
      </c>
      <c r="K2230" s="22">
        <f t="shared" si="2"/>
        <v>0</v>
      </c>
    </row>
    <row r="2231">
      <c r="A2231" s="18">
        <v>3304.0</v>
      </c>
      <c r="B2231" s="18" t="s">
        <v>30</v>
      </c>
      <c r="C2231" s="18">
        <v>233.0</v>
      </c>
      <c r="D2231" s="18" t="s">
        <v>31</v>
      </c>
      <c r="E2231" s="27">
        <v>42564.488912037035</v>
      </c>
      <c r="F2231" s="19">
        <f>IFERROR(__xludf.DUMMYFUNCTION("IFERROR(TO_DATE(E2231), """")"),42564.488912037035)</f>
        <v>42564.48891</v>
      </c>
      <c r="G2231" s="20">
        <f t="shared" si="1"/>
        <v>11</v>
      </c>
      <c r="H2231" s="27">
        <v>42564.519895833335</v>
      </c>
      <c r="I2231" s="19">
        <f>IFERROR(__xludf.DUMMYFUNCTION("IFERROR(TO_DATE(H2231), """")"),42564.519895833335)</f>
        <v>42564.5199</v>
      </c>
      <c r="J2231" s="19" t="s">
        <v>14</v>
      </c>
      <c r="K2231" s="22">
        <f t="shared" si="2"/>
        <v>0</v>
      </c>
    </row>
    <row r="2232">
      <c r="A2232" s="18">
        <v>4122.0</v>
      </c>
      <c r="B2232" s="18" t="s">
        <v>30</v>
      </c>
      <c r="C2232" s="18">
        <v>233.0</v>
      </c>
      <c r="D2232" s="18" t="s">
        <v>31</v>
      </c>
      <c r="E2232" s="27">
        <v>42565.187893518516</v>
      </c>
      <c r="F2232" s="19">
        <f>IFERROR(__xludf.DUMMYFUNCTION("IFERROR(TO_DATE(E2232), """")"),42565.187893518516)</f>
        <v>42565.18789</v>
      </c>
      <c r="G2232" s="20">
        <f t="shared" si="1"/>
        <v>4</v>
      </c>
      <c r="H2232" s="27">
        <v>42565.22552083333</v>
      </c>
      <c r="I2232" s="19">
        <f>IFERROR(__xludf.DUMMYFUNCTION("IFERROR(TO_DATE(H2232), """")"),42565.22552083333)</f>
        <v>42565.22552</v>
      </c>
      <c r="J2232" s="19" t="s">
        <v>11</v>
      </c>
      <c r="K2232" s="22">
        <f t="shared" si="2"/>
        <v>0</v>
      </c>
    </row>
    <row r="2233">
      <c r="A2233" s="18">
        <v>4683.0</v>
      </c>
      <c r="B2233" s="18" t="s">
        <v>32</v>
      </c>
      <c r="C2233" s="18">
        <v>233.0</v>
      </c>
      <c r="D2233" s="18" t="s">
        <v>31</v>
      </c>
      <c r="E2233" s="27">
        <v>42565.53351851852</v>
      </c>
      <c r="F2233" s="19">
        <f>IFERROR(__xludf.DUMMYFUNCTION("IFERROR(TO_DATE(E2233), """")"),42565.53351851852)</f>
        <v>42565.53352</v>
      </c>
      <c r="G2233" s="20">
        <f t="shared" si="1"/>
        <v>12</v>
      </c>
      <c r="H2233" s="27">
        <v>42565.56520833333</v>
      </c>
      <c r="I2233" s="19">
        <f>IFERROR(__xludf.DUMMYFUNCTION("IFERROR(TO_DATE(H2233), """")"),42565.56520833333)</f>
        <v>42565.56521</v>
      </c>
      <c r="J2233" s="19" t="s">
        <v>10</v>
      </c>
      <c r="K2233" s="22">
        <f t="shared" si="2"/>
        <v>0</v>
      </c>
    </row>
    <row r="2234">
      <c r="A2234" s="18">
        <v>5470.0</v>
      </c>
      <c r="B2234" s="18" t="s">
        <v>32</v>
      </c>
      <c r="C2234" s="18">
        <v>233.0</v>
      </c>
      <c r="D2234" s="18" t="s">
        <v>31</v>
      </c>
      <c r="E2234" s="27">
        <v>42566.19820601852</v>
      </c>
      <c r="F2234" s="19">
        <f>IFERROR(__xludf.DUMMYFUNCTION("IFERROR(TO_DATE(E2234), """")"),42566.19820601852)</f>
        <v>42566.19821</v>
      </c>
      <c r="G2234" s="20">
        <f t="shared" si="1"/>
        <v>4</v>
      </c>
      <c r="H2234" s="27">
        <v>42566.25052083333</v>
      </c>
      <c r="I2234" s="19">
        <f>IFERROR(__xludf.DUMMYFUNCTION("IFERROR(TO_DATE(H2234), """")"),42566.25052083333)</f>
        <v>42566.25052</v>
      </c>
      <c r="J2234" s="19" t="s">
        <v>11</v>
      </c>
      <c r="K2234" s="22">
        <f t="shared" si="2"/>
        <v>0</v>
      </c>
    </row>
    <row r="2235">
      <c r="A2235" s="18">
        <v>6116.0</v>
      </c>
      <c r="B2235" s="18" t="s">
        <v>32</v>
      </c>
      <c r="C2235" s="18">
        <v>233.0</v>
      </c>
      <c r="D2235" s="18" t="s">
        <v>31</v>
      </c>
      <c r="E2235" s="27">
        <v>42566.63719907407</v>
      </c>
      <c r="F2235" s="19">
        <f>IFERROR(__xludf.DUMMYFUNCTION("IFERROR(TO_DATE(E2235), """")"),42566.63719907407)</f>
        <v>42566.6372</v>
      </c>
      <c r="G2235" s="20">
        <f t="shared" si="1"/>
        <v>15</v>
      </c>
      <c r="H2235" s="27">
        <v>42566.657060185185</v>
      </c>
      <c r="I2235" s="19">
        <f>IFERROR(__xludf.DUMMYFUNCTION("IFERROR(TO_DATE(H2235), """")"),42566.657060185185)</f>
        <v>42566.65706</v>
      </c>
      <c r="J2235" s="19" t="s">
        <v>10</v>
      </c>
      <c r="K2235" s="22">
        <f t="shared" si="2"/>
        <v>0</v>
      </c>
    </row>
    <row r="2236">
      <c r="A2236" s="18">
        <v>6393.0</v>
      </c>
      <c r="B2236" s="18" t="s">
        <v>30</v>
      </c>
      <c r="C2236" s="18">
        <v>233.0</v>
      </c>
      <c r="D2236" s="18" t="s">
        <v>31</v>
      </c>
      <c r="E2236" s="27">
        <v>42566.80606481482</v>
      </c>
      <c r="F2236" s="19">
        <f>IFERROR(__xludf.DUMMYFUNCTION("IFERROR(TO_DATE(E2236), """")"),42566.80606481482)</f>
        <v>42566.80606</v>
      </c>
      <c r="G2236" s="20">
        <f t="shared" si="1"/>
        <v>19</v>
      </c>
      <c r="H2236" s="27">
        <v>42566.84653935185</v>
      </c>
      <c r="I2236" s="19">
        <f>IFERROR(__xludf.DUMMYFUNCTION("IFERROR(TO_DATE(H2236), """")"),42566.84653935185)</f>
        <v>42566.84654</v>
      </c>
      <c r="J2236" s="19" t="s">
        <v>12</v>
      </c>
      <c r="K2236" s="22">
        <f t="shared" si="2"/>
        <v>0</v>
      </c>
    </row>
    <row r="2237">
      <c r="A2237" s="18">
        <v>6643.0</v>
      </c>
      <c r="B2237" s="18" t="s">
        <v>32</v>
      </c>
      <c r="C2237" s="18">
        <v>233.0</v>
      </c>
      <c r="D2237" s="18" t="s">
        <v>31</v>
      </c>
      <c r="E2237" s="27">
        <v>42566.92254629629</v>
      </c>
      <c r="F2237" s="19">
        <f>IFERROR(__xludf.DUMMYFUNCTION("IFERROR(TO_DATE(E2237), """")"),42566.92254629629)</f>
        <v>42566.92255</v>
      </c>
      <c r="G2237" s="20">
        <f t="shared" si="1"/>
        <v>22</v>
      </c>
      <c r="H2237" s="27">
        <v>42566.95099537037</v>
      </c>
      <c r="I2237" s="19">
        <f>IFERROR(__xludf.DUMMYFUNCTION("IFERROR(TO_DATE(H2237), """")"),42566.95099537037)</f>
        <v>42566.951</v>
      </c>
      <c r="J2237" s="19" t="s">
        <v>13</v>
      </c>
      <c r="K2237" s="22">
        <f t="shared" si="2"/>
        <v>0</v>
      </c>
    </row>
    <row r="2238">
      <c r="A2238" s="18">
        <v>91.0</v>
      </c>
      <c r="B2238" s="18" t="s">
        <v>30</v>
      </c>
      <c r="C2238" s="18">
        <v>234.0</v>
      </c>
      <c r="D2238" s="18" t="s">
        <v>31</v>
      </c>
      <c r="E2238" s="26">
        <v>42562.200694444444</v>
      </c>
      <c r="F2238" s="19">
        <f>IFERROR(__xludf.DUMMYFUNCTION("IFERROR(TO_DATE(E2238), """")"),42562.200694444444)</f>
        <v>42562.20069</v>
      </c>
      <c r="G2238" s="20">
        <f t="shared" si="1"/>
        <v>4</v>
      </c>
      <c r="H2238" s="26">
        <v>42562.23541666667</v>
      </c>
      <c r="I2238" s="19">
        <f>IFERROR(__xludf.DUMMYFUNCTION("IFERROR(TO_DATE(H2238), """")"),42562.23541666667)</f>
        <v>42562.23542</v>
      </c>
      <c r="J2238" s="19" t="s">
        <v>11</v>
      </c>
      <c r="K2238" s="22">
        <f t="shared" si="2"/>
        <v>0</v>
      </c>
    </row>
    <row r="2239">
      <c r="A2239" s="18">
        <v>756.0</v>
      </c>
      <c r="B2239" s="18" t="s">
        <v>30</v>
      </c>
      <c r="C2239" s="18">
        <v>234.0</v>
      </c>
      <c r="D2239" s="18" t="s">
        <v>31</v>
      </c>
      <c r="E2239" s="26">
        <v>42562.669444444444</v>
      </c>
      <c r="F2239" s="19">
        <f>IFERROR(__xludf.DUMMYFUNCTION("IFERROR(TO_DATE(E2239), """")"),42562.669444444444)</f>
        <v>42562.66944</v>
      </c>
      <c r="G2239" s="20">
        <f t="shared" si="1"/>
        <v>16</v>
      </c>
      <c r="H2239" s="26">
        <v>42562.69305555556</v>
      </c>
      <c r="I2239" s="19">
        <f>IFERROR(__xludf.DUMMYFUNCTION("IFERROR(TO_DATE(H2239), """")"),42562.69305555556)</f>
        <v>42562.69306</v>
      </c>
      <c r="J2239" s="19" t="s">
        <v>12</v>
      </c>
      <c r="K2239" s="22">
        <f t="shared" si="2"/>
        <v>0</v>
      </c>
    </row>
    <row r="2240">
      <c r="A2240" s="18">
        <v>1680.0</v>
      </c>
      <c r="B2240" s="18" t="s">
        <v>32</v>
      </c>
      <c r="C2240" s="18">
        <v>234.0</v>
      </c>
      <c r="D2240" s="18" t="s">
        <v>31</v>
      </c>
      <c r="E2240" s="26">
        <v>42563.325</v>
      </c>
      <c r="F2240" s="19">
        <f>IFERROR(__xludf.DUMMYFUNCTION("IFERROR(TO_DATE(E2240), """")"),42563.325)</f>
        <v>42563.325</v>
      </c>
      <c r="G2240" s="20">
        <f t="shared" si="1"/>
        <v>7</v>
      </c>
      <c r="H2240" s="26">
        <v>42563.364583333336</v>
      </c>
      <c r="I2240" s="19">
        <f>IFERROR(__xludf.DUMMYFUNCTION("IFERROR(TO_DATE(H2240), """")"),42563.364583333336)</f>
        <v>42563.36458</v>
      </c>
      <c r="J2240" s="19" t="s">
        <v>11</v>
      </c>
      <c r="K2240" s="22">
        <f t="shared" si="2"/>
        <v>0</v>
      </c>
    </row>
    <row r="2241">
      <c r="A2241" s="18">
        <v>2047.0</v>
      </c>
      <c r="B2241" s="18" t="s">
        <v>32</v>
      </c>
      <c r="C2241" s="18">
        <v>234.0</v>
      </c>
      <c r="D2241" s="18" t="s">
        <v>31</v>
      </c>
      <c r="E2241" s="26">
        <v>42563.6125</v>
      </c>
      <c r="F2241" s="19">
        <f>IFERROR(__xludf.DUMMYFUNCTION("IFERROR(TO_DATE(E2241), """")"),42563.6125)</f>
        <v>42563.6125</v>
      </c>
      <c r="G2241" s="20">
        <f t="shared" si="1"/>
        <v>14</v>
      </c>
      <c r="H2241" s="26">
        <v>42563.64166666667</v>
      </c>
      <c r="I2241" s="19">
        <f>IFERROR(__xludf.DUMMYFUNCTION("IFERROR(TO_DATE(H2241), """")"),42563.64166666667)</f>
        <v>42563.64167</v>
      </c>
      <c r="J2241" s="19" t="s">
        <v>10</v>
      </c>
      <c r="K2241" s="22">
        <f t="shared" si="2"/>
        <v>0</v>
      </c>
    </row>
    <row r="2242">
      <c r="A2242" s="18">
        <v>2866.0</v>
      </c>
      <c r="B2242" s="18" t="s">
        <v>30</v>
      </c>
      <c r="C2242" s="18">
        <v>234.0</v>
      </c>
      <c r="D2242" s="18" t="s">
        <v>31</v>
      </c>
      <c r="E2242" s="27">
        <v>42564.23579861111</v>
      </c>
      <c r="F2242" s="19">
        <f>IFERROR(__xludf.DUMMYFUNCTION("IFERROR(TO_DATE(E2242), """")"),42564.23579861111)</f>
        <v>42564.2358</v>
      </c>
      <c r="G2242" s="20">
        <f t="shared" si="1"/>
        <v>5</v>
      </c>
      <c r="H2242" s="27">
        <v>42564.260717592595</v>
      </c>
      <c r="I2242" s="19">
        <f>IFERROR(__xludf.DUMMYFUNCTION("IFERROR(TO_DATE(H2242), """")"),42564.260717592595)</f>
        <v>42564.26072</v>
      </c>
      <c r="J2242" s="19" t="s">
        <v>11</v>
      </c>
      <c r="K2242" s="22">
        <f t="shared" si="2"/>
        <v>0</v>
      </c>
    </row>
    <row r="2243">
      <c r="A2243" s="18">
        <v>3631.0</v>
      </c>
      <c r="B2243" s="18" t="s">
        <v>32</v>
      </c>
      <c r="C2243" s="18">
        <v>234.0</v>
      </c>
      <c r="D2243" s="18" t="s">
        <v>31</v>
      </c>
      <c r="E2243" s="27">
        <v>42564.793078703704</v>
      </c>
      <c r="F2243" s="19">
        <f>IFERROR(__xludf.DUMMYFUNCTION("IFERROR(TO_DATE(E2243), """")"),42564.793078703704)</f>
        <v>42564.79308</v>
      </c>
      <c r="G2243" s="20">
        <f t="shared" si="1"/>
        <v>19</v>
      </c>
      <c r="H2243" s="27">
        <v>42564.83255787037</v>
      </c>
      <c r="I2243" s="19">
        <f>IFERROR(__xludf.DUMMYFUNCTION("IFERROR(TO_DATE(H2243), """")"),42564.83255787037)</f>
        <v>42564.83256</v>
      </c>
      <c r="J2243" s="19" t="s">
        <v>12</v>
      </c>
      <c r="K2243" s="22">
        <f t="shared" si="2"/>
        <v>0</v>
      </c>
    </row>
    <row r="2244">
      <c r="A2244" s="18">
        <v>4316.0</v>
      </c>
      <c r="B2244" s="18" t="s">
        <v>32</v>
      </c>
      <c r="C2244" s="18">
        <v>234.0</v>
      </c>
      <c r="D2244" s="18" t="s">
        <v>31</v>
      </c>
      <c r="E2244" s="27">
        <v>42565.28755787037</v>
      </c>
      <c r="F2244" s="19">
        <f>IFERROR(__xludf.DUMMYFUNCTION("IFERROR(TO_DATE(E2244), """")"),42565.28755787037)</f>
        <v>42565.28756</v>
      </c>
      <c r="G2244" s="20">
        <f t="shared" si="1"/>
        <v>6</v>
      </c>
      <c r="H2244" s="27">
        <v>42565.33855324074</v>
      </c>
      <c r="I2244" s="19">
        <f>IFERROR(__xludf.DUMMYFUNCTION("IFERROR(TO_DATE(H2244), """")"),42565.33855324074)</f>
        <v>42565.33855</v>
      </c>
      <c r="J2244" s="19" t="s">
        <v>11</v>
      </c>
      <c r="K2244" s="22">
        <f t="shared" si="2"/>
        <v>0</v>
      </c>
    </row>
    <row r="2245">
      <c r="A2245" s="18">
        <v>5364.0</v>
      </c>
      <c r="B2245" s="18" t="s">
        <v>32</v>
      </c>
      <c r="C2245" s="18">
        <v>234.0</v>
      </c>
      <c r="D2245" s="18" t="s">
        <v>31</v>
      </c>
      <c r="E2245" s="27">
        <v>42565.97555555555</v>
      </c>
      <c r="F2245" s="19">
        <f>IFERROR(__xludf.DUMMYFUNCTION("IFERROR(TO_DATE(E2245), """")"),42565.97555555555)</f>
        <v>42565.97556</v>
      </c>
      <c r="G2245" s="20">
        <f t="shared" si="1"/>
        <v>23</v>
      </c>
      <c r="H2245" s="27">
        <v>42566.00300925926</v>
      </c>
      <c r="I2245" s="19">
        <f>IFERROR(__xludf.DUMMYFUNCTION("IFERROR(TO_DATE(H2245), """")"),42566.00300925926)</f>
        <v>42566.00301</v>
      </c>
      <c r="J2245" s="19" t="s">
        <v>13</v>
      </c>
      <c r="K2245" s="22">
        <f t="shared" si="2"/>
        <v>0</v>
      </c>
    </row>
    <row r="2246">
      <c r="A2246" s="18">
        <v>5605.0</v>
      </c>
      <c r="B2246" s="18" t="s">
        <v>32</v>
      </c>
      <c r="C2246" s="18">
        <v>234.0</v>
      </c>
      <c r="D2246" s="18" t="s">
        <v>31</v>
      </c>
      <c r="E2246" s="27">
        <v>42566.26045138889</v>
      </c>
      <c r="F2246" s="19">
        <f>IFERROR(__xludf.DUMMYFUNCTION("IFERROR(TO_DATE(E2246), """")"),42566.26045138889)</f>
        <v>42566.26045</v>
      </c>
      <c r="G2246" s="20">
        <f t="shared" si="1"/>
        <v>6</v>
      </c>
      <c r="H2246" s="27">
        <v>42566.29400462963</v>
      </c>
      <c r="I2246" s="19">
        <f>IFERROR(__xludf.DUMMYFUNCTION("IFERROR(TO_DATE(H2246), """")"),42566.29400462963)</f>
        <v>42566.294</v>
      </c>
      <c r="J2246" s="19" t="s">
        <v>11</v>
      </c>
      <c r="K2246" s="22">
        <f t="shared" si="2"/>
        <v>0</v>
      </c>
    </row>
    <row r="2247">
      <c r="A2247" s="18">
        <v>9.0</v>
      </c>
      <c r="B2247" s="18" t="s">
        <v>30</v>
      </c>
      <c r="C2247" s="18">
        <v>235.0</v>
      </c>
      <c r="D2247" s="18" t="s">
        <v>31</v>
      </c>
      <c r="E2247" s="26">
        <v>42562.03125</v>
      </c>
      <c r="F2247" s="19">
        <f>IFERROR(__xludf.DUMMYFUNCTION("IFERROR(TO_DATE(E2247), """")"),42562.03125)</f>
        <v>42562.03125</v>
      </c>
      <c r="G2247" s="20">
        <f t="shared" si="1"/>
        <v>0</v>
      </c>
      <c r="H2247" s="26">
        <v>42562.083333333336</v>
      </c>
      <c r="I2247" s="19">
        <f>IFERROR(__xludf.DUMMYFUNCTION("IFERROR(TO_DATE(H2247), """")"),42562.083333333336)</f>
        <v>42562.08333</v>
      </c>
      <c r="J2247" s="19" t="s">
        <v>15</v>
      </c>
      <c r="K2247" s="22">
        <f t="shared" si="2"/>
        <v>0</v>
      </c>
    </row>
    <row r="2248">
      <c r="A2248" s="18">
        <v>448.0</v>
      </c>
      <c r="B2248" s="18" t="s">
        <v>32</v>
      </c>
      <c r="C2248" s="18">
        <v>235.0</v>
      </c>
      <c r="D2248" s="18" t="s">
        <v>31</v>
      </c>
      <c r="E2248" s="26">
        <v>42562.38402777778</v>
      </c>
      <c r="F2248" s="19">
        <f>IFERROR(__xludf.DUMMYFUNCTION("IFERROR(TO_DATE(E2248), """")"),42562.38402777778)</f>
        <v>42562.38403</v>
      </c>
      <c r="G2248" s="20">
        <f t="shared" si="1"/>
        <v>9</v>
      </c>
      <c r="H2248" s="26">
        <v>42562.42222222222</v>
      </c>
      <c r="I2248" s="19">
        <f>IFERROR(__xludf.DUMMYFUNCTION("IFERROR(TO_DATE(H2248), """")"),42562.42222222222)</f>
        <v>42562.42222</v>
      </c>
      <c r="J2248" s="19" t="s">
        <v>14</v>
      </c>
      <c r="K2248" s="22">
        <f t="shared" si="2"/>
        <v>0</v>
      </c>
    </row>
    <row r="2249">
      <c r="A2249" s="18">
        <v>1203.0</v>
      </c>
      <c r="B2249" s="18" t="s">
        <v>32</v>
      </c>
      <c r="C2249" s="18">
        <v>235.0</v>
      </c>
      <c r="D2249" s="18" t="s">
        <v>31</v>
      </c>
      <c r="E2249" s="26">
        <v>42562.8875</v>
      </c>
      <c r="F2249" s="19">
        <f>IFERROR(__xludf.DUMMYFUNCTION("IFERROR(TO_DATE(E2249), """")"),42562.8875)</f>
        <v>42562.8875</v>
      </c>
      <c r="G2249" s="20">
        <f t="shared" si="1"/>
        <v>21</v>
      </c>
      <c r="H2249" s="26">
        <v>42562.93819444445</v>
      </c>
      <c r="I2249" s="19">
        <f>IFERROR(__xludf.DUMMYFUNCTION("IFERROR(TO_DATE(H2249), """")"),42562.93819444445)</f>
        <v>42562.93819</v>
      </c>
      <c r="J2249" s="19" t="s">
        <v>13</v>
      </c>
      <c r="K2249" s="22">
        <f t="shared" si="2"/>
        <v>0</v>
      </c>
    </row>
    <row r="2250">
      <c r="A2250" s="18">
        <v>2010.0</v>
      </c>
      <c r="B2250" s="18" t="s">
        <v>30</v>
      </c>
      <c r="C2250" s="18">
        <v>235.0</v>
      </c>
      <c r="D2250" s="18" t="s">
        <v>31</v>
      </c>
      <c r="E2250" s="26">
        <v>42563.561111111114</v>
      </c>
      <c r="F2250" s="19">
        <f>IFERROR(__xludf.DUMMYFUNCTION("IFERROR(TO_DATE(E2250), """")"),42563.561111111114)</f>
        <v>42563.56111</v>
      </c>
      <c r="G2250" s="20">
        <f t="shared" si="1"/>
        <v>13</v>
      </c>
      <c r="H2250" s="26">
        <v>42563.58472222222</v>
      </c>
      <c r="I2250" s="19">
        <f>IFERROR(__xludf.DUMMYFUNCTION("IFERROR(TO_DATE(H2250), """")"),42563.58472222222)</f>
        <v>42563.58472</v>
      </c>
      <c r="J2250" s="19" t="s">
        <v>10</v>
      </c>
      <c r="K2250" s="22">
        <f t="shared" si="2"/>
        <v>0</v>
      </c>
    </row>
    <row r="2251">
      <c r="A2251" s="18">
        <v>4305.0</v>
      </c>
      <c r="B2251" s="18" t="s">
        <v>32</v>
      </c>
      <c r="C2251" s="18">
        <v>235.0</v>
      </c>
      <c r="D2251" s="18" t="s">
        <v>31</v>
      </c>
      <c r="E2251" s="27">
        <v>42565.282314814816</v>
      </c>
      <c r="F2251" s="19">
        <f>IFERROR(__xludf.DUMMYFUNCTION("IFERROR(TO_DATE(E2251), """")"),42565.282314814816)</f>
        <v>42565.28231</v>
      </c>
      <c r="G2251" s="20">
        <f t="shared" si="1"/>
        <v>6</v>
      </c>
      <c r="H2251" s="27">
        <v>42565.332280092596</v>
      </c>
      <c r="I2251" s="19">
        <f>IFERROR(__xludf.DUMMYFUNCTION("IFERROR(TO_DATE(H2251), """")"),42565.332280092596)</f>
        <v>42565.33228</v>
      </c>
      <c r="J2251" s="19" t="s">
        <v>11</v>
      </c>
      <c r="K2251" s="22">
        <f t="shared" si="2"/>
        <v>0</v>
      </c>
    </row>
    <row r="2252">
      <c r="A2252" s="18">
        <v>4687.0</v>
      </c>
      <c r="B2252" s="18" t="s">
        <v>30</v>
      </c>
      <c r="C2252" s="18">
        <v>235.0</v>
      </c>
      <c r="D2252" s="18" t="s">
        <v>31</v>
      </c>
      <c r="E2252" s="27">
        <v>42565.54127314815</v>
      </c>
      <c r="F2252" s="19">
        <f>IFERROR(__xludf.DUMMYFUNCTION("IFERROR(TO_DATE(E2252), """")"),42565.54127314815)</f>
        <v>42565.54127</v>
      </c>
      <c r="G2252" s="20">
        <f t="shared" si="1"/>
        <v>12</v>
      </c>
      <c r="H2252" s="27">
        <v>42565.58314814815</v>
      </c>
      <c r="I2252" s="19">
        <f>IFERROR(__xludf.DUMMYFUNCTION("IFERROR(TO_DATE(H2252), """")"),42565.58314814815)</f>
        <v>42565.58315</v>
      </c>
      <c r="J2252" s="19" t="s">
        <v>10</v>
      </c>
      <c r="K2252" s="22">
        <f t="shared" si="2"/>
        <v>0</v>
      </c>
    </row>
    <row r="2253">
      <c r="A2253" s="18">
        <v>4940.0</v>
      </c>
      <c r="B2253" s="18" t="s">
        <v>32</v>
      </c>
      <c r="C2253" s="18">
        <v>235.0</v>
      </c>
      <c r="D2253" s="18" t="s">
        <v>31</v>
      </c>
      <c r="E2253" s="27">
        <v>42565.76715277778</v>
      </c>
      <c r="F2253" s="19">
        <f>IFERROR(__xludf.DUMMYFUNCTION("IFERROR(TO_DATE(E2253), """")"),42565.76715277778)</f>
        <v>42565.76715</v>
      </c>
      <c r="G2253" s="20">
        <f t="shared" si="1"/>
        <v>18</v>
      </c>
      <c r="H2253" s="27">
        <v>42565.78859953704</v>
      </c>
      <c r="I2253" s="19">
        <f>IFERROR(__xludf.DUMMYFUNCTION("IFERROR(TO_DATE(H2253), """")"),42565.78859953704)</f>
        <v>42565.7886</v>
      </c>
      <c r="J2253" s="19" t="s">
        <v>12</v>
      </c>
      <c r="K2253" s="22">
        <f t="shared" si="2"/>
        <v>0</v>
      </c>
    </row>
    <row r="2254">
      <c r="A2254" s="18">
        <v>5175.0</v>
      </c>
      <c r="B2254" s="18" t="s">
        <v>32</v>
      </c>
      <c r="C2254" s="18">
        <v>235.0</v>
      </c>
      <c r="D2254" s="18" t="s">
        <v>31</v>
      </c>
      <c r="E2254" s="27">
        <v>42565.85259259259</v>
      </c>
      <c r="F2254" s="19">
        <f>IFERROR(__xludf.DUMMYFUNCTION("IFERROR(TO_DATE(E2254), """")"),42565.85259259259)</f>
        <v>42565.85259</v>
      </c>
      <c r="G2254" s="20">
        <f t="shared" si="1"/>
        <v>20</v>
      </c>
      <c r="H2254" s="27">
        <v>42565.90299768518</v>
      </c>
      <c r="I2254" s="19">
        <f>IFERROR(__xludf.DUMMYFUNCTION("IFERROR(TO_DATE(H2254), """")"),42565.90299768518)</f>
        <v>42565.903</v>
      </c>
      <c r="J2254" s="19" t="s">
        <v>13</v>
      </c>
      <c r="K2254" s="22">
        <f t="shared" si="2"/>
        <v>0</v>
      </c>
    </row>
    <row r="2255">
      <c r="A2255" s="18">
        <v>5753.0</v>
      </c>
      <c r="B2255" s="18" t="s">
        <v>32</v>
      </c>
      <c r="C2255" s="18">
        <v>235.0</v>
      </c>
      <c r="D2255" s="18" t="s">
        <v>31</v>
      </c>
      <c r="E2255" s="27">
        <v>42566.337002314816</v>
      </c>
      <c r="F2255" s="19">
        <f>IFERROR(__xludf.DUMMYFUNCTION("IFERROR(TO_DATE(E2255), """")"),42566.337002314816)</f>
        <v>42566.337</v>
      </c>
      <c r="G2255" s="20">
        <f t="shared" si="1"/>
        <v>8</v>
      </c>
      <c r="H2255" s="27">
        <v>42566.36377314815</v>
      </c>
      <c r="I2255" s="19">
        <f>IFERROR(__xludf.DUMMYFUNCTION("IFERROR(TO_DATE(H2255), """")"),42566.36377314815)</f>
        <v>42566.36377</v>
      </c>
      <c r="J2255" s="19" t="s">
        <v>14</v>
      </c>
      <c r="K2255" s="22">
        <f t="shared" si="2"/>
        <v>0</v>
      </c>
    </row>
    <row r="2256">
      <c r="A2256" s="18">
        <v>5996.0</v>
      </c>
      <c r="B2256" s="18" t="s">
        <v>30</v>
      </c>
      <c r="C2256" s="18">
        <v>235.0</v>
      </c>
      <c r="D2256" s="18" t="s">
        <v>31</v>
      </c>
      <c r="E2256" s="27">
        <v>42566.496770833335</v>
      </c>
      <c r="F2256" s="19">
        <f>IFERROR(__xludf.DUMMYFUNCTION("IFERROR(TO_DATE(E2256), """")"),42566.496770833335)</f>
        <v>42566.49677</v>
      </c>
      <c r="G2256" s="20">
        <f t="shared" si="1"/>
        <v>11</v>
      </c>
      <c r="H2256" s="27">
        <v>42566.52819444444</v>
      </c>
      <c r="I2256" s="19">
        <f>IFERROR(__xludf.DUMMYFUNCTION("IFERROR(TO_DATE(H2256), """")"),42566.52819444444)</f>
        <v>42566.52819</v>
      </c>
      <c r="J2256" s="19" t="s">
        <v>14</v>
      </c>
      <c r="K2256" s="22">
        <f t="shared" si="2"/>
        <v>0</v>
      </c>
    </row>
    <row r="2257">
      <c r="A2257" s="18">
        <v>6435.0</v>
      </c>
      <c r="B2257" s="18" t="s">
        <v>32</v>
      </c>
      <c r="C2257" s="18">
        <v>235.0</v>
      </c>
      <c r="D2257" s="18" t="s">
        <v>31</v>
      </c>
      <c r="E2257" s="27">
        <v>42566.828194444446</v>
      </c>
      <c r="F2257" s="19">
        <f>IFERROR(__xludf.DUMMYFUNCTION("IFERROR(TO_DATE(E2257), """")"),42566.828194444446)</f>
        <v>42566.82819</v>
      </c>
      <c r="G2257" s="20">
        <f t="shared" si="1"/>
        <v>19</v>
      </c>
      <c r="H2257" s="27">
        <v>42566.86277777778</v>
      </c>
      <c r="I2257" s="19">
        <f>IFERROR(__xludf.DUMMYFUNCTION("IFERROR(TO_DATE(H2257), """")"),42566.86277777778)</f>
        <v>42566.86278</v>
      </c>
      <c r="J2257" s="19" t="s">
        <v>12</v>
      </c>
      <c r="K2257" s="22">
        <f t="shared" si="2"/>
        <v>0</v>
      </c>
    </row>
    <row r="2258">
      <c r="A2258" s="18">
        <v>6562.0</v>
      </c>
      <c r="B2258" s="18" t="s">
        <v>30</v>
      </c>
      <c r="C2258" s="18">
        <v>235.0</v>
      </c>
      <c r="D2258" s="18" t="s">
        <v>31</v>
      </c>
      <c r="E2258" s="27">
        <v>42566.87777777778</v>
      </c>
      <c r="F2258" s="19">
        <f>IFERROR(__xludf.DUMMYFUNCTION("IFERROR(TO_DATE(E2258), """")"),42566.87777777778)</f>
        <v>42566.87778</v>
      </c>
      <c r="G2258" s="20">
        <f t="shared" si="1"/>
        <v>21</v>
      </c>
      <c r="H2258" s="27">
        <v>42566.89984953704</v>
      </c>
      <c r="I2258" s="19">
        <f>IFERROR(__xludf.DUMMYFUNCTION("IFERROR(TO_DATE(H2258), """")"),42566.89984953704)</f>
        <v>42566.89985</v>
      </c>
      <c r="J2258" s="19" t="s">
        <v>13</v>
      </c>
      <c r="K2258" s="22">
        <f t="shared" si="2"/>
        <v>0</v>
      </c>
    </row>
    <row r="2259">
      <c r="A2259" s="18">
        <v>872.0</v>
      </c>
      <c r="B2259" s="18" t="s">
        <v>30</v>
      </c>
      <c r="C2259" s="18">
        <v>236.0</v>
      </c>
      <c r="D2259" s="18" t="s">
        <v>31</v>
      </c>
      <c r="E2259" s="26">
        <v>42562.74791666667</v>
      </c>
      <c r="F2259" s="19">
        <f>IFERROR(__xludf.DUMMYFUNCTION("IFERROR(TO_DATE(E2259), """")"),42562.74791666667)</f>
        <v>42562.74792</v>
      </c>
      <c r="G2259" s="20">
        <f t="shared" si="1"/>
        <v>17</v>
      </c>
      <c r="H2259" s="26">
        <v>42562.777083333334</v>
      </c>
      <c r="I2259" s="19">
        <f>IFERROR(__xludf.DUMMYFUNCTION("IFERROR(TO_DATE(H2259), """")"),42562.777083333334)</f>
        <v>42562.77708</v>
      </c>
      <c r="J2259" s="19" t="s">
        <v>12</v>
      </c>
      <c r="K2259" s="22">
        <f t="shared" si="2"/>
        <v>0</v>
      </c>
    </row>
    <row r="2260">
      <c r="A2260" s="18">
        <v>1652.0</v>
      </c>
      <c r="B2260" s="18" t="s">
        <v>30</v>
      </c>
      <c r="C2260" s="18">
        <v>236.0</v>
      </c>
      <c r="D2260" s="18" t="s">
        <v>31</v>
      </c>
      <c r="E2260" s="26">
        <v>42563.302777777775</v>
      </c>
      <c r="F2260" s="19">
        <f>IFERROR(__xludf.DUMMYFUNCTION("IFERROR(TO_DATE(E2260), """")"),42563.302777777775)</f>
        <v>42563.30278</v>
      </c>
      <c r="G2260" s="20">
        <f t="shared" si="1"/>
        <v>7</v>
      </c>
      <c r="H2260" s="26">
        <v>42563.350694444445</v>
      </c>
      <c r="I2260" s="19">
        <f>IFERROR(__xludf.DUMMYFUNCTION("IFERROR(TO_DATE(H2260), """")"),42563.350694444445)</f>
        <v>42563.35069</v>
      </c>
      <c r="J2260" s="19" t="s">
        <v>11</v>
      </c>
      <c r="K2260" s="22">
        <f t="shared" si="2"/>
        <v>0</v>
      </c>
    </row>
    <row r="2261">
      <c r="A2261" s="18">
        <v>2000.0</v>
      </c>
      <c r="B2261" s="18" t="s">
        <v>30</v>
      </c>
      <c r="C2261" s="18">
        <v>236.0</v>
      </c>
      <c r="D2261" s="18" t="s">
        <v>31</v>
      </c>
      <c r="E2261" s="26">
        <v>42563.540972222225</v>
      </c>
      <c r="F2261" s="19">
        <f>IFERROR(__xludf.DUMMYFUNCTION("IFERROR(TO_DATE(E2261), """")"),42563.540972222225)</f>
        <v>42563.54097</v>
      </c>
      <c r="G2261" s="20">
        <f t="shared" si="1"/>
        <v>12</v>
      </c>
      <c r="H2261" s="26">
        <v>42563.57152777778</v>
      </c>
      <c r="I2261" s="19">
        <f>IFERROR(__xludf.DUMMYFUNCTION("IFERROR(TO_DATE(H2261), """")"),42563.57152777778)</f>
        <v>42563.57153</v>
      </c>
      <c r="J2261" s="19" t="s">
        <v>10</v>
      </c>
      <c r="K2261" s="22">
        <f t="shared" si="2"/>
        <v>0</v>
      </c>
    </row>
    <row r="2262">
      <c r="A2262" s="18">
        <v>3380.0</v>
      </c>
      <c r="B2262" s="18" t="s">
        <v>30</v>
      </c>
      <c r="C2262" s="18">
        <v>236.0</v>
      </c>
      <c r="D2262" s="18" t="s">
        <v>31</v>
      </c>
      <c r="E2262" s="27">
        <v>42564.5997337963</v>
      </c>
      <c r="F2262" s="19">
        <f>IFERROR(__xludf.DUMMYFUNCTION("IFERROR(TO_DATE(E2262), """")"),42564.5997337963)</f>
        <v>42564.59973</v>
      </c>
      <c r="G2262" s="20">
        <f t="shared" si="1"/>
        <v>14</v>
      </c>
      <c r="H2262" s="27">
        <v>42564.64680555555</v>
      </c>
      <c r="I2262" s="19">
        <f>IFERROR(__xludf.DUMMYFUNCTION("IFERROR(TO_DATE(H2262), """")"),42564.64680555555)</f>
        <v>42564.64681</v>
      </c>
      <c r="J2262" s="19" t="s">
        <v>10</v>
      </c>
      <c r="K2262" s="22">
        <f t="shared" si="2"/>
        <v>0</v>
      </c>
    </row>
    <row r="2263">
      <c r="A2263" s="18">
        <v>4060.0</v>
      </c>
      <c r="B2263" s="18" t="s">
        <v>32</v>
      </c>
      <c r="C2263" s="18">
        <v>236.0</v>
      </c>
      <c r="D2263" s="18" t="s">
        <v>31</v>
      </c>
      <c r="E2263" s="27">
        <v>42565.06780092593</v>
      </c>
      <c r="F2263" s="19">
        <f>IFERROR(__xludf.DUMMYFUNCTION("IFERROR(TO_DATE(E2263), """")"),42565.06780092593)</f>
        <v>42565.0678</v>
      </c>
      <c r="G2263" s="20">
        <f t="shared" si="1"/>
        <v>1</v>
      </c>
      <c r="H2263" s="27">
        <v>42565.10824074074</v>
      </c>
      <c r="I2263" s="19">
        <f>IFERROR(__xludf.DUMMYFUNCTION("IFERROR(TO_DATE(H2263), """")"),42565.10824074074)</f>
        <v>42565.10824</v>
      </c>
      <c r="J2263" s="19" t="s">
        <v>15</v>
      </c>
      <c r="K2263" s="22">
        <f t="shared" si="2"/>
        <v>0</v>
      </c>
    </row>
    <row r="2264">
      <c r="A2264" s="18">
        <v>4177.0</v>
      </c>
      <c r="B2264" s="18" t="s">
        <v>32</v>
      </c>
      <c r="C2264" s="18">
        <v>236.0</v>
      </c>
      <c r="D2264" s="18" t="s">
        <v>31</v>
      </c>
      <c r="E2264" s="27">
        <v>42565.220243055555</v>
      </c>
      <c r="F2264" s="19">
        <f>IFERROR(__xludf.DUMMYFUNCTION("IFERROR(TO_DATE(E2264), """")"),42565.220243055555)</f>
        <v>42565.22024</v>
      </c>
      <c r="G2264" s="20">
        <f t="shared" si="1"/>
        <v>5</v>
      </c>
      <c r="H2264" s="27">
        <v>42565.26818287037</v>
      </c>
      <c r="I2264" s="19">
        <f>IFERROR(__xludf.DUMMYFUNCTION("IFERROR(TO_DATE(H2264), """")"),42565.26818287037)</f>
        <v>42565.26818</v>
      </c>
      <c r="J2264" s="19" t="s">
        <v>11</v>
      </c>
      <c r="K2264" s="22">
        <f t="shared" si="2"/>
        <v>0</v>
      </c>
    </row>
    <row r="2265">
      <c r="A2265" s="18">
        <v>4635.0</v>
      </c>
      <c r="B2265" s="18" t="s">
        <v>32</v>
      </c>
      <c r="C2265" s="18">
        <v>236.0</v>
      </c>
      <c r="D2265" s="18" t="s">
        <v>31</v>
      </c>
      <c r="E2265" s="27">
        <v>42565.47949074074</v>
      </c>
      <c r="F2265" s="19">
        <f>IFERROR(__xludf.DUMMYFUNCTION("IFERROR(TO_DATE(E2265), """")"),42565.47949074074)</f>
        <v>42565.47949</v>
      </c>
      <c r="G2265" s="20">
        <f t="shared" si="1"/>
        <v>11</v>
      </c>
      <c r="H2265" s="27">
        <v>42565.52303240741</v>
      </c>
      <c r="I2265" s="19">
        <f>IFERROR(__xludf.DUMMYFUNCTION("IFERROR(TO_DATE(H2265), """")"),42565.52303240741)</f>
        <v>42565.52303</v>
      </c>
      <c r="J2265" s="19" t="s">
        <v>14</v>
      </c>
      <c r="K2265" s="22">
        <f t="shared" si="2"/>
        <v>0</v>
      </c>
    </row>
    <row r="2266">
      <c r="A2266" s="18">
        <v>6568.0</v>
      </c>
      <c r="B2266" s="18" t="s">
        <v>30</v>
      </c>
      <c r="C2266" s="18">
        <v>236.0</v>
      </c>
      <c r="D2266" s="18" t="s">
        <v>31</v>
      </c>
      <c r="E2266" s="27">
        <v>42566.88104166667</v>
      </c>
      <c r="F2266" s="19">
        <f>IFERROR(__xludf.DUMMYFUNCTION("IFERROR(TO_DATE(E2266), """")"),42566.88104166667)</f>
        <v>42566.88104</v>
      </c>
      <c r="G2266" s="20">
        <f t="shared" si="1"/>
        <v>21</v>
      </c>
      <c r="H2266" s="27">
        <v>42566.925150462965</v>
      </c>
      <c r="I2266" s="19">
        <f>IFERROR(__xludf.DUMMYFUNCTION("IFERROR(TO_DATE(H2266), """")"),42566.925150462965)</f>
        <v>42566.92515</v>
      </c>
      <c r="J2266" s="19" t="s">
        <v>13</v>
      </c>
      <c r="K2266" s="22">
        <f t="shared" si="2"/>
        <v>0</v>
      </c>
    </row>
    <row r="2267">
      <c r="A2267" s="18">
        <v>6743.0</v>
      </c>
      <c r="B2267" s="18" t="s">
        <v>30</v>
      </c>
      <c r="C2267" s="18">
        <v>236.0</v>
      </c>
      <c r="D2267" s="18" t="s">
        <v>31</v>
      </c>
      <c r="E2267" s="27">
        <v>42566.98915509259</v>
      </c>
      <c r="F2267" s="19">
        <f>IFERROR(__xludf.DUMMYFUNCTION("IFERROR(TO_DATE(E2267), """")"),42566.98915509259)</f>
        <v>42566.98916</v>
      </c>
      <c r="G2267" s="20">
        <f t="shared" si="1"/>
        <v>23</v>
      </c>
      <c r="H2267" s="27">
        <v>42567.021365740744</v>
      </c>
      <c r="I2267" s="19">
        <f>IFERROR(__xludf.DUMMYFUNCTION("IFERROR(TO_DATE(H2267), """")"),42567.021365740744)</f>
        <v>42567.02137</v>
      </c>
      <c r="J2267" s="19" t="s">
        <v>13</v>
      </c>
      <c r="K2267" s="22">
        <f t="shared" si="2"/>
        <v>0</v>
      </c>
    </row>
    <row r="2268">
      <c r="A2268" s="18">
        <v>1343.0</v>
      </c>
      <c r="B2268" s="18" t="s">
        <v>32</v>
      </c>
      <c r="C2268" s="18">
        <v>237.0</v>
      </c>
      <c r="D2268" s="18" t="s">
        <v>31</v>
      </c>
      <c r="E2268" s="26">
        <v>42562.98402777778</v>
      </c>
      <c r="F2268" s="19">
        <f>IFERROR(__xludf.DUMMYFUNCTION("IFERROR(TO_DATE(E2268), """")"),42562.98402777778)</f>
        <v>42562.98403</v>
      </c>
      <c r="G2268" s="20">
        <f t="shared" si="1"/>
        <v>23</v>
      </c>
      <c r="H2268" s="26">
        <v>42563.02222222222</v>
      </c>
      <c r="I2268" s="19">
        <f>IFERROR(__xludf.DUMMYFUNCTION("IFERROR(TO_DATE(H2268), """")"),42563.02222222222)</f>
        <v>42563.02222</v>
      </c>
      <c r="J2268" s="19" t="s">
        <v>13</v>
      </c>
      <c r="K2268" s="22">
        <f t="shared" si="2"/>
        <v>0</v>
      </c>
    </row>
    <row r="2269">
      <c r="A2269" s="18">
        <v>1519.0</v>
      </c>
      <c r="B2269" s="18" t="s">
        <v>30</v>
      </c>
      <c r="C2269" s="18">
        <v>237.0</v>
      </c>
      <c r="D2269" s="18" t="s">
        <v>31</v>
      </c>
      <c r="E2269" s="26">
        <v>42563.23819444444</v>
      </c>
      <c r="F2269" s="19">
        <f>IFERROR(__xludf.DUMMYFUNCTION("IFERROR(TO_DATE(E2269), """")"),42563.23819444444)</f>
        <v>42563.23819</v>
      </c>
      <c r="G2269" s="20">
        <f t="shared" si="1"/>
        <v>5</v>
      </c>
      <c r="H2269" s="26">
        <v>42563.26527777778</v>
      </c>
      <c r="I2269" s="19">
        <f>IFERROR(__xludf.DUMMYFUNCTION("IFERROR(TO_DATE(H2269), """")"),42563.26527777778)</f>
        <v>42563.26528</v>
      </c>
      <c r="J2269" s="19" t="s">
        <v>11</v>
      </c>
      <c r="K2269" s="22">
        <f t="shared" si="2"/>
        <v>0</v>
      </c>
    </row>
    <row r="2270">
      <c r="A2270" s="18">
        <v>2076.0</v>
      </c>
      <c r="B2270" s="18" t="s">
        <v>30</v>
      </c>
      <c r="C2270" s="18">
        <v>237.0</v>
      </c>
      <c r="D2270" s="18" t="s">
        <v>31</v>
      </c>
      <c r="E2270" s="26">
        <v>42563.646527777775</v>
      </c>
      <c r="F2270" s="19">
        <f>IFERROR(__xludf.DUMMYFUNCTION("IFERROR(TO_DATE(E2270), """")"),42563.646527777775)</f>
        <v>42563.64653</v>
      </c>
      <c r="G2270" s="20">
        <f t="shared" si="1"/>
        <v>15</v>
      </c>
      <c r="H2270" s="26">
        <v>42563.69930555556</v>
      </c>
      <c r="I2270" s="19">
        <f>IFERROR(__xludf.DUMMYFUNCTION("IFERROR(TO_DATE(H2270), """")"),42563.69930555556)</f>
        <v>42563.69931</v>
      </c>
      <c r="J2270" s="19" t="s">
        <v>10</v>
      </c>
      <c r="K2270" s="22">
        <f t="shared" si="2"/>
        <v>0</v>
      </c>
    </row>
    <row r="2271">
      <c r="A2271" s="18">
        <v>2136.0</v>
      </c>
      <c r="B2271" s="18" t="s">
        <v>32</v>
      </c>
      <c r="C2271" s="18">
        <v>237.0</v>
      </c>
      <c r="D2271" s="18" t="s">
        <v>31</v>
      </c>
      <c r="E2271" s="26">
        <v>42563.71875</v>
      </c>
      <c r="F2271" s="19">
        <f>IFERROR(__xludf.DUMMYFUNCTION("IFERROR(TO_DATE(E2271), """")"),42563.71875)</f>
        <v>42563.71875</v>
      </c>
      <c r="G2271" s="20">
        <f t="shared" si="1"/>
        <v>17</v>
      </c>
      <c r="H2271" s="26">
        <v>42563.75902777778</v>
      </c>
      <c r="I2271" s="19">
        <f>IFERROR(__xludf.DUMMYFUNCTION("IFERROR(TO_DATE(H2271), """")"),42563.75902777778)</f>
        <v>42563.75903</v>
      </c>
      <c r="J2271" s="19" t="s">
        <v>12</v>
      </c>
      <c r="K2271" s="22">
        <f t="shared" si="2"/>
        <v>0</v>
      </c>
    </row>
    <row r="2272">
      <c r="A2272" s="18">
        <v>2650.0</v>
      </c>
      <c r="B2272" s="18" t="s">
        <v>30</v>
      </c>
      <c r="C2272" s="18">
        <v>237.0</v>
      </c>
      <c r="D2272" s="18" t="s">
        <v>31</v>
      </c>
      <c r="E2272" s="26">
        <v>42563.95416666667</v>
      </c>
      <c r="F2272" s="19">
        <f>IFERROR(__xludf.DUMMYFUNCTION("IFERROR(TO_DATE(E2272), """")"),42563.95416666667)</f>
        <v>42563.95417</v>
      </c>
      <c r="G2272" s="20">
        <f t="shared" si="1"/>
        <v>22</v>
      </c>
      <c r="H2272" s="26">
        <v>42563.98611111111</v>
      </c>
      <c r="I2272" s="19">
        <f>IFERROR(__xludf.DUMMYFUNCTION("IFERROR(TO_DATE(H2272), """")"),42563.98611111111)</f>
        <v>42563.98611</v>
      </c>
      <c r="J2272" s="19" t="s">
        <v>13</v>
      </c>
      <c r="K2272" s="22">
        <f t="shared" si="2"/>
        <v>0</v>
      </c>
    </row>
    <row r="2273">
      <c r="A2273" s="18">
        <v>2793.0</v>
      </c>
      <c r="B2273" s="18" t="s">
        <v>30</v>
      </c>
      <c r="C2273" s="18">
        <v>237.0</v>
      </c>
      <c r="D2273" s="18" t="s">
        <v>31</v>
      </c>
      <c r="E2273" s="27">
        <v>42564.20450231482</v>
      </c>
      <c r="F2273" s="19">
        <f>IFERROR(__xludf.DUMMYFUNCTION("IFERROR(TO_DATE(E2273), """")"),42564.20450231482)</f>
        <v>42564.2045</v>
      </c>
      <c r="G2273" s="20">
        <f t="shared" si="1"/>
        <v>4</v>
      </c>
      <c r="H2273" s="27">
        <v>42564.241956018515</v>
      </c>
      <c r="I2273" s="19">
        <f>IFERROR(__xludf.DUMMYFUNCTION("IFERROR(TO_DATE(H2273), """")"),42564.241956018515)</f>
        <v>42564.24196</v>
      </c>
      <c r="J2273" s="19" t="s">
        <v>11</v>
      </c>
      <c r="K2273" s="22">
        <f t="shared" si="2"/>
        <v>0</v>
      </c>
    </row>
    <row r="2274">
      <c r="A2274" s="18">
        <v>3012.0</v>
      </c>
      <c r="B2274" s="18" t="s">
        <v>32</v>
      </c>
      <c r="C2274" s="18">
        <v>237.0</v>
      </c>
      <c r="D2274" s="18" t="s">
        <v>31</v>
      </c>
      <c r="E2274" s="27">
        <v>42564.30695601852</v>
      </c>
      <c r="F2274" s="19">
        <f>IFERROR(__xludf.DUMMYFUNCTION("IFERROR(TO_DATE(E2274), """")"),42564.30695601852)</f>
        <v>42564.30696</v>
      </c>
      <c r="G2274" s="20">
        <f t="shared" si="1"/>
        <v>7</v>
      </c>
      <c r="H2274" s="27">
        <v>42564.33865740741</v>
      </c>
      <c r="I2274" s="19">
        <f>IFERROR(__xludf.DUMMYFUNCTION("IFERROR(TO_DATE(H2274), """")"),42564.33865740741)</f>
        <v>42564.33866</v>
      </c>
      <c r="J2274" s="19" t="s">
        <v>11</v>
      </c>
      <c r="K2274" s="22">
        <f t="shared" si="2"/>
        <v>0</v>
      </c>
    </row>
    <row r="2275">
      <c r="A2275" s="18">
        <v>3847.0</v>
      </c>
      <c r="B2275" s="18" t="s">
        <v>30</v>
      </c>
      <c r="C2275" s="18">
        <v>237.0</v>
      </c>
      <c r="D2275" s="18" t="s">
        <v>31</v>
      </c>
      <c r="E2275" s="27">
        <v>42564.900659722225</v>
      </c>
      <c r="F2275" s="19">
        <f>IFERROR(__xludf.DUMMYFUNCTION("IFERROR(TO_DATE(E2275), """")"),42564.900659722225)</f>
        <v>42564.90066</v>
      </c>
      <c r="G2275" s="20">
        <f t="shared" si="1"/>
        <v>21</v>
      </c>
      <c r="H2275" s="27">
        <v>42564.9396412037</v>
      </c>
      <c r="I2275" s="19">
        <f>IFERROR(__xludf.DUMMYFUNCTION("IFERROR(TO_DATE(H2275), """")"),42564.9396412037)</f>
        <v>42564.93964</v>
      </c>
      <c r="J2275" s="19" t="s">
        <v>13</v>
      </c>
      <c r="K2275" s="22">
        <f t="shared" si="2"/>
        <v>0</v>
      </c>
    </row>
    <row r="2276">
      <c r="A2276" s="18">
        <v>4607.0</v>
      </c>
      <c r="B2276" s="18" t="s">
        <v>32</v>
      </c>
      <c r="C2276" s="18">
        <v>237.0</v>
      </c>
      <c r="D2276" s="18" t="s">
        <v>31</v>
      </c>
      <c r="E2276" s="27">
        <v>42565.436631944445</v>
      </c>
      <c r="F2276" s="19">
        <f>IFERROR(__xludf.DUMMYFUNCTION("IFERROR(TO_DATE(E2276), """")"),42565.436631944445)</f>
        <v>42565.43663</v>
      </c>
      <c r="G2276" s="20">
        <f t="shared" si="1"/>
        <v>10</v>
      </c>
      <c r="H2276" s="27">
        <v>42565.45106481481</v>
      </c>
      <c r="I2276" s="19">
        <f>IFERROR(__xludf.DUMMYFUNCTION("IFERROR(TO_DATE(H2276), """")"),42565.45106481481)</f>
        <v>42565.45106</v>
      </c>
      <c r="J2276" s="19" t="s">
        <v>14</v>
      </c>
      <c r="K2276" s="22">
        <f t="shared" si="2"/>
        <v>0</v>
      </c>
    </row>
    <row r="2277">
      <c r="A2277" s="18">
        <v>4654.0</v>
      </c>
      <c r="B2277" s="18" t="s">
        <v>30</v>
      </c>
      <c r="C2277" s="18">
        <v>237.0</v>
      </c>
      <c r="D2277" s="18" t="s">
        <v>31</v>
      </c>
      <c r="E2277" s="27">
        <v>42565.49806712963</v>
      </c>
      <c r="F2277" s="19">
        <f>IFERROR(__xludf.DUMMYFUNCTION("IFERROR(TO_DATE(E2277), """")"),42565.49806712963)</f>
        <v>42565.49807</v>
      </c>
      <c r="G2277" s="20">
        <f t="shared" si="1"/>
        <v>11</v>
      </c>
      <c r="H2277" s="27">
        <v>42565.54846064815</v>
      </c>
      <c r="I2277" s="19">
        <f>IFERROR(__xludf.DUMMYFUNCTION("IFERROR(TO_DATE(H2277), """")"),42565.54846064815)</f>
        <v>42565.54846</v>
      </c>
      <c r="J2277" s="19" t="s">
        <v>14</v>
      </c>
      <c r="K2277" s="22">
        <f t="shared" si="2"/>
        <v>0</v>
      </c>
    </row>
    <row r="2278">
      <c r="A2278" s="18">
        <v>4941.0</v>
      </c>
      <c r="B2278" s="18" t="s">
        <v>30</v>
      </c>
      <c r="C2278" s="18">
        <v>237.0</v>
      </c>
      <c r="D2278" s="18" t="s">
        <v>31</v>
      </c>
      <c r="E2278" s="27">
        <v>42565.76645833333</v>
      </c>
      <c r="F2278" s="19">
        <f>IFERROR(__xludf.DUMMYFUNCTION("IFERROR(TO_DATE(E2278), """")"),42565.76645833333)</f>
        <v>42565.76646</v>
      </c>
      <c r="G2278" s="20">
        <f t="shared" si="1"/>
        <v>18</v>
      </c>
      <c r="H2278" s="27">
        <v>42565.81940972222</v>
      </c>
      <c r="I2278" s="19">
        <f>IFERROR(__xludf.DUMMYFUNCTION("IFERROR(TO_DATE(H2278), """")"),42565.81940972222)</f>
        <v>42565.81941</v>
      </c>
      <c r="J2278" s="19" t="s">
        <v>12</v>
      </c>
      <c r="K2278" s="22">
        <f t="shared" si="2"/>
        <v>0</v>
      </c>
    </row>
    <row r="2279">
      <c r="A2279" s="18">
        <v>1526.0</v>
      </c>
      <c r="B2279" s="18" t="s">
        <v>32</v>
      </c>
      <c r="C2279" s="18">
        <v>238.0</v>
      </c>
      <c r="D2279" s="18" t="s">
        <v>31</v>
      </c>
      <c r="E2279" s="26">
        <v>42563.24722222222</v>
      </c>
      <c r="F2279" s="19">
        <f>IFERROR(__xludf.DUMMYFUNCTION("IFERROR(TO_DATE(E2279), """")"),42563.24722222222)</f>
        <v>42563.24722</v>
      </c>
      <c r="G2279" s="20">
        <f t="shared" si="1"/>
        <v>5</v>
      </c>
      <c r="H2279" s="26">
        <v>42563.28611111111</v>
      </c>
      <c r="I2279" s="19">
        <f>IFERROR(__xludf.DUMMYFUNCTION("IFERROR(TO_DATE(H2279), """")"),42563.28611111111)</f>
        <v>42563.28611</v>
      </c>
      <c r="J2279" s="19" t="s">
        <v>11</v>
      </c>
      <c r="K2279" s="22">
        <f t="shared" si="2"/>
        <v>0</v>
      </c>
    </row>
    <row r="2280">
      <c r="A2280" s="18">
        <v>1839.0</v>
      </c>
      <c r="B2280" s="18" t="s">
        <v>32</v>
      </c>
      <c r="C2280" s="18">
        <v>238.0</v>
      </c>
      <c r="D2280" s="18" t="s">
        <v>31</v>
      </c>
      <c r="E2280" s="26">
        <v>42563.40555555555</v>
      </c>
      <c r="F2280" s="19">
        <f>IFERROR(__xludf.DUMMYFUNCTION("IFERROR(TO_DATE(E2280), """")"),42563.40555555555)</f>
        <v>42563.40556</v>
      </c>
      <c r="G2280" s="20">
        <f t="shared" si="1"/>
        <v>9</v>
      </c>
      <c r="H2280" s="26">
        <v>42563.45416666667</v>
      </c>
      <c r="I2280" s="19">
        <f>IFERROR(__xludf.DUMMYFUNCTION("IFERROR(TO_DATE(H2280), """")"),42563.45416666667)</f>
        <v>42563.45417</v>
      </c>
      <c r="J2280" s="19" t="s">
        <v>14</v>
      </c>
      <c r="K2280" s="22">
        <f t="shared" si="2"/>
        <v>0</v>
      </c>
    </row>
    <row r="2281">
      <c r="A2281" s="18">
        <v>2268.0</v>
      </c>
      <c r="B2281" s="18" t="s">
        <v>32</v>
      </c>
      <c r="C2281" s="18">
        <v>238.0</v>
      </c>
      <c r="D2281" s="18" t="s">
        <v>31</v>
      </c>
      <c r="E2281" s="26">
        <v>42563.774305555555</v>
      </c>
      <c r="F2281" s="19">
        <f>IFERROR(__xludf.DUMMYFUNCTION("IFERROR(TO_DATE(E2281), """")"),42563.774305555555)</f>
        <v>42563.77431</v>
      </c>
      <c r="G2281" s="20">
        <f t="shared" si="1"/>
        <v>18</v>
      </c>
      <c r="H2281" s="26">
        <v>42563.811111111114</v>
      </c>
      <c r="I2281" s="19">
        <f>IFERROR(__xludf.DUMMYFUNCTION("IFERROR(TO_DATE(H2281), """")"),42563.811111111114)</f>
        <v>42563.81111</v>
      </c>
      <c r="J2281" s="19" t="s">
        <v>12</v>
      </c>
      <c r="K2281" s="22">
        <f t="shared" si="2"/>
        <v>0</v>
      </c>
    </row>
    <row r="2282">
      <c r="A2282" s="18">
        <v>3069.0</v>
      </c>
      <c r="B2282" s="18" t="s">
        <v>32</v>
      </c>
      <c r="C2282" s="18">
        <v>238.0</v>
      </c>
      <c r="D2282" s="18" t="s">
        <v>31</v>
      </c>
      <c r="E2282" s="27">
        <v>42564.333553240744</v>
      </c>
      <c r="F2282" s="19">
        <f>IFERROR(__xludf.DUMMYFUNCTION("IFERROR(TO_DATE(E2282), """")"),42564.333553240744)</f>
        <v>42564.33355</v>
      </c>
      <c r="G2282" s="20">
        <f t="shared" si="1"/>
        <v>8</v>
      </c>
      <c r="H2282" s="27">
        <v>42564.37064814815</v>
      </c>
      <c r="I2282" s="19">
        <f>IFERROR(__xludf.DUMMYFUNCTION("IFERROR(TO_DATE(H2282), """")"),42564.37064814815)</f>
        <v>42564.37065</v>
      </c>
      <c r="J2282" s="19" t="s">
        <v>14</v>
      </c>
      <c r="K2282" s="22">
        <f t="shared" si="2"/>
        <v>0</v>
      </c>
    </row>
    <row r="2283">
      <c r="A2283" s="18">
        <v>4039.0</v>
      </c>
      <c r="B2283" s="18" t="s">
        <v>32</v>
      </c>
      <c r="C2283" s="18">
        <v>238.0</v>
      </c>
      <c r="D2283" s="18" t="s">
        <v>31</v>
      </c>
      <c r="E2283" s="27">
        <v>42565.02664351852</v>
      </c>
      <c r="F2283" s="19">
        <f>IFERROR(__xludf.DUMMYFUNCTION("IFERROR(TO_DATE(E2283), """")"),42565.02664351852)</f>
        <v>42565.02664</v>
      </c>
      <c r="G2283" s="20">
        <f t="shared" si="1"/>
        <v>0</v>
      </c>
      <c r="H2283" s="27">
        <v>42565.075</v>
      </c>
      <c r="I2283" s="19">
        <f>IFERROR(__xludf.DUMMYFUNCTION("IFERROR(TO_DATE(H2283), """")"),42565.075)</f>
        <v>42565.075</v>
      </c>
      <c r="J2283" s="19" t="s">
        <v>15</v>
      </c>
      <c r="K2283" s="22">
        <f t="shared" si="2"/>
        <v>0</v>
      </c>
    </row>
    <row r="2284">
      <c r="A2284" s="18">
        <v>4446.0</v>
      </c>
      <c r="B2284" s="18" t="s">
        <v>30</v>
      </c>
      <c r="C2284" s="18">
        <v>238.0</v>
      </c>
      <c r="D2284" s="18" t="s">
        <v>31</v>
      </c>
      <c r="E2284" s="27">
        <v>42565.355</v>
      </c>
      <c r="F2284" s="19">
        <f>IFERROR(__xludf.DUMMYFUNCTION("IFERROR(TO_DATE(E2284), """")"),42565.355)</f>
        <v>42565.355</v>
      </c>
      <c r="G2284" s="20">
        <f t="shared" si="1"/>
        <v>8</v>
      </c>
      <c r="H2284" s="27">
        <v>42565.37598379629</v>
      </c>
      <c r="I2284" s="19">
        <f>IFERROR(__xludf.DUMMYFUNCTION("IFERROR(TO_DATE(H2284), """")"),42565.37598379629)</f>
        <v>42565.37598</v>
      </c>
      <c r="J2284" s="19" t="s">
        <v>14</v>
      </c>
      <c r="K2284" s="22">
        <f t="shared" si="2"/>
        <v>0</v>
      </c>
    </row>
    <row r="2285">
      <c r="A2285" s="18">
        <v>6021.0</v>
      </c>
      <c r="B2285" s="18" t="s">
        <v>30</v>
      </c>
      <c r="C2285" s="18">
        <v>238.0</v>
      </c>
      <c r="D2285" s="18" t="s">
        <v>31</v>
      </c>
      <c r="E2285" s="27">
        <v>42566.53115740741</v>
      </c>
      <c r="F2285" s="19">
        <f>IFERROR(__xludf.DUMMYFUNCTION("IFERROR(TO_DATE(E2285), """")"),42566.53115740741)</f>
        <v>42566.53116</v>
      </c>
      <c r="G2285" s="20">
        <f t="shared" si="1"/>
        <v>12</v>
      </c>
      <c r="H2285" s="27">
        <v>42566.55008101852</v>
      </c>
      <c r="I2285" s="19">
        <f>IFERROR(__xludf.DUMMYFUNCTION("IFERROR(TO_DATE(H2285), """")"),42566.55008101852)</f>
        <v>42566.55008</v>
      </c>
      <c r="J2285" s="19" t="s">
        <v>10</v>
      </c>
      <c r="K2285" s="22">
        <f t="shared" si="2"/>
        <v>0</v>
      </c>
    </row>
    <row r="2286">
      <c r="A2286" s="18">
        <v>74.0</v>
      </c>
      <c r="B2286" s="18" t="s">
        <v>30</v>
      </c>
      <c r="C2286" s="18">
        <v>239.0</v>
      </c>
      <c r="D2286" s="18" t="s">
        <v>31</v>
      </c>
      <c r="E2286" s="26">
        <v>42562.19305555556</v>
      </c>
      <c r="F2286" s="19">
        <f>IFERROR(__xludf.DUMMYFUNCTION("IFERROR(TO_DATE(E2286), """")"),42562.19305555556)</f>
        <v>42562.19306</v>
      </c>
      <c r="G2286" s="20">
        <f t="shared" si="1"/>
        <v>4</v>
      </c>
      <c r="H2286" s="26">
        <v>42562.23888888889</v>
      </c>
      <c r="I2286" s="19">
        <f>IFERROR(__xludf.DUMMYFUNCTION("IFERROR(TO_DATE(H2286), """")"),42562.23888888889)</f>
        <v>42562.23889</v>
      </c>
      <c r="J2286" s="19" t="s">
        <v>11</v>
      </c>
      <c r="K2286" s="22">
        <f t="shared" si="2"/>
        <v>0</v>
      </c>
    </row>
    <row r="2287">
      <c r="A2287" s="18">
        <v>1959.0</v>
      </c>
      <c r="B2287" s="18" t="s">
        <v>32</v>
      </c>
      <c r="C2287" s="18">
        <v>239.0</v>
      </c>
      <c r="D2287" s="18" t="s">
        <v>31</v>
      </c>
      <c r="E2287" s="26">
        <v>42563.49166666667</v>
      </c>
      <c r="F2287" s="19">
        <f>IFERROR(__xludf.DUMMYFUNCTION("IFERROR(TO_DATE(E2287), """")"),42563.49166666667)</f>
        <v>42563.49167</v>
      </c>
      <c r="G2287" s="20">
        <f t="shared" si="1"/>
        <v>11</v>
      </c>
      <c r="H2287" s="26">
        <v>42563.51388888889</v>
      </c>
      <c r="I2287" s="19">
        <f>IFERROR(__xludf.DUMMYFUNCTION("IFERROR(TO_DATE(H2287), """")"),42563.51388888889)</f>
        <v>42563.51389</v>
      </c>
      <c r="J2287" s="19" t="s">
        <v>14</v>
      </c>
      <c r="K2287" s="22">
        <f t="shared" si="2"/>
        <v>0</v>
      </c>
    </row>
    <row r="2288">
      <c r="A2288" s="18">
        <v>2169.0</v>
      </c>
      <c r="B2288" s="18" t="s">
        <v>30</v>
      </c>
      <c r="C2288" s="18">
        <v>239.0</v>
      </c>
      <c r="D2288" s="18" t="s">
        <v>31</v>
      </c>
      <c r="E2288" s="26">
        <v>42563.729166666664</v>
      </c>
      <c r="F2288" s="19">
        <f>IFERROR(__xludf.DUMMYFUNCTION("IFERROR(TO_DATE(E2288), """")"),42563.729166666664)</f>
        <v>42563.72917</v>
      </c>
      <c r="G2288" s="20">
        <f t="shared" si="1"/>
        <v>17</v>
      </c>
      <c r="H2288" s="26">
        <v>42563.785416666666</v>
      </c>
      <c r="I2288" s="19">
        <f>IFERROR(__xludf.DUMMYFUNCTION("IFERROR(TO_DATE(H2288), """")"),42563.785416666666)</f>
        <v>42563.78542</v>
      </c>
      <c r="J2288" s="19" t="s">
        <v>12</v>
      </c>
      <c r="K2288" s="22">
        <f t="shared" si="2"/>
        <v>0</v>
      </c>
    </row>
    <row r="2289">
      <c r="A2289" s="18">
        <v>3422.0</v>
      </c>
      <c r="B2289" s="18" t="s">
        <v>32</v>
      </c>
      <c r="C2289" s="18">
        <v>239.0</v>
      </c>
      <c r="D2289" s="18" t="s">
        <v>31</v>
      </c>
      <c r="E2289" s="27">
        <v>42564.656006944446</v>
      </c>
      <c r="F2289" s="19">
        <f>IFERROR(__xludf.DUMMYFUNCTION("IFERROR(TO_DATE(E2289), """")"),42564.656006944446)</f>
        <v>42564.65601</v>
      </c>
      <c r="G2289" s="20">
        <f t="shared" si="1"/>
        <v>15</v>
      </c>
      <c r="H2289" s="27">
        <v>42564.674791666665</v>
      </c>
      <c r="I2289" s="19">
        <f>IFERROR(__xludf.DUMMYFUNCTION("IFERROR(TO_DATE(H2289), """")"),42564.674791666665)</f>
        <v>42564.67479</v>
      </c>
      <c r="J2289" s="19" t="s">
        <v>10</v>
      </c>
      <c r="K2289" s="22">
        <f t="shared" si="2"/>
        <v>0</v>
      </c>
    </row>
    <row r="2290">
      <c r="A2290" s="18">
        <v>3613.0</v>
      </c>
      <c r="B2290" s="18" t="s">
        <v>30</v>
      </c>
      <c r="C2290" s="18">
        <v>239.0</v>
      </c>
      <c r="D2290" s="18" t="s">
        <v>31</v>
      </c>
      <c r="E2290" s="27">
        <v>42564.782789351855</v>
      </c>
      <c r="F2290" s="19">
        <f>IFERROR(__xludf.DUMMYFUNCTION("IFERROR(TO_DATE(E2290), """")"),42564.782789351855)</f>
        <v>42564.78279</v>
      </c>
      <c r="G2290" s="20">
        <f t="shared" si="1"/>
        <v>18</v>
      </c>
      <c r="H2290" s="27">
        <v>42564.8380787037</v>
      </c>
      <c r="I2290" s="19">
        <f>IFERROR(__xludf.DUMMYFUNCTION("IFERROR(TO_DATE(H2290), """")"),42564.8380787037)</f>
        <v>42564.83808</v>
      </c>
      <c r="J2290" s="19" t="s">
        <v>12</v>
      </c>
      <c r="K2290" s="22">
        <f t="shared" si="2"/>
        <v>0</v>
      </c>
    </row>
    <row r="2291">
      <c r="A2291" s="18">
        <v>4485.0</v>
      </c>
      <c r="B2291" s="18" t="s">
        <v>30</v>
      </c>
      <c r="C2291" s="18">
        <v>239.0</v>
      </c>
      <c r="D2291" s="18" t="s">
        <v>31</v>
      </c>
      <c r="E2291" s="27">
        <v>42565.373078703706</v>
      </c>
      <c r="F2291" s="19">
        <f>IFERROR(__xludf.DUMMYFUNCTION("IFERROR(TO_DATE(E2291), """")"),42565.373078703706)</f>
        <v>42565.37308</v>
      </c>
      <c r="G2291" s="20">
        <f t="shared" si="1"/>
        <v>8</v>
      </c>
      <c r="H2291" s="27">
        <v>42565.40615740741</v>
      </c>
      <c r="I2291" s="19">
        <f>IFERROR(__xludf.DUMMYFUNCTION("IFERROR(TO_DATE(H2291), """")"),42565.40615740741)</f>
        <v>42565.40616</v>
      </c>
      <c r="J2291" s="19" t="s">
        <v>14</v>
      </c>
      <c r="K2291" s="22">
        <f t="shared" si="2"/>
        <v>0</v>
      </c>
    </row>
    <row r="2292">
      <c r="A2292" s="18">
        <v>4929.0</v>
      </c>
      <c r="B2292" s="18" t="s">
        <v>32</v>
      </c>
      <c r="C2292" s="18">
        <v>239.0</v>
      </c>
      <c r="D2292" s="18" t="s">
        <v>31</v>
      </c>
      <c r="E2292" s="27">
        <v>42565.76715277778</v>
      </c>
      <c r="F2292" s="19">
        <f>IFERROR(__xludf.DUMMYFUNCTION("IFERROR(TO_DATE(E2292), """")"),42565.76715277778)</f>
        <v>42565.76715</v>
      </c>
      <c r="G2292" s="20">
        <f t="shared" si="1"/>
        <v>18</v>
      </c>
      <c r="H2292" s="27">
        <v>42565.785844907405</v>
      </c>
      <c r="I2292" s="19">
        <f>IFERROR(__xludf.DUMMYFUNCTION("IFERROR(TO_DATE(H2292), """")"),42565.785844907405)</f>
        <v>42565.78584</v>
      </c>
      <c r="J2292" s="19" t="s">
        <v>12</v>
      </c>
      <c r="K2292" s="22">
        <f t="shared" si="2"/>
        <v>0</v>
      </c>
    </row>
    <row r="2293">
      <c r="A2293" s="18">
        <v>5676.0</v>
      </c>
      <c r="B2293" s="18" t="s">
        <v>32</v>
      </c>
      <c r="C2293" s="18">
        <v>239.0</v>
      </c>
      <c r="D2293" s="18" t="s">
        <v>31</v>
      </c>
      <c r="E2293" s="27">
        <v>42566.298842592594</v>
      </c>
      <c r="F2293" s="19">
        <f>IFERROR(__xludf.DUMMYFUNCTION("IFERROR(TO_DATE(E2293), """")"),42566.298842592594)</f>
        <v>42566.29884</v>
      </c>
      <c r="G2293" s="20">
        <f t="shared" si="1"/>
        <v>7</v>
      </c>
      <c r="H2293" s="27">
        <v>42566.34953703704</v>
      </c>
      <c r="I2293" s="19">
        <f>IFERROR(__xludf.DUMMYFUNCTION("IFERROR(TO_DATE(H2293), """")"),42566.34953703704)</f>
        <v>42566.34954</v>
      </c>
      <c r="J2293" s="19" t="s">
        <v>11</v>
      </c>
      <c r="K2293" s="22">
        <f t="shared" si="2"/>
        <v>0</v>
      </c>
    </row>
    <row r="2294">
      <c r="A2294" s="18">
        <v>6590.0</v>
      </c>
      <c r="B2294" s="18" t="s">
        <v>32</v>
      </c>
      <c r="C2294" s="18">
        <v>239.0</v>
      </c>
      <c r="D2294" s="18" t="s">
        <v>31</v>
      </c>
      <c r="E2294" s="27">
        <v>42566.89854166667</v>
      </c>
      <c r="F2294" s="19">
        <f>IFERROR(__xludf.DUMMYFUNCTION("IFERROR(TO_DATE(E2294), """")"),42566.89854166667)</f>
        <v>42566.89854</v>
      </c>
      <c r="G2294" s="20">
        <f t="shared" si="1"/>
        <v>21</v>
      </c>
      <c r="H2294" s="27">
        <v>42566.93482638889</v>
      </c>
      <c r="I2294" s="19">
        <f>IFERROR(__xludf.DUMMYFUNCTION("IFERROR(TO_DATE(H2294), """")"),42566.93482638889)</f>
        <v>42566.93483</v>
      </c>
      <c r="J2294" s="19" t="s">
        <v>13</v>
      </c>
      <c r="K2294" s="22">
        <f t="shared" si="2"/>
        <v>0</v>
      </c>
    </row>
    <row r="2295">
      <c r="A2295" s="18">
        <v>1496.0</v>
      </c>
      <c r="B2295" s="18" t="s">
        <v>30</v>
      </c>
      <c r="C2295" s="18">
        <v>240.0</v>
      </c>
      <c r="D2295" s="18" t="s">
        <v>31</v>
      </c>
      <c r="E2295" s="26">
        <v>42563.23125</v>
      </c>
      <c r="F2295" s="19">
        <f>IFERROR(__xludf.DUMMYFUNCTION("IFERROR(TO_DATE(E2295), """")"),42563.23125)</f>
        <v>42563.23125</v>
      </c>
      <c r="G2295" s="20">
        <f t="shared" si="1"/>
        <v>5</v>
      </c>
      <c r="H2295" s="26">
        <v>42563.256944444445</v>
      </c>
      <c r="I2295" s="19">
        <f>IFERROR(__xludf.DUMMYFUNCTION("IFERROR(TO_DATE(H2295), """")"),42563.256944444445)</f>
        <v>42563.25694</v>
      </c>
      <c r="J2295" s="19" t="s">
        <v>11</v>
      </c>
      <c r="K2295" s="22">
        <f t="shared" si="2"/>
        <v>0</v>
      </c>
    </row>
    <row r="2296">
      <c r="A2296" s="18">
        <v>2589.0</v>
      </c>
      <c r="B2296" s="18" t="s">
        <v>32</v>
      </c>
      <c r="C2296" s="18">
        <v>240.0</v>
      </c>
      <c r="D2296" s="18" t="s">
        <v>31</v>
      </c>
      <c r="E2296" s="26">
        <v>42563.907638888886</v>
      </c>
      <c r="F2296" s="19">
        <f>IFERROR(__xludf.DUMMYFUNCTION("IFERROR(TO_DATE(E2296), """")"),42563.907638888886)</f>
        <v>42563.90764</v>
      </c>
      <c r="G2296" s="20">
        <f t="shared" si="1"/>
        <v>21</v>
      </c>
      <c r="H2296" s="26">
        <v>42563.95694444444</v>
      </c>
      <c r="I2296" s="19">
        <f>IFERROR(__xludf.DUMMYFUNCTION("IFERROR(TO_DATE(H2296), """")"),42563.95694444444)</f>
        <v>42563.95694</v>
      </c>
      <c r="J2296" s="19" t="s">
        <v>13</v>
      </c>
      <c r="K2296" s="22">
        <f t="shared" si="2"/>
        <v>0</v>
      </c>
    </row>
    <row r="2297">
      <c r="A2297" s="18">
        <v>3668.0</v>
      </c>
      <c r="B2297" s="18" t="s">
        <v>30</v>
      </c>
      <c r="C2297" s="18">
        <v>240.0</v>
      </c>
      <c r="D2297" s="18" t="s">
        <v>31</v>
      </c>
      <c r="E2297" s="27">
        <v>42564.81030092593</v>
      </c>
      <c r="F2297" s="19">
        <f>IFERROR(__xludf.DUMMYFUNCTION("IFERROR(TO_DATE(E2297), """")"),42564.81030092593)</f>
        <v>42564.8103</v>
      </c>
      <c r="G2297" s="20">
        <f t="shared" si="1"/>
        <v>19</v>
      </c>
      <c r="H2297" s="27">
        <v>42564.85606481481</v>
      </c>
      <c r="I2297" s="19">
        <f>IFERROR(__xludf.DUMMYFUNCTION("IFERROR(TO_DATE(H2297), """")"),42564.85606481481)</f>
        <v>42564.85606</v>
      </c>
      <c r="J2297" s="19" t="s">
        <v>12</v>
      </c>
      <c r="K2297" s="22">
        <f t="shared" si="2"/>
        <v>0</v>
      </c>
    </row>
    <row r="2298">
      <c r="A2298" s="18">
        <v>4978.0</v>
      </c>
      <c r="B2298" s="18" t="s">
        <v>32</v>
      </c>
      <c r="C2298" s="18">
        <v>240.0</v>
      </c>
      <c r="D2298" s="18" t="s">
        <v>31</v>
      </c>
      <c r="E2298" s="27">
        <v>42565.77943287037</v>
      </c>
      <c r="F2298" s="19">
        <f>IFERROR(__xludf.DUMMYFUNCTION("IFERROR(TO_DATE(E2298), """")"),42565.77943287037)</f>
        <v>42565.77943</v>
      </c>
      <c r="G2298" s="20">
        <f t="shared" si="1"/>
        <v>18</v>
      </c>
      <c r="H2298" s="27">
        <v>42565.81164351852</v>
      </c>
      <c r="I2298" s="19">
        <f>IFERROR(__xludf.DUMMYFUNCTION("IFERROR(TO_DATE(H2298), """")"),42565.81164351852)</f>
        <v>42565.81164</v>
      </c>
      <c r="J2298" s="19" t="s">
        <v>12</v>
      </c>
      <c r="K2298" s="22">
        <f t="shared" si="2"/>
        <v>0</v>
      </c>
    </row>
    <row r="2299">
      <c r="A2299" s="18">
        <v>5487.0</v>
      </c>
      <c r="B2299" s="18" t="s">
        <v>32</v>
      </c>
      <c r="C2299" s="18">
        <v>240.0</v>
      </c>
      <c r="D2299" s="18" t="s">
        <v>31</v>
      </c>
      <c r="E2299" s="27">
        <v>42566.20201388889</v>
      </c>
      <c r="F2299" s="19">
        <f>IFERROR(__xludf.DUMMYFUNCTION("IFERROR(TO_DATE(E2299), """")"),42566.20201388889)</f>
        <v>42566.20201</v>
      </c>
      <c r="G2299" s="20">
        <f t="shared" si="1"/>
        <v>4</v>
      </c>
      <c r="H2299" s="27">
        <v>42566.2521412037</v>
      </c>
      <c r="I2299" s="19">
        <f>IFERROR(__xludf.DUMMYFUNCTION("IFERROR(TO_DATE(H2299), """")"),42566.2521412037)</f>
        <v>42566.25214</v>
      </c>
      <c r="J2299" s="19" t="s">
        <v>11</v>
      </c>
      <c r="K2299" s="22">
        <f t="shared" si="2"/>
        <v>0</v>
      </c>
    </row>
    <row r="2300">
      <c r="A2300" s="18">
        <v>6270.0</v>
      </c>
      <c r="B2300" s="18" t="s">
        <v>32</v>
      </c>
      <c r="C2300" s="18">
        <v>240.0</v>
      </c>
      <c r="D2300" s="18" t="s">
        <v>31</v>
      </c>
      <c r="E2300" s="27">
        <v>42566.7559375</v>
      </c>
      <c r="F2300" s="19">
        <f>IFERROR(__xludf.DUMMYFUNCTION("IFERROR(TO_DATE(E2300), """")"),42566.7559375)</f>
        <v>42566.75594</v>
      </c>
      <c r="G2300" s="20">
        <f t="shared" si="1"/>
        <v>18</v>
      </c>
      <c r="H2300" s="27">
        <v>42566.7953587963</v>
      </c>
      <c r="I2300" s="19">
        <f>IFERROR(__xludf.DUMMYFUNCTION("IFERROR(TO_DATE(H2300), """")"),42566.7953587963)</f>
        <v>42566.79536</v>
      </c>
      <c r="J2300" s="19" t="s">
        <v>12</v>
      </c>
      <c r="K2300" s="22">
        <f t="shared" si="2"/>
        <v>0</v>
      </c>
    </row>
    <row r="2301">
      <c r="A2301" s="18">
        <v>884.0</v>
      </c>
      <c r="B2301" s="18" t="s">
        <v>30</v>
      </c>
      <c r="C2301" s="18">
        <v>241.0</v>
      </c>
      <c r="D2301" s="18" t="s">
        <v>31</v>
      </c>
      <c r="E2301" s="26">
        <v>42562.75208333333</v>
      </c>
      <c r="F2301" s="19">
        <f>IFERROR(__xludf.DUMMYFUNCTION("IFERROR(TO_DATE(E2301), """")"),42562.75208333333)</f>
        <v>42562.75208</v>
      </c>
      <c r="G2301" s="20">
        <f t="shared" si="1"/>
        <v>18</v>
      </c>
      <c r="H2301" s="26">
        <v>42562.77569444444</v>
      </c>
      <c r="I2301" s="19">
        <f>IFERROR(__xludf.DUMMYFUNCTION("IFERROR(TO_DATE(H2301), """")"),42562.77569444444)</f>
        <v>42562.77569</v>
      </c>
      <c r="J2301" s="19" t="s">
        <v>12</v>
      </c>
      <c r="K2301" s="22">
        <f t="shared" si="2"/>
        <v>0</v>
      </c>
    </row>
    <row r="2302">
      <c r="A2302" s="18">
        <v>1495.0</v>
      </c>
      <c r="B2302" s="18" t="s">
        <v>30</v>
      </c>
      <c r="C2302" s="18">
        <v>241.0</v>
      </c>
      <c r="D2302" s="18" t="s">
        <v>31</v>
      </c>
      <c r="E2302" s="26">
        <v>42563.228472222225</v>
      </c>
      <c r="F2302" s="19">
        <f>IFERROR(__xludf.DUMMYFUNCTION("IFERROR(TO_DATE(E2302), """")"),42563.228472222225)</f>
        <v>42563.22847</v>
      </c>
      <c r="G2302" s="20">
        <f t="shared" si="1"/>
        <v>5</v>
      </c>
      <c r="H2302" s="26">
        <v>42563.25486111111</v>
      </c>
      <c r="I2302" s="19">
        <f>IFERROR(__xludf.DUMMYFUNCTION("IFERROR(TO_DATE(H2302), """")"),42563.25486111111)</f>
        <v>42563.25486</v>
      </c>
      <c r="J2302" s="19" t="s">
        <v>11</v>
      </c>
      <c r="K2302" s="22">
        <f t="shared" si="2"/>
        <v>0</v>
      </c>
    </row>
    <row r="2303">
      <c r="A2303" s="18">
        <v>1782.0</v>
      </c>
      <c r="B2303" s="18" t="s">
        <v>30</v>
      </c>
      <c r="C2303" s="18">
        <v>241.0</v>
      </c>
      <c r="D2303" s="18" t="s">
        <v>31</v>
      </c>
      <c r="E2303" s="26">
        <v>42563.373611111114</v>
      </c>
      <c r="F2303" s="19">
        <f>IFERROR(__xludf.DUMMYFUNCTION("IFERROR(TO_DATE(E2303), """")"),42563.373611111114)</f>
        <v>42563.37361</v>
      </c>
      <c r="G2303" s="20">
        <f t="shared" si="1"/>
        <v>8</v>
      </c>
      <c r="H2303" s="26">
        <v>42563.40694444445</v>
      </c>
      <c r="I2303" s="19">
        <f>IFERROR(__xludf.DUMMYFUNCTION("IFERROR(TO_DATE(H2303), """")"),42563.40694444445)</f>
        <v>42563.40694</v>
      </c>
      <c r="J2303" s="19" t="s">
        <v>14</v>
      </c>
      <c r="K2303" s="22">
        <f t="shared" si="2"/>
        <v>0</v>
      </c>
    </row>
    <row r="2304">
      <c r="A2304" s="18">
        <v>1928.0</v>
      </c>
      <c r="B2304" s="18" t="s">
        <v>32</v>
      </c>
      <c r="C2304" s="18">
        <v>241.0</v>
      </c>
      <c r="D2304" s="18" t="s">
        <v>31</v>
      </c>
      <c r="E2304" s="26">
        <v>42563.46388888889</v>
      </c>
      <c r="F2304" s="19">
        <f>IFERROR(__xludf.DUMMYFUNCTION("IFERROR(TO_DATE(E2304), """")"),42563.46388888889)</f>
        <v>42563.46389</v>
      </c>
      <c r="G2304" s="20">
        <f t="shared" si="1"/>
        <v>11</v>
      </c>
      <c r="H2304" s="26">
        <v>42563.48541666667</v>
      </c>
      <c r="I2304" s="19">
        <f>IFERROR(__xludf.DUMMYFUNCTION("IFERROR(TO_DATE(H2304), """")"),42563.48541666667)</f>
        <v>42563.48542</v>
      </c>
      <c r="J2304" s="19" t="s">
        <v>14</v>
      </c>
      <c r="K2304" s="22">
        <f t="shared" si="2"/>
        <v>0</v>
      </c>
    </row>
    <row r="2305">
      <c r="A2305" s="18">
        <v>2195.0</v>
      </c>
      <c r="B2305" s="18" t="s">
        <v>30</v>
      </c>
      <c r="C2305" s="18">
        <v>241.0</v>
      </c>
      <c r="D2305" s="18" t="s">
        <v>31</v>
      </c>
      <c r="E2305" s="26">
        <v>42563.73888888889</v>
      </c>
      <c r="F2305" s="19">
        <f>IFERROR(__xludf.DUMMYFUNCTION("IFERROR(TO_DATE(E2305), """")"),42563.73888888889)</f>
        <v>42563.73889</v>
      </c>
      <c r="G2305" s="20">
        <f t="shared" si="1"/>
        <v>17</v>
      </c>
      <c r="H2305" s="26">
        <v>42563.77916666667</v>
      </c>
      <c r="I2305" s="19">
        <f>IFERROR(__xludf.DUMMYFUNCTION("IFERROR(TO_DATE(H2305), """")"),42563.77916666667)</f>
        <v>42563.77917</v>
      </c>
      <c r="J2305" s="19" t="s">
        <v>12</v>
      </c>
      <c r="K2305" s="22">
        <f t="shared" si="2"/>
        <v>0</v>
      </c>
    </row>
    <row r="2306">
      <c r="A2306" s="18">
        <v>4005.0</v>
      </c>
      <c r="B2306" s="18" t="s">
        <v>30</v>
      </c>
      <c r="C2306" s="18">
        <v>241.0</v>
      </c>
      <c r="D2306" s="18" t="s">
        <v>31</v>
      </c>
      <c r="E2306" s="27">
        <v>42564.989432870374</v>
      </c>
      <c r="F2306" s="19">
        <f>IFERROR(__xludf.DUMMYFUNCTION("IFERROR(TO_DATE(E2306), """")"),42564.989432870374)</f>
        <v>42564.98943</v>
      </c>
      <c r="G2306" s="20">
        <f t="shared" si="1"/>
        <v>23</v>
      </c>
      <c r="H2306" s="27">
        <v>42565.03356481482</v>
      </c>
      <c r="I2306" s="19">
        <f>IFERROR(__xludf.DUMMYFUNCTION("IFERROR(TO_DATE(H2306), """")"),42565.03356481482)</f>
        <v>42565.03356</v>
      </c>
      <c r="J2306" s="19" t="s">
        <v>13</v>
      </c>
      <c r="K2306" s="22">
        <f t="shared" si="2"/>
        <v>0</v>
      </c>
    </row>
    <row r="2307">
      <c r="A2307" s="18">
        <v>4759.0</v>
      </c>
      <c r="B2307" s="18" t="s">
        <v>30</v>
      </c>
      <c r="C2307" s="18">
        <v>241.0</v>
      </c>
      <c r="D2307" s="18" t="s">
        <v>31</v>
      </c>
      <c r="E2307" s="27">
        <v>42565.6415625</v>
      </c>
      <c r="F2307" s="19">
        <f>IFERROR(__xludf.DUMMYFUNCTION("IFERROR(TO_DATE(E2307), """")"),42565.6415625)</f>
        <v>42565.64156</v>
      </c>
      <c r="G2307" s="20">
        <f t="shared" si="1"/>
        <v>15</v>
      </c>
      <c r="H2307" s="27">
        <v>42565.68324074074</v>
      </c>
      <c r="I2307" s="19">
        <f>IFERROR(__xludf.DUMMYFUNCTION("IFERROR(TO_DATE(H2307), """")"),42565.68324074074)</f>
        <v>42565.68324</v>
      </c>
      <c r="J2307" s="19" t="s">
        <v>10</v>
      </c>
      <c r="K2307" s="22">
        <f t="shared" si="2"/>
        <v>0</v>
      </c>
    </row>
    <row r="2308">
      <c r="A2308" s="18">
        <v>4933.0</v>
      </c>
      <c r="B2308" s="18" t="s">
        <v>32</v>
      </c>
      <c r="C2308" s="18">
        <v>241.0</v>
      </c>
      <c r="D2308" s="18" t="s">
        <v>31</v>
      </c>
      <c r="E2308" s="27">
        <v>42565.764236111114</v>
      </c>
      <c r="F2308" s="19">
        <f>IFERROR(__xludf.DUMMYFUNCTION("IFERROR(TO_DATE(E2308), """")"),42565.764236111114)</f>
        <v>42565.76424</v>
      </c>
      <c r="G2308" s="20">
        <f t="shared" si="1"/>
        <v>18</v>
      </c>
      <c r="H2308" s="27">
        <v>42565.80988425926</v>
      </c>
      <c r="I2308" s="19">
        <f>IFERROR(__xludf.DUMMYFUNCTION("IFERROR(TO_DATE(H2308), """")"),42565.80988425926)</f>
        <v>42565.80988</v>
      </c>
      <c r="J2308" s="19" t="s">
        <v>12</v>
      </c>
      <c r="K2308" s="22">
        <f t="shared" si="2"/>
        <v>0</v>
      </c>
    </row>
    <row r="2309">
      <c r="A2309" s="18">
        <v>648.0</v>
      </c>
      <c r="B2309" s="18" t="s">
        <v>32</v>
      </c>
      <c r="C2309" s="18">
        <v>242.0</v>
      </c>
      <c r="D2309" s="18" t="s">
        <v>31</v>
      </c>
      <c r="E2309" s="26">
        <v>42562.52847222222</v>
      </c>
      <c r="F2309" s="19">
        <f>IFERROR(__xludf.DUMMYFUNCTION("IFERROR(TO_DATE(E2309), """")"),42562.52847222222)</f>
        <v>42562.52847</v>
      </c>
      <c r="G2309" s="20">
        <f t="shared" si="1"/>
        <v>12</v>
      </c>
      <c r="H2309" s="26">
        <v>42562.5625</v>
      </c>
      <c r="I2309" s="19">
        <f>IFERROR(__xludf.DUMMYFUNCTION("IFERROR(TO_DATE(H2309), """")"),42562.5625)</f>
        <v>42562.5625</v>
      </c>
      <c r="J2309" s="19" t="s">
        <v>10</v>
      </c>
      <c r="K2309" s="22">
        <f t="shared" si="2"/>
        <v>0</v>
      </c>
    </row>
    <row r="2310">
      <c r="A2310" s="18">
        <v>1171.0</v>
      </c>
      <c r="B2310" s="18" t="s">
        <v>32</v>
      </c>
      <c r="C2310" s="18">
        <v>242.0</v>
      </c>
      <c r="D2310" s="18" t="s">
        <v>31</v>
      </c>
      <c r="E2310" s="26">
        <v>42562.86736111111</v>
      </c>
      <c r="F2310" s="19">
        <f>IFERROR(__xludf.DUMMYFUNCTION("IFERROR(TO_DATE(E2310), """")"),42562.86736111111)</f>
        <v>42562.86736</v>
      </c>
      <c r="G2310" s="20">
        <f t="shared" si="1"/>
        <v>20</v>
      </c>
      <c r="H2310" s="26">
        <v>42562.90833333333</v>
      </c>
      <c r="I2310" s="19">
        <f>IFERROR(__xludf.DUMMYFUNCTION("IFERROR(TO_DATE(H2310), """")"),42562.90833333333)</f>
        <v>42562.90833</v>
      </c>
      <c r="J2310" s="19" t="s">
        <v>13</v>
      </c>
      <c r="K2310" s="22">
        <f t="shared" si="2"/>
        <v>0</v>
      </c>
    </row>
    <row r="2311">
      <c r="A2311" s="18">
        <v>1354.0</v>
      </c>
      <c r="B2311" s="18" t="s">
        <v>32</v>
      </c>
      <c r="C2311" s="18">
        <v>242.0</v>
      </c>
      <c r="D2311" s="18" t="s">
        <v>31</v>
      </c>
      <c r="E2311" s="26">
        <v>42562.989583333336</v>
      </c>
      <c r="F2311" s="19">
        <f>IFERROR(__xludf.DUMMYFUNCTION("IFERROR(TO_DATE(E2311), """")"),42562.989583333336)</f>
        <v>42562.98958</v>
      </c>
      <c r="G2311" s="20">
        <f t="shared" si="1"/>
        <v>23</v>
      </c>
      <c r="H2311" s="26">
        <v>42563.03611111111</v>
      </c>
      <c r="I2311" s="19">
        <f>IFERROR(__xludf.DUMMYFUNCTION("IFERROR(TO_DATE(H2311), """")"),42563.03611111111)</f>
        <v>42563.03611</v>
      </c>
      <c r="J2311" s="19" t="s">
        <v>13</v>
      </c>
      <c r="K2311" s="22">
        <f t="shared" si="2"/>
        <v>0</v>
      </c>
    </row>
    <row r="2312">
      <c r="A2312" s="18">
        <v>1901.0</v>
      </c>
      <c r="B2312" s="18" t="s">
        <v>30</v>
      </c>
      <c r="C2312" s="18">
        <v>242.0</v>
      </c>
      <c r="D2312" s="18" t="s">
        <v>31</v>
      </c>
      <c r="E2312" s="26">
        <v>42563.43680555555</v>
      </c>
      <c r="F2312" s="19">
        <f>IFERROR(__xludf.DUMMYFUNCTION("IFERROR(TO_DATE(E2312), """")"),42563.43680555555)</f>
        <v>42563.43681</v>
      </c>
      <c r="G2312" s="20">
        <f t="shared" si="1"/>
        <v>10</v>
      </c>
      <c r="H2312" s="26">
        <v>42563.481944444444</v>
      </c>
      <c r="I2312" s="19">
        <f>IFERROR(__xludf.DUMMYFUNCTION("IFERROR(TO_DATE(H2312), """")"),42563.481944444444)</f>
        <v>42563.48194</v>
      </c>
      <c r="J2312" s="19" t="s">
        <v>14</v>
      </c>
      <c r="K2312" s="22">
        <f t="shared" si="2"/>
        <v>0</v>
      </c>
    </row>
    <row r="2313">
      <c r="A2313" s="18">
        <v>2181.0</v>
      </c>
      <c r="B2313" s="18" t="s">
        <v>30</v>
      </c>
      <c r="C2313" s="18">
        <v>242.0</v>
      </c>
      <c r="D2313" s="18" t="s">
        <v>31</v>
      </c>
      <c r="E2313" s="26">
        <v>42563.73541666667</v>
      </c>
      <c r="F2313" s="19">
        <f>IFERROR(__xludf.DUMMYFUNCTION("IFERROR(TO_DATE(E2313), """")"),42563.73541666667)</f>
        <v>42563.73542</v>
      </c>
      <c r="G2313" s="20">
        <f t="shared" si="1"/>
        <v>17</v>
      </c>
      <c r="H2313" s="26">
        <v>42563.76944444444</v>
      </c>
      <c r="I2313" s="19">
        <f>IFERROR(__xludf.DUMMYFUNCTION("IFERROR(TO_DATE(H2313), """")"),42563.76944444444)</f>
        <v>42563.76944</v>
      </c>
      <c r="J2313" s="19" t="s">
        <v>12</v>
      </c>
      <c r="K2313" s="22">
        <f t="shared" si="2"/>
        <v>0</v>
      </c>
    </row>
    <row r="2314">
      <c r="A2314" s="18">
        <v>3051.0</v>
      </c>
      <c r="B2314" s="18" t="s">
        <v>32</v>
      </c>
      <c r="C2314" s="18">
        <v>242.0</v>
      </c>
      <c r="D2314" s="18" t="s">
        <v>31</v>
      </c>
      <c r="E2314" s="27">
        <v>42564.320914351854</v>
      </c>
      <c r="F2314" s="19">
        <f>IFERROR(__xludf.DUMMYFUNCTION("IFERROR(TO_DATE(E2314), """")"),42564.320914351854)</f>
        <v>42564.32091</v>
      </c>
      <c r="G2314" s="20">
        <f t="shared" si="1"/>
        <v>7</v>
      </c>
      <c r="H2314" s="27">
        <v>42564.36188657407</v>
      </c>
      <c r="I2314" s="19">
        <f>IFERROR(__xludf.DUMMYFUNCTION("IFERROR(TO_DATE(H2314), """")"),42564.36188657407)</f>
        <v>42564.36189</v>
      </c>
      <c r="J2314" s="19" t="s">
        <v>11</v>
      </c>
      <c r="K2314" s="22">
        <f t="shared" si="2"/>
        <v>0</v>
      </c>
    </row>
    <row r="2315">
      <c r="A2315" s="18">
        <v>3203.0</v>
      </c>
      <c r="B2315" s="18" t="s">
        <v>30</v>
      </c>
      <c r="C2315" s="18">
        <v>242.0</v>
      </c>
      <c r="D2315" s="18" t="s">
        <v>31</v>
      </c>
      <c r="E2315" s="27">
        <v>42564.40788194445</v>
      </c>
      <c r="F2315" s="19">
        <f>IFERROR(__xludf.DUMMYFUNCTION("IFERROR(TO_DATE(E2315), """")"),42564.40788194445)</f>
        <v>42564.40788</v>
      </c>
      <c r="G2315" s="20">
        <f t="shared" si="1"/>
        <v>9</v>
      </c>
      <c r="H2315" s="27">
        <v>42564.42259259259</v>
      </c>
      <c r="I2315" s="19">
        <f>IFERROR(__xludf.DUMMYFUNCTION("IFERROR(TO_DATE(H2315), """")"),42564.42259259259)</f>
        <v>42564.42259</v>
      </c>
      <c r="J2315" s="19" t="s">
        <v>14</v>
      </c>
      <c r="K2315" s="22">
        <f t="shared" si="2"/>
        <v>0</v>
      </c>
    </row>
    <row r="2316">
      <c r="A2316" s="18">
        <v>3843.0</v>
      </c>
      <c r="B2316" s="18" t="s">
        <v>32</v>
      </c>
      <c r="C2316" s="18">
        <v>242.0</v>
      </c>
      <c r="D2316" s="18" t="s">
        <v>31</v>
      </c>
      <c r="E2316" s="27">
        <v>42564.89059027778</v>
      </c>
      <c r="F2316" s="19">
        <f>IFERROR(__xludf.DUMMYFUNCTION("IFERROR(TO_DATE(E2316), """")"),42564.89059027778)</f>
        <v>42564.89059</v>
      </c>
      <c r="G2316" s="20">
        <f t="shared" si="1"/>
        <v>21</v>
      </c>
      <c r="H2316" s="27">
        <v>42564.92738425926</v>
      </c>
      <c r="I2316" s="19">
        <f>IFERROR(__xludf.DUMMYFUNCTION("IFERROR(TO_DATE(H2316), """")"),42564.92738425926)</f>
        <v>42564.92738</v>
      </c>
      <c r="J2316" s="19" t="s">
        <v>13</v>
      </c>
      <c r="K2316" s="22">
        <f t="shared" si="2"/>
        <v>0</v>
      </c>
    </row>
    <row r="2317">
      <c r="A2317" s="18">
        <v>5698.0</v>
      </c>
      <c r="B2317" s="18" t="s">
        <v>30</v>
      </c>
      <c r="C2317" s="18">
        <v>242.0</v>
      </c>
      <c r="D2317" s="18" t="s">
        <v>31</v>
      </c>
      <c r="E2317" s="27">
        <v>42566.313738425924</v>
      </c>
      <c r="F2317" s="19">
        <f>IFERROR(__xludf.DUMMYFUNCTION("IFERROR(TO_DATE(E2317), """")"),42566.313738425924)</f>
        <v>42566.31374</v>
      </c>
      <c r="G2317" s="20">
        <f t="shared" si="1"/>
        <v>7</v>
      </c>
      <c r="H2317" s="27">
        <v>42566.36383101852</v>
      </c>
      <c r="I2317" s="19">
        <f>IFERROR(__xludf.DUMMYFUNCTION("IFERROR(TO_DATE(H2317), """")"),42566.36383101852)</f>
        <v>42566.36383</v>
      </c>
      <c r="J2317" s="19" t="s">
        <v>11</v>
      </c>
      <c r="K2317" s="22">
        <f t="shared" si="2"/>
        <v>0</v>
      </c>
    </row>
    <row r="2318">
      <c r="A2318" s="18">
        <v>6653.0</v>
      </c>
      <c r="B2318" s="18" t="s">
        <v>32</v>
      </c>
      <c r="C2318" s="18">
        <v>242.0</v>
      </c>
      <c r="D2318" s="18" t="s">
        <v>31</v>
      </c>
      <c r="E2318" s="27">
        <v>42566.92582175926</v>
      </c>
      <c r="F2318" s="19">
        <f>IFERROR(__xludf.DUMMYFUNCTION("IFERROR(TO_DATE(E2318), """")"),42566.92582175926)</f>
        <v>42566.92582</v>
      </c>
      <c r="G2318" s="20">
        <f t="shared" si="1"/>
        <v>22</v>
      </c>
      <c r="H2318" s="27">
        <v>42566.96791666667</v>
      </c>
      <c r="I2318" s="19">
        <f>IFERROR(__xludf.DUMMYFUNCTION("IFERROR(TO_DATE(H2318), """")"),42566.96791666667)</f>
        <v>42566.96792</v>
      </c>
      <c r="J2318" s="19" t="s">
        <v>13</v>
      </c>
      <c r="K2318" s="22">
        <f t="shared" si="2"/>
        <v>0</v>
      </c>
    </row>
    <row r="2319">
      <c r="A2319" s="18">
        <v>271.0</v>
      </c>
      <c r="B2319" s="18" t="s">
        <v>30</v>
      </c>
      <c r="C2319" s="18">
        <v>243.0</v>
      </c>
      <c r="D2319" s="18" t="s">
        <v>31</v>
      </c>
      <c r="E2319" s="26">
        <v>42562.28680555556</v>
      </c>
      <c r="F2319" s="19">
        <f>IFERROR(__xludf.DUMMYFUNCTION("IFERROR(TO_DATE(E2319), """")"),42562.28680555556)</f>
        <v>42562.28681</v>
      </c>
      <c r="G2319" s="20">
        <f t="shared" si="1"/>
        <v>6</v>
      </c>
      <c r="H2319" s="26">
        <v>42562.31319444445</v>
      </c>
      <c r="I2319" s="19">
        <f>IFERROR(__xludf.DUMMYFUNCTION("IFERROR(TO_DATE(H2319), """")"),42562.31319444445)</f>
        <v>42562.31319</v>
      </c>
      <c r="J2319" s="19" t="s">
        <v>11</v>
      </c>
      <c r="K2319" s="22">
        <f t="shared" si="2"/>
        <v>0</v>
      </c>
    </row>
    <row r="2320">
      <c r="A2320" s="18">
        <v>1238.0</v>
      </c>
      <c r="B2320" s="18" t="s">
        <v>32</v>
      </c>
      <c r="C2320" s="18">
        <v>243.0</v>
      </c>
      <c r="D2320" s="18" t="s">
        <v>31</v>
      </c>
      <c r="E2320" s="26">
        <v>42562.904861111114</v>
      </c>
      <c r="F2320" s="19">
        <f>IFERROR(__xludf.DUMMYFUNCTION("IFERROR(TO_DATE(E2320), """")"),42562.904861111114)</f>
        <v>42562.90486</v>
      </c>
      <c r="G2320" s="20">
        <f t="shared" si="1"/>
        <v>21</v>
      </c>
      <c r="H2320" s="26">
        <v>42562.95416666667</v>
      </c>
      <c r="I2320" s="19">
        <f>IFERROR(__xludf.DUMMYFUNCTION("IFERROR(TO_DATE(H2320), """")"),42562.95416666667)</f>
        <v>42562.95417</v>
      </c>
      <c r="J2320" s="19" t="s">
        <v>13</v>
      </c>
      <c r="K2320" s="22">
        <f t="shared" si="2"/>
        <v>0</v>
      </c>
    </row>
    <row r="2321">
      <c r="A2321" s="18">
        <v>1802.0</v>
      </c>
      <c r="B2321" s="18" t="s">
        <v>30</v>
      </c>
      <c r="C2321" s="18">
        <v>243.0</v>
      </c>
      <c r="D2321" s="18" t="s">
        <v>31</v>
      </c>
      <c r="E2321" s="26">
        <v>42563.38263888889</v>
      </c>
      <c r="F2321" s="19">
        <f>IFERROR(__xludf.DUMMYFUNCTION("IFERROR(TO_DATE(E2321), """")"),42563.38263888889)</f>
        <v>42563.38264</v>
      </c>
      <c r="G2321" s="20">
        <f t="shared" si="1"/>
        <v>9</v>
      </c>
      <c r="H2321" s="26">
        <v>42563.43402777778</v>
      </c>
      <c r="I2321" s="19">
        <f>IFERROR(__xludf.DUMMYFUNCTION("IFERROR(TO_DATE(H2321), """")"),42563.43402777778)</f>
        <v>42563.43403</v>
      </c>
      <c r="J2321" s="19" t="s">
        <v>14</v>
      </c>
      <c r="K2321" s="22">
        <f t="shared" si="2"/>
        <v>0</v>
      </c>
    </row>
    <row r="2322">
      <c r="A2322" s="18">
        <v>3145.0</v>
      </c>
      <c r="B2322" s="18" t="s">
        <v>30</v>
      </c>
      <c r="C2322" s="18">
        <v>243.0</v>
      </c>
      <c r="D2322" s="18" t="s">
        <v>31</v>
      </c>
      <c r="E2322" s="27">
        <v>42564.37168981481</v>
      </c>
      <c r="F2322" s="19">
        <f>IFERROR(__xludf.DUMMYFUNCTION("IFERROR(TO_DATE(E2322), """")"),42564.37168981481)</f>
        <v>42564.37169</v>
      </c>
      <c r="G2322" s="20">
        <f t="shared" si="1"/>
        <v>8</v>
      </c>
      <c r="H2322" s="27">
        <v>42564.39795138889</v>
      </c>
      <c r="I2322" s="19">
        <f>IFERROR(__xludf.DUMMYFUNCTION("IFERROR(TO_DATE(H2322), """")"),42564.39795138889)</f>
        <v>42564.39795</v>
      </c>
      <c r="J2322" s="19" t="s">
        <v>14</v>
      </c>
      <c r="K2322" s="22">
        <f t="shared" si="2"/>
        <v>0</v>
      </c>
    </row>
    <row r="2323">
      <c r="A2323" s="18">
        <v>3336.0</v>
      </c>
      <c r="B2323" s="18" t="s">
        <v>30</v>
      </c>
      <c r="C2323" s="18">
        <v>243.0</v>
      </c>
      <c r="D2323" s="18" t="s">
        <v>31</v>
      </c>
      <c r="E2323" s="27">
        <v>42564.52594907407</v>
      </c>
      <c r="F2323" s="19">
        <f>IFERROR(__xludf.DUMMYFUNCTION("IFERROR(TO_DATE(E2323), """")"),42564.52594907407)</f>
        <v>42564.52595</v>
      </c>
      <c r="G2323" s="20">
        <f t="shared" si="1"/>
        <v>12</v>
      </c>
      <c r="H2323" s="27">
        <v>42564.55842592593</v>
      </c>
      <c r="I2323" s="19">
        <f>IFERROR(__xludf.DUMMYFUNCTION("IFERROR(TO_DATE(H2323), """")"),42564.55842592593)</f>
        <v>42564.55843</v>
      </c>
      <c r="J2323" s="19" t="s">
        <v>10</v>
      </c>
      <c r="K2323" s="22">
        <f t="shared" si="2"/>
        <v>0</v>
      </c>
    </row>
    <row r="2324">
      <c r="A2324" s="18">
        <v>3506.0</v>
      </c>
      <c r="B2324" s="18" t="s">
        <v>30</v>
      </c>
      <c r="C2324" s="18">
        <v>243.0</v>
      </c>
      <c r="D2324" s="18" t="s">
        <v>31</v>
      </c>
      <c r="E2324" s="27">
        <v>42564.73342592592</v>
      </c>
      <c r="F2324" s="19">
        <f>IFERROR(__xludf.DUMMYFUNCTION("IFERROR(TO_DATE(E2324), """")"),42564.73342592592)</f>
        <v>42564.73343</v>
      </c>
      <c r="G2324" s="20">
        <f t="shared" si="1"/>
        <v>17</v>
      </c>
      <c r="H2324" s="27">
        <v>42564.78472222222</v>
      </c>
      <c r="I2324" s="19">
        <f>IFERROR(__xludf.DUMMYFUNCTION("IFERROR(TO_DATE(H2324), """")"),42564.78472222222)</f>
        <v>42564.78472</v>
      </c>
      <c r="J2324" s="19" t="s">
        <v>12</v>
      </c>
      <c r="K2324" s="22">
        <f t="shared" si="2"/>
        <v>0</v>
      </c>
    </row>
    <row r="2325">
      <c r="A2325" s="18">
        <v>4325.0</v>
      </c>
      <c r="B2325" s="18" t="s">
        <v>32</v>
      </c>
      <c r="C2325" s="18">
        <v>243.0</v>
      </c>
      <c r="D2325" s="18" t="s">
        <v>31</v>
      </c>
      <c r="E2325" s="27">
        <v>42565.29871527778</v>
      </c>
      <c r="F2325" s="19">
        <f>IFERROR(__xludf.DUMMYFUNCTION("IFERROR(TO_DATE(E2325), """")"),42565.29871527778)</f>
        <v>42565.29872</v>
      </c>
      <c r="G2325" s="20">
        <f t="shared" si="1"/>
        <v>7</v>
      </c>
      <c r="H2325" s="27">
        <v>42565.33957175926</v>
      </c>
      <c r="I2325" s="19">
        <f>IFERROR(__xludf.DUMMYFUNCTION("IFERROR(TO_DATE(H2325), """")"),42565.33957175926)</f>
        <v>42565.33957</v>
      </c>
      <c r="J2325" s="19" t="s">
        <v>11</v>
      </c>
      <c r="K2325" s="22">
        <f t="shared" si="2"/>
        <v>0</v>
      </c>
    </row>
    <row r="2326">
      <c r="A2326" s="18">
        <v>6764.0</v>
      </c>
      <c r="B2326" s="18" t="s">
        <v>32</v>
      </c>
      <c r="C2326" s="18">
        <v>243.0</v>
      </c>
      <c r="D2326" s="18" t="s">
        <v>31</v>
      </c>
      <c r="E2326" s="27">
        <v>42566.00430555556</v>
      </c>
      <c r="F2326" s="19">
        <f>IFERROR(__xludf.DUMMYFUNCTION("IFERROR(TO_DATE(E2326), """")"),42566.00430555556)</f>
        <v>42566.00431</v>
      </c>
      <c r="G2326" s="20">
        <f t="shared" si="1"/>
        <v>0</v>
      </c>
      <c r="H2326" s="27">
        <v>42566.054085648146</v>
      </c>
      <c r="I2326" s="19">
        <f>IFERROR(__xludf.DUMMYFUNCTION("IFERROR(TO_DATE(H2326), """")"),42566.054085648146)</f>
        <v>42566.05409</v>
      </c>
      <c r="J2326" s="19" t="s">
        <v>15</v>
      </c>
      <c r="K2326" s="22">
        <f t="shared" si="2"/>
        <v>0</v>
      </c>
    </row>
    <row r="2327">
      <c r="A2327" s="18">
        <v>5421.0</v>
      </c>
      <c r="B2327" s="18" t="s">
        <v>30</v>
      </c>
      <c r="C2327" s="18">
        <v>243.0</v>
      </c>
      <c r="D2327" s="18" t="s">
        <v>31</v>
      </c>
      <c r="E2327" s="27">
        <v>42566.08934027778</v>
      </c>
      <c r="F2327" s="19">
        <f>IFERROR(__xludf.DUMMYFUNCTION("IFERROR(TO_DATE(E2327), """")"),42566.08934027778)</f>
        <v>42566.08934</v>
      </c>
      <c r="G2327" s="20">
        <f t="shared" si="1"/>
        <v>2</v>
      </c>
      <c r="H2327" s="27">
        <v>42566.13375</v>
      </c>
      <c r="I2327" s="19">
        <f>IFERROR(__xludf.DUMMYFUNCTION("IFERROR(TO_DATE(H2327), """")"),42566.13375)</f>
        <v>42566.13375</v>
      </c>
      <c r="J2327" s="19" t="s">
        <v>15</v>
      </c>
      <c r="K2327" s="22">
        <f t="shared" si="2"/>
        <v>0</v>
      </c>
    </row>
    <row r="2328">
      <c r="A2328" s="18">
        <v>6108.0</v>
      </c>
      <c r="B2328" s="18" t="s">
        <v>32</v>
      </c>
      <c r="C2328" s="18">
        <v>243.0</v>
      </c>
      <c r="D2328" s="18" t="s">
        <v>31</v>
      </c>
      <c r="E2328" s="27">
        <v>42566.62668981482</v>
      </c>
      <c r="F2328" s="19">
        <f>IFERROR(__xludf.DUMMYFUNCTION("IFERROR(TO_DATE(E2328), """")"),42566.62668981482)</f>
        <v>42566.62669</v>
      </c>
      <c r="G2328" s="20">
        <f t="shared" si="1"/>
        <v>15</v>
      </c>
      <c r="H2328" s="27">
        <v>42566.653020833335</v>
      </c>
      <c r="I2328" s="19">
        <f>IFERROR(__xludf.DUMMYFUNCTION("IFERROR(TO_DATE(H2328), """")"),42566.653020833335)</f>
        <v>42566.65302</v>
      </c>
      <c r="J2328" s="19" t="s">
        <v>10</v>
      </c>
      <c r="K2328" s="22">
        <f t="shared" si="2"/>
        <v>0</v>
      </c>
    </row>
    <row r="2329">
      <c r="A2329" s="18">
        <v>6379.0</v>
      </c>
      <c r="B2329" s="18" t="s">
        <v>32</v>
      </c>
      <c r="C2329" s="18">
        <v>243.0</v>
      </c>
      <c r="D2329" s="18" t="s">
        <v>31</v>
      </c>
      <c r="E2329" s="27">
        <v>42566.80302083334</v>
      </c>
      <c r="F2329" s="19">
        <f>IFERROR(__xludf.DUMMYFUNCTION("IFERROR(TO_DATE(E2329), """")"),42566.80302083334)</f>
        <v>42566.80302</v>
      </c>
      <c r="G2329" s="20">
        <f t="shared" si="1"/>
        <v>19</v>
      </c>
      <c r="H2329" s="27">
        <v>42566.83430555555</v>
      </c>
      <c r="I2329" s="19">
        <f>IFERROR(__xludf.DUMMYFUNCTION("IFERROR(TO_DATE(H2329), """")"),42566.83430555555)</f>
        <v>42566.83431</v>
      </c>
      <c r="J2329" s="19" t="s">
        <v>12</v>
      </c>
      <c r="K2329" s="22">
        <f t="shared" si="2"/>
        <v>0</v>
      </c>
    </row>
    <row r="2330">
      <c r="A2330" s="18">
        <v>656.0</v>
      </c>
      <c r="B2330" s="18" t="s">
        <v>30</v>
      </c>
      <c r="C2330" s="18">
        <v>244.0</v>
      </c>
      <c r="D2330" s="18" t="s">
        <v>31</v>
      </c>
      <c r="E2330" s="26">
        <v>42562.53958333333</v>
      </c>
      <c r="F2330" s="19">
        <f>IFERROR(__xludf.DUMMYFUNCTION("IFERROR(TO_DATE(E2330), """")"),42562.53958333333)</f>
        <v>42562.53958</v>
      </c>
      <c r="G2330" s="20">
        <f t="shared" si="1"/>
        <v>12</v>
      </c>
      <c r="H2330" s="26">
        <v>42562.56041666667</v>
      </c>
      <c r="I2330" s="19">
        <f>IFERROR(__xludf.DUMMYFUNCTION("IFERROR(TO_DATE(H2330), """")"),42562.56041666667)</f>
        <v>42562.56042</v>
      </c>
      <c r="J2330" s="19" t="s">
        <v>10</v>
      </c>
      <c r="K2330" s="22">
        <f t="shared" si="2"/>
        <v>0</v>
      </c>
    </row>
    <row r="2331">
      <c r="A2331" s="18">
        <v>715.0</v>
      </c>
      <c r="B2331" s="18" t="s">
        <v>32</v>
      </c>
      <c r="C2331" s="18">
        <v>244.0</v>
      </c>
      <c r="D2331" s="18" t="s">
        <v>31</v>
      </c>
      <c r="E2331" s="26">
        <v>42562.61111111111</v>
      </c>
      <c r="F2331" s="19">
        <f>IFERROR(__xludf.DUMMYFUNCTION("IFERROR(TO_DATE(E2331), """")"),42562.61111111111)</f>
        <v>42562.61111</v>
      </c>
      <c r="G2331" s="20">
        <f t="shared" si="1"/>
        <v>14</v>
      </c>
      <c r="H2331" s="26">
        <v>42562.66180555556</v>
      </c>
      <c r="I2331" s="19">
        <f>IFERROR(__xludf.DUMMYFUNCTION("IFERROR(TO_DATE(H2331), """")"),42562.66180555556)</f>
        <v>42562.66181</v>
      </c>
      <c r="J2331" s="19" t="s">
        <v>10</v>
      </c>
      <c r="K2331" s="22">
        <f t="shared" si="2"/>
        <v>0</v>
      </c>
    </row>
    <row r="2332">
      <c r="A2332" s="18">
        <v>1086.0</v>
      </c>
      <c r="B2332" s="18" t="s">
        <v>30</v>
      </c>
      <c r="C2332" s="18">
        <v>244.0</v>
      </c>
      <c r="D2332" s="18" t="s">
        <v>31</v>
      </c>
      <c r="E2332" s="26">
        <v>42562.83472222222</v>
      </c>
      <c r="F2332" s="19">
        <f>IFERROR(__xludf.DUMMYFUNCTION("IFERROR(TO_DATE(E2332), """")"),42562.83472222222)</f>
        <v>42562.83472</v>
      </c>
      <c r="G2332" s="20">
        <f t="shared" si="1"/>
        <v>20</v>
      </c>
      <c r="H2332" s="26">
        <v>42562.856944444444</v>
      </c>
      <c r="I2332" s="19">
        <f>IFERROR(__xludf.DUMMYFUNCTION("IFERROR(TO_DATE(H2332), """")"),42562.856944444444)</f>
        <v>42562.85694</v>
      </c>
      <c r="J2332" s="19" t="s">
        <v>13</v>
      </c>
      <c r="K2332" s="22">
        <f t="shared" si="2"/>
        <v>0</v>
      </c>
    </row>
    <row r="2333">
      <c r="A2333" s="18">
        <v>1504.0</v>
      </c>
      <c r="B2333" s="18" t="s">
        <v>30</v>
      </c>
      <c r="C2333" s="18">
        <v>244.0</v>
      </c>
      <c r="D2333" s="18" t="s">
        <v>31</v>
      </c>
      <c r="E2333" s="26">
        <v>42563.23402777778</v>
      </c>
      <c r="F2333" s="19">
        <f>IFERROR(__xludf.DUMMYFUNCTION("IFERROR(TO_DATE(E2333), """")"),42563.23402777778)</f>
        <v>42563.23403</v>
      </c>
      <c r="G2333" s="20">
        <f t="shared" si="1"/>
        <v>5</v>
      </c>
      <c r="H2333" s="26">
        <v>42563.251388888886</v>
      </c>
      <c r="I2333" s="19">
        <f>IFERROR(__xludf.DUMMYFUNCTION("IFERROR(TO_DATE(H2333), """")"),42563.251388888886)</f>
        <v>42563.25139</v>
      </c>
      <c r="J2333" s="19" t="s">
        <v>11</v>
      </c>
      <c r="K2333" s="22">
        <f t="shared" si="2"/>
        <v>0</v>
      </c>
    </row>
    <row r="2334">
      <c r="A2334" s="18">
        <v>1675.0</v>
      </c>
      <c r="B2334" s="18" t="s">
        <v>30</v>
      </c>
      <c r="C2334" s="18">
        <v>244.0</v>
      </c>
      <c r="D2334" s="18" t="s">
        <v>31</v>
      </c>
      <c r="E2334" s="26">
        <v>42563.31597222222</v>
      </c>
      <c r="F2334" s="19">
        <f>IFERROR(__xludf.DUMMYFUNCTION("IFERROR(TO_DATE(E2334), """")"),42563.31597222222)</f>
        <v>42563.31597</v>
      </c>
      <c r="G2334" s="20">
        <f t="shared" si="1"/>
        <v>7</v>
      </c>
      <c r="H2334" s="26">
        <v>42563.34861111111</v>
      </c>
      <c r="I2334" s="19">
        <f>IFERROR(__xludf.DUMMYFUNCTION("IFERROR(TO_DATE(H2334), """")"),42563.34861111111)</f>
        <v>42563.34861</v>
      </c>
      <c r="J2334" s="19" t="s">
        <v>11</v>
      </c>
      <c r="K2334" s="22">
        <f t="shared" si="2"/>
        <v>0</v>
      </c>
    </row>
    <row r="2335">
      <c r="A2335" s="18">
        <v>3041.0</v>
      </c>
      <c r="B2335" s="18" t="s">
        <v>30</v>
      </c>
      <c r="C2335" s="18">
        <v>244.0</v>
      </c>
      <c r="D2335" s="18" t="s">
        <v>31</v>
      </c>
      <c r="E2335" s="27">
        <v>42564.31962962963</v>
      </c>
      <c r="F2335" s="19">
        <f>IFERROR(__xludf.DUMMYFUNCTION("IFERROR(TO_DATE(E2335), """")"),42564.31962962963)</f>
        <v>42564.31963</v>
      </c>
      <c r="G2335" s="20">
        <f t="shared" si="1"/>
        <v>7</v>
      </c>
      <c r="H2335" s="27">
        <v>42564.37262731481</v>
      </c>
      <c r="I2335" s="19">
        <f>IFERROR(__xludf.DUMMYFUNCTION("IFERROR(TO_DATE(H2335), """")"),42564.37262731481)</f>
        <v>42564.37263</v>
      </c>
      <c r="J2335" s="19" t="s">
        <v>11</v>
      </c>
      <c r="K2335" s="22">
        <f t="shared" si="2"/>
        <v>0</v>
      </c>
    </row>
    <row r="2336">
      <c r="A2336" s="18">
        <v>4214.0</v>
      </c>
      <c r="B2336" s="18" t="s">
        <v>32</v>
      </c>
      <c r="C2336" s="18">
        <v>244.0</v>
      </c>
      <c r="D2336" s="18" t="s">
        <v>31</v>
      </c>
      <c r="E2336" s="27">
        <v>42565.23962962963</v>
      </c>
      <c r="F2336" s="19">
        <f>IFERROR(__xludf.DUMMYFUNCTION("IFERROR(TO_DATE(E2336), """")"),42565.23962962963)</f>
        <v>42565.23963</v>
      </c>
      <c r="G2336" s="20">
        <f t="shared" si="1"/>
        <v>5</v>
      </c>
      <c r="H2336" s="27">
        <v>42565.25891203704</v>
      </c>
      <c r="I2336" s="19">
        <f>IFERROR(__xludf.DUMMYFUNCTION("IFERROR(TO_DATE(H2336), """")"),42565.25891203704)</f>
        <v>42565.25891</v>
      </c>
      <c r="J2336" s="19" t="s">
        <v>11</v>
      </c>
      <c r="K2336" s="22">
        <f t="shared" si="2"/>
        <v>0</v>
      </c>
    </row>
    <row r="2337">
      <c r="A2337" s="18">
        <v>5915.0</v>
      </c>
      <c r="B2337" s="18" t="s">
        <v>32</v>
      </c>
      <c r="C2337" s="18">
        <v>244.0</v>
      </c>
      <c r="D2337" s="18" t="s">
        <v>31</v>
      </c>
      <c r="E2337" s="27">
        <v>42566.416979166665</v>
      </c>
      <c r="F2337" s="19">
        <f>IFERROR(__xludf.DUMMYFUNCTION("IFERROR(TO_DATE(E2337), """")"),42566.416979166665)</f>
        <v>42566.41698</v>
      </c>
      <c r="G2337" s="20">
        <f t="shared" si="1"/>
        <v>10</v>
      </c>
      <c r="H2337" s="27">
        <v>42566.46011574074</v>
      </c>
      <c r="I2337" s="19">
        <f>IFERROR(__xludf.DUMMYFUNCTION("IFERROR(TO_DATE(H2337), """")"),42566.46011574074)</f>
        <v>42566.46012</v>
      </c>
      <c r="J2337" s="19" t="s">
        <v>14</v>
      </c>
      <c r="K2337" s="22">
        <f t="shared" si="2"/>
        <v>0</v>
      </c>
    </row>
    <row r="2338">
      <c r="A2338" s="18">
        <v>6064.0</v>
      </c>
      <c r="B2338" s="18" t="s">
        <v>32</v>
      </c>
      <c r="C2338" s="18">
        <v>244.0</v>
      </c>
      <c r="D2338" s="18" t="s">
        <v>31</v>
      </c>
      <c r="E2338" s="27">
        <v>42566.57612268518</v>
      </c>
      <c r="F2338" s="19">
        <f>IFERROR(__xludf.DUMMYFUNCTION("IFERROR(TO_DATE(E2338), """")"),42566.57612268518)</f>
        <v>42566.57612</v>
      </c>
      <c r="G2338" s="20">
        <f t="shared" si="1"/>
        <v>13</v>
      </c>
      <c r="H2338" s="27">
        <v>42566.614699074074</v>
      </c>
      <c r="I2338" s="19">
        <f>IFERROR(__xludf.DUMMYFUNCTION("IFERROR(TO_DATE(H2338), """")"),42566.614699074074)</f>
        <v>42566.6147</v>
      </c>
      <c r="J2338" s="19" t="s">
        <v>10</v>
      </c>
      <c r="K2338" s="22">
        <f t="shared" si="2"/>
        <v>0</v>
      </c>
    </row>
    <row r="2339">
      <c r="A2339" s="18">
        <v>225.0</v>
      </c>
      <c r="B2339" s="18" t="s">
        <v>32</v>
      </c>
      <c r="C2339" s="18">
        <v>245.0</v>
      </c>
      <c r="D2339" s="18" t="s">
        <v>31</v>
      </c>
      <c r="E2339" s="26">
        <v>42562.26111111111</v>
      </c>
      <c r="F2339" s="19">
        <f>IFERROR(__xludf.DUMMYFUNCTION("IFERROR(TO_DATE(E2339), """")"),42562.26111111111)</f>
        <v>42562.26111</v>
      </c>
      <c r="G2339" s="20">
        <f t="shared" si="1"/>
        <v>6</v>
      </c>
      <c r="H2339" s="26">
        <v>42562.311111111114</v>
      </c>
      <c r="I2339" s="19">
        <f>IFERROR(__xludf.DUMMYFUNCTION("IFERROR(TO_DATE(H2339), """")"),42562.311111111114)</f>
        <v>42562.31111</v>
      </c>
      <c r="J2339" s="19" t="s">
        <v>11</v>
      </c>
      <c r="K2339" s="22">
        <f t="shared" si="2"/>
        <v>0</v>
      </c>
    </row>
    <row r="2340">
      <c r="A2340" s="18">
        <v>1163.0</v>
      </c>
      <c r="B2340" s="18" t="s">
        <v>32</v>
      </c>
      <c r="C2340" s="18">
        <v>245.0</v>
      </c>
      <c r="D2340" s="18" t="s">
        <v>31</v>
      </c>
      <c r="E2340" s="26">
        <v>42562.86597222222</v>
      </c>
      <c r="F2340" s="19">
        <f>IFERROR(__xludf.DUMMYFUNCTION("IFERROR(TO_DATE(E2340), """")"),42562.86597222222)</f>
        <v>42562.86597</v>
      </c>
      <c r="G2340" s="20">
        <f t="shared" si="1"/>
        <v>20</v>
      </c>
      <c r="H2340" s="26">
        <v>42562.910416666666</v>
      </c>
      <c r="I2340" s="19">
        <f>IFERROR(__xludf.DUMMYFUNCTION("IFERROR(TO_DATE(H2340), """")"),42562.910416666666)</f>
        <v>42562.91042</v>
      </c>
      <c r="J2340" s="19" t="s">
        <v>13</v>
      </c>
      <c r="K2340" s="22">
        <f t="shared" si="2"/>
        <v>0</v>
      </c>
    </row>
    <row r="2341">
      <c r="A2341" s="18">
        <v>2200.0</v>
      </c>
      <c r="B2341" s="18" t="s">
        <v>32</v>
      </c>
      <c r="C2341" s="18">
        <v>245.0</v>
      </c>
      <c r="D2341" s="18" t="s">
        <v>31</v>
      </c>
      <c r="E2341" s="26">
        <v>42563.74652777778</v>
      </c>
      <c r="F2341" s="19">
        <f>IFERROR(__xludf.DUMMYFUNCTION("IFERROR(TO_DATE(E2341), """")"),42563.74652777778)</f>
        <v>42563.74653</v>
      </c>
      <c r="G2341" s="20">
        <f t="shared" si="1"/>
        <v>17</v>
      </c>
      <c r="H2341" s="26">
        <v>42563.77361111111</v>
      </c>
      <c r="I2341" s="19">
        <f>IFERROR(__xludf.DUMMYFUNCTION("IFERROR(TO_DATE(H2341), """")"),42563.77361111111)</f>
        <v>42563.77361</v>
      </c>
      <c r="J2341" s="19" t="s">
        <v>12</v>
      </c>
      <c r="K2341" s="22">
        <f t="shared" si="2"/>
        <v>0</v>
      </c>
    </row>
    <row r="2342">
      <c r="A2342" s="18">
        <v>2382.0</v>
      </c>
      <c r="B2342" s="18" t="s">
        <v>30</v>
      </c>
      <c r="C2342" s="18">
        <v>245.0</v>
      </c>
      <c r="D2342" s="18" t="s">
        <v>31</v>
      </c>
      <c r="E2342" s="26">
        <v>42563.82013888889</v>
      </c>
      <c r="F2342" s="19">
        <f>IFERROR(__xludf.DUMMYFUNCTION("IFERROR(TO_DATE(E2342), """")"),42563.82013888889)</f>
        <v>42563.82014</v>
      </c>
      <c r="G2342" s="20">
        <f t="shared" si="1"/>
        <v>19</v>
      </c>
      <c r="H2342" s="26">
        <v>42563.86111111111</v>
      </c>
      <c r="I2342" s="19">
        <f>IFERROR(__xludf.DUMMYFUNCTION("IFERROR(TO_DATE(H2342), """")"),42563.86111111111)</f>
        <v>42563.86111</v>
      </c>
      <c r="J2342" s="19" t="s">
        <v>12</v>
      </c>
      <c r="K2342" s="22">
        <f t="shared" si="2"/>
        <v>0</v>
      </c>
    </row>
    <row r="2343">
      <c r="A2343" s="18">
        <v>2957.0</v>
      </c>
      <c r="B2343" s="18" t="s">
        <v>32</v>
      </c>
      <c r="C2343" s="18">
        <v>245.0</v>
      </c>
      <c r="D2343" s="18" t="s">
        <v>31</v>
      </c>
      <c r="E2343" s="27">
        <v>42564.27931712963</v>
      </c>
      <c r="F2343" s="19">
        <f>IFERROR(__xludf.DUMMYFUNCTION("IFERROR(TO_DATE(E2343), """")"),42564.27931712963)</f>
        <v>42564.27932</v>
      </c>
      <c r="G2343" s="20">
        <f t="shared" si="1"/>
        <v>6</v>
      </c>
      <c r="H2343" s="27">
        <v>42564.30409722222</v>
      </c>
      <c r="I2343" s="19">
        <f>IFERROR(__xludf.DUMMYFUNCTION("IFERROR(TO_DATE(H2343), """")"),42564.30409722222)</f>
        <v>42564.3041</v>
      </c>
      <c r="J2343" s="19" t="s">
        <v>11</v>
      </c>
      <c r="K2343" s="22">
        <f t="shared" si="2"/>
        <v>0</v>
      </c>
    </row>
    <row r="2344">
      <c r="A2344" s="18">
        <v>4626.0</v>
      </c>
      <c r="B2344" s="18" t="s">
        <v>32</v>
      </c>
      <c r="C2344" s="18">
        <v>245.0</v>
      </c>
      <c r="D2344" s="18" t="s">
        <v>31</v>
      </c>
      <c r="E2344" s="27">
        <v>42565.46542824074</v>
      </c>
      <c r="F2344" s="19">
        <f>IFERROR(__xludf.DUMMYFUNCTION("IFERROR(TO_DATE(E2344), """")"),42565.46542824074)</f>
        <v>42565.46543</v>
      </c>
      <c r="G2344" s="20">
        <f t="shared" si="1"/>
        <v>11</v>
      </c>
      <c r="H2344" s="27">
        <v>42565.51230324074</v>
      </c>
      <c r="I2344" s="19">
        <f>IFERROR(__xludf.DUMMYFUNCTION("IFERROR(TO_DATE(H2344), """")"),42565.51230324074)</f>
        <v>42565.5123</v>
      </c>
      <c r="J2344" s="19" t="s">
        <v>14</v>
      </c>
      <c r="K2344" s="22">
        <f t="shared" si="2"/>
        <v>0</v>
      </c>
    </row>
    <row r="2345">
      <c r="A2345" s="18">
        <v>5392.0</v>
      </c>
      <c r="B2345" s="18" t="s">
        <v>32</v>
      </c>
      <c r="C2345" s="18">
        <v>245.0</v>
      </c>
      <c r="D2345" s="18" t="s">
        <v>31</v>
      </c>
      <c r="E2345" s="27">
        <v>42566.0203125</v>
      </c>
      <c r="F2345" s="19">
        <f>IFERROR(__xludf.DUMMYFUNCTION("IFERROR(TO_DATE(E2345), """")"),42566.0203125)</f>
        <v>42566.02031</v>
      </c>
      <c r="G2345" s="20">
        <f t="shared" si="1"/>
        <v>0</v>
      </c>
      <c r="H2345" s="27">
        <v>42566.04709490741</v>
      </c>
      <c r="I2345" s="19">
        <f>IFERROR(__xludf.DUMMYFUNCTION("IFERROR(TO_DATE(H2345), """")"),42566.04709490741)</f>
        <v>42566.04709</v>
      </c>
      <c r="J2345" s="19" t="s">
        <v>15</v>
      </c>
      <c r="K2345" s="22">
        <f t="shared" si="2"/>
        <v>0</v>
      </c>
    </row>
    <row r="2346">
      <c r="A2346" s="18">
        <v>6114.0</v>
      </c>
      <c r="B2346" s="18" t="s">
        <v>32</v>
      </c>
      <c r="C2346" s="18">
        <v>245.0</v>
      </c>
      <c r="D2346" s="18" t="s">
        <v>31</v>
      </c>
      <c r="E2346" s="27">
        <v>42566.634097222224</v>
      </c>
      <c r="F2346" s="19">
        <f>IFERROR(__xludf.DUMMYFUNCTION("IFERROR(TO_DATE(E2346), """")"),42566.634097222224)</f>
        <v>42566.6341</v>
      </c>
      <c r="G2346" s="20">
        <f t="shared" si="1"/>
        <v>15</v>
      </c>
      <c r="H2346" s="27">
        <v>42566.67386574074</v>
      </c>
      <c r="I2346" s="19">
        <f>IFERROR(__xludf.DUMMYFUNCTION("IFERROR(TO_DATE(H2346), """")"),42566.67386574074)</f>
        <v>42566.67387</v>
      </c>
      <c r="J2346" s="19" t="s">
        <v>10</v>
      </c>
      <c r="K2346" s="22">
        <f t="shared" si="2"/>
        <v>0</v>
      </c>
    </row>
    <row r="2347">
      <c r="A2347" s="18">
        <v>481.0</v>
      </c>
      <c r="B2347" s="18" t="s">
        <v>32</v>
      </c>
      <c r="C2347" s="18">
        <v>246.0</v>
      </c>
      <c r="D2347" s="18" t="s">
        <v>31</v>
      </c>
      <c r="E2347" s="26">
        <v>42562.39375</v>
      </c>
      <c r="F2347" s="19">
        <f>IFERROR(__xludf.DUMMYFUNCTION("IFERROR(TO_DATE(E2347), """")"),42562.39375)</f>
        <v>42562.39375</v>
      </c>
      <c r="G2347" s="20">
        <f t="shared" si="1"/>
        <v>9</v>
      </c>
      <c r="H2347" s="26">
        <v>42562.42083333333</v>
      </c>
      <c r="I2347" s="19">
        <f>IFERROR(__xludf.DUMMYFUNCTION("IFERROR(TO_DATE(H2347), """")"),42562.42083333333)</f>
        <v>42562.42083</v>
      </c>
      <c r="J2347" s="19" t="s">
        <v>14</v>
      </c>
      <c r="K2347" s="22">
        <f t="shared" si="2"/>
        <v>0</v>
      </c>
    </row>
    <row r="2348">
      <c r="A2348" s="18">
        <v>739.0</v>
      </c>
      <c r="B2348" s="18" t="s">
        <v>30</v>
      </c>
      <c r="C2348" s="18">
        <v>246.0</v>
      </c>
      <c r="D2348" s="18" t="s">
        <v>31</v>
      </c>
      <c r="E2348" s="26">
        <v>42562.65</v>
      </c>
      <c r="F2348" s="19">
        <f>IFERROR(__xludf.DUMMYFUNCTION("IFERROR(TO_DATE(E2348), """")"),42562.65)</f>
        <v>42562.65</v>
      </c>
      <c r="G2348" s="20">
        <f t="shared" si="1"/>
        <v>15</v>
      </c>
      <c r="H2348" s="26">
        <v>42562.680555555555</v>
      </c>
      <c r="I2348" s="19">
        <f>IFERROR(__xludf.DUMMYFUNCTION("IFERROR(TO_DATE(H2348), """")"),42562.680555555555)</f>
        <v>42562.68056</v>
      </c>
      <c r="J2348" s="19" t="s">
        <v>10</v>
      </c>
      <c r="K2348" s="22">
        <f t="shared" si="2"/>
        <v>0</v>
      </c>
    </row>
    <row r="2349">
      <c r="A2349" s="18">
        <v>834.0</v>
      </c>
      <c r="B2349" s="18" t="s">
        <v>32</v>
      </c>
      <c r="C2349" s="18">
        <v>246.0</v>
      </c>
      <c r="D2349" s="18" t="s">
        <v>31</v>
      </c>
      <c r="E2349" s="26">
        <v>42562.73611111111</v>
      </c>
      <c r="F2349" s="19">
        <f>IFERROR(__xludf.DUMMYFUNCTION("IFERROR(TO_DATE(E2349), """")"),42562.73611111111)</f>
        <v>42562.73611</v>
      </c>
      <c r="G2349" s="20">
        <f t="shared" si="1"/>
        <v>17</v>
      </c>
      <c r="H2349" s="26">
        <v>42562.75625</v>
      </c>
      <c r="I2349" s="19">
        <f>IFERROR(__xludf.DUMMYFUNCTION("IFERROR(TO_DATE(H2349), """")"),42562.75625)</f>
        <v>42562.75625</v>
      </c>
      <c r="J2349" s="19" t="s">
        <v>12</v>
      </c>
      <c r="K2349" s="22">
        <f t="shared" si="2"/>
        <v>0</v>
      </c>
    </row>
    <row r="2350">
      <c r="A2350" s="18">
        <v>1175.0</v>
      </c>
      <c r="B2350" s="18" t="s">
        <v>32</v>
      </c>
      <c r="C2350" s="18">
        <v>246.0</v>
      </c>
      <c r="D2350" s="18" t="s">
        <v>31</v>
      </c>
      <c r="E2350" s="26">
        <v>42562.87291666667</v>
      </c>
      <c r="F2350" s="19">
        <f>IFERROR(__xludf.DUMMYFUNCTION("IFERROR(TO_DATE(E2350), """")"),42562.87291666667)</f>
        <v>42562.87292</v>
      </c>
      <c r="G2350" s="20">
        <f t="shared" si="1"/>
        <v>20</v>
      </c>
      <c r="H2350" s="26">
        <v>42562.92013888889</v>
      </c>
      <c r="I2350" s="19">
        <f>IFERROR(__xludf.DUMMYFUNCTION("IFERROR(TO_DATE(H2350), """")"),42562.92013888889)</f>
        <v>42562.92014</v>
      </c>
      <c r="J2350" s="19" t="s">
        <v>13</v>
      </c>
      <c r="K2350" s="22">
        <f t="shared" si="2"/>
        <v>0</v>
      </c>
    </row>
    <row r="2351">
      <c r="A2351" s="18">
        <v>1425.0</v>
      </c>
      <c r="B2351" s="18" t="s">
        <v>30</v>
      </c>
      <c r="C2351" s="18">
        <v>246.0</v>
      </c>
      <c r="D2351" s="18" t="s">
        <v>31</v>
      </c>
      <c r="E2351" s="26">
        <v>42563.17986111111</v>
      </c>
      <c r="F2351" s="19">
        <f>IFERROR(__xludf.DUMMYFUNCTION("IFERROR(TO_DATE(E2351), """")"),42563.17986111111)</f>
        <v>42563.17986</v>
      </c>
      <c r="G2351" s="20">
        <f t="shared" si="1"/>
        <v>4</v>
      </c>
      <c r="H2351" s="26">
        <v>42563.231944444444</v>
      </c>
      <c r="I2351" s="19">
        <f>IFERROR(__xludf.DUMMYFUNCTION("IFERROR(TO_DATE(H2351), """")"),42563.231944444444)</f>
        <v>42563.23194</v>
      </c>
      <c r="J2351" s="19" t="s">
        <v>11</v>
      </c>
      <c r="K2351" s="22">
        <f t="shared" si="2"/>
        <v>0</v>
      </c>
    </row>
    <row r="2352">
      <c r="A2352" s="18">
        <v>2327.0</v>
      </c>
      <c r="B2352" s="18" t="s">
        <v>32</v>
      </c>
      <c r="C2352" s="18">
        <v>246.0</v>
      </c>
      <c r="D2352" s="18" t="s">
        <v>31</v>
      </c>
      <c r="E2352" s="26">
        <v>42563.79791666667</v>
      </c>
      <c r="F2352" s="19">
        <f>IFERROR(__xludf.DUMMYFUNCTION("IFERROR(TO_DATE(E2352), """")"),42563.79791666667)</f>
        <v>42563.79792</v>
      </c>
      <c r="G2352" s="20">
        <f t="shared" si="1"/>
        <v>19</v>
      </c>
      <c r="H2352" s="26">
        <v>42563.842361111114</v>
      </c>
      <c r="I2352" s="19">
        <f>IFERROR(__xludf.DUMMYFUNCTION("IFERROR(TO_DATE(H2352), """")"),42563.842361111114)</f>
        <v>42563.84236</v>
      </c>
      <c r="J2352" s="19" t="s">
        <v>12</v>
      </c>
      <c r="K2352" s="22">
        <f t="shared" si="2"/>
        <v>0</v>
      </c>
    </row>
    <row r="2353">
      <c r="A2353" s="18">
        <v>2535.0</v>
      </c>
      <c r="B2353" s="18" t="s">
        <v>30</v>
      </c>
      <c r="C2353" s="18">
        <v>246.0</v>
      </c>
      <c r="D2353" s="18" t="s">
        <v>31</v>
      </c>
      <c r="E2353" s="26">
        <v>42563.8875</v>
      </c>
      <c r="F2353" s="19">
        <f>IFERROR(__xludf.DUMMYFUNCTION("IFERROR(TO_DATE(E2353), """")"),42563.8875)</f>
        <v>42563.8875</v>
      </c>
      <c r="G2353" s="20">
        <f t="shared" si="1"/>
        <v>21</v>
      </c>
      <c r="H2353" s="26">
        <v>42563.92569444444</v>
      </c>
      <c r="I2353" s="19">
        <f>IFERROR(__xludf.DUMMYFUNCTION("IFERROR(TO_DATE(H2353), """")"),42563.92569444444)</f>
        <v>42563.92569</v>
      </c>
      <c r="J2353" s="19" t="s">
        <v>13</v>
      </c>
      <c r="K2353" s="22">
        <f t="shared" si="2"/>
        <v>0</v>
      </c>
    </row>
    <row r="2354">
      <c r="A2354" s="18">
        <v>2963.0</v>
      </c>
      <c r="B2354" s="18" t="s">
        <v>30</v>
      </c>
      <c r="C2354" s="18">
        <v>246.0</v>
      </c>
      <c r="D2354" s="18" t="s">
        <v>31</v>
      </c>
      <c r="E2354" s="27">
        <v>42564.28203703704</v>
      </c>
      <c r="F2354" s="19">
        <f>IFERROR(__xludf.DUMMYFUNCTION("IFERROR(TO_DATE(E2354), """")"),42564.28203703704)</f>
        <v>42564.28204</v>
      </c>
      <c r="G2354" s="20">
        <f t="shared" si="1"/>
        <v>6</v>
      </c>
      <c r="H2354" s="27">
        <v>42564.32486111111</v>
      </c>
      <c r="I2354" s="19">
        <f>IFERROR(__xludf.DUMMYFUNCTION("IFERROR(TO_DATE(H2354), """")"),42564.32486111111)</f>
        <v>42564.32486</v>
      </c>
      <c r="J2354" s="19" t="s">
        <v>11</v>
      </c>
      <c r="K2354" s="22">
        <f t="shared" si="2"/>
        <v>0</v>
      </c>
    </row>
    <row r="2355">
      <c r="A2355" s="18">
        <v>4535.0</v>
      </c>
      <c r="B2355" s="18" t="s">
        <v>32</v>
      </c>
      <c r="C2355" s="18">
        <v>246.0</v>
      </c>
      <c r="D2355" s="18" t="s">
        <v>31</v>
      </c>
      <c r="E2355" s="27">
        <v>42565.400729166664</v>
      </c>
      <c r="F2355" s="19">
        <f>IFERROR(__xludf.DUMMYFUNCTION("IFERROR(TO_DATE(E2355), """")"),42565.400729166664)</f>
        <v>42565.40073</v>
      </c>
      <c r="G2355" s="20">
        <f t="shared" si="1"/>
        <v>9</v>
      </c>
      <c r="H2355" s="27">
        <v>42565.42895833333</v>
      </c>
      <c r="I2355" s="19">
        <f>IFERROR(__xludf.DUMMYFUNCTION("IFERROR(TO_DATE(H2355), """")"),42565.42895833333)</f>
        <v>42565.42896</v>
      </c>
      <c r="J2355" s="19" t="s">
        <v>14</v>
      </c>
      <c r="K2355" s="22">
        <f t="shared" si="2"/>
        <v>0</v>
      </c>
    </row>
    <row r="2356">
      <c r="A2356" s="18">
        <v>5284.0</v>
      </c>
      <c r="B2356" s="18" t="s">
        <v>32</v>
      </c>
      <c r="C2356" s="18">
        <v>246.0</v>
      </c>
      <c r="D2356" s="18" t="s">
        <v>31</v>
      </c>
      <c r="E2356" s="27">
        <v>42565.903958333336</v>
      </c>
      <c r="F2356" s="19">
        <f>IFERROR(__xludf.DUMMYFUNCTION("IFERROR(TO_DATE(E2356), """")"),42565.903958333336)</f>
        <v>42565.90396</v>
      </c>
      <c r="G2356" s="20">
        <f t="shared" si="1"/>
        <v>21</v>
      </c>
      <c r="H2356" s="27">
        <v>42565.94831018519</v>
      </c>
      <c r="I2356" s="19">
        <f>IFERROR(__xludf.DUMMYFUNCTION("IFERROR(TO_DATE(H2356), """")"),42565.94831018519)</f>
        <v>42565.94831</v>
      </c>
      <c r="J2356" s="19" t="s">
        <v>13</v>
      </c>
      <c r="K2356" s="22">
        <f t="shared" si="2"/>
        <v>0</v>
      </c>
    </row>
    <row r="2357">
      <c r="A2357" s="18">
        <v>6491.0</v>
      </c>
      <c r="B2357" s="18" t="s">
        <v>32</v>
      </c>
      <c r="C2357" s="18">
        <v>246.0</v>
      </c>
      <c r="D2357" s="18" t="s">
        <v>31</v>
      </c>
      <c r="E2357" s="27">
        <v>42566.85631944444</v>
      </c>
      <c r="F2357" s="19">
        <f>IFERROR(__xludf.DUMMYFUNCTION("IFERROR(TO_DATE(E2357), """")"),42566.85631944444)</f>
        <v>42566.85632</v>
      </c>
      <c r="G2357" s="20">
        <f t="shared" si="1"/>
        <v>20</v>
      </c>
      <c r="H2357" s="27">
        <v>42566.87773148148</v>
      </c>
      <c r="I2357" s="19">
        <f>IFERROR(__xludf.DUMMYFUNCTION("IFERROR(TO_DATE(H2357), """")"),42566.87773148148)</f>
        <v>42566.87773</v>
      </c>
      <c r="J2357" s="19" t="s">
        <v>13</v>
      </c>
      <c r="K2357" s="22">
        <f t="shared" si="2"/>
        <v>0</v>
      </c>
    </row>
    <row r="2358">
      <c r="A2358" s="18">
        <v>222.0</v>
      </c>
      <c r="B2358" s="18" t="s">
        <v>30</v>
      </c>
      <c r="C2358" s="18">
        <v>247.0</v>
      </c>
      <c r="D2358" s="18" t="s">
        <v>31</v>
      </c>
      <c r="E2358" s="26">
        <v>42562.26388888889</v>
      </c>
      <c r="F2358" s="19">
        <f>IFERROR(__xludf.DUMMYFUNCTION("IFERROR(TO_DATE(E2358), """")"),42562.26388888889)</f>
        <v>42562.26389</v>
      </c>
      <c r="G2358" s="20">
        <f t="shared" si="1"/>
        <v>6</v>
      </c>
      <c r="H2358" s="26">
        <v>42562.29861111111</v>
      </c>
      <c r="I2358" s="19">
        <f>IFERROR(__xludf.DUMMYFUNCTION("IFERROR(TO_DATE(H2358), """")"),42562.29861111111)</f>
        <v>42562.29861</v>
      </c>
      <c r="J2358" s="19" t="s">
        <v>11</v>
      </c>
      <c r="K2358" s="22">
        <f t="shared" si="2"/>
        <v>0</v>
      </c>
    </row>
    <row r="2359">
      <c r="A2359" s="18">
        <v>720.0</v>
      </c>
      <c r="B2359" s="18" t="s">
        <v>30</v>
      </c>
      <c r="C2359" s="18">
        <v>247.0</v>
      </c>
      <c r="D2359" s="18" t="s">
        <v>31</v>
      </c>
      <c r="E2359" s="26">
        <v>42562.61875</v>
      </c>
      <c r="F2359" s="19">
        <f>IFERROR(__xludf.DUMMYFUNCTION("IFERROR(TO_DATE(E2359), """")"),42562.61875)</f>
        <v>42562.61875</v>
      </c>
      <c r="G2359" s="20">
        <f t="shared" si="1"/>
        <v>14</v>
      </c>
      <c r="H2359" s="26">
        <v>42562.649305555555</v>
      </c>
      <c r="I2359" s="19">
        <f>IFERROR(__xludf.DUMMYFUNCTION("IFERROR(TO_DATE(H2359), """")"),42562.649305555555)</f>
        <v>42562.64931</v>
      </c>
      <c r="J2359" s="19" t="s">
        <v>10</v>
      </c>
      <c r="K2359" s="22">
        <f t="shared" si="2"/>
        <v>0</v>
      </c>
    </row>
    <row r="2360">
      <c r="A2360" s="18">
        <v>1573.0</v>
      </c>
      <c r="B2360" s="18" t="s">
        <v>30</v>
      </c>
      <c r="C2360" s="18">
        <v>247.0</v>
      </c>
      <c r="D2360" s="18" t="s">
        <v>31</v>
      </c>
      <c r="E2360" s="26">
        <v>42563.26875</v>
      </c>
      <c r="F2360" s="19">
        <f>IFERROR(__xludf.DUMMYFUNCTION("IFERROR(TO_DATE(E2360), """")"),42563.26875)</f>
        <v>42563.26875</v>
      </c>
      <c r="G2360" s="20">
        <f t="shared" si="1"/>
        <v>6</v>
      </c>
      <c r="H2360" s="26">
        <v>42563.31180555555</v>
      </c>
      <c r="I2360" s="19">
        <f>IFERROR(__xludf.DUMMYFUNCTION("IFERROR(TO_DATE(H2360), """")"),42563.31180555555)</f>
        <v>42563.31181</v>
      </c>
      <c r="J2360" s="19" t="s">
        <v>11</v>
      </c>
      <c r="K2360" s="22">
        <f t="shared" si="2"/>
        <v>0</v>
      </c>
    </row>
    <row r="2361">
      <c r="A2361" s="18">
        <v>2070.0</v>
      </c>
      <c r="B2361" s="18" t="s">
        <v>30</v>
      </c>
      <c r="C2361" s="18">
        <v>247.0</v>
      </c>
      <c r="D2361" s="18" t="s">
        <v>31</v>
      </c>
      <c r="E2361" s="26">
        <v>42563.6375</v>
      </c>
      <c r="F2361" s="19">
        <f>IFERROR(__xludf.DUMMYFUNCTION("IFERROR(TO_DATE(E2361), """")"),42563.6375)</f>
        <v>42563.6375</v>
      </c>
      <c r="G2361" s="20">
        <f t="shared" si="1"/>
        <v>15</v>
      </c>
      <c r="H2361" s="26">
        <v>42563.67222222222</v>
      </c>
      <c r="I2361" s="19">
        <f>IFERROR(__xludf.DUMMYFUNCTION("IFERROR(TO_DATE(H2361), """")"),42563.67222222222)</f>
        <v>42563.67222</v>
      </c>
      <c r="J2361" s="19" t="s">
        <v>10</v>
      </c>
      <c r="K2361" s="22">
        <f t="shared" si="2"/>
        <v>0</v>
      </c>
    </row>
    <row r="2362">
      <c r="A2362" s="18">
        <v>3276.0</v>
      </c>
      <c r="B2362" s="18" t="s">
        <v>30</v>
      </c>
      <c r="C2362" s="18">
        <v>247.0</v>
      </c>
      <c r="D2362" s="18" t="s">
        <v>31</v>
      </c>
      <c r="E2362" s="27">
        <v>42564.44635416667</v>
      </c>
      <c r="F2362" s="19">
        <f>IFERROR(__xludf.DUMMYFUNCTION("IFERROR(TO_DATE(E2362), """")"),42564.44635416667)</f>
        <v>42564.44635</v>
      </c>
      <c r="G2362" s="20">
        <f t="shared" si="1"/>
        <v>10</v>
      </c>
      <c r="H2362" s="27">
        <v>42564.462326388886</v>
      </c>
      <c r="I2362" s="19">
        <f>IFERROR(__xludf.DUMMYFUNCTION("IFERROR(TO_DATE(H2362), """")"),42564.462326388886)</f>
        <v>42564.46233</v>
      </c>
      <c r="J2362" s="19" t="s">
        <v>14</v>
      </c>
      <c r="K2362" s="22">
        <f t="shared" si="2"/>
        <v>0</v>
      </c>
    </row>
    <row r="2363">
      <c r="A2363" s="18">
        <v>3795.0</v>
      </c>
      <c r="B2363" s="18" t="s">
        <v>32</v>
      </c>
      <c r="C2363" s="18">
        <v>247.0</v>
      </c>
      <c r="D2363" s="18" t="s">
        <v>31</v>
      </c>
      <c r="E2363" s="27">
        <v>42564.86833333333</v>
      </c>
      <c r="F2363" s="19">
        <f>IFERROR(__xludf.DUMMYFUNCTION("IFERROR(TO_DATE(E2363), """")"),42564.86833333333)</f>
        <v>42564.86833</v>
      </c>
      <c r="G2363" s="20">
        <f t="shared" si="1"/>
        <v>20</v>
      </c>
      <c r="H2363" s="27">
        <v>42564.89407407407</v>
      </c>
      <c r="I2363" s="19">
        <f>IFERROR(__xludf.DUMMYFUNCTION("IFERROR(TO_DATE(H2363), """")"),42564.89407407407)</f>
        <v>42564.89407</v>
      </c>
      <c r="J2363" s="19" t="s">
        <v>13</v>
      </c>
      <c r="K2363" s="22">
        <f t="shared" si="2"/>
        <v>0</v>
      </c>
    </row>
    <row r="2364">
      <c r="A2364" s="18">
        <v>4615.0</v>
      </c>
      <c r="B2364" s="18" t="s">
        <v>32</v>
      </c>
      <c r="C2364" s="18">
        <v>247.0</v>
      </c>
      <c r="D2364" s="18" t="s">
        <v>31</v>
      </c>
      <c r="E2364" s="27">
        <v>42565.452627314815</v>
      </c>
      <c r="F2364" s="19">
        <f>IFERROR(__xludf.DUMMYFUNCTION("IFERROR(TO_DATE(E2364), """")"),42565.452627314815)</f>
        <v>42565.45263</v>
      </c>
      <c r="G2364" s="20">
        <f t="shared" si="1"/>
        <v>10</v>
      </c>
      <c r="H2364" s="27">
        <v>42565.50277777778</v>
      </c>
      <c r="I2364" s="19">
        <f>IFERROR(__xludf.DUMMYFUNCTION("IFERROR(TO_DATE(H2364), """")"),42565.50277777778)</f>
        <v>42565.50278</v>
      </c>
      <c r="J2364" s="19" t="s">
        <v>14</v>
      </c>
      <c r="K2364" s="22">
        <f t="shared" si="2"/>
        <v>0</v>
      </c>
    </row>
    <row r="2365">
      <c r="A2365" s="18">
        <v>6301.0</v>
      </c>
      <c r="B2365" s="18" t="s">
        <v>32</v>
      </c>
      <c r="C2365" s="18">
        <v>247.0</v>
      </c>
      <c r="D2365" s="18" t="s">
        <v>31</v>
      </c>
      <c r="E2365" s="27">
        <v>42566.76597222222</v>
      </c>
      <c r="F2365" s="19">
        <f>IFERROR(__xludf.DUMMYFUNCTION("IFERROR(TO_DATE(E2365), """")"),42566.76597222222)</f>
        <v>42566.76597</v>
      </c>
      <c r="G2365" s="20">
        <f t="shared" si="1"/>
        <v>18</v>
      </c>
      <c r="H2365" s="27">
        <v>42566.808912037035</v>
      </c>
      <c r="I2365" s="19">
        <f>IFERROR(__xludf.DUMMYFUNCTION("IFERROR(TO_DATE(H2365), """")"),42566.808912037035)</f>
        <v>42566.80891</v>
      </c>
      <c r="J2365" s="19" t="s">
        <v>12</v>
      </c>
      <c r="K2365" s="22">
        <f t="shared" si="2"/>
        <v>0</v>
      </c>
    </row>
    <row r="2366">
      <c r="A2366" s="18">
        <v>338.0</v>
      </c>
      <c r="B2366" s="18" t="s">
        <v>32</v>
      </c>
      <c r="C2366" s="18">
        <v>248.0</v>
      </c>
      <c r="D2366" s="18" t="s">
        <v>31</v>
      </c>
      <c r="E2366" s="26">
        <v>42562.32638888889</v>
      </c>
      <c r="F2366" s="19">
        <f>IFERROR(__xludf.DUMMYFUNCTION("IFERROR(TO_DATE(E2366), """")"),42562.32638888889)</f>
        <v>42562.32639</v>
      </c>
      <c r="G2366" s="20">
        <f t="shared" si="1"/>
        <v>7</v>
      </c>
      <c r="H2366" s="26">
        <v>42562.37152777778</v>
      </c>
      <c r="I2366" s="19">
        <f>IFERROR(__xludf.DUMMYFUNCTION("IFERROR(TO_DATE(H2366), """")"),42562.37152777778)</f>
        <v>42562.37153</v>
      </c>
      <c r="J2366" s="19" t="s">
        <v>11</v>
      </c>
      <c r="K2366" s="22">
        <f t="shared" si="2"/>
        <v>0</v>
      </c>
    </row>
    <row r="2367">
      <c r="A2367" s="18">
        <v>661.0</v>
      </c>
      <c r="B2367" s="18" t="s">
        <v>30</v>
      </c>
      <c r="C2367" s="18">
        <v>248.0</v>
      </c>
      <c r="D2367" s="18" t="s">
        <v>31</v>
      </c>
      <c r="E2367" s="26">
        <v>42562.5375</v>
      </c>
      <c r="F2367" s="19">
        <f>IFERROR(__xludf.DUMMYFUNCTION("IFERROR(TO_DATE(E2367), """")"),42562.5375)</f>
        <v>42562.5375</v>
      </c>
      <c r="G2367" s="20">
        <f t="shared" si="1"/>
        <v>12</v>
      </c>
      <c r="H2367" s="26">
        <v>42562.59027777778</v>
      </c>
      <c r="I2367" s="19">
        <f>IFERROR(__xludf.DUMMYFUNCTION("IFERROR(TO_DATE(H2367), """")"),42562.59027777778)</f>
        <v>42562.59028</v>
      </c>
      <c r="J2367" s="19" t="s">
        <v>10</v>
      </c>
      <c r="K2367" s="22">
        <f t="shared" si="2"/>
        <v>0</v>
      </c>
    </row>
    <row r="2368">
      <c r="A2368" s="18">
        <v>1187.0</v>
      </c>
      <c r="B2368" s="18" t="s">
        <v>30</v>
      </c>
      <c r="C2368" s="18">
        <v>248.0</v>
      </c>
      <c r="D2368" s="18" t="s">
        <v>31</v>
      </c>
      <c r="E2368" s="26">
        <v>42562.881944444445</v>
      </c>
      <c r="F2368" s="19">
        <f>IFERROR(__xludf.DUMMYFUNCTION("IFERROR(TO_DATE(E2368), """")"),42562.881944444445)</f>
        <v>42562.88194</v>
      </c>
      <c r="G2368" s="20">
        <f t="shared" si="1"/>
        <v>21</v>
      </c>
      <c r="H2368" s="26">
        <v>42562.91180555556</v>
      </c>
      <c r="I2368" s="19">
        <f>IFERROR(__xludf.DUMMYFUNCTION("IFERROR(TO_DATE(H2368), """")"),42562.91180555556)</f>
        <v>42562.91181</v>
      </c>
      <c r="J2368" s="19" t="s">
        <v>13</v>
      </c>
      <c r="K2368" s="22">
        <f t="shared" si="2"/>
        <v>0</v>
      </c>
    </row>
    <row r="2369">
      <c r="A2369" s="18">
        <v>1510.0</v>
      </c>
      <c r="B2369" s="18" t="s">
        <v>30</v>
      </c>
      <c r="C2369" s="18">
        <v>248.0</v>
      </c>
      <c r="D2369" s="18" t="s">
        <v>31</v>
      </c>
      <c r="E2369" s="26">
        <v>42563.2375</v>
      </c>
      <c r="F2369" s="19">
        <f>IFERROR(__xludf.DUMMYFUNCTION("IFERROR(TO_DATE(E2369), """")"),42563.2375)</f>
        <v>42563.2375</v>
      </c>
      <c r="G2369" s="20">
        <f t="shared" si="1"/>
        <v>5</v>
      </c>
      <c r="H2369" s="26">
        <v>42563.26527777778</v>
      </c>
      <c r="I2369" s="19">
        <f>IFERROR(__xludf.DUMMYFUNCTION("IFERROR(TO_DATE(H2369), """")"),42563.26527777778)</f>
        <v>42563.26528</v>
      </c>
      <c r="J2369" s="19" t="s">
        <v>11</v>
      </c>
      <c r="K2369" s="22">
        <f t="shared" si="2"/>
        <v>0</v>
      </c>
    </row>
    <row r="2370">
      <c r="A2370" s="18">
        <v>1645.0</v>
      </c>
      <c r="B2370" s="18" t="s">
        <v>32</v>
      </c>
      <c r="C2370" s="18">
        <v>248.0</v>
      </c>
      <c r="D2370" s="18" t="s">
        <v>31</v>
      </c>
      <c r="E2370" s="26">
        <v>42563.30347222222</v>
      </c>
      <c r="F2370" s="19">
        <f>IFERROR(__xludf.DUMMYFUNCTION("IFERROR(TO_DATE(E2370), """")"),42563.30347222222)</f>
        <v>42563.30347</v>
      </c>
      <c r="G2370" s="20">
        <f t="shared" si="1"/>
        <v>7</v>
      </c>
      <c r="H2370" s="26">
        <v>42563.354166666664</v>
      </c>
      <c r="I2370" s="19">
        <f>IFERROR(__xludf.DUMMYFUNCTION("IFERROR(TO_DATE(H2370), """")"),42563.354166666664)</f>
        <v>42563.35417</v>
      </c>
      <c r="J2370" s="19" t="s">
        <v>11</v>
      </c>
      <c r="K2370" s="22">
        <f t="shared" si="2"/>
        <v>0</v>
      </c>
    </row>
    <row r="2371">
      <c r="A2371" s="18">
        <v>2356.0</v>
      </c>
      <c r="B2371" s="18" t="s">
        <v>32</v>
      </c>
      <c r="C2371" s="18">
        <v>248.0</v>
      </c>
      <c r="D2371" s="18" t="s">
        <v>31</v>
      </c>
      <c r="E2371" s="26">
        <v>42563.81458333333</v>
      </c>
      <c r="F2371" s="19">
        <f>IFERROR(__xludf.DUMMYFUNCTION("IFERROR(TO_DATE(E2371), """")"),42563.81458333333)</f>
        <v>42563.81458</v>
      </c>
      <c r="G2371" s="20">
        <f t="shared" si="1"/>
        <v>19</v>
      </c>
      <c r="H2371" s="26">
        <v>42563.83472222222</v>
      </c>
      <c r="I2371" s="19">
        <f>IFERROR(__xludf.DUMMYFUNCTION("IFERROR(TO_DATE(H2371), """")"),42563.83472222222)</f>
        <v>42563.83472</v>
      </c>
      <c r="J2371" s="19" t="s">
        <v>12</v>
      </c>
      <c r="K2371" s="22">
        <f t="shared" si="2"/>
        <v>0</v>
      </c>
    </row>
    <row r="2372">
      <c r="A2372" s="18">
        <v>3306.0</v>
      </c>
      <c r="B2372" s="18" t="s">
        <v>32</v>
      </c>
      <c r="C2372" s="18">
        <v>248.0</v>
      </c>
      <c r="D2372" s="18" t="s">
        <v>31</v>
      </c>
      <c r="E2372" s="27">
        <v>42564.49579861111</v>
      </c>
      <c r="F2372" s="19">
        <f>IFERROR(__xludf.DUMMYFUNCTION("IFERROR(TO_DATE(E2372), """")"),42564.49579861111)</f>
        <v>42564.4958</v>
      </c>
      <c r="G2372" s="20">
        <f t="shared" si="1"/>
        <v>11</v>
      </c>
      <c r="H2372" s="27">
        <v>42564.52605324074</v>
      </c>
      <c r="I2372" s="19">
        <f>IFERROR(__xludf.DUMMYFUNCTION("IFERROR(TO_DATE(H2372), """")"),42564.52605324074)</f>
        <v>42564.52605</v>
      </c>
      <c r="J2372" s="19" t="s">
        <v>14</v>
      </c>
      <c r="K2372" s="22">
        <f t="shared" si="2"/>
        <v>0</v>
      </c>
    </row>
    <row r="2373">
      <c r="A2373" s="18">
        <v>6700.0</v>
      </c>
      <c r="B2373" s="18" t="s">
        <v>32</v>
      </c>
      <c r="C2373" s="18">
        <v>248.0</v>
      </c>
      <c r="D2373" s="18" t="s">
        <v>31</v>
      </c>
      <c r="E2373" s="27">
        <v>42566.95130787037</v>
      </c>
      <c r="F2373" s="19">
        <f>IFERROR(__xludf.DUMMYFUNCTION("IFERROR(TO_DATE(E2373), """")"),42566.95130787037)</f>
        <v>42566.95131</v>
      </c>
      <c r="G2373" s="20">
        <f t="shared" si="1"/>
        <v>22</v>
      </c>
      <c r="H2373" s="27">
        <v>42567.00142361111</v>
      </c>
      <c r="I2373" s="19">
        <f>IFERROR(__xludf.DUMMYFUNCTION("IFERROR(TO_DATE(H2373), """")"),42567.00142361111)</f>
        <v>42567.00142</v>
      </c>
      <c r="J2373" s="19" t="s">
        <v>13</v>
      </c>
      <c r="K2373" s="22">
        <f t="shared" si="2"/>
        <v>0</v>
      </c>
    </row>
    <row r="2374">
      <c r="A2374" s="18">
        <v>198.0</v>
      </c>
      <c r="B2374" s="18" t="s">
        <v>30</v>
      </c>
      <c r="C2374" s="18">
        <v>249.0</v>
      </c>
      <c r="D2374" s="18" t="s">
        <v>31</v>
      </c>
      <c r="E2374" s="26">
        <v>42562.25208333333</v>
      </c>
      <c r="F2374" s="19">
        <f>IFERROR(__xludf.DUMMYFUNCTION("IFERROR(TO_DATE(E2374), """")"),42562.25208333333)</f>
        <v>42562.25208</v>
      </c>
      <c r="G2374" s="20">
        <f t="shared" si="1"/>
        <v>6</v>
      </c>
      <c r="H2374" s="26">
        <v>42562.28055555555</v>
      </c>
      <c r="I2374" s="19">
        <f>IFERROR(__xludf.DUMMYFUNCTION("IFERROR(TO_DATE(H2374), """")"),42562.28055555555)</f>
        <v>42562.28056</v>
      </c>
      <c r="J2374" s="19" t="s">
        <v>11</v>
      </c>
      <c r="K2374" s="22">
        <f t="shared" si="2"/>
        <v>0</v>
      </c>
    </row>
    <row r="2375">
      <c r="A2375" s="18">
        <v>513.0</v>
      </c>
      <c r="B2375" s="18" t="s">
        <v>30</v>
      </c>
      <c r="C2375" s="18">
        <v>249.0</v>
      </c>
      <c r="D2375" s="18" t="s">
        <v>31</v>
      </c>
      <c r="E2375" s="26">
        <v>42562.402083333334</v>
      </c>
      <c r="F2375" s="19">
        <f>IFERROR(__xludf.DUMMYFUNCTION("IFERROR(TO_DATE(E2375), """")"),42562.402083333334)</f>
        <v>42562.40208</v>
      </c>
      <c r="G2375" s="20">
        <f t="shared" si="1"/>
        <v>9</v>
      </c>
      <c r="H2375" s="26">
        <v>42562.45486111111</v>
      </c>
      <c r="I2375" s="19">
        <f>IFERROR(__xludf.DUMMYFUNCTION("IFERROR(TO_DATE(H2375), """")"),42562.45486111111)</f>
        <v>42562.45486</v>
      </c>
      <c r="J2375" s="19" t="s">
        <v>14</v>
      </c>
      <c r="K2375" s="22">
        <f t="shared" si="2"/>
        <v>0</v>
      </c>
    </row>
    <row r="2376">
      <c r="A2376" s="18">
        <v>727.0</v>
      </c>
      <c r="B2376" s="18" t="s">
        <v>30</v>
      </c>
      <c r="C2376" s="18">
        <v>249.0</v>
      </c>
      <c r="D2376" s="18" t="s">
        <v>31</v>
      </c>
      <c r="E2376" s="26">
        <v>42562.62986111111</v>
      </c>
      <c r="F2376" s="19">
        <f>IFERROR(__xludf.DUMMYFUNCTION("IFERROR(TO_DATE(E2376), """")"),42562.62986111111)</f>
        <v>42562.62986</v>
      </c>
      <c r="G2376" s="20">
        <f t="shared" si="1"/>
        <v>15</v>
      </c>
      <c r="H2376" s="26">
        <v>42562.68402777778</v>
      </c>
      <c r="I2376" s="19">
        <f>IFERROR(__xludf.DUMMYFUNCTION("IFERROR(TO_DATE(H2376), """")"),42562.68402777778)</f>
        <v>42562.68403</v>
      </c>
      <c r="J2376" s="19" t="s">
        <v>10</v>
      </c>
      <c r="K2376" s="22">
        <f t="shared" si="2"/>
        <v>0</v>
      </c>
    </row>
    <row r="2377">
      <c r="A2377" s="18">
        <v>1094.0</v>
      </c>
      <c r="B2377" s="18" t="s">
        <v>30</v>
      </c>
      <c r="C2377" s="18">
        <v>249.0</v>
      </c>
      <c r="D2377" s="18" t="s">
        <v>31</v>
      </c>
      <c r="E2377" s="26">
        <v>42562.84166666667</v>
      </c>
      <c r="F2377" s="19">
        <f>IFERROR(__xludf.DUMMYFUNCTION("IFERROR(TO_DATE(E2377), """")"),42562.84166666667)</f>
        <v>42562.84167</v>
      </c>
      <c r="G2377" s="20">
        <f t="shared" si="1"/>
        <v>20</v>
      </c>
      <c r="H2377" s="26">
        <v>42562.8875</v>
      </c>
      <c r="I2377" s="19">
        <f>IFERROR(__xludf.DUMMYFUNCTION("IFERROR(TO_DATE(H2377), """")"),42562.8875)</f>
        <v>42562.8875</v>
      </c>
      <c r="J2377" s="19" t="s">
        <v>13</v>
      </c>
      <c r="K2377" s="22">
        <f t="shared" si="2"/>
        <v>0</v>
      </c>
    </row>
    <row r="2378">
      <c r="A2378" s="18">
        <v>1508.0</v>
      </c>
      <c r="B2378" s="18" t="s">
        <v>30</v>
      </c>
      <c r="C2378" s="18">
        <v>249.0</v>
      </c>
      <c r="D2378" s="18" t="s">
        <v>31</v>
      </c>
      <c r="E2378" s="26">
        <v>42563.24166666667</v>
      </c>
      <c r="F2378" s="19">
        <f>IFERROR(__xludf.DUMMYFUNCTION("IFERROR(TO_DATE(E2378), """")"),42563.24166666667)</f>
        <v>42563.24167</v>
      </c>
      <c r="G2378" s="20">
        <f t="shared" si="1"/>
        <v>5</v>
      </c>
      <c r="H2378" s="26">
        <v>42563.27291666667</v>
      </c>
      <c r="I2378" s="19">
        <f>IFERROR(__xludf.DUMMYFUNCTION("IFERROR(TO_DATE(H2378), """")"),42563.27291666667)</f>
        <v>42563.27292</v>
      </c>
      <c r="J2378" s="19" t="s">
        <v>11</v>
      </c>
      <c r="K2378" s="22">
        <f t="shared" si="2"/>
        <v>0</v>
      </c>
    </row>
    <row r="2379">
      <c r="A2379" s="18">
        <v>2987.0</v>
      </c>
      <c r="B2379" s="18" t="s">
        <v>30</v>
      </c>
      <c r="C2379" s="18">
        <v>249.0</v>
      </c>
      <c r="D2379" s="18" t="s">
        <v>31</v>
      </c>
      <c r="E2379" s="27">
        <v>42564.294375</v>
      </c>
      <c r="F2379" s="19">
        <f>IFERROR(__xludf.DUMMYFUNCTION("IFERROR(TO_DATE(E2379), """")"),42564.294375)</f>
        <v>42564.29438</v>
      </c>
      <c r="G2379" s="20">
        <f t="shared" si="1"/>
        <v>7</v>
      </c>
      <c r="H2379" s="27">
        <v>42564.32232638889</v>
      </c>
      <c r="I2379" s="19">
        <f>IFERROR(__xludf.DUMMYFUNCTION("IFERROR(TO_DATE(H2379), """")"),42564.32232638889)</f>
        <v>42564.32233</v>
      </c>
      <c r="J2379" s="19" t="s">
        <v>11</v>
      </c>
      <c r="K2379" s="22">
        <f t="shared" si="2"/>
        <v>0</v>
      </c>
    </row>
    <row r="2380">
      <c r="A2380" s="18">
        <v>3485.0</v>
      </c>
      <c r="B2380" s="18" t="s">
        <v>32</v>
      </c>
      <c r="C2380" s="18">
        <v>249.0</v>
      </c>
      <c r="D2380" s="18" t="s">
        <v>31</v>
      </c>
      <c r="E2380" s="27">
        <v>42564.72846064815</v>
      </c>
      <c r="F2380" s="19">
        <f>IFERROR(__xludf.DUMMYFUNCTION("IFERROR(TO_DATE(E2380), """")"),42564.72846064815)</f>
        <v>42564.72846</v>
      </c>
      <c r="G2380" s="20">
        <f t="shared" si="1"/>
        <v>17</v>
      </c>
      <c r="H2380" s="27">
        <v>42564.759421296294</v>
      </c>
      <c r="I2380" s="19">
        <f>IFERROR(__xludf.DUMMYFUNCTION("IFERROR(TO_DATE(H2380), """")"),42564.759421296294)</f>
        <v>42564.75942</v>
      </c>
      <c r="J2380" s="19" t="s">
        <v>12</v>
      </c>
      <c r="K2380" s="22">
        <f t="shared" si="2"/>
        <v>0</v>
      </c>
    </row>
    <row r="2381">
      <c r="A2381" s="18">
        <v>4971.0</v>
      </c>
      <c r="B2381" s="18" t="s">
        <v>32</v>
      </c>
      <c r="C2381" s="18">
        <v>249.0</v>
      </c>
      <c r="D2381" s="18" t="s">
        <v>31</v>
      </c>
      <c r="E2381" s="27">
        <v>42565.778703703705</v>
      </c>
      <c r="F2381" s="19">
        <f>IFERROR(__xludf.DUMMYFUNCTION("IFERROR(TO_DATE(E2381), """")"),42565.778703703705)</f>
        <v>42565.7787</v>
      </c>
      <c r="G2381" s="20">
        <f t="shared" si="1"/>
        <v>18</v>
      </c>
      <c r="H2381" s="27">
        <v>42565.81836805555</v>
      </c>
      <c r="I2381" s="19">
        <f>IFERROR(__xludf.DUMMYFUNCTION("IFERROR(TO_DATE(H2381), """")"),42565.81836805555)</f>
        <v>42565.81837</v>
      </c>
      <c r="J2381" s="19" t="s">
        <v>12</v>
      </c>
      <c r="K2381" s="22">
        <f t="shared" si="2"/>
        <v>0</v>
      </c>
    </row>
    <row r="2382">
      <c r="A2382" s="18">
        <v>6617.0</v>
      </c>
      <c r="B2382" s="18" t="s">
        <v>32</v>
      </c>
      <c r="C2382" s="18">
        <v>249.0</v>
      </c>
      <c r="D2382" s="18" t="s">
        <v>31</v>
      </c>
      <c r="E2382" s="27">
        <v>42566.911145833335</v>
      </c>
      <c r="F2382" s="19">
        <f>IFERROR(__xludf.DUMMYFUNCTION("IFERROR(TO_DATE(E2382), """")"),42566.911145833335)</f>
        <v>42566.91115</v>
      </c>
      <c r="G2382" s="20">
        <f t="shared" si="1"/>
        <v>21</v>
      </c>
      <c r="H2382" s="27">
        <v>42566.94541666667</v>
      </c>
      <c r="I2382" s="19">
        <f>IFERROR(__xludf.DUMMYFUNCTION("IFERROR(TO_DATE(H2382), """")"),42566.94541666667)</f>
        <v>42566.94542</v>
      </c>
      <c r="J2382" s="19" t="s">
        <v>13</v>
      </c>
      <c r="K2382" s="22">
        <f t="shared" si="2"/>
        <v>0</v>
      </c>
    </row>
    <row r="2383">
      <c r="A2383" s="18">
        <v>1735.0</v>
      </c>
      <c r="B2383" s="18" t="s">
        <v>32</v>
      </c>
      <c r="C2383" s="18">
        <v>250.0</v>
      </c>
      <c r="D2383" s="18" t="s">
        <v>31</v>
      </c>
      <c r="E2383" s="26">
        <v>42563.35277777778</v>
      </c>
      <c r="F2383" s="19">
        <f>IFERROR(__xludf.DUMMYFUNCTION("IFERROR(TO_DATE(E2383), """")"),42563.35277777778)</f>
        <v>42563.35278</v>
      </c>
      <c r="G2383" s="20">
        <f t="shared" si="1"/>
        <v>8</v>
      </c>
      <c r="H2383" s="26">
        <v>42563.39791666667</v>
      </c>
      <c r="I2383" s="19">
        <f>IFERROR(__xludf.DUMMYFUNCTION("IFERROR(TO_DATE(H2383), """")"),42563.39791666667)</f>
        <v>42563.39792</v>
      </c>
      <c r="J2383" s="19" t="s">
        <v>14</v>
      </c>
      <c r="K2383" s="22">
        <f t="shared" si="2"/>
        <v>0</v>
      </c>
    </row>
    <row r="2384">
      <c r="A2384" s="18">
        <v>3311.0</v>
      </c>
      <c r="B2384" s="18" t="s">
        <v>32</v>
      </c>
      <c r="C2384" s="18">
        <v>250.0</v>
      </c>
      <c r="D2384" s="18" t="s">
        <v>31</v>
      </c>
      <c r="E2384" s="27">
        <v>42564.49600694444</v>
      </c>
      <c r="F2384" s="19">
        <f>IFERROR(__xludf.DUMMYFUNCTION("IFERROR(TO_DATE(E2384), """")"),42564.49600694444)</f>
        <v>42564.49601</v>
      </c>
      <c r="G2384" s="20">
        <f t="shared" si="1"/>
        <v>11</v>
      </c>
      <c r="H2384" s="27">
        <v>42564.544907407406</v>
      </c>
      <c r="I2384" s="19">
        <f>IFERROR(__xludf.DUMMYFUNCTION("IFERROR(TO_DATE(H2384), """")"),42564.544907407406)</f>
        <v>42564.54491</v>
      </c>
      <c r="J2384" s="19" t="s">
        <v>14</v>
      </c>
      <c r="K2384" s="22">
        <f t="shared" si="2"/>
        <v>0</v>
      </c>
    </row>
    <row r="2385">
      <c r="A2385" s="18">
        <v>3455.0</v>
      </c>
      <c r="B2385" s="18" t="s">
        <v>32</v>
      </c>
      <c r="C2385" s="18">
        <v>250.0</v>
      </c>
      <c r="D2385" s="18" t="s">
        <v>31</v>
      </c>
      <c r="E2385" s="27">
        <v>42564.70591435185</v>
      </c>
      <c r="F2385" s="19">
        <f>IFERROR(__xludf.DUMMYFUNCTION("IFERROR(TO_DATE(E2385), """")"),42564.70591435185)</f>
        <v>42564.70591</v>
      </c>
      <c r="G2385" s="20">
        <f t="shared" si="1"/>
        <v>16</v>
      </c>
      <c r="H2385" s="27">
        <v>42564.747141203705</v>
      </c>
      <c r="I2385" s="19">
        <f>IFERROR(__xludf.DUMMYFUNCTION("IFERROR(TO_DATE(H2385), """")"),42564.747141203705)</f>
        <v>42564.74714</v>
      </c>
      <c r="J2385" s="19" t="s">
        <v>12</v>
      </c>
      <c r="K2385" s="22">
        <f t="shared" si="2"/>
        <v>0</v>
      </c>
    </row>
    <row r="2386">
      <c r="A2386" s="18">
        <v>4009.0</v>
      </c>
      <c r="B2386" s="18" t="s">
        <v>30</v>
      </c>
      <c r="C2386" s="18">
        <v>250.0</v>
      </c>
      <c r="D2386" s="18" t="s">
        <v>31</v>
      </c>
      <c r="E2386" s="27">
        <v>42564.99313657408</v>
      </c>
      <c r="F2386" s="19">
        <f>IFERROR(__xludf.DUMMYFUNCTION("IFERROR(TO_DATE(E2386), """")"),42564.99313657408)</f>
        <v>42564.99314</v>
      </c>
      <c r="G2386" s="20">
        <f t="shared" si="1"/>
        <v>23</v>
      </c>
      <c r="H2386" s="27">
        <v>42565.01598379629</v>
      </c>
      <c r="I2386" s="19">
        <f>IFERROR(__xludf.DUMMYFUNCTION("IFERROR(TO_DATE(H2386), """")"),42565.01598379629)</f>
        <v>42565.01598</v>
      </c>
      <c r="J2386" s="19" t="s">
        <v>13</v>
      </c>
      <c r="K2386" s="22">
        <f t="shared" si="2"/>
        <v>0</v>
      </c>
    </row>
    <row r="2387">
      <c r="A2387" s="18">
        <v>5444.0</v>
      </c>
      <c r="B2387" s="18" t="s">
        <v>32</v>
      </c>
      <c r="C2387" s="18">
        <v>250.0</v>
      </c>
      <c r="D2387" s="18" t="s">
        <v>31</v>
      </c>
      <c r="E2387" s="27">
        <v>42566.12898148148</v>
      </c>
      <c r="F2387" s="19">
        <f>IFERROR(__xludf.DUMMYFUNCTION("IFERROR(TO_DATE(E2387), """")"),42566.12898148148)</f>
        <v>42566.12898</v>
      </c>
      <c r="G2387" s="20">
        <f t="shared" si="1"/>
        <v>3</v>
      </c>
      <c r="H2387" s="27">
        <v>42566.158634259256</v>
      </c>
      <c r="I2387" s="19">
        <f>IFERROR(__xludf.DUMMYFUNCTION("IFERROR(TO_DATE(H2387), """")"),42566.158634259256)</f>
        <v>42566.15863</v>
      </c>
      <c r="J2387" s="19" t="s">
        <v>15</v>
      </c>
      <c r="K2387" s="22">
        <f t="shared" si="2"/>
        <v>0</v>
      </c>
    </row>
    <row r="2388">
      <c r="A2388" s="18">
        <v>5700.0</v>
      </c>
      <c r="B2388" s="18" t="s">
        <v>30</v>
      </c>
      <c r="C2388" s="18">
        <v>250.0</v>
      </c>
      <c r="D2388" s="18" t="s">
        <v>31</v>
      </c>
      <c r="E2388" s="27">
        <v>42566.31663194444</v>
      </c>
      <c r="F2388" s="19">
        <f>IFERROR(__xludf.DUMMYFUNCTION("IFERROR(TO_DATE(E2388), """")"),42566.31663194444)</f>
        <v>42566.31663</v>
      </c>
      <c r="G2388" s="20">
        <f t="shared" si="1"/>
        <v>7</v>
      </c>
      <c r="H2388" s="27">
        <v>42566.339224537034</v>
      </c>
      <c r="I2388" s="19">
        <f>IFERROR(__xludf.DUMMYFUNCTION("IFERROR(TO_DATE(H2388), """")"),42566.339224537034)</f>
        <v>42566.33922</v>
      </c>
      <c r="J2388" s="19" t="s">
        <v>11</v>
      </c>
      <c r="K2388" s="22">
        <f t="shared" si="2"/>
        <v>0</v>
      </c>
    </row>
    <row r="2389">
      <c r="A2389" s="18">
        <v>5897.0</v>
      </c>
      <c r="B2389" s="18" t="s">
        <v>32</v>
      </c>
      <c r="C2389" s="18">
        <v>250.0</v>
      </c>
      <c r="D2389" s="18" t="s">
        <v>31</v>
      </c>
      <c r="E2389" s="27">
        <v>42566.411990740744</v>
      </c>
      <c r="F2389" s="19">
        <f>IFERROR(__xludf.DUMMYFUNCTION("IFERROR(TO_DATE(E2389), """")"),42566.411990740744)</f>
        <v>42566.41199</v>
      </c>
      <c r="G2389" s="20">
        <f t="shared" si="1"/>
        <v>9</v>
      </c>
      <c r="H2389" s="27">
        <v>42566.45284722222</v>
      </c>
      <c r="I2389" s="19">
        <f>IFERROR(__xludf.DUMMYFUNCTION("IFERROR(TO_DATE(H2389), """")"),42566.45284722222)</f>
        <v>42566.45285</v>
      </c>
      <c r="J2389" s="19" t="s">
        <v>14</v>
      </c>
      <c r="K2389" s="22">
        <f t="shared" si="2"/>
        <v>0</v>
      </c>
    </row>
    <row r="2390">
      <c r="A2390" s="18">
        <v>6573.0</v>
      </c>
      <c r="B2390" s="18" t="s">
        <v>32</v>
      </c>
      <c r="C2390" s="18">
        <v>250.0</v>
      </c>
      <c r="D2390" s="18" t="s">
        <v>31</v>
      </c>
      <c r="E2390" s="27">
        <v>42566.88484953704</v>
      </c>
      <c r="F2390" s="19">
        <f>IFERROR(__xludf.DUMMYFUNCTION("IFERROR(TO_DATE(E2390), """")"),42566.88484953704)</f>
        <v>42566.88485</v>
      </c>
      <c r="G2390" s="20">
        <f t="shared" si="1"/>
        <v>21</v>
      </c>
      <c r="H2390" s="27">
        <v>42566.917280092595</v>
      </c>
      <c r="I2390" s="19">
        <f>IFERROR(__xludf.DUMMYFUNCTION("IFERROR(TO_DATE(H2390), """")"),42566.917280092595)</f>
        <v>42566.91728</v>
      </c>
      <c r="J2390" s="19" t="s">
        <v>13</v>
      </c>
      <c r="K2390" s="22">
        <f t="shared" si="2"/>
        <v>0</v>
      </c>
    </row>
    <row r="2391">
      <c r="A2391" s="18">
        <v>515.0</v>
      </c>
      <c r="B2391" s="18" t="s">
        <v>30</v>
      </c>
      <c r="C2391" s="18">
        <v>251.0</v>
      </c>
      <c r="D2391" s="18" t="s">
        <v>31</v>
      </c>
      <c r="E2391" s="26">
        <v>42562.40625</v>
      </c>
      <c r="F2391" s="19">
        <f>IFERROR(__xludf.DUMMYFUNCTION("IFERROR(TO_DATE(E2391), """")"),42562.40625)</f>
        <v>42562.40625</v>
      </c>
      <c r="G2391" s="20">
        <f t="shared" si="1"/>
        <v>9</v>
      </c>
      <c r="H2391" s="26">
        <v>42562.455555555556</v>
      </c>
      <c r="I2391" s="19">
        <f>IFERROR(__xludf.DUMMYFUNCTION("IFERROR(TO_DATE(H2391), """")"),42562.455555555556)</f>
        <v>42562.45556</v>
      </c>
      <c r="J2391" s="19" t="s">
        <v>14</v>
      </c>
      <c r="K2391" s="22">
        <f t="shared" si="2"/>
        <v>0</v>
      </c>
    </row>
    <row r="2392">
      <c r="A2392" s="18">
        <v>697.0</v>
      </c>
      <c r="B2392" s="18" t="s">
        <v>32</v>
      </c>
      <c r="C2392" s="18">
        <v>251.0</v>
      </c>
      <c r="D2392" s="18" t="s">
        <v>31</v>
      </c>
      <c r="E2392" s="26">
        <v>42562.580555555556</v>
      </c>
      <c r="F2392" s="19">
        <f>IFERROR(__xludf.DUMMYFUNCTION("IFERROR(TO_DATE(E2392), """")"),42562.580555555556)</f>
        <v>42562.58056</v>
      </c>
      <c r="G2392" s="20">
        <f t="shared" si="1"/>
        <v>13</v>
      </c>
      <c r="H2392" s="26">
        <v>42562.620833333334</v>
      </c>
      <c r="I2392" s="19">
        <f>IFERROR(__xludf.DUMMYFUNCTION("IFERROR(TO_DATE(H2392), """")"),42562.620833333334)</f>
        <v>42562.62083</v>
      </c>
      <c r="J2392" s="19" t="s">
        <v>10</v>
      </c>
      <c r="K2392" s="22">
        <f t="shared" si="2"/>
        <v>0</v>
      </c>
    </row>
    <row r="2393">
      <c r="A2393" s="18">
        <v>2591.0</v>
      </c>
      <c r="B2393" s="18" t="s">
        <v>32</v>
      </c>
      <c r="C2393" s="18">
        <v>251.0</v>
      </c>
      <c r="D2393" s="18" t="s">
        <v>31</v>
      </c>
      <c r="E2393" s="26">
        <v>42563.90902777778</v>
      </c>
      <c r="F2393" s="19">
        <f>IFERROR(__xludf.DUMMYFUNCTION("IFERROR(TO_DATE(E2393), """")"),42563.90902777778)</f>
        <v>42563.90903</v>
      </c>
      <c r="G2393" s="20">
        <f t="shared" si="1"/>
        <v>21</v>
      </c>
      <c r="H2393" s="26">
        <v>42563.95625</v>
      </c>
      <c r="I2393" s="19">
        <f>IFERROR(__xludf.DUMMYFUNCTION("IFERROR(TO_DATE(H2393), """")"),42563.95625)</f>
        <v>42563.95625</v>
      </c>
      <c r="J2393" s="19" t="s">
        <v>13</v>
      </c>
      <c r="K2393" s="22">
        <f t="shared" si="2"/>
        <v>0</v>
      </c>
    </row>
    <row r="2394">
      <c r="A2394" s="18">
        <v>3009.0</v>
      </c>
      <c r="B2394" s="18" t="s">
        <v>30</v>
      </c>
      <c r="C2394" s="18">
        <v>251.0</v>
      </c>
      <c r="D2394" s="18" t="s">
        <v>31</v>
      </c>
      <c r="E2394" s="27">
        <v>42564.3065162037</v>
      </c>
      <c r="F2394" s="19">
        <f>IFERROR(__xludf.DUMMYFUNCTION("IFERROR(TO_DATE(E2394), """")"),42564.3065162037)</f>
        <v>42564.30652</v>
      </c>
      <c r="G2394" s="20">
        <f t="shared" si="1"/>
        <v>7</v>
      </c>
      <c r="H2394" s="27">
        <v>42564.34809027778</v>
      </c>
      <c r="I2394" s="19">
        <f>IFERROR(__xludf.DUMMYFUNCTION("IFERROR(TO_DATE(H2394), """")"),42564.34809027778)</f>
        <v>42564.34809</v>
      </c>
      <c r="J2394" s="19" t="s">
        <v>11</v>
      </c>
      <c r="K2394" s="22">
        <f t="shared" si="2"/>
        <v>0</v>
      </c>
    </row>
    <row r="2395">
      <c r="A2395" s="18">
        <v>3281.0</v>
      </c>
      <c r="B2395" s="18" t="s">
        <v>32</v>
      </c>
      <c r="C2395" s="18">
        <v>251.0</v>
      </c>
      <c r="D2395" s="18" t="s">
        <v>31</v>
      </c>
      <c r="E2395" s="27">
        <v>42564.44809027778</v>
      </c>
      <c r="F2395" s="19">
        <f>IFERROR(__xludf.DUMMYFUNCTION("IFERROR(TO_DATE(E2395), """")"),42564.44809027778)</f>
        <v>42564.44809</v>
      </c>
      <c r="G2395" s="20">
        <f t="shared" si="1"/>
        <v>10</v>
      </c>
      <c r="H2395" s="27">
        <v>42564.47025462963</v>
      </c>
      <c r="I2395" s="19">
        <f>IFERROR(__xludf.DUMMYFUNCTION("IFERROR(TO_DATE(H2395), """")"),42564.47025462963)</f>
        <v>42564.47025</v>
      </c>
      <c r="J2395" s="19" t="s">
        <v>14</v>
      </c>
      <c r="K2395" s="22">
        <f t="shared" si="2"/>
        <v>0</v>
      </c>
    </row>
    <row r="2396">
      <c r="A2396" s="18">
        <v>3323.0</v>
      </c>
      <c r="B2396" s="18" t="s">
        <v>30</v>
      </c>
      <c r="C2396" s="18">
        <v>251.0</v>
      </c>
      <c r="D2396" s="18" t="s">
        <v>31</v>
      </c>
      <c r="E2396" s="27">
        <v>42564.52025462963</v>
      </c>
      <c r="F2396" s="19">
        <f>IFERROR(__xludf.DUMMYFUNCTION("IFERROR(TO_DATE(E2396), """")"),42564.52025462963)</f>
        <v>42564.52025</v>
      </c>
      <c r="G2396" s="20">
        <f t="shared" si="1"/>
        <v>12</v>
      </c>
      <c r="H2396" s="27">
        <v>42564.56369212963</v>
      </c>
      <c r="I2396" s="19">
        <f>IFERROR(__xludf.DUMMYFUNCTION("IFERROR(TO_DATE(H2396), """")"),42564.56369212963)</f>
        <v>42564.56369</v>
      </c>
      <c r="J2396" s="19" t="s">
        <v>10</v>
      </c>
      <c r="K2396" s="22">
        <f t="shared" si="2"/>
        <v>0</v>
      </c>
    </row>
    <row r="2397">
      <c r="A2397" s="18">
        <v>3872.0</v>
      </c>
      <c r="B2397" s="18" t="s">
        <v>32</v>
      </c>
      <c r="C2397" s="18">
        <v>251.0</v>
      </c>
      <c r="D2397" s="18" t="s">
        <v>31</v>
      </c>
      <c r="E2397" s="27">
        <v>42564.91068287037</v>
      </c>
      <c r="F2397" s="19">
        <f>IFERROR(__xludf.DUMMYFUNCTION("IFERROR(TO_DATE(E2397), """")"),42564.91068287037)</f>
        <v>42564.91068</v>
      </c>
      <c r="G2397" s="20">
        <f t="shared" si="1"/>
        <v>21</v>
      </c>
      <c r="H2397" s="27">
        <v>42564.954733796294</v>
      </c>
      <c r="I2397" s="19">
        <f>IFERROR(__xludf.DUMMYFUNCTION("IFERROR(TO_DATE(H2397), """")"),42564.954733796294)</f>
        <v>42564.95473</v>
      </c>
      <c r="J2397" s="19" t="s">
        <v>13</v>
      </c>
      <c r="K2397" s="22">
        <f t="shared" si="2"/>
        <v>0</v>
      </c>
    </row>
    <row r="2398">
      <c r="A2398" s="18">
        <v>4288.0</v>
      </c>
      <c r="B2398" s="18" t="s">
        <v>32</v>
      </c>
      <c r="C2398" s="18">
        <v>251.0</v>
      </c>
      <c r="D2398" s="18" t="s">
        <v>31</v>
      </c>
      <c r="E2398" s="27">
        <v>42565.274733796294</v>
      </c>
      <c r="F2398" s="19">
        <f>IFERROR(__xludf.DUMMYFUNCTION("IFERROR(TO_DATE(E2398), """")"),42565.274733796294)</f>
        <v>42565.27473</v>
      </c>
      <c r="G2398" s="20">
        <f t="shared" si="1"/>
        <v>6</v>
      </c>
      <c r="H2398" s="27">
        <v>42565.301666666666</v>
      </c>
      <c r="I2398" s="19">
        <f>IFERROR(__xludf.DUMMYFUNCTION("IFERROR(TO_DATE(H2398), """")"),42565.301666666666)</f>
        <v>42565.30167</v>
      </c>
      <c r="J2398" s="19" t="s">
        <v>11</v>
      </c>
      <c r="K2398" s="22">
        <f t="shared" si="2"/>
        <v>0</v>
      </c>
    </row>
    <row r="2399">
      <c r="A2399" s="18">
        <v>5145.0</v>
      </c>
      <c r="B2399" s="18" t="s">
        <v>32</v>
      </c>
      <c r="C2399" s="18">
        <v>251.0</v>
      </c>
      <c r="D2399" s="18" t="s">
        <v>31</v>
      </c>
      <c r="E2399" s="27">
        <v>42565.8471875</v>
      </c>
      <c r="F2399" s="19">
        <f>IFERROR(__xludf.DUMMYFUNCTION("IFERROR(TO_DATE(E2399), """")"),42565.8471875)</f>
        <v>42565.84719</v>
      </c>
      <c r="G2399" s="20">
        <f t="shared" si="1"/>
        <v>20</v>
      </c>
      <c r="H2399" s="27">
        <v>42565.89175925926</v>
      </c>
      <c r="I2399" s="19">
        <f>IFERROR(__xludf.DUMMYFUNCTION("IFERROR(TO_DATE(H2399), """")"),42565.89175925926)</f>
        <v>42565.89176</v>
      </c>
      <c r="J2399" s="19" t="s">
        <v>13</v>
      </c>
      <c r="K2399" s="22">
        <f t="shared" si="2"/>
        <v>0</v>
      </c>
    </row>
    <row r="2400">
      <c r="A2400" s="18">
        <v>5586.0</v>
      </c>
      <c r="B2400" s="18" t="s">
        <v>32</v>
      </c>
      <c r="C2400" s="18">
        <v>251.0</v>
      </c>
      <c r="D2400" s="18" t="s">
        <v>31</v>
      </c>
      <c r="E2400" s="27">
        <v>42566.24775462963</v>
      </c>
      <c r="F2400" s="19">
        <f>IFERROR(__xludf.DUMMYFUNCTION("IFERROR(TO_DATE(E2400), """")"),42566.24775462963)</f>
        <v>42566.24775</v>
      </c>
      <c r="G2400" s="20">
        <f t="shared" si="1"/>
        <v>5</v>
      </c>
      <c r="H2400" s="27">
        <v>42566.272986111115</v>
      </c>
      <c r="I2400" s="19">
        <f>IFERROR(__xludf.DUMMYFUNCTION("IFERROR(TO_DATE(H2400), """")"),42566.272986111115)</f>
        <v>42566.27299</v>
      </c>
      <c r="J2400" s="19" t="s">
        <v>11</v>
      </c>
      <c r="K2400" s="22">
        <f t="shared" si="2"/>
        <v>0</v>
      </c>
    </row>
    <row r="2401">
      <c r="A2401" s="18">
        <v>6000.0</v>
      </c>
      <c r="B2401" s="18" t="s">
        <v>30</v>
      </c>
      <c r="C2401" s="18">
        <v>251.0</v>
      </c>
      <c r="D2401" s="18" t="s">
        <v>31</v>
      </c>
      <c r="E2401" s="27">
        <v>42566.50293981482</v>
      </c>
      <c r="F2401" s="19">
        <f>IFERROR(__xludf.DUMMYFUNCTION("IFERROR(TO_DATE(E2401), """")"),42566.50293981482)</f>
        <v>42566.50294</v>
      </c>
      <c r="G2401" s="20">
        <f t="shared" si="1"/>
        <v>12</v>
      </c>
      <c r="H2401" s="27">
        <v>42566.524664351855</v>
      </c>
      <c r="I2401" s="19">
        <f>IFERROR(__xludf.DUMMYFUNCTION("IFERROR(TO_DATE(H2401), """")"),42566.524664351855)</f>
        <v>42566.52466</v>
      </c>
      <c r="J2401" s="19" t="s">
        <v>10</v>
      </c>
      <c r="K2401" s="22">
        <f t="shared" si="2"/>
        <v>0</v>
      </c>
    </row>
    <row r="2402">
      <c r="A2402" s="18">
        <v>6488.0</v>
      </c>
      <c r="B2402" s="18" t="s">
        <v>32</v>
      </c>
      <c r="C2402" s="18">
        <v>251.0</v>
      </c>
      <c r="D2402" s="18" t="s">
        <v>31</v>
      </c>
      <c r="E2402" s="27">
        <v>42566.85065972222</v>
      </c>
      <c r="F2402" s="19">
        <f>IFERROR(__xludf.DUMMYFUNCTION("IFERROR(TO_DATE(E2402), """")"),42566.85065972222)</f>
        <v>42566.85066</v>
      </c>
      <c r="G2402" s="20">
        <f t="shared" si="1"/>
        <v>20</v>
      </c>
      <c r="H2402" s="27">
        <v>42566.89398148148</v>
      </c>
      <c r="I2402" s="19">
        <f>IFERROR(__xludf.DUMMYFUNCTION("IFERROR(TO_DATE(H2402), """")"),42566.89398148148)</f>
        <v>42566.89398</v>
      </c>
      <c r="J2402" s="19" t="s">
        <v>13</v>
      </c>
      <c r="K2402" s="22">
        <f t="shared" si="2"/>
        <v>0</v>
      </c>
    </row>
    <row r="2403">
      <c r="A2403" s="18">
        <v>6757.0</v>
      </c>
      <c r="B2403" s="18" t="s">
        <v>30</v>
      </c>
      <c r="C2403" s="18">
        <v>251.0</v>
      </c>
      <c r="D2403" s="18" t="s">
        <v>31</v>
      </c>
      <c r="E2403" s="27">
        <v>42566.999976851854</v>
      </c>
      <c r="F2403" s="19">
        <f>IFERROR(__xludf.DUMMYFUNCTION("IFERROR(TO_DATE(E2403), """")"),42566.999976851854)</f>
        <v>42566.99998</v>
      </c>
      <c r="G2403" s="20">
        <f t="shared" si="1"/>
        <v>23</v>
      </c>
      <c r="H2403" s="27">
        <v>42567.02103009259</v>
      </c>
      <c r="I2403" s="19">
        <f>IFERROR(__xludf.DUMMYFUNCTION("IFERROR(TO_DATE(H2403), """")"),42567.02103009259)</f>
        <v>42567.02103</v>
      </c>
      <c r="J2403" s="19" t="s">
        <v>13</v>
      </c>
      <c r="K2403" s="22">
        <f t="shared" si="2"/>
        <v>0</v>
      </c>
    </row>
    <row r="2404">
      <c r="A2404" s="18">
        <v>183.0</v>
      </c>
      <c r="B2404" s="18" t="s">
        <v>32</v>
      </c>
      <c r="C2404" s="18">
        <v>252.0</v>
      </c>
      <c r="D2404" s="18" t="s">
        <v>31</v>
      </c>
      <c r="E2404" s="26">
        <v>42562.24236111111</v>
      </c>
      <c r="F2404" s="19">
        <f>IFERROR(__xludf.DUMMYFUNCTION("IFERROR(TO_DATE(E2404), """")"),42562.24236111111)</f>
        <v>42562.24236</v>
      </c>
      <c r="G2404" s="20">
        <f t="shared" si="1"/>
        <v>5</v>
      </c>
      <c r="H2404" s="26">
        <v>42562.27013888889</v>
      </c>
      <c r="I2404" s="19">
        <f>IFERROR(__xludf.DUMMYFUNCTION("IFERROR(TO_DATE(H2404), """")"),42562.27013888889)</f>
        <v>42562.27014</v>
      </c>
      <c r="J2404" s="19" t="s">
        <v>11</v>
      </c>
      <c r="K2404" s="22">
        <f t="shared" si="2"/>
        <v>0</v>
      </c>
    </row>
    <row r="2405">
      <c r="A2405" s="18">
        <v>1210.0</v>
      </c>
      <c r="B2405" s="18" t="s">
        <v>30</v>
      </c>
      <c r="C2405" s="18">
        <v>252.0</v>
      </c>
      <c r="D2405" s="18" t="s">
        <v>31</v>
      </c>
      <c r="E2405" s="26">
        <v>42562.89166666667</v>
      </c>
      <c r="F2405" s="19">
        <f>IFERROR(__xludf.DUMMYFUNCTION("IFERROR(TO_DATE(E2405), """")"),42562.89166666667)</f>
        <v>42562.89167</v>
      </c>
      <c r="G2405" s="20">
        <f t="shared" si="1"/>
        <v>21</v>
      </c>
      <c r="H2405" s="26">
        <v>42562.93958333333</v>
      </c>
      <c r="I2405" s="19">
        <f>IFERROR(__xludf.DUMMYFUNCTION("IFERROR(TO_DATE(H2405), """")"),42562.93958333333)</f>
        <v>42562.93958</v>
      </c>
      <c r="J2405" s="19" t="s">
        <v>13</v>
      </c>
      <c r="K2405" s="22">
        <f t="shared" si="2"/>
        <v>0</v>
      </c>
    </row>
    <row r="2406">
      <c r="A2406" s="18">
        <v>1382.0</v>
      </c>
      <c r="B2406" s="18" t="s">
        <v>32</v>
      </c>
      <c r="C2406" s="18">
        <v>252.0</v>
      </c>
      <c r="D2406" s="18" t="s">
        <v>31</v>
      </c>
      <c r="E2406" s="26">
        <v>42563.04375</v>
      </c>
      <c r="F2406" s="19">
        <f>IFERROR(__xludf.DUMMYFUNCTION("IFERROR(TO_DATE(E2406), """")"),42563.04375)</f>
        <v>42563.04375</v>
      </c>
      <c r="G2406" s="20">
        <f t="shared" si="1"/>
        <v>1</v>
      </c>
      <c r="H2406" s="26">
        <v>42563.06805555556</v>
      </c>
      <c r="I2406" s="19">
        <f>IFERROR(__xludf.DUMMYFUNCTION("IFERROR(TO_DATE(H2406), """")"),42563.06805555556)</f>
        <v>42563.06806</v>
      </c>
      <c r="J2406" s="19" t="s">
        <v>15</v>
      </c>
      <c r="K2406" s="22">
        <f t="shared" si="2"/>
        <v>0</v>
      </c>
    </row>
    <row r="2407">
      <c r="A2407" s="18">
        <v>1899.0</v>
      </c>
      <c r="B2407" s="18" t="s">
        <v>32</v>
      </c>
      <c r="C2407" s="18">
        <v>252.0</v>
      </c>
      <c r="D2407" s="18" t="s">
        <v>31</v>
      </c>
      <c r="E2407" s="26">
        <v>42563.43472222222</v>
      </c>
      <c r="F2407" s="19">
        <f>IFERROR(__xludf.DUMMYFUNCTION("IFERROR(TO_DATE(E2407), """")"),42563.43472222222)</f>
        <v>42563.43472</v>
      </c>
      <c r="G2407" s="20">
        <f t="shared" si="1"/>
        <v>10</v>
      </c>
      <c r="H2407" s="26">
        <v>42563.48055555556</v>
      </c>
      <c r="I2407" s="19">
        <f>IFERROR(__xludf.DUMMYFUNCTION("IFERROR(TO_DATE(H2407), """")"),42563.48055555556)</f>
        <v>42563.48056</v>
      </c>
      <c r="J2407" s="19" t="s">
        <v>14</v>
      </c>
      <c r="K2407" s="22">
        <f t="shared" si="2"/>
        <v>0</v>
      </c>
    </row>
    <row r="2408">
      <c r="A2408" s="18">
        <v>3369.0</v>
      </c>
      <c r="B2408" s="18" t="s">
        <v>32</v>
      </c>
      <c r="C2408" s="18">
        <v>252.0</v>
      </c>
      <c r="D2408" s="18" t="s">
        <v>31</v>
      </c>
      <c r="E2408" s="27">
        <v>42564.580196759256</v>
      </c>
      <c r="F2408" s="19">
        <f>IFERROR(__xludf.DUMMYFUNCTION("IFERROR(TO_DATE(E2408), """")"),42564.580196759256)</f>
        <v>42564.5802</v>
      </c>
      <c r="G2408" s="20">
        <f t="shared" si="1"/>
        <v>13</v>
      </c>
      <c r="H2408" s="27">
        <v>42564.615902777776</v>
      </c>
      <c r="I2408" s="19">
        <f>IFERROR(__xludf.DUMMYFUNCTION("IFERROR(TO_DATE(H2408), """")"),42564.615902777776)</f>
        <v>42564.6159</v>
      </c>
      <c r="J2408" s="19" t="s">
        <v>10</v>
      </c>
      <c r="K2408" s="22">
        <f t="shared" si="2"/>
        <v>0</v>
      </c>
    </row>
    <row r="2409">
      <c r="A2409" s="18">
        <v>4498.0</v>
      </c>
      <c r="B2409" s="18" t="s">
        <v>32</v>
      </c>
      <c r="C2409" s="18">
        <v>252.0</v>
      </c>
      <c r="D2409" s="18" t="s">
        <v>31</v>
      </c>
      <c r="E2409" s="27">
        <v>42565.380902777775</v>
      </c>
      <c r="F2409" s="19">
        <f>IFERROR(__xludf.DUMMYFUNCTION("IFERROR(TO_DATE(E2409), """")"),42565.380902777775)</f>
        <v>42565.3809</v>
      </c>
      <c r="G2409" s="20">
        <f t="shared" si="1"/>
        <v>9</v>
      </c>
      <c r="H2409" s="27">
        <v>42565.413935185185</v>
      </c>
      <c r="I2409" s="19">
        <f>IFERROR(__xludf.DUMMYFUNCTION("IFERROR(TO_DATE(H2409), """")"),42565.413935185185)</f>
        <v>42565.41394</v>
      </c>
      <c r="J2409" s="19" t="s">
        <v>14</v>
      </c>
      <c r="K2409" s="22">
        <f t="shared" si="2"/>
        <v>0</v>
      </c>
    </row>
    <row r="2410">
      <c r="A2410" s="18">
        <v>5947.0</v>
      </c>
      <c r="B2410" s="18" t="s">
        <v>30</v>
      </c>
      <c r="C2410" s="18">
        <v>252.0</v>
      </c>
      <c r="D2410" s="18" t="s">
        <v>31</v>
      </c>
      <c r="E2410" s="27">
        <v>42566.439930555556</v>
      </c>
      <c r="F2410" s="19">
        <f>IFERROR(__xludf.DUMMYFUNCTION("IFERROR(TO_DATE(E2410), """")"),42566.439930555556)</f>
        <v>42566.43993</v>
      </c>
      <c r="G2410" s="20">
        <f t="shared" si="1"/>
        <v>10</v>
      </c>
      <c r="H2410" s="27">
        <v>42566.47199074074</v>
      </c>
      <c r="I2410" s="19">
        <f>IFERROR(__xludf.DUMMYFUNCTION("IFERROR(TO_DATE(H2410), """")"),42566.47199074074)</f>
        <v>42566.47199</v>
      </c>
      <c r="J2410" s="19" t="s">
        <v>14</v>
      </c>
      <c r="K2410" s="22">
        <f t="shared" si="2"/>
        <v>0</v>
      </c>
    </row>
    <row r="2411">
      <c r="A2411" s="18">
        <v>6141.0</v>
      </c>
      <c r="B2411" s="18" t="s">
        <v>30</v>
      </c>
      <c r="C2411" s="18">
        <v>252.0</v>
      </c>
      <c r="D2411" s="18" t="s">
        <v>31</v>
      </c>
      <c r="E2411" s="27">
        <v>42566.661990740744</v>
      </c>
      <c r="F2411" s="19">
        <f>IFERROR(__xludf.DUMMYFUNCTION("IFERROR(TO_DATE(E2411), """")"),42566.661990740744)</f>
        <v>42566.66199</v>
      </c>
      <c r="G2411" s="20">
        <f t="shared" si="1"/>
        <v>15</v>
      </c>
      <c r="H2411" s="27">
        <v>42566.68571759259</v>
      </c>
      <c r="I2411" s="19">
        <f>IFERROR(__xludf.DUMMYFUNCTION("IFERROR(TO_DATE(H2411), """")"),42566.68571759259)</f>
        <v>42566.68572</v>
      </c>
      <c r="J2411" s="19" t="s">
        <v>10</v>
      </c>
      <c r="K2411" s="22">
        <f t="shared" si="2"/>
        <v>0</v>
      </c>
    </row>
    <row r="2412">
      <c r="A2412" s="18">
        <v>382.0</v>
      </c>
      <c r="B2412" s="18" t="s">
        <v>32</v>
      </c>
      <c r="C2412" s="18">
        <v>253.0</v>
      </c>
      <c r="D2412" s="18" t="s">
        <v>31</v>
      </c>
      <c r="E2412" s="26">
        <v>42562.345138888886</v>
      </c>
      <c r="F2412" s="19">
        <f>IFERROR(__xludf.DUMMYFUNCTION("IFERROR(TO_DATE(E2412), """")"),42562.345138888886)</f>
        <v>42562.34514</v>
      </c>
      <c r="G2412" s="20">
        <f t="shared" si="1"/>
        <v>8</v>
      </c>
      <c r="H2412" s="26">
        <v>42562.38263888889</v>
      </c>
      <c r="I2412" s="19">
        <f>IFERROR(__xludf.DUMMYFUNCTION("IFERROR(TO_DATE(H2412), """")"),42562.38263888889)</f>
        <v>42562.38264</v>
      </c>
      <c r="J2412" s="19" t="s">
        <v>14</v>
      </c>
      <c r="K2412" s="22">
        <f t="shared" si="2"/>
        <v>0</v>
      </c>
    </row>
    <row r="2413">
      <c r="A2413" s="18">
        <v>2035.0</v>
      </c>
      <c r="B2413" s="18" t="s">
        <v>32</v>
      </c>
      <c r="C2413" s="18">
        <v>253.0</v>
      </c>
      <c r="D2413" s="18" t="s">
        <v>31</v>
      </c>
      <c r="E2413" s="26">
        <v>42563.59375</v>
      </c>
      <c r="F2413" s="19">
        <f>IFERROR(__xludf.DUMMYFUNCTION("IFERROR(TO_DATE(E2413), """")"),42563.59375)</f>
        <v>42563.59375</v>
      </c>
      <c r="G2413" s="20">
        <f t="shared" si="1"/>
        <v>14</v>
      </c>
      <c r="H2413" s="26">
        <v>42563.629166666666</v>
      </c>
      <c r="I2413" s="19">
        <f>IFERROR(__xludf.DUMMYFUNCTION("IFERROR(TO_DATE(H2413), """")"),42563.629166666666)</f>
        <v>42563.62917</v>
      </c>
      <c r="J2413" s="19" t="s">
        <v>10</v>
      </c>
      <c r="K2413" s="22">
        <f t="shared" si="2"/>
        <v>0</v>
      </c>
    </row>
    <row r="2414">
      <c r="A2414" s="18">
        <v>2762.0</v>
      </c>
      <c r="B2414" s="18" t="s">
        <v>30</v>
      </c>
      <c r="C2414" s="18">
        <v>253.0</v>
      </c>
      <c r="D2414" s="18" t="s">
        <v>31</v>
      </c>
      <c r="E2414" s="27">
        <v>42564.163819444446</v>
      </c>
      <c r="F2414" s="19">
        <f>IFERROR(__xludf.DUMMYFUNCTION("IFERROR(TO_DATE(E2414), """")"),42564.163819444446)</f>
        <v>42564.16382</v>
      </c>
      <c r="G2414" s="20">
        <f t="shared" si="1"/>
        <v>3</v>
      </c>
      <c r="H2414" s="27">
        <v>42564.19611111111</v>
      </c>
      <c r="I2414" s="19">
        <f>IFERROR(__xludf.DUMMYFUNCTION("IFERROR(TO_DATE(H2414), """")"),42564.19611111111)</f>
        <v>42564.19611</v>
      </c>
      <c r="J2414" s="19" t="s">
        <v>15</v>
      </c>
      <c r="K2414" s="22">
        <f t="shared" si="2"/>
        <v>0</v>
      </c>
    </row>
    <row r="2415">
      <c r="A2415" s="18">
        <v>2857.0</v>
      </c>
      <c r="B2415" s="18" t="s">
        <v>32</v>
      </c>
      <c r="C2415" s="18">
        <v>253.0</v>
      </c>
      <c r="D2415" s="18" t="s">
        <v>31</v>
      </c>
      <c r="E2415" s="27">
        <v>42564.23311342593</v>
      </c>
      <c r="F2415" s="19">
        <f>IFERROR(__xludf.DUMMYFUNCTION("IFERROR(TO_DATE(E2415), """")"),42564.23311342593)</f>
        <v>42564.23311</v>
      </c>
      <c r="G2415" s="20">
        <f t="shared" si="1"/>
        <v>5</v>
      </c>
      <c r="H2415" s="27">
        <v>42564.26725694445</v>
      </c>
      <c r="I2415" s="19">
        <f>IFERROR(__xludf.DUMMYFUNCTION("IFERROR(TO_DATE(H2415), """")"),42564.26725694445)</f>
        <v>42564.26726</v>
      </c>
      <c r="J2415" s="19" t="s">
        <v>11</v>
      </c>
      <c r="K2415" s="22">
        <f t="shared" si="2"/>
        <v>0</v>
      </c>
    </row>
    <row r="2416">
      <c r="A2416" s="18">
        <v>3236.0</v>
      </c>
      <c r="B2416" s="18" t="s">
        <v>32</v>
      </c>
      <c r="C2416" s="18">
        <v>253.0</v>
      </c>
      <c r="D2416" s="18" t="s">
        <v>31</v>
      </c>
      <c r="E2416" s="27">
        <v>42564.42225694445</v>
      </c>
      <c r="F2416" s="19">
        <f>IFERROR(__xludf.DUMMYFUNCTION("IFERROR(TO_DATE(E2416), """")"),42564.42225694445)</f>
        <v>42564.42226</v>
      </c>
      <c r="G2416" s="20">
        <f t="shared" si="1"/>
        <v>10</v>
      </c>
      <c r="H2416" s="27">
        <v>42564.46780092592</v>
      </c>
      <c r="I2416" s="19">
        <f>IFERROR(__xludf.DUMMYFUNCTION("IFERROR(TO_DATE(H2416), """")"),42564.46780092592)</f>
        <v>42564.4678</v>
      </c>
      <c r="J2416" s="19" t="s">
        <v>14</v>
      </c>
      <c r="K2416" s="22">
        <f t="shared" si="2"/>
        <v>0</v>
      </c>
    </row>
    <row r="2417">
      <c r="A2417" s="18">
        <v>5056.0</v>
      </c>
      <c r="B2417" s="18" t="s">
        <v>30</v>
      </c>
      <c r="C2417" s="18">
        <v>253.0</v>
      </c>
      <c r="D2417" s="18" t="s">
        <v>31</v>
      </c>
      <c r="E2417" s="27">
        <v>42565.80979166667</v>
      </c>
      <c r="F2417" s="19">
        <f>IFERROR(__xludf.DUMMYFUNCTION("IFERROR(TO_DATE(E2417), """")"),42565.80979166667)</f>
        <v>42565.80979</v>
      </c>
      <c r="G2417" s="20">
        <f t="shared" si="1"/>
        <v>19</v>
      </c>
      <c r="H2417" s="27">
        <v>42565.8303125</v>
      </c>
      <c r="I2417" s="19">
        <f>IFERROR(__xludf.DUMMYFUNCTION("IFERROR(TO_DATE(H2417), """")"),42565.8303125)</f>
        <v>42565.83031</v>
      </c>
      <c r="J2417" s="19" t="s">
        <v>12</v>
      </c>
      <c r="K2417" s="22">
        <f t="shared" si="2"/>
        <v>0</v>
      </c>
    </row>
    <row r="2418">
      <c r="A2418" s="18">
        <v>6221.0</v>
      </c>
      <c r="B2418" s="18" t="s">
        <v>32</v>
      </c>
      <c r="C2418" s="18">
        <v>253.0</v>
      </c>
      <c r="D2418" s="18" t="s">
        <v>31</v>
      </c>
      <c r="E2418" s="27">
        <v>42566.733310185184</v>
      </c>
      <c r="F2418" s="19">
        <f>IFERROR(__xludf.DUMMYFUNCTION("IFERROR(TO_DATE(E2418), """")"),42566.733310185184)</f>
        <v>42566.73331</v>
      </c>
      <c r="G2418" s="20">
        <f t="shared" si="1"/>
        <v>17</v>
      </c>
      <c r="H2418" s="27">
        <v>42566.76027777778</v>
      </c>
      <c r="I2418" s="19">
        <f>IFERROR(__xludf.DUMMYFUNCTION("IFERROR(TO_DATE(H2418), """")"),42566.76027777778)</f>
        <v>42566.76028</v>
      </c>
      <c r="J2418" s="19" t="s">
        <v>12</v>
      </c>
      <c r="K2418" s="22">
        <f t="shared" si="2"/>
        <v>0</v>
      </c>
    </row>
    <row r="2419">
      <c r="A2419" s="18">
        <v>329.0</v>
      </c>
      <c r="B2419" s="18" t="s">
        <v>30</v>
      </c>
      <c r="C2419" s="18">
        <v>254.0</v>
      </c>
      <c r="D2419" s="18" t="s">
        <v>31</v>
      </c>
      <c r="E2419" s="26">
        <v>42562.32083333333</v>
      </c>
      <c r="F2419" s="19">
        <f>IFERROR(__xludf.DUMMYFUNCTION("IFERROR(TO_DATE(E2419), """")"),42562.32083333333)</f>
        <v>42562.32083</v>
      </c>
      <c r="G2419" s="20">
        <f t="shared" si="1"/>
        <v>7</v>
      </c>
      <c r="H2419" s="26">
        <v>42562.36736111111</v>
      </c>
      <c r="I2419" s="19">
        <f>IFERROR(__xludf.DUMMYFUNCTION("IFERROR(TO_DATE(H2419), """")"),42562.36736111111)</f>
        <v>42562.36736</v>
      </c>
      <c r="J2419" s="19" t="s">
        <v>11</v>
      </c>
      <c r="K2419" s="22">
        <f t="shared" si="2"/>
        <v>0</v>
      </c>
    </row>
    <row r="2420">
      <c r="A2420" s="18">
        <v>465.0</v>
      </c>
      <c r="B2420" s="18" t="s">
        <v>32</v>
      </c>
      <c r="C2420" s="18">
        <v>254.0</v>
      </c>
      <c r="D2420" s="18" t="s">
        <v>31</v>
      </c>
      <c r="E2420" s="26">
        <v>42562.385416666664</v>
      </c>
      <c r="F2420" s="19">
        <f>IFERROR(__xludf.DUMMYFUNCTION("IFERROR(TO_DATE(E2420), """")"),42562.385416666664)</f>
        <v>42562.38542</v>
      </c>
      <c r="G2420" s="20">
        <f t="shared" si="1"/>
        <v>9</v>
      </c>
      <c r="H2420" s="26">
        <v>42562.413194444445</v>
      </c>
      <c r="I2420" s="19">
        <f>IFERROR(__xludf.DUMMYFUNCTION("IFERROR(TO_DATE(H2420), """")"),42562.413194444445)</f>
        <v>42562.41319</v>
      </c>
      <c r="J2420" s="19" t="s">
        <v>14</v>
      </c>
      <c r="K2420" s="22">
        <f t="shared" si="2"/>
        <v>0</v>
      </c>
    </row>
    <row r="2421">
      <c r="A2421" s="18">
        <v>650.0</v>
      </c>
      <c r="B2421" s="18" t="s">
        <v>32</v>
      </c>
      <c r="C2421" s="18">
        <v>254.0</v>
      </c>
      <c r="D2421" s="18" t="s">
        <v>31</v>
      </c>
      <c r="E2421" s="26">
        <v>42562.52916666667</v>
      </c>
      <c r="F2421" s="19">
        <f>IFERROR(__xludf.DUMMYFUNCTION("IFERROR(TO_DATE(E2421), """")"),42562.52916666667)</f>
        <v>42562.52917</v>
      </c>
      <c r="G2421" s="20">
        <f t="shared" si="1"/>
        <v>12</v>
      </c>
      <c r="H2421" s="26">
        <v>42562.580555555556</v>
      </c>
      <c r="I2421" s="19">
        <f>IFERROR(__xludf.DUMMYFUNCTION("IFERROR(TO_DATE(H2421), """")"),42562.580555555556)</f>
        <v>42562.58056</v>
      </c>
      <c r="J2421" s="19" t="s">
        <v>10</v>
      </c>
      <c r="K2421" s="22">
        <f t="shared" si="2"/>
        <v>0</v>
      </c>
    </row>
    <row r="2422">
      <c r="A2422" s="18">
        <v>900.0</v>
      </c>
      <c r="B2422" s="18" t="s">
        <v>30</v>
      </c>
      <c r="C2422" s="18">
        <v>254.0</v>
      </c>
      <c r="D2422" s="18" t="s">
        <v>31</v>
      </c>
      <c r="E2422" s="26">
        <v>42562.75902777778</v>
      </c>
      <c r="F2422" s="19">
        <f>IFERROR(__xludf.DUMMYFUNCTION("IFERROR(TO_DATE(E2422), """")"),42562.75902777778)</f>
        <v>42562.75903</v>
      </c>
      <c r="G2422" s="20">
        <f t="shared" si="1"/>
        <v>18</v>
      </c>
      <c r="H2422" s="26">
        <v>42562.785416666666</v>
      </c>
      <c r="I2422" s="19">
        <f>IFERROR(__xludf.DUMMYFUNCTION("IFERROR(TO_DATE(H2422), """")"),42562.785416666666)</f>
        <v>42562.78542</v>
      </c>
      <c r="J2422" s="19" t="s">
        <v>12</v>
      </c>
      <c r="K2422" s="22">
        <f t="shared" si="2"/>
        <v>0</v>
      </c>
    </row>
    <row r="2423">
      <c r="A2423" s="18">
        <v>1309.0</v>
      </c>
      <c r="B2423" s="18" t="s">
        <v>32</v>
      </c>
      <c r="C2423" s="18">
        <v>254.0</v>
      </c>
      <c r="D2423" s="18" t="s">
        <v>31</v>
      </c>
      <c r="E2423" s="26">
        <v>42562.944444444445</v>
      </c>
      <c r="F2423" s="19">
        <f>IFERROR(__xludf.DUMMYFUNCTION("IFERROR(TO_DATE(E2423), """")"),42562.944444444445)</f>
        <v>42562.94444</v>
      </c>
      <c r="G2423" s="20">
        <f t="shared" si="1"/>
        <v>22</v>
      </c>
      <c r="H2423" s="26">
        <v>42562.96875</v>
      </c>
      <c r="I2423" s="19">
        <f>IFERROR(__xludf.DUMMYFUNCTION("IFERROR(TO_DATE(H2423), """")"),42562.96875)</f>
        <v>42562.96875</v>
      </c>
      <c r="J2423" s="19" t="s">
        <v>13</v>
      </c>
      <c r="K2423" s="22">
        <f t="shared" si="2"/>
        <v>0</v>
      </c>
    </row>
    <row r="2424">
      <c r="A2424" s="18">
        <v>2340.0</v>
      </c>
      <c r="B2424" s="18" t="s">
        <v>30</v>
      </c>
      <c r="C2424" s="18">
        <v>254.0</v>
      </c>
      <c r="D2424" s="18" t="s">
        <v>31</v>
      </c>
      <c r="E2424" s="26">
        <v>42563.802777777775</v>
      </c>
      <c r="F2424" s="19">
        <f>IFERROR(__xludf.DUMMYFUNCTION("IFERROR(TO_DATE(E2424), """")"),42563.802777777775)</f>
        <v>42563.80278</v>
      </c>
      <c r="G2424" s="20">
        <f t="shared" si="1"/>
        <v>19</v>
      </c>
      <c r="H2424" s="26">
        <v>42563.825</v>
      </c>
      <c r="I2424" s="19">
        <f>IFERROR(__xludf.DUMMYFUNCTION("IFERROR(TO_DATE(H2424), """")"),42563.825)</f>
        <v>42563.825</v>
      </c>
      <c r="J2424" s="19" t="s">
        <v>12</v>
      </c>
      <c r="K2424" s="22">
        <f t="shared" si="2"/>
        <v>0</v>
      </c>
    </row>
    <row r="2425">
      <c r="A2425" s="18">
        <v>4043.0</v>
      </c>
      <c r="B2425" s="18" t="s">
        <v>32</v>
      </c>
      <c r="C2425" s="18">
        <v>254.0</v>
      </c>
      <c r="D2425" s="18" t="s">
        <v>31</v>
      </c>
      <c r="E2425" s="27">
        <v>42565.02984953704</v>
      </c>
      <c r="F2425" s="19">
        <f>IFERROR(__xludf.DUMMYFUNCTION("IFERROR(TO_DATE(E2425), """")"),42565.02984953704)</f>
        <v>42565.02985</v>
      </c>
      <c r="G2425" s="20">
        <f t="shared" si="1"/>
        <v>0</v>
      </c>
      <c r="H2425" s="27">
        <v>42565.07747685185</v>
      </c>
      <c r="I2425" s="19">
        <f>IFERROR(__xludf.DUMMYFUNCTION("IFERROR(TO_DATE(H2425), """")"),42565.07747685185)</f>
        <v>42565.07748</v>
      </c>
      <c r="J2425" s="19" t="s">
        <v>15</v>
      </c>
      <c r="K2425" s="22">
        <f t="shared" si="2"/>
        <v>0</v>
      </c>
    </row>
    <row r="2426">
      <c r="A2426" s="18">
        <v>4264.0</v>
      </c>
      <c r="B2426" s="18" t="s">
        <v>32</v>
      </c>
      <c r="C2426" s="18">
        <v>254.0</v>
      </c>
      <c r="D2426" s="18" t="s">
        <v>31</v>
      </c>
      <c r="E2426" s="27">
        <v>42565.26050925926</v>
      </c>
      <c r="F2426" s="19">
        <f>IFERROR(__xludf.DUMMYFUNCTION("IFERROR(TO_DATE(E2426), """")"),42565.26050925926)</f>
        <v>42565.26051</v>
      </c>
      <c r="G2426" s="20">
        <f t="shared" si="1"/>
        <v>6</v>
      </c>
      <c r="H2426" s="27">
        <v>42565.28890046296</v>
      </c>
      <c r="I2426" s="19">
        <f>IFERROR(__xludf.DUMMYFUNCTION("IFERROR(TO_DATE(H2426), """")"),42565.28890046296)</f>
        <v>42565.2889</v>
      </c>
      <c r="J2426" s="19" t="s">
        <v>11</v>
      </c>
      <c r="K2426" s="22">
        <f t="shared" si="2"/>
        <v>0</v>
      </c>
    </row>
    <row r="2427">
      <c r="A2427" s="18">
        <v>4788.0</v>
      </c>
      <c r="B2427" s="18" t="s">
        <v>32</v>
      </c>
      <c r="C2427" s="18">
        <v>254.0</v>
      </c>
      <c r="D2427" s="18" t="s">
        <v>31</v>
      </c>
      <c r="E2427" s="27">
        <v>42565.69390046296</v>
      </c>
      <c r="F2427" s="19">
        <f>IFERROR(__xludf.DUMMYFUNCTION("IFERROR(TO_DATE(E2427), """")"),42565.69390046296)</f>
        <v>42565.6939</v>
      </c>
      <c r="G2427" s="20">
        <f t="shared" si="1"/>
        <v>16</v>
      </c>
      <c r="H2427" s="27">
        <v>42565.71623842593</v>
      </c>
      <c r="I2427" s="19">
        <f>IFERROR(__xludf.DUMMYFUNCTION("IFERROR(TO_DATE(H2427), """")"),42565.71623842593)</f>
        <v>42565.71624</v>
      </c>
      <c r="J2427" s="19" t="s">
        <v>12</v>
      </c>
      <c r="K2427" s="22">
        <f t="shared" si="2"/>
        <v>0</v>
      </c>
    </row>
    <row r="2428">
      <c r="A2428" s="18">
        <v>6046.0</v>
      </c>
      <c r="B2428" s="18" t="s">
        <v>32</v>
      </c>
      <c r="C2428" s="18">
        <v>254.0</v>
      </c>
      <c r="D2428" s="18" t="s">
        <v>31</v>
      </c>
      <c r="E2428" s="27">
        <v>42566.556238425925</v>
      </c>
      <c r="F2428" s="19">
        <f>IFERROR(__xludf.DUMMYFUNCTION("IFERROR(TO_DATE(E2428), """")"),42566.556238425925)</f>
        <v>42566.55624</v>
      </c>
      <c r="G2428" s="20">
        <f t="shared" si="1"/>
        <v>13</v>
      </c>
      <c r="H2428" s="27">
        <v>42566.59392361111</v>
      </c>
      <c r="I2428" s="19">
        <f>IFERROR(__xludf.DUMMYFUNCTION("IFERROR(TO_DATE(H2428), """")"),42566.59392361111)</f>
        <v>42566.59392</v>
      </c>
      <c r="J2428" s="19" t="s">
        <v>10</v>
      </c>
      <c r="K2428" s="22">
        <f t="shared" si="2"/>
        <v>0</v>
      </c>
    </row>
    <row r="2429">
      <c r="A2429" s="18">
        <v>6182.0</v>
      </c>
      <c r="B2429" s="18" t="s">
        <v>32</v>
      </c>
      <c r="C2429" s="18">
        <v>254.0</v>
      </c>
      <c r="D2429" s="18" t="s">
        <v>31</v>
      </c>
      <c r="E2429" s="27">
        <v>42566.712916666664</v>
      </c>
      <c r="F2429" s="19">
        <f>IFERROR(__xludf.DUMMYFUNCTION("IFERROR(TO_DATE(E2429), """")"),42566.712916666664)</f>
        <v>42566.71292</v>
      </c>
      <c r="G2429" s="20">
        <f t="shared" si="1"/>
        <v>17</v>
      </c>
      <c r="H2429" s="27">
        <v>42566.766921296294</v>
      </c>
      <c r="I2429" s="19">
        <f>IFERROR(__xludf.DUMMYFUNCTION("IFERROR(TO_DATE(H2429), """")"),42566.766921296294)</f>
        <v>42566.76692</v>
      </c>
      <c r="J2429" s="19" t="s">
        <v>12</v>
      </c>
      <c r="K2429" s="22">
        <f t="shared" si="2"/>
        <v>0</v>
      </c>
    </row>
    <row r="2430">
      <c r="A2430" s="18">
        <v>66.0</v>
      </c>
      <c r="B2430" s="18" t="s">
        <v>32</v>
      </c>
      <c r="C2430" s="18">
        <v>255.0</v>
      </c>
      <c r="D2430" s="18" t="s">
        <v>31</v>
      </c>
      <c r="E2430" s="26">
        <v>42562.18125</v>
      </c>
      <c r="F2430" s="19">
        <f>IFERROR(__xludf.DUMMYFUNCTION("IFERROR(TO_DATE(E2430), """")"),42562.18125)</f>
        <v>42562.18125</v>
      </c>
      <c r="G2430" s="20">
        <f t="shared" si="1"/>
        <v>4</v>
      </c>
      <c r="H2430" s="26">
        <v>42562.20416666667</v>
      </c>
      <c r="I2430" s="19">
        <f>IFERROR(__xludf.DUMMYFUNCTION("IFERROR(TO_DATE(H2430), """")"),42562.20416666667)</f>
        <v>42562.20417</v>
      </c>
      <c r="J2430" s="19" t="s">
        <v>11</v>
      </c>
      <c r="K2430" s="22">
        <f t="shared" si="2"/>
        <v>0</v>
      </c>
    </row>
    <row r="2431">
      <c r="A2431" s="18">
        <v>688.0</v>
      </c>
      <c r="B2431" s="18" t="s">
        <v>30</v>
      </c>
      <c r="C2431" s="18">
        <v>255.0</v>
      </c>
      <c r="D2431" s="18" t="s">
        <v>31</v>
      </c>
      <c r="E2431" s="26">
        <v>42562.57013888889</v>
      </c>
      <c r="F2431" s="19">
        <f>IFERROR(__xludf.DUMMYFUNCTION("IFERROR(TO_DATE(E2431), """")"),42562.57013888889)</f>
        <v>42562.57014</v>
      </c>
      <c r="G2431" s="20">
        <f t="shared" si="1"/>
        <v>13</v>
      </c>
      <c r="H2431" s="26">
        <v>42562.60208333333</v>
      </c>
      <c r="I2431" s="19">
        <f>IFERROR(__xludf.DUMMYFUNCTION("IFERROR(TO_DATE(H2431), """")"),42562.60208333333)</f>
        <v>42562.60208</v>
      </c>
      <c r="J2431" s="19" t="s">
        <v>10</v>
      </c>
      <c r="K2431" s="22">
        <f t="shared" si="2"/>
        <v>0</v>
      </c>
    </row>
    <row r="2432">
      <c r="A2432" s="18">
        <v>1924.0</v>
      </c>
      <c r="B2432" s="18" t="s">
        <v>32</v>
      </c>
      <c r="C2432" s="18">
        <v>255.0</v>
      </c>
      <c r="D2432" s="18" t="s">
        <v>31</v>
      </c>
      <c r="E2432" s="26">
        <v>42563.45972222222</v>
      </c>
      <c r="F2432" s="19">
        <f>IFERROR(__xludf.DUMMYFUNCTION("IFERROR(TO_DATE(E2432), """")"),42563.45972222222)</f>
        <v>42563.45972</v>
      </c>
      <c r="G2432" s="20">
        <f t="shared" si="1"/>
        <v>11</v>
      </c>
      <c r="H2432" s="26">
        <v>42563.48888888889</v>
      </c>
      <c r="I2432" s="19">
        <f>IFERROR(__xludf.DUMMYFUNCTION("IFERROR(TO_DATE(H2432), """")"),42563.48888888889)</f>
        <v>42563.48889</v>
      </c>
      <c r="J2432" s="19" t="s">
        <v>14</v>
      </c>
      <c r="K2432" s="22">
        <f t="shared" si="2"/>
        <v>0</v>
      </c>
    </row>
    <row r="2433">
      <c r="A2433" s="18">
        <v>2463.0</v>
      </c>
      <c r="B2433" s="18" t="s">
        <v>32</v>
      </c>
      <c r="C2433" s="18">
        <v>255.0</v>
      </c>
      <c r="D2433" s="18" t="s">
        <v>31</v>
      </c>
      <c r="E2433" s="26">
        <v>42563.85625</v>
      </c>
      <c r="F2433" s="19">
        <f>IFERROR(__xludf.DUMMYFUNCTION("IFERROR(TO_DATE(E2433), """")"),42563.85625)</f>
        <v>42563.85625</v>
      </c>
      <c r="G2433" s="20">
        <f t="shared" si="1"/>
        <v>20</v>
      </c>
      <c r="H2433" s="26">
        <v>42563.899305555555</v>
      </c>
      <c r="I2433" s="19">
        <f>IFERROR(__xludf.DUMMYFUNCTION("IFERROR(TO_DATE(H2433), """")"),42563.899305555555)</f>
        <v>42563.89931</v>
      </c>
      <c r="J2433" s="19" t="s">
        <v>13</v>
      </c>
      <c r="K2433" s="22">
        <f t="shared" si="2"/>
        <v>0</v>
      </c>
    </row>
    <row r="2434">
      <c r="A2434" s="18">
        <v>3679.0</v>
      </c>
      <c r="B2434" s="18" t="s">
        <v>30</v>
      </c>
      <c r="C2434" s="18">
        <v>255.0</v>
      </c>
      <c r="D2434" s="18" t="s">
        <v>31</v>
      </c>
      <c r="E2434" s="27">
        <v>42564.81287037037</v>
      </c>
      <c r="F2434" s="19">
        <f>IFERROR(__xludf.DUMMYFUNCTION("IFERROR(TO_DATE(E2434), """")"),42564.81287037037)</f>
        <v>42564.81287</v>
      </c>
      <c r="G2434" s="20">
        <f t="shared" si="1"/>
        <v>19</v>
      </c>
      <c r="H2434" s="27">
        <v>42564.841886574075</v>
      </c>
      <c r="I2434" s="19">
        <f>IFERROR(__xludf.DUMMYFUNCTION("IFERROR(TO_DATE(H2434), """")"),42564.841886574075)</f>
        <v>42564.84189</v>
      </c>
      <c r="J2434" s="19" t="s">
        <v>12</v>
      </c>
      <c r="K2434" s="22">
        <f t="shared" si="2"/>
        <v>0</v>
      </c>
    </row>
    <row r="2435">
      <c r="A2435" s="18">
        <v>4351.0</v>
      </c>
      <c r="B2435" s="18" t="s">
        <v>30</v>
      </c>
      <c r="C2435" s="18">
        <v>255.0</v>
      </c>
      <c r="D2435" s="18" t="s">
        <v>31</v>
      </c>
      <c r="E2435" s="27">
        <v>42565.30888888889</v>
      </c>
      <c r="F2435" s="19">
        <f>IFERROR(__xludf.DUMMYFUNCTION("IFERROR(TO_DATE(E2435), """")"),42565.30888888889)</f>
        <v>42565.30889</v>
      </c>
      <c r="G2435" s="20">
        <f t="shared" si="1"/>
        <v>7</v>
      </c>
      <c r="H2435" s="27">
        <v>42565.34575231482</v>
      </c>
      <c r="I2435" s="19">
        <f>IFERROR(__xludf.DUMMYFUNCTION("IFERROR(TO_DATE(H2435), """")"),42565.34575231482)</f>
        <v>42565.34575</v>
      </c>
      <c r="J2435" s="19" t="s">
        <v>11</v>
      </c>
      <c r="K2435" s="22">
        <f t="shared" si="2"/>
        <v>0</v>
      </c>
    </row>
    <row r="2436">
      <c r="A2436" s="18">
        <v>4699.0</v>
      </c>
      <c r="B2436" s="18" t="s">
        <v>32</v>
      </c>
      <c r="C2436" s="18">
        <v>255.0</v>
      </c>
      <c r="D2436" s="18" t="s">
        <v>31</v>
      </c>
      <c r="E2436" s="27">
        <v>42565.54875</v>
      </c>
      <c r="F2436" s="19">
        <f>IFERROR(__xludf.DUMMYFUNCTION("IFERROR(TO_DATE(E2436), """")"),42565.54875)</f>
        <v>42565.54875</v>
      </c>
      <c r="G2436" s="20">
        <f t="shared" si="1"/>
        <v>13</v>
      </c>
      <c r="H2436" s="27">
        <v>42565.59421296296</v>
      </c>
      <c r="I2436" s="19">
        <f>IFERROR(__xludf.DUMMYFUNCTION("IFERROR(TO_DATE(H2436), """")"),42565.59421296296)</f>
        <v>42565.59421</v>
      </c>
      <c r="J2436" s="19" t="s">
        <v>10</v>
      </c>
      <c r="K2436" s="22">
        <f t="shared" si="2"/>
        <v>0</v>
      </c>
    </row>
    <row r="2437">
      <c r="A2437" s="18">
        <v>5313.0</v>
      </c>
      <c r="B2437" s="18" t="s">
        <v>30</v>
      </c>
      <c r="C2437" s="18">
        <v>255.0</v>
      </c>
      <c r="D2437" s="18" t="s">
        <v>31</v>
      </c>
      <c r="E2437" s="27">
        <v>42565.918217592596</v>
      </c>
      <c r="F2437" s="19">
        <f>IFERROR(__xludf.DUMMYFUNCTION("IFERROR(TO_DATE(E2437), """")"),42565.918217592596)</f>
        <v>42565.91822</v>
      </c>
      <c r="G2437" s="20">
        <f t="shared" si="1"/>
        <v>22</v>
      </c>
      <c r="H2437" s="27">
        <v>42565.947222222225</v>
      </c>
      <c r="I2437" s="19">
        <f>IFERROR(__xludf.DUMMYFUNCTION("IFERROR(TO_DATE(H2437), """")"),42565.947222222225)</f>
        <v>42565.94722</v>
      </c>
      <c r="J2437" s="19" t="s">
        <v>13</v>
      </c>
      <c r="K2437" s="22">
        <f t="shared" si="2"/>
        <v>0</v>
      </c>
    </row>
    <row r="2438">
      <c r="A2438" s="18">
        <v>100.0</v>
      </c>
      <c r="B2438" s="18" t="s">
        <v>32</v>
      </c>
      <c r="C2438" s="18">
        <v>256.0</v>
      </c>
      <c r="D2438" s="18" t="s">
        <v>31</v>
      </c>
      <c r="E2438" s="26">
        <v>42562.208333333336</v>
      </c>
      <c r="F2438" s="19">
        <f>IFERROR(__xludf.DUMMYFUNCTION("IFERROR(TO_DATE(E2438), """")"),42562.208333333336)</f>
        <v>42562.20833</v>
      </c>
      <c r="G2438" s="20">
        <f t="shared" si="1"/>
        <v>5</v>
      </c>
      <c r="H2438" s="26">
        <v>42562.24097222222</v>
      </c>
      <c r="I2438" s="19">
        <f>IFERROR(__xludf.DUMMYFUNCTION("IFERROR(TO_DATE(H2438), """")"),42562.24097222222)</f>
        <v>42562.24097</v>
      </c>
      <c r="J2438" s="19" t="s">
        <v>11</v>
      </c>
      <c r="K2438" s="22">
        <f t="shared" si="2"/>
        <v>0</v>
      </c>
    </row>
    <row r="2439">
      <c r="A2439" s="18">
        <v>1129.0</v>
      </c>
      <c r="B2439" s="18" t="s">
        <v>30</v>
      </c>
      <c r="C2439" s="18">
        <v>256.0</v>
      </c>
      <c r="D2439" s="18" t="s">
        <v>31</v>
      </c>
      <c r="E2439" s="26">
        <v>42562.85208333333</v>
      </c>
      <c r="F2439" s="19">
        <f>IFERROR(__xludf.DUMMYFUNCTION("IFERROR(TO_DATE(E2439), """")"),42562.85208333333)</f>
        <v>42562.85208</v>
      </c>
      <c r="G2439" s="20">
        <f t="shared" si="1"/>
        <v>20</v>
      </c>
      <c r="H2439" s="26">
        <v>42562.899305555555</v>
      </c>
      <c r="I2439" s="19">
        <f>IFERROR(__xludf.DUMMYFUNCTION("IFERROR(TO_DATE(H2439), """")"),42562.899305555555)</f>
        <v>42562.89931</v>
      </c>
      <c r="J2439" s="19" t="s">
        <v>13</v>
      </c>
      <c r="K2439" s="22">
        <f t="shared" si="2"/>
        <v>0</v>
      </c>
    </row>
    <row r="2440">
      <c r="A2440" s="18">
        <v>2560.0</v>
      </c>
      <c r="B2440" s="18" t="s">
        <v>32</v>
      </c>
      <c r="C2440" s="18">
        <v>256.0</v>
      </c>
      <c r="D2440" s="18" t="s">
        <v>31</v>
      </c>
      <c r="E2440" s="26">
        <v>42563.89513888889</v>
      </c>
      <c r="F2440" s="19">
        <f>IFERROR(__xludf.DUMMYFUNCTION("IFERROR(TO_DATE(E2440), """")"),42563.89513888889)</f>
        <v>42563.89514</v>
      </c>
      <c r="G2440" s="20">
        <f t="shared" si="1"/>
        <v>21</v>
      </c>
      <c r="H2440" s="26">
        <v>42563.92361111111</v>
      </c>
      <c r="I2440" s="19">
        <f>IFERROR(__xludf.DUMMYFUNCTION("IFERROR(TO_DATE(H2440), """")"),42563.92361111111)</f>
        <v>42563.92361</v>
      </c>
      <c r="J2440" s="19" t="s">
        <v>13</v>
      </c>
      <c r="K2440" s="22">
        <f t="shared" si="2"/>
        <v>0</v>
      </c>
    </row>
    <row r="2441">
      <c r="A2441" s="18">
        <v>2662.0</v>
      </c>
      <c r="B2441" s="18" t="s">
        <v>30</v>
      </c>
      <c r="C2441" s="18">
        <v>256.0</v>
      </c>
      <c r="D2441" s="18" t="s">
        <v>31</v>
      </c>
      <c r="E2441" s="26">
        <v>42563.97361111111</v>
      </c>
      <c r="F2441" s="19">
        <f>IFERROR(__xludf.DUMMYFUNCTION("IFERROR(TO_DATE(E2441), """")"),42563.97361111111)</f>
        <v>42563.97361</v>
      </c>
      <c r="G2441" s="20">
        <f t="shared" si="1"/>
        <v>23</v>
      </c>
      <c r="H2441" s="27">
        <v>42564.0087037037</v>
      </c>
      <c r="I2441" s="19">
        <f>IFERROR(__xludf.DUMMYFUNCTION("IFERROR(TO_DATE(H2441), """")"),42564.0087037037)</f>
        <v>42564.0087</v>
      </c>
      <c r="J2441" s="19" t="s">
        <v>13</v>
      </c>
      <c r="K2441" s="22">
        <f t="shared" si="2"/>
        <v>0</v>
      </c>
    </row>
    <row r="2442">
      <c r="A2442" s="18">
        <v>2959.0</v>
      </c>
      <c r="B2442" s="18" t="s">
        <v>30</v>
      </c>
      <c r="C2442" s="18">
        <v>256.0</v>
      </c>
      <c r="D2442" s="18" t="s">
        <v>31</v>
      </c>
      <c r="E2442" s="27">
        <v>42564.278449074074</v>
      </c>
      <c r="F2442" s="19">
        <f>IFERROR(__xludf.DUMMYFUNCTION("IFERROR(TO_DATE(E2442), """")"),42564.278449074074)</f>
        <v>42564.27845</v>
      </c>
      <c r="G2442" s="20">
        <f t="shared" si="1"/>
        <v>6</v>
      </c>
      <c r="H2442" s="27">
        <v>42564.3175</v>
      </c>
      <c r="I2442" s="19">
        <f>IFERROR(__xludf.DUMMYFUNCTION("IFERROR(TO_DATE(H2442), """")"),42564.3175)</f>
        <v>42564.3175</v>
      </c>
      <c r="J2442" s="19" t="s">
        <v>11</v>
      </c>
      <c r="K2442" s="22">
        <f t="shared" si="2"/>
        <v>0</v>
      </c>
    </row>
    <row r="2443">
      <c r="A2443" s="18">
        <v>4747.0</v>
      </c>
      <c r="B2443" s="18" t="s">
        <v>32</v>
      </c>
      <c r="C2443" s="18">
        <v>256.0</v>
      </c>
      <c r="D2443" s="18" t="s">
        <v>31</v>
      </c>
      <c r="E2443" s="27">
        <v>42565.63248842592</v>
      </c>
      <c r="F2443" s="19">
        <f>IFERROR(__xludf.DUMMYFUNCTION("IFERROR(TO_DATE(E2443), """")"),42565.63248842592)</f>
        <v>42565.63249</v>
      </c>
      <c r="G2443" s="20">
        <f t="shared" si="1"/>
        <v>15</v>
      </c>
      <c r="H2443" s="27">
        <v>42565.67521990741</v>
      </c>
      <c r="I2443" s="19">
        <f>IFERROR(__xludf.DUMMYFUNCTION("IFERROR(TO_DATE(H2443), """")"),42565.67521990741)</f>
        <v>42565.67522</v>
      </c>
      <c r="J2443" s="19" t="s">
        <v>10</v>
      </c>
      <c r="K2443" s="22">
        <f t="shared" si="2"/>
        <v>0</v>
      </c>
    </row>
    <row r="2444">
      <c r="A2444" s="18">
        <v>5481.0</v>
      </c>
      <c r="B2444" s="18" t="s">
        <v>32</v>
      </c>
      <c r="C2444" s="18">
        <v>256.0</v>
      </c>
      <c r="D2444" s="18" t="s">
        <v>31</v>
      </c>
      <c r="E2444" s="27">
        <v>42566.200219907405</v>
      </c>
      <c r="F2444" s="19">
        <f>IFERROR(__xludf.DUMMYFUNCTION("IFERROR(TO_DATE(E2444), """")"),42566.200219907405)</f>
        <v>42566.20022</v>
      </c>
      <c r="G2444" s="20">
        <f t="shared" si="1"/>
        <v>4</v>
      </c>
      <c r="H2444" s="27">
        <v>42566.23023148148</v>
      </c>
      <c r="I2444" s="19">
        <f>IFERROR(__xludf.DUMMYFUNCTION("IFERROR(TO_DATE(H2444), """")"),42566.23023148148)</f>
        <v>42566.23023</v>
      </c>
      <c r="J2444" s="19" t="s">
        <v>11</v>
      </c>
      <c r="K2444" s="22">
        <f t="shared" si="2"/>
        <v>0</v>
      </c>
    </row>
    <row r="2445">
      <c r="A2445" s="18">
        <v>6089.0</v>
      </c>
      <c r="B2445" s="18" t="s">
        <v>32</v>
      </c>
      <c r="C2445" s="18">
        <v>256.0</v>
      </c>
      <c r="D2445" s="18" t="s">
        <v>31</v>
      </c>
      <c r="E2445" s="27">
        <v>42566.60884259259</v>
      </c>
      <c r="F2445" s="19">
        <f>IFERROR(__xludf.DUMMYFUNCTION("IFERROR(TO_DATE(E2445), """")"),42566.60884259259)</f>
        <v>42566.60884</v>
      </c>
      <c r="G2445" s="20">
        <f t="shared" si="1"/>
        <v>14</v>
      </c>
      <c r="H2445" s="27">
        <v>42566.65023148148</v>
      </c>
      <c r="I2445" s="19">
        <f>IFERROR(__xludf.DUMMYFUNCTION("IFERROR(TO_DATE(H2445), """")"),42566.65023148148)</f>
        <v>42566.65023</v>
      </c>
      <c r="J2445" s="19" t="s">
        <v>10</v>
      </c>
      <c r="K2445" s="22">
        <f t="shared" si="2"/>
        <v>0</v>
      </c>
    </row>
    <row r="2446">
      <c r="A2446" s="18">
        <v>1310.0</v>
      </c>
      <c r="B2446" s="18" t="s">
        <v>32</v>
      </c>
      <c r="C2446" s="18">
        <v>257.0</v>
      </c>
      <c r="D2446" s="18" t="s">
        <v>31</v>
      </c>
      <c r="E2446" s="26">
        <v>42562.947916666664</v>
      </c>
      <c r="F2446" s="19">
        <f>IFERROR(__xludf.DUMMYFUNCTION("IFERROR(TO_DATE(E2446), """")"),42562.947916666664)</f>
        <v>42562.94792</v>
      </c>
      <c r="G2446" s="20">
        <f t="shared" si="1"/>
        <v>22</v>
      </c>
      <c r="H2446" s="26">
        <v>42562.98333333333</v>
      </c>
      <c r="I2446" s="19">
        <f>IFERROR(__xludf.DUMMYFUNCTION("IFERROR(TO_DATE(H2446), """")"),42562.98333333333)</f>
        <v>42562.98333</v>
      </c>
      <c r="J2446" s="19" t="s">
        <v>13</v>
      </c>
      <c r="K2446" s="22">
        <f t="shared" si="2"/>
        <v>0</v>
      </c>
    </row>
    <row r="2447">
      <c r="A2447" s="18">
        <v>1497.0</v>
      </c>
      <c r="B2447" s="18" t="s">
        <v>32</v>
      </c>
      <c r="C2447" s="18">
        <v>257.0</v>
      </c>
      <c r="D2447" s="18" t="s">
        <v>31</v>
      </c>
      <c r="E2447" s="26">
        <v>42563.231944444444</v>
      </c>
      <c r="F2447" s="19">
        <f>IFERROR(__xludf.DUMMYFUNCTION("IFERROR(TO_DATE(E2447), """")"),42563.231944444444)</f>
        <v>42563.23194</v>
      </c>
      <c r="G2447" s="20">
        <f t="shared" si="1"/>
        <v>5</v>
      </c>
      <c r="H2447" s="26">
        <v>42563.28125</v>
      </c>
      <c r="I2447" s="19">
        <f>IFERROR(__xludf.DUMMYFUNCTION("IFERROR(TO_DATE(H2447), """")"),42563.28125)</f>
        <v>42563.28125</v>
      </c>
      <c r="J2447" s="19" t="s">
        <v>11</v>
      </c>
      <c r="K2447" s="22">
        <f t="shared" si="2"/>
        <v>0</v>
      </c>
    </row>
    <row r="2448">
      <c r="A2448" s="18">
        <v>3154.0</v>
      </c>
      <c r="B2448" s="18" t="s">
        <v>32</v>
      </c>
      <c r="C2448" s="18">
        <v>257.0</v>
      </c>
      <c r="D2448" s="18" t="s">
        <v>31</v>
      </c>
      <c r="E2448" s="27">
        <v>42564.379375</v>
      </c>
      <c r="F2448" s="19">
        <f>IFERROR(__xludf.DUMMYFUNCTION("IFERROR(TO_DATE(E2448), """")"),42564.379375)</f>
        <v>42564.37938</v>
      </c>
      <c r="G2448" s="20">
        <f t="shared" si="1"/>
        <v>9</v>
      </c>
      <c r="H2448" s="27">
        <v>42564.42953703704</v>
      </c>
      <c r="I2448" s="19">
        <f>IFERROR(__xludf.DUMMYFUNCTION("IFERROR(TO_DATE(H2448), """")"),42564.42953703704)</f>
        <v>42564.42954</v>
      </c>
      <c r="J2448" s="19" t="s">
        <v>14</v>
      </c>
      <c r="K2448" s="22">
        <f t="shared" si="2"/>
        <v>0</v>
      </c>
    </row>
    <row r="2449">
      <c r="A2449" s="18">
        <v>3263.0</v>
      </c>
      <c r="B2449" s="18" t="s">
        <v>30</v>
      </c>
      <c r="C2449" s="18">
        <v>257.0</v>
      </c>
      <c r="D2449" s="18" t="s">
        <v>31</v>
      </c>
      <c r="E2449" s="27">
        <v>42564.431539351855</v>
      </c>
      <c r="F2449" s="19">
        <f>IFERROR(__xludf.DUMMYFUNCTION("IFERROR(TO_DATE(E2449), """")"),42564.431539351855)</f>
        <v>42564.43154</v>
      </c>
      <c r="G2449" s="20">
        <f t="shared" si="1"/>
        <v>10</v>
      </c>
      <c r="H2449" s="27">
        <v>42564.48266203704</v>
      </c>
      <c r="I2449" s="19">
        <f>IFERROR(__xludf.DUMMYFUNCTION("IFERROR(TO_DATE(H2449), """")"),42564.48266203704)</f>
        <v>42564.48266</v>
      </c>
      <c r="J2449" s="19" t="s">
        <v>14</v>
      </c>
      <c r="K2449" s="22">
        <f t="shared" si="2"/>
        <v>0</v>
      </c>
    </row>
    <row r="2450">
      <c r="A2450" s="18">
        <v>4377.0</v>
      </c>
      <c r="B2450" s="18" t="s">
        <v>32</v>
      </c>
      <c r="C2450" s="18">
        <v>257.0</v>
      </c>
      <c r="D2450" s="18" t="s">
        <v>31</v>
      </c>
      <c r="E2450" s="27">
        <v>42565.32429398148</v>
      </c>
      <c r="F2450" s="19">
        <f>IFERROR(__xludf.DUMMYFUNCTION("IFERROR(TO_DATE(E2450), """")"),42565.32429398148)</f>
        <v>42565.32429</v>
      </c>
      <c r="G2450" s="20">
        <f t="shared" si="1"/>
        <v>7</v>
      </c>
      <c r="H2450" s="27">
        <v>42565.34092592593</v>
      </c>
      <c r="I2450" s="19">
        <f>IFERROR(__xludf.DUMMYFUNCTION("IFERROR(TO_DATE(H2450), """")"),42565.34092592593)</f>
        <v>42565.34093</v>
      </c>
      <c r="J2450" s="19" t="s">
        <v>11</v>
      </c>
      <c r="K2450" s="22">
        <f t="shared" si="2"/>
        <v>0</v>
      </c>
    </row>
    <row r="2451">
      <c r="A2451" s="18">
        <v>6158.0</v>
      </c>
      <c r="B2451" s="18" t="s">
        <v>30</v>
      </c>
      <c r="C2451" s="18">
        <v>257.0</v>
      </c>
      <c r="D2451" s="18" t="s">
        <v>31</v>
      </c>
      <c r="E2451" s="27">
        <v>42566.690462962964</v>
      </c>
      <c r="F2451" s="19">
        <f>IFERROR(__xludf.DUMMYFUNCTION("IFERROR(TO_DATE(E2451), """")"),42566.690462962964)</f>
        <v>42566.69046</v>
      </c>
      <c r="G2451" s="20">
        <f t="shared" si="1"/>
        <v>16</v>
      </c>
      <c r="H2451" s="27">
        <v>42566.74321759259</v>
      </c>
      <c r="I2451" s="19">
        <f>IFERROR(__xludf.DUMMYFUNCTION("IFERROR(TO_DATE(H2451), """")"),42566.74321759259)</f>
        <v>42566.74322</v>
      </c>
      <c r="J2451" s="19" t="s">
        <v>12</v>
      </c>
      <c r="K2451" s="22">
        <f t="shared" si="2"/>
        <v>0</v>
      </c>
    </row>
    <row r="2452">
      <c r="A2452" s="18">
        <v>6471.0</v>
      </c>
      <c r="B2452" s="18" t="s">
        <v>30</v>
      </c>
      <c r="C2452" s="18">
        <v>257.0</v>
      </c>
      <c r="D2452" s="18" t="s">
        <v>31</v>
      </c>
      <c r="E2452" s="27">
        <v>42566.84520833333</v>
      </c>
      <c r="F2452" s="19">
        <f>IFERROR(__xludf.DUMMYFUNCTION("IFERROR(TO_DATE(E2452), """")"),42566.84520833333)</f>
        <v>42566.84521</v>
      </c>
      <c r="G2452" s="20">
        <f t="shared" si="1"/>
        <v>20</v>
      </c>
      <c r="H2452" s="27">
        <v>42566.89655092593</v>
      </c>
      <c r="I2452" s="19">
        <f>IFERROR(__xludf.DUMMYFUNCTION("IFERROR(TO_DATE(H2452), """")"),42566.89655092593)</f>
        <v>42566.89655</v>
      </c>
      <c r="J2452" s="19" t="s">
        <v>13</v>
      </c>
      <c r="K2452" s="22">
        <f t="shared" si="2"/>
        <v>0</v>
      </c>
    </row>
    <row r="2453">
      <c r="A2453" s="18">
        <v>6719.0</v>
      </c>
      <c r="B2453" s="18" t="s">
        <v>32</v>
      </c>
      <c r="C2453" s="18">
        <v>257.0</v>
      </c>
      <c r="D2453" s="18" t="s">
        <v>31</v>
      </c>
      <c r="E2453" s="27">
        <v>42566.97054398148</v>
      </c>
      <c r="F2453" s="19">
        <f>IFERROR(__xludf.DUMMYFUNCTION("IFERROR(TO_DATE(E2453), """")"),42566.97054398148)</f>
        <v>42566.97054</v>
      </c>
      <c r="G2453" s="20">
        <f t="shared" si="1"/>
        <v>23</v>
      </c>
      <c r="H2453" s="27">
        <v>42566.99265046296</v>
      </c>
      <c r="I2453" s="19">
        <f>IFERROR(__xludf.DUMMYFUNCTION("IFERROR(TO_DATE(H2453), """")"),42566.99265046296)</f>
        <v>42566.99265</v>
      </c>
      <c r="J2453" s="19" t="s">
        <v>13</v>
      </c>
      <c r="K2453" s="22">
        <f t="shared" si="2"/>
        <v>0</v>
      </c>
    </row>
    <row r="2454">
      <c r="A2454" s="18">
        <v>663.0</v>
      </c>
      <c r="B2454" s="18" t="s">
        <v>30</v>
      </c>
      <c r="C2454" s="18">
        <v>258.0</v>
      </c>
      <c r="D2454" s="18" t="s">
        <v>31</v>
      </c>
      <c r="E2454" s="26">
        <v>42562.54027777778</v>
      </c>
      <c r="F2454" s="19">
        <f>IFERROR(__xludf.DUMMYFUNCTION("IFERROR(TO_DATE(E2454), """")"),42562.54027777778)</f>
        <v>42562.54028</v>
      </c>
      <c r="G2454" s="20">
        <f t="shared" si="1"/>
        <v>12</v>
      </c>
      <c r="H2454" s="26">
        <v>42562.57638888889</v>
      </c>
      <c r="I2454" s="19">
        <f>IFERROR(__xludf.DUMMYFUNCTION("IFERROR(TO_DATE(H2454), """")"),42562.57638888889)</f>
        <v>42562.57639</v>
      </c>
      <c r="J2454" s="19" t="s">
        <v>10</v>
      </c>
      <c r="K2454" s="22">
        <f t="shared" si="2"/>
        <v>0</v>
      </c>
    </row>
    <row r="2455">
      <c r="A2455" s="18">
        <v>1059.0</v>
      </c>
      <c r="B2455" s="18" t="s">
        <v>30</v>
      </c>
      <c r="C2455" s="18">
        <v>258.0</v>
      </c>
      <c r="D2455" s="18" t="s">
        <v>31</v>
      </c>
      <c r="E2455" s="26">
        <v>42562.825694444444</v>
      </c>
      <c r="F2455" s="19">
        <f>IFERROR(__xludf.DUMMYFUNCTION("IFERROR(TO_DATE(E2455), """")"),42562.825694444444)</f>
        <v>42562.82569</v>
      </c>
      <c r="G2455" s="20">
        <f t="shared" si="1"/>
        <v>19</v>
      </c>
      <c r="H2455" s="26">
        <v>42562.87708333333</v>
      </c>
      <c r="I2455" s="19">
        <f>IFERROR(__xludf.DUMMYFUNCTION("IFERROR(TO_DATE(H2455), """")"),42562.87708333333)</f>
        <v>42562.87708</v>
      </c>
      <c r="J2455" s="19" t="s">
        <v>12</v>
      </c>
      <c r="K2455" s="22">
        <f t="shared" si="2"/>
        <v>0</v>
      </c>
    </row>
    <row r="2456">
      <c r="A2456" s="18">
        <v>1279.0</v>
      </c>
      <c r="B2456" s="18" t="s">
        <v>32</v>
      </c>
      <c r="C2456" s="18">
        <v>258.0</v>
      </c>
      <c r="D2456" s="18" t="s">
        <v>31</v>
      </c>
      <c r="E2456" s="26">
        <v>42562.924305555556</v>
      </c>
      <c r="F2456" s="19">
        <f>IFERROR(__xludf.DUMMYFUNCTION("IFERROR(TO_DATE(E2456), """")"),42562.924305555556)</f>
        <v>42562.92431</v>
      </c>
      <c r="G2456" s="20">
        <f t="shared" si="1"/>
        <v>22</v>
      </c>
      <c r="H2456" s="26">
        <v>42562.941666666666</v>
      </c>
      <c r="I2456" s="19">
        <f>IFERROR(__xludf.DUMMYFUNCTION("IFERROR(TO_DATE(H2456), """")"),42562.941666666666)</f>
        <v>42562.94167</v>
      </c>
      <c r="J2456" s="19" t="s">
        <v>13</v>
      </c>
      <c r="K2456" s="22">
        <f t="shared" si="2"/>
        <v>0</v>
      </c>
    </row>
    <row r="2457">
      <c r="A2457" s="18">
        <v>2683.0</v>
      </c>
      <c r="B2457" s="18" t="s">
        <v>32</v>
      </c>
      <c r="C2457" s="18">
        <v>258.0</v>
      </c>
      <c r="D2457" s="18" t="s">
        <v>31</v>
      </c>
      <c r="E2457" s="26">
        <v>42563.00763888889</v>
      </c>
      <c r="F2457" s="19">
        <f>IFERROR(__xludf.DUMMYFUNCTION("IFERROR(TO_DATE(E2457), """")"),42563.00763888889)</f>
        <v>42563.00764</v>
      </c>
      <c r="G2457" s="20">
        <f t="shared" si="1"/>
        <v>0</v>
      </c>
      <c r="H2457" s="26">
        <v>42563.03611111111</v>
      </c>
      <c r="I2457" s="19">
        <f>IFERROR(__xludf.DUMMYFUNCTION("IFERROR(TO_DATE(H2457), """")"),42563.03611111111)</f>
        <v>42563.03611</v>
      </c>
      <c r="J2457" s="19" t="s">
        <v>15</v>
      </c>
      <c r="K2457" s="22">
        <f t="shared" si="2"/>
        <v>0</v>
      </c>
    </row>
    <row r="2458">
      <c r="A2458" s="18">
        <v>1940.0</v>
      </c>
      <c r="B2458" s="18" t="s">
        <v>30</v>
      </c>
      <c r="C2458" s="18">
        <v>258.0</v>
      </c>
      <c r="D2458" s="18" t="s">
        <v>31</v>
      </c>
      <c r="E2458" s="26">
        <v>42563.47222222222</v>
      </c>
      <c r="F2458" s="19">
        <f>IFERROR(__xludf.DUMMYFUNCTION("IFERROR(TO_DATE(E2458), """")"),42563.47222222222)</f>
        <v>42563.47222</v>
      </c>
      <c r="G2458" s="20">
        <f t="shared" si="1"/>
        <v>11</v>
      </c>
      <c r="H2458" s="26">
        <v>42563.52569444444</v>
      </c>
      <c r="I2458" s="19">
        <f>IFERROR(__xludf.DUMMYFUNCTION("IFERROR(TO_DATE(H2458), """")"),42563.52569444444)</f>
        <v>42563.52569</v>
      </c>
      <c r="J2458" s="19" t="s">
        <v>14</v>
      </c>
      <c r="K2458" s="22">
        <f t="shared" si="2"/>
        <v>0</v>
      </c>
    </row>
    <row r="2459">
      <c r="A2459" s="18">
        <v>3420.0</v>
      </c>
      <c r="B2459" s="18" t="s">
        <v>32</v>
      </c>
      <c r="C2459" s="18">
        <v>258.0</v>
      </c>
      <c r="D2459" s="18" t="s">
        <v>31</v>
      </c>
      <c r="E2459" s="27">
        <v>42564.65353009259</v>
      </c>
      <c r="F2459" s="19">
        <f>IFERROR(__xludf.DUMMYFUNCTION("IFERROR(TO_DATE(E2459), """")"),42564.65353009259)</f>
        <v>42564.65353</v>
      </c>
      <c r="G2459" s="20">
        <f t="shared" si="1"/>
        <v>15</v>
      </c>
      <c r="H2459" s="27">
        <v>42564.67998842592</v>
      </c>
      <c r="I2459" s="19">
        <f>IFERROR(__xludf.DUMMYFUNCTION("IFERROR(TO_DATE(H2459), """")"),42564.67998842592)</f>
        <v>42564.67999</v>
      </c>
      <c r="J2459" s="19" t="s">
        <v>10</v>
      </c>
      <c r="K2459" s="22">
        <f t="shared" si="2"/>
        <v>0</v>
      </c>
    </row>
    <row r="2460">
      <c r="A2460" s="18">
        <v>3905.0</v>
      </c>
      <c r="B2460" s="18" t="s">
        <v>32</v>
      </c>
      <c r="C2460" s="18">
        <v>258.0</v>
      </c>
      <c r="D2460" s="18" t="s">
        <v>31</v>
      </c>
      <c r="E2460" s="27">
        <v>42564.9209837963</v>
      </c>
      <c r="F2460" s="19">
        <f>IFERROR(__xludf.DUMMYFUNCTION("IFERROR(TO_DATE(E2460), """")"),42564.9209837963)</f>
        <v>42564.92098</v>
      </c>
      <c r="G2460" s="20">
        <f t="shared" si="1"/>
        <v>22</v>
      </c>
      <c r="H2460" s="27">
        <v>42564.950625</v>
      </c>
      <c r="I2460" s="19">
        <f>IFERROR(__xludf.DUMMYFUNCTION("IFERROR(TO_DATE(H2460), """")"),42564.950625)</f>
        <v>42564.95063</v>
      </c>
      <c r="J2460" s="19" t="s">
        <v>13</v>
      </c>
      <c r="K2460" s="22">
        <f t="shared" si="2"/>
        <v>0</v>
      </c>
    </row>
    <row r="2461">
      <c r="A2461" s="18">
        <v>4665.0</v>
      </c>
      <c r="B2461" s="18" t="s">
        <v>32</v>
      </c>
      <c r="C2461" s="18">
        <v>258.0</v>
      </c>
      <c r="D2461" s="18" t="s">
        <v>31</v>
      </c>
      <c r="E2461" s="27">
        <v>42565.51458333333</v>
      </c>
      <c r="F2461" s="19">
        <f>IFERROR(__xludf.DUMMYFUNCTION("IFERROR(TO_DATE(E2461), """")"),42565.51458333333)</f>
        <v>42565.51458</v>
      </c>
      <c r="G2461" s="20">
        <f t="shared" si="1"/>
        <v>12</v>
      </c>
      <c r="H2461" s="27">
        <v>42565.55100694444</v>
      </c>
      <c r="I2461" s="19">
        <f>IFERROR(__xludf.DUMMYFUNCTION("IFERROR(TO_DATE(H2461), """")"),42565.55100694444)</f>
        <v>42565.55101</v>
      </c>
      <c r="J2461" s="19" t="s">
        <v>10</v>
      </c>
      <c r="K2461" s="22">
        <f t="shared" si="2"/>
        <v>0</v>
      </c>
    </row>
    <row r="2462">
      <c r="A2462" s="18">
        <v>5970.0</v>
      </c>
      <c r="B2462" s="18" t="s">
        <v>32</v>
      </c>
      <c r="C2462" s="18">
        <v>258.0</v>
      </c>
      <c r="D2462" s="18" t="s">
        <v>31</v>
      </c>
      <c r="E2462" s="27">
        <v>42566.46053240741</v>
      </c>
      <c r="F2462" s="19">
        <f>IFERROR(__xludf.DUMMYFUNCTION("IFERROR(TO_DATE(E2462), """")"),42566.46053240741)</f>
        <v>42566.46053</v>
      </c>
      <c r="G2462" s="20">
        <f t="shared" si="1"/>
        <v>11</v>
      </c>
      <c r="H2462" s="27">
        <v>42566.50035879629</v>
      </c>
      <c r="I2462" s="19">
        <f>IFERROR(__xludf.DUMMYFUNCTION("IFERROR(TO_DATE(H2462), """")"),42566.50035879629)</f>
        <v>42566.50036</v>
      </c>
      <c r="J2462" s="19" t="s">
        <v>14</v>
      </c>
      <c r="K2462" s="22">
        <f t="shared" si="2"/>
        <v>0</v>
      </c>
    </row>
    <row r="2463">
      <c r="A2463" s="18">
        <v>6232.0</v>
      </c>
      <c r="B2463" s="18" t="s">
        <v>32</v>
      </c>
      <c r="C2463" s="18">
        <v>258.0</v>
      </c>
      <c r="D2463" s="18" t="s">
        <v>31</v>
      </c>
      <c r="E2463" s="27">
        <v>42566.73936342593</v>
      </c>
      <c r="F2463" s="19">
        <f>IFERROR(__xludf.DUMMYFUNCTION("IFERROR(TO_DATE(E2463), """")"),42566.73936342593)</f>
        <v>42566.73936</v>
      </c>
      <c r="G2463" s="20">
        <f t="shared" si="1"/>
        <v>17</v>
      </c>
      <c r="H2463" s="27">
        <v>42566.78611111111</v>
      </c>
      <c r="I2463" s="19">
        <f>IFERROR(__xludf.DUMMYFUNCTION("IFERROR(TO_DATE(H2463), """")"),42566.78611111111)</f>
        <v>42566.78611</v>
      </c>
      <c r="J2463" s="19" t="s">
        <v>12</v>
      </c>
      <c r="K2463" s="22">
        <f t="shared" si="2"/>
        <v>0</v>
      </c>
    </row>
    <row r="2464">
      <c r="A2464" s="18">
        <v>694.0</v>
      </c>
      <c r="B2464" s="18" t="s">
        <v>32</v>
      </c>
      <c r="C2464" s="18">
        <v>259.0</v>
      </c>
      <c r="D2464" s="18" t="s">
        <v>31</v>
      </c>
      <c r="E2464" s="26">
        <v>42562.57361111111</v>
      </c>
      <c r="F2464" s="19">
        <f>IFERROR(__xludf.DUMMYFUNCTION("IFERROR(TO_DATE(E2464), """")"),42562.57361111111)</f>
        <v>42562.57361</v>
      </c>
      <c r="G2464" s="20">
        <f t="shared" si="1"/>
        <v>13</v>
      </c>
      <c r="H2464" s="26">
        <v>42562.603472222225</v>
      </c>
      <c r="I2464" s="19">
        <f>IFERROR(__xludf.DUMMYFUNCTION("IFERROR(TO_DATE(H2464), """")"),42562.603472222225)</f>
        <v>42562.60347</v>
      </c>
      <c r="J2464" s="19" t="s">
        <v>10</v>
      </c>
      <c r="K2464" s="22">
        <f t="shared" si="2"/>
        <v>0</v>
      </c>
    </row>
    <row r="2465">
      <c r="A2465" s="18">
        <v>1515.0</v>
      </c>
      <c r="B2465" s="18" t="s">
        <v>32</v>
      </c>
      <c r="C2465" s="18">
        <v>259.0</v>
      </c>
      <c r="D2465" s="18" t="s">
        <v>31</v>
      </c>
      <c r="E2465" s="26">
        <v>42563.239583333336</v>
      </c>
      <c r="F2465" s="19">
        <f>IFERROR(__xludf.DUMMYFUNCTION("IFERROR(TO_DATE(E2465), """")"),42563.239583333336)</f>
        <v>42563.23958</v>
      </c>
      <c r="G2465" s="20">
        <f t="shared" si="1"/>
        <v>5</v>
      </c>
      <c r="H2465" s="26">
        <v>42563.26388888889</v>
      </c>
      <c r="I2465" s="19">
        <f>IFERROR(__xludf.DUMMYFUNCTION("IFERROR(TO_DATE(H2465), """")"),42563.26388888889)</f>
        <v>42563.26389</v>
      </c>
      <c r="J2465" s="19" t="s">
        <v>11</v>
      </c>
      <c r="K2465" s="22">
        <f t="shared" si="2"/>
        <v>0</v>
      </c>
    </row>
    <row r="2466">
      <c r="A2466" s="18">
        <v>1581.0</v>
      </c>
      <c r="B2466" s="18" t="s">
        <v>30</v>
      </c>
      <c r="C2466" s="18">
        <v>259.0</v>
      </c>
      <c r="D2466" s="18" t="s">
        <v>31</v>
      </c>
      <c r="E2466" s="26">
        <v>42563.26875</v>
      </c>
      <c r="F2466" s="19">
        <f>IFERROR(__xludf.DUMMYFUNCTION("IFERROR(TO_DATE(E2466), """")"),42563.26875)</f>
        <v>42563.26875</v>
      </c>
      <c r="G2466" s="20">
        <f t="shared" si="1"/>
        <v>6</v>
      </c>
      <c r="H2466" s="26">
        <v>42563.31041666667</v>
      </c>
      <c r="I2466" s="19">
        <f>IFERROR(__xludf.DUMMYFUNCTION("IFERROR(TO_DATE(H2466), """")"),42563.31041666667)</f>
        <v>42563.31042</v>
      </c>
      <c r="J2466" s="19" t="s">
        <v>11</v>
      </c>
      <c r="K2466" s="22">
        <f t="shared" si="2"/>
        <v>0</v>
      </c>
    </row>
    <row r="2467">
      <c r="A2467" s="18">
        <v>3006.0</v>
      </c>
      <c r="B2467" s="18" t="s">
        <v>32</v>
      </c>
      <c r="C2467" s="18">
        <v>259.0</v>
      </c>
      <c r="D2467" s="18" t="s">
        <v>31</v>
      </c>
      <c r="E2467" s="27">
        <v>42564.30155092593</v>
      </c>
      <c r="F2467" s="19">
        <f>IFERROR(__xludf.DUMMYFUNCTION("IFERROR(TO_DATE(E2467), """")"),42564.30155092593)</f>
        <v>42564.30155</v>
      </c>
      <c r="G2467" s="20">
        <f t="shared" si="1"/>
        <v>7</v>
      </c>
      <c r="H2467" s="27">
        <v>42564.35349537037</v>
      </c>
      <c r="I2467" s="19">
        <f>IFERROR(__xludf.DUMMYFUNCTION("IFERROR(TO_DATE(H2467), """")"),42564.35349537037)</f>
        <v>42564.3535</v>
      </c>
      <c r="J2467" s="19" t="s">
        <v>11</v>
      </c>
      <c r="K2467" s="22">
        <f t="shared" si="2"/>
        <v>0</v>
      </c>
    </row>
    <row r="2468">
      <c r="A2468" s="18">
        <v>3271.0</v>
      </c>
      <c r="B2468" s="18" t="s">
        <v>30</v>
      </c>
      <c r="C2468" s="18">
        <v>259.0</v>
      </c>
      <c r="D2468" s="18" t="s">
        <v>31</v>
      </c>
      <c r="E2468" s="27">
        <v>42564.43623842593</v>
      </c>
      <c r="F2468" s="19">
        <f>IFERROR(__xludf.DUMMYFUNCTION("IFERROR(TO_DATE(E2468), """")"),42564.43623842593)</f>
        <v>42564.43624</v>
      </c>
      <c r="G2468" s="20">
        <f t="shared" si="1"/>
        <v>10</v>
      </c>
      <c r="H2468" s="27">
        <v>42564.488078703704</v>
      </c>
      <c r="I2468" s="19">
        <f>IFERROR(__xludf.DUMMYFUNCTION("IFERROR(TO_DATE(H2468), """")"),42564.488078703704)</f>
        <v>42564.48808</v>
      </c>
      <c r="J2468" s="19" t="s">
        <v>14</v>
      </c>
      <c r="K2468" s="22">
        <f t="shared" si="2"/>
        <v>0</v>
      </c>
    </row>
    <row r="2469">
      <c r="A2469" s="18">
        <v>4879.0</v>
      </c>
      <c r="B2469" s="18" t="s">
        <v>30</v>
      </c>
      <c r="C2469" s="18">
        <v>259.0</v>
      </c>
      <c r="D2469" s="18" t="s">
        <v>31</v>
      </c>
      <c r="E2469" s="27">
        <v>42565.74260416667</v>
      </c>
      <c r="F2469" s="19">
        <f>IFERROR(__xludf.DUMMYFUNCTION("IFERROR(TO_DATE(E2469), """")"),42565.74260416667)</f>
        <v>42565.7426</v>
      </c>
      <c r="G2469" s="20">
        <f t="shared" si="1"/>
        <v>17</v>
      </c>
      <c r="H2469" s="27">
        <v>42565.77483796296</v>
      </c>
      <c r="I2469" s="19">
        <f>IFERROR(__xludf.DUMMYFUNCTION("IFERROR(TO_DATE(H2469), """")"),42565.77483796296)</f>
        <v>42565.77484</v>
      </c>
      <c r="J2469" s="19" t="s">
        <v>12</v>
      </c>
      <c r="K2469" s="22">
        <f t="shared" si="2"/>
        <v>0</v>
      </c>
    </row>
    <row r="2470">
      <c r="A2470" s="18">
        <v>5276.0</v>
      </c>
      <c r="B2470" s="18" t="s">
        <v>32</v>
      </c>
      <c r="C2470" s="18">
        <v>259.0</v>
      </c>
      <c r="D2470" s="18" t="s">
        <v>31</v>
      </c>
      <c r="E2470" s="27">
        <v>42565.89983796296</v>
      </c>
      <c r="F2470" s="19">
        <f>IFERROR(__xludf.DUMMYFUNCTION("IFERROR(TO_DATE(E2470), """")"),42565.89983796296)</f>
        <v>42565.89984</v>
      </c>
      <c r="G2470" s="20">
        <f t="shared" si="1"/>
        <v>21</v>
      </c>
      <c r="H2470" s="27">
        <v>42565.94960648148</v>
      </c>
      <c r="I2470" s="19">
        <f>IFERROR(__xludf.DUMMYFUNCTION("IFERROR(TO_DATE(H2470), """")"),42565.94960648148)</f>
        <v>42565.94961</v>
      </c>
      <c r="J2470" s="19" t="s">
        <v>13</v>
      </c>
      <c r="K2470" s="22">
        <f t="shared" si="2"/>
        <v>0</v>
      </c>
    </row>
    <row r="2471">
      <c r="A2471" s="18">
        <v>6658.0</v>
      </c>
      <c r="B2471" s="18" t="s">
        <v>30</v>
      </c>
      <c r="C2471" s="18">
        <v>259.0</v>
      </c>
      <c r="D2471" s="18" t="s">
        <v>31</v>
      </c>
      <c r="E2471" s="27">
        <v>42566.92710648148</v>
      </c>
      <c r="F2471" s="19">
        <f>IFERROR(__xludf.DUMMYFUNCTION("IFERROR(TO_DATE(E2471), """")"),42566.92710648148)</f>
        <v>42566.92711</v>
      </c>
      <c r="G2471" s="20">
        <f t="shared" si="1"/>
        <v>22</v>
      </c>
      <c r="H2471" s="27">
        <v>42566.966875</v>
      </c>
      <c r="I2471" s="19">
        <f>IFERROR(__xludf.DUMMYFUNCTION("IFERROR(TO_DATE(H2471), """")"),42566.966875)</f>
        <v>42566.96688</v>
      </c>
      <c r="J2471" s="19" t="s">
        <v>13</v>
      </c>
      <c r="K2471" s="22">
        <f t="shared" si="2"/>
        <v>0</v>
      </c>
    </row>
    <row r="2472">
      <c r="A2472" s="18">
        <v>394.0</v>
      </c>
      <c r="B2472" s="18" t="s">
        <v>30</v>
      </c>
      <c r="C2472" s="18">
        <v>260.0</v>
      </c>
      <c r="D2472" s="18" t="s">
        <v>31</v>
      </c>
      <c r="E2472" s="26">
        <v>42562.34861111111</v>
      </c>
      <c r="F2472" s="19">
        <f>IFERROR(__xludf.DUMMYFUNCTION("IFERROR(TO_DATE(E2472), """")"),42562.34861111111)</f>
        <v>42562.34861</v>
      </c>
      <c r="G2472" s="20">
        <f t="shared" si="1"/>
        <v>8</v>
      </c>
      <c r="H2472" s="26">
        <v>42562.37430555555</v>
      </c>
      <c r="I2472" s="19">
        <f>IFERROR(__xludf.DUMMYFUNCTION("IFERROR(TO_DATE(H2472), """")"),42562.37430555555)</f>
        <v>42562.37431</v>
      </c>
      <c r="J2472" s="19" t="s">
        <v>14</v>
      </c>
      <c r="K2472" s="22">
        <f t="shared" si="2"/>
        <v>0</v>
      </c>
    </row>
    <row r="2473">
      <c r="A2473" s="18">
        <v>1442.0</v>
      </c>
      <c r="B2473" s="18" t="s">
        <v>30</v>
      </c>
      <c r="C2473" s="18">
        <v>260.0</v>
      </c>
      <c r="D2473" s="18" t="s">
        <v>31</v>
      </c>
      <c r="E2473" s="26">
        <v>42563.200694444444</v>
      </c>
      <c r="F2473" s="19">
        <f>IFERROR(__xludf.DUMMYFUNCTION("IFERROR(TO_DATE(E2473), """")"),42563.200694444444)</f>
        <v>42563.20069</v>
      </c>
      <c r="G2473" s="20">
        <f t="shared" si="1"/>
        <v>4</v>
      </c>
      <c r="H2473" s="26">
        <v>42563.2375</v>
      </c>
      <c r="I2473" s="19">
        <f>IFERROR(__xludf.DUMMYFUNCTION("IFERROR(TO_DATE(H2473), """")"),42563.2375)</f>
        <v>42563.2375</v>
      </c>
      <c r="J2473" s="19" t="s">
        <v>11</v>
      </c>
      <c r="K2473" s="22">
        <f t="shared" si="2"/>
        <v>0</v>
      </c>
    </row>
    <row r="2474">
      <c r="A2474" s="18">
        <v>3274.0</v>
      </c>
      <c r="B2474" s="18" t="s">
        <v>30</v>
      </c>
      <c r="C2474" s="18">
        <v>260.0</v>
      </c>
      <c r="D2474" s="18" t="s">
        <v>31</v>
      </c>
      <c r="E2474" s="27">
        <v>42564.442349537036</v>
      </c>
      <c r="F2474" s="19">
        <f>IFERROR(__xludf.DUMMYFUNCTION("IFERROR(TO_DATE(E2474), """")"),42564.442349537036)</f>
        <v>42564.44235</v>
      </c>
      <c r="G2474" s="20">
        <f t="shared" si="1"/>
        <v>10</v>
      </c>
      <c r="H2474" s="27">
        <v>42564.48266203704</v>
      </c>
      <c r="I2474" s="19">
        <f>IFERROR(__xludf.DUMMYFUNCTION("IFERROR(TO_DATE(H2474), """")"),42564.48266203704)</f>
        <v>42564.48266</v>
      </c>
      <c r="J2474" s="19" t="s">
        <v>14</v>
      </c>
      <c r="K2474" s="22">
        <f t="shared" si="2"/>
        <v>0</v>
      </c>
    </row>
    <row r="2475">
      <c r="A2475" s="18">
        <v>5051.0</v>
      </c>
      <c r="B2475" s="18" t="s">
        <v>30</v>
      </c>
      <c r="C2475" s="18">
        <v>260.0</v>
      </c>
      <c r="D2475" s="18" t="s">
        <v>31</v>
      </c>
      <c r="E2475" s="27">
        <v>42565.80693287037</v>
      </c>
      <c r="F2475" s="19">
        <f>IFERROR(__xludf.DUMMYFUNCTION("IFERROR(TO_DATE(E2475), """")"),42565.80693287037)</f>
        <v>42565.80693</v>
      </c>
      <c r="G2475" s="20">
        <f t="shared" si="1"/>
        <v>19</v>
      </c>
      <c r="H2475" s="27">
        <v>42565.84307870371</v>
      </c>
      <c r="I2475" s="19">
        <f>IFERROR(__xludf.DUMMYFUNCTION("IFERROR(TO_DATE(H2475), """")"),42565.84307870371)</f>
        <v>42565.84308</v>
      </c>
      <c r="J2475" s="19" t="s">
        <v>12</v>
      </c>
      <c r="K2475" s="22">
        <f t="shared" si="2"/>
        <v>0</v>
      </c>
    </row>
    <row r="2476">
      <c r="A2476" s="18">
        <v>5345.0</v>
      </c>
      <c r="B2476" s="18" t="s">
        <v>30</v>
      </c>
      <c r="C2476" s="18">
        <v>260.0</v>
      </c>
      <c r="D2476" s="18" t="s">
        <v>31</v>
      </c>
      <c r="E2476" s="27">
        <v>42565.94708333333</v>
      </c>
      <c r="F2476" s="19">
        <f>IFERROR(__xludf.DUMMYFUNCTION("IFERROR(TO_DATE(E2476), """")"),42565.94708333333)</f>
        <v>42565.94708</v>
      </c>
      <c r="G2476" s="20">
        <f t="shared" si="1"/>
        <v>22</v>
      </c>
      <c r="H2476" s="27">
        <v>42565.98678240741</v>
      </c>
      <c r="I2476" s="19">
        <f>IFERROR(__xludf.DUMMYFUNCTION("IFERROR(TO_DATE(H2476), """")"),42565.98678240741)</f>
        <v>42565.98678</v>
      </c>
      <c r="J2476" s="19" t="s">
        <v>13</v>
      </c>
      <c r="K2476" s="22">
        <f t="shared" si="2"/>
        <v>0</v>
      </c>
    </row>
    <row r="2477">
      <c r="A2477" s="18">
        <v>6499.0</v>
      </c>
      <c r="B2477" s="18" t="s">
        <v>32</v>
      </c>
      <c r="C2477" s="18">
        <v>260.0</v>
      </c>
      <c r="D2477" s="18" t="s">
        <v>31</v>
      </c>
      <c r="E2477" s="27">
        <v>42566.85778935185</v>
      </c>
      <c r="F2477" s="19">
        <f>IFERROR(__xludf.DUMMYFUNCTION("IFERROR(TO_DATE(E2477), """")"),42566.85778935185)</f>
        <v>42566.85779</v>
      </c>
      <c r="G2477" s="20">
        <f t="shared" si="1"/>
        <v>20</v>
      </c>
      <c r="H2477" s="27">
        <v>42566.886979166666</v>
      </c>
      <c r="I2477" s="19">
        <f>IFERROR(__xludf.DUMMYFUNCTION("IFERROR(TO_DATE(H2477), """")"),42566.886979166666)</f>
        <v>42566.88698</v>
      </c>
      <c r="J2477" s="19" t="s">
        <v>13</v>
      </c>
      <c r="K2477" s="22">
        <f t="shared" si="2"/>
        <v>0</v>
      </c>
    </row>
    <row r="2478">
      <c r="A2478" s="18">
        <v>273.0</v>
      </c>
      <c r="B2478" s="18" t="s">
        <v>30</v>
      </c>
      <c r="C2478" s="18">
        <v>261.0</v>
      </c>
      <c r="D2478" s="18" t="s">
        <v>31</v>
      </c>
      <c r="E2478" s="26">
        <v>42562.285416666666</v>
      </c>
      <c r="F2478" s="19">
        <f>IFERROR(__xludf.DUMMYFUNCTION("IFERROR(TO_DATE(E2478), """")"),42562.285416666666)</f>
        <v>42562.28542</v>
      </c>
      <c r="G2478" s="20">
        <f t="shared" si="1"/>
        <v>6</v>
      </c>
      <c r="H2478" s="26">
        <v>42562.32986111111</v>
      </c>
      <c r="I2478" s="19">
        <f>IFERROR(__xludf.DUMMYFUNCTION("IFERROR(TO_DATE(H2478), """")"),42562.32986111111)</f>
        <v>42562.32986</v>
      </c>
      <c r="J2478" s="19" t="s">
        <v>11</v>
      </c>
      <c r="K2478" s="22">
        <f t="shared" si="2"/>
        <v>0</v>
      </c>
    </row>
    <row r="2479">
      <c r="A2479" s="18">
        <v>794.0</v>
      </c>
      <c r="B2479" s="18" t="s">
        <v>32</v>
      </c>
      <c r="C2479" s="18">
        <v>261.0</v>
      </c>
      <c r="D2479" s="18" t="s">
        <v>31</v>
      </c>
      <c r="E2479" s="26">
        <v>42562.71111111111</v>
      </c>
      <c r="F2479" s="19">
        <f>IFERROR(__xludf.DUMMYFUNCTION("IFERROR(TO_DATE(E2479), """")"),42562.71111111111)</f>
        <v>42562.71111</v>
      </c>
      <c r="G2479" s="20">
        <f t="shared" si="1"/>
        <v>17</v>
      </c>
      <c r="H2479" s="26">
        <v>42562.74444444444</v>
      </c>
      <c r="I2479" s="19">
        <f>IFERROR(__xludf.DUMMYFUNCTION("IFERROR(TO_DATE(H2479), """")"),42562.74444444444)</f>
        <v>42562.74444</v>
      </c>
      <c r="J2479" s="19" t="s">
        <v>12</v>
      </c>
      <c r="K2479" s="22">
        <f t="shared" si="2"/>
        <v>0</v>
      </c>
    </row>
    <row r="2480">
      <c r="A2480" s="18">
        <v>1044.0</v>
      </c>
      <c r="B2480" s="18" t="s">
        <v>32</v>
      </c>
      <c r="C2480" s="18">
        <v>261.0</v>
      </c>
      <c r="D2480" s="18" t="s">
        <v>31</v>
      </c>
      <c r="E2480" s="26">
        <v>42562.81597222222</v>
      </c>
      <c r="F2480" s="19">
        <f>IFERROR(__xludf.DUMMYFUNCTION("IFERROR(TO_DATE(E2480), """")"),42562.81597222222)</f>
        <v>42562.81597</v>
      </c>
      <c r="G2480" s="20">
        <f t="shared" si="1"/>
        <v>19</v>
      </c>
      <c r="H2480" s="26">
        <v>42562.84583333333</v>
      </c>
      <c r="I2480" s="19">
        <f>IFERROR(__xludf.DUMMYFUNCTION("IFERROR(TO_DATE(H2480), """")"),42562.84583333333)</f>
        <v>42562.84583</v>
      </c>
      <c r="J2480" s="19" t="s">
        <v>12</v>
      </c>
      <c r="K2480" s="22">
        <f t="shared" si="2"/>
        <v>0</v>
      </c>
    </row>
    <row r="2481">
      <c r="A2481" s="18">
        <v>1629.0</v>
      </c>
      <c r="B2481" s="18" t="s">
        <v>30</v>
      </c>
      <c r="C2481" s="18">
        <v>261.0</v>
      </c>
      <c r="D2481" s="18" t="s">
        <v>31</v>
      </c>
      <c r="E2481" s="26">
        <v>42563.294444444444</v>
      </c>
      <c r="F2481" s="19">
        <f>IFERROR(__xludf.DUMMYFUNCTION("IFERROR(TO_DATE(E2481), """")"),42563.294444444444)</f>
        <v>42563.29444</v>
      </c>
      <c r="G2481" s="20">
        <f t="shared" si="1"/>
        <v>7</v>
      </c>
      <c r="H2481" s="26">
        <v>42563.32986111111</v>
      </c>
      <c r="I2481" s="19">
        <f>IFERROR(__xludf.DUMMYFUNCTION("IFERROR(TO_DATE(H2481), """")"),42563.32986111111)</f>
        <v>42563.32986</v>
      </c>
      <c r="J2481" s="19" t="s">
        <v>11</v>
      </c>
      <c r="K2481" s="22">
        <f t="shared" si="2"/>
        <v>0</v>
      </c>
    </row>
    <row r="2482">
      <c r="A2482" s="18">
        <v>2050.0</v>
      </c>
      <c r="B2482" s="18" t="s">
        <v>30</v>
      </c>
      <c r="C2482" s="18">
        <v>261.0</v>
      </c>
      <c r="D2482" s="18" t="s">
        <v>31</v>
      </c>
      <c r="E2482" s="26">
        <v>42563.618055555555</v>
      </c>
      <c r="F2482" s="19">
        <f>IFERROR(__xludf.DUMMYFUNCTION("IFERROR(TO_DATE(E2482), """")"),42563.618055555555)</f>
        <v>42563.61806</v>
      </c>
      <c r="G2482" s="20">
        <f t="shared" si="1"/>
        <v>14</v>
      </c>
      <c r="H2482" s="26">
        <v>42563.65069444444</v>
      </c>
      <c r="I2482" s="19">
        <f>IFERROR(__xludf.DUMMYFUNCTION("IFERROR(TO_DATE(H2482), """")"),42563.65069444444)</f>
        <v>42563.65069</v>
      </c>
      <c r="J2482" s="19" t="s">
        <v>10</v>
      </c>
      <c r="K2482" s="22">
        <f t="shared" si="2"/>
        <v>0</v>
      </c>
    </row>
    <row r="2483">
      <c r="A2483" s="18">
        <v>2209.0</v>
      </c>
      <c r="B2483" s="18" t="s">
        <v>32</v>
      </c>
      <c r="C2483" s="18">
        <v>261.0</v>
      </c>
      <c r="D2483" s="18" t="s">
        <v>31</v>
      </c>
      <c r="E2483" s="26">
        <v>42563.74652777778</v>
      </c>
      <c r="F2483" s="19">
        <f>IFERROR(__xludf.DUMMYFUNCTION("IFERROR(TO_DATE(E2483), """")"),42563.74652777778)</f>
        <v>42563.74653</v>
      </c>
      <c r="G2483" s="20">
        <f t="shared" si="1"/>
        <v>17</v>
      </c>
      <c r="H2483" s="26">
        <v>42563.77777777778</v>
      </c>
      <c r="I2483" s="19">
        <f>IFERROR(__xludf.DUMMYFUNCTION("IFERROR(TO_DATE(H2483), """")"),42563.77777777778)</f>
        <v>42563.77778</v>
      </c>
      <c r="J2483" s="19" t="s">
        <v>12</v>
      </c>
      <c r="K2483" s="22">
        <f t="shared" si="2"/>
        <v>0</v>
      </c>
    </row>
    <row r="2484">
      <c r="A2484" s="18">
        <v>2953.0</v>
      </c>
      <c r="B2484" s="18" t="s">
        <v>32</v>
      </c>
      <c r="C2484" s="18">
        <v>261.0</v>
      </c>
      <c r="D2484" s="18" t="s">
        <v>31</v>
      </c>
      <c r="E2484" s="27">
        <v>42564.277453703704</v>
      </c>
      <c r="F2484" s="19">
        <f>IFERROR(__xludf.DUMMYFUNCTION("IFERROR(TO_DATE(E2484), """")"),42564.277453703704)</f>
        <v>42564.27745</v>
      </c>
      <c r="G2484" s="20">
        <f t="shared" si="1"/>
        <v>6</v>
      </c>
      <c r="H2484" s="27">
        <v>42564.33006944445</v>
      </c>
      <c r="I2484" s="19">
        <f>IFERROR(__xludf.DUMMYFUNCTION("IFERROR(TO_DATE(H2484), """")"),42564.33006944445)</f>
        <v>42564.33007</v>
      </c>
      <c r="J2484" s="19" t="s">
        <v>11</v>
      </c>
      <c r="K2484" s="22">
        <f t="shared" si="2"/>
        <v>0</v>
      </c>
    </row>
    <row r="2485">
      <c r="A2485" s="18">
        <v>3508.0</v>
      </c>
      <c r="B2485" s="18" t="s">
        <v>32</v>
      </c>
      <c r="C2485" s="18">
        <v>261.0</v>
      </c>
      <c r="D2485" s="18" t="s">
        <v>31</v>
      </c>
      <c r="E2485" s="27">
        <v>42564.73707175926</v>
      </c>
      <c r="F2485" s="19">
        <f>IFERROR(__xludf.DUMMYFUNCTION("IFERROR(TO_DATE(E2485), """")"),42564.73707175926)</f>
        <v>42564.73707</v>
      </c>
      <c r="G2485" s="20">
        <f t="shared" si="1"/>
        <v>17</v>
      </c>
      <c r="H2485" s="27">
        <v>42564.782314814816</v>
      </c>
      <c r="I2485" s="19">
        <f>IFERROR(__xludf.DUMMYFUNCTION("IFERROR(TO_DATE(H2485), """")"),42564.782314814816)</f>
        <v>42564.78231</v>
      </c>
      <c r="J2485" s="19" t="s">
        <v>12</v>
      </c>
      <c r="K2485" s="22">
        <f t="shared" si="2"/>
        <v>0</v>
      </c>
    </row>
    <row r="2486">
      <c r="A2486" s="18">
        <v>4674.0</v>
      </c>
      <c r="B2486" s="18" t="s">
        <v>32</v>
      </c>
      <c r="C2486" s="18">
        <v>261.0</v>
      </c>
      <c r="D2486" s="18" t="s">
        <v>31</v>
      </c>
      <c r="E2486" s="27">
        <v>42565.52579861111</v>
      </c>
      <c r="F2486" s="19">
        <f>IFERROR(__xludf.DUMMYFUNCTION("IFERROR(TO_DATE(E2486), """")"),42565.52579861111)</f>
        <v>42565.5258</v>
      </c>
      <c r="G2486" s="20">
        <f t="shared" si="1"/>
        <v>12</v>
      </c>
      <c r="H2486" s="27">
        <v>42565.55684027778</v>
      </c>
      <c r="I2486" s="19">
        <f>IFERROR(__xludf.DUMMYFUNCTION("IFERROR(TO_DATE(H2486), """")"),42565.55684027778)</f>
        <v>42565.55684</v>
      </c>
      <c r="J2486" s="19" t="s">
        <v>10</v>
      </c>
      <c r="K2486" s="22">
        <f t="shared" si="2"/>
        <v>0</v>
      </c>
    </row>
    <row r="2487">
      <c r="A2487" s="18">
        <v>5786.0</v>
      </c>
      <c r="B2487" s="18" t="s">
        <v>32</v>
      </c>
      <c r="C2487" s="18">
        <v>261.0</v>
      </c>
      <c r="D2487" s="18" t="s">
        <v>31</v>
      </c>
      <c r="E2487" s="27">
        <v>42566.354837962965</v>
      </c>
      <c r="F2487" s="19">
        <f>IFERROR(__xludf.DUMMYFUNCTION("IFERROR(TO_DATE(E2487), """")"),42566.354837962965)</f>
        <v>42566.35484</v>
      </c>
      <c r="G2487" s="20">
        <f t="shared" si="1"/>
        <v>8</v>
      </c>
      <c r="H2487" s="27">
        <v>42566.39741898148</v>
      </c>
      <c r="I2487" s="19">
        <f>IFERROR(__xludf.DUMMYFUNCTION("IFERROR(TO_DATE(H2487), """")"),42566.39741898148)</f>
        <v>42566.39742</v>
      </c>
      <c r="J2487" s="19" t="s">
        <v>14</v>
      </c>
      <c r="K2487" s="22">
        <f t="shared" si="2"/>
        <v>0</v>
      </c>
    </row>
    <row r="2488">
      <c r="A2488" s="18">
        <v>6017.0</v>
      </c>
      <c r="B2488" s="18" t="s">
        <v>30</v>
      </c>
      <c r="C2488" s="18">
        <v>261.0</v>
      </c>
      <c r="D2488" s="18" t="s">
        <v>31</v>
      </c>
      <c r="E2488" s="27">
        <v>42566.526412037034</v>
      </c>
      <c r="F2488" s="19">
        <f>IFERROR(__xludf.DUMMYFUNCTION("IFERROR(TO_DATE(E2488), """")"),42566.526412037034)</f>
        <v>42566.52641</v>
      </c>
      <c r="G2488" s="20">
        <f t="shared" si="1"/>
        <v>12</v>
      </c>
      <c r="H2488" s="27">
        <v>42566.576319444444</v>
      </c>
      <c r="I2488" s="19">
        <f>IFERROR(__xludf.DUMMYFUNCTION("IFERROR(TO_DATE(H2488), """")"),42566.576319444444)</f>
        <v>42566.57632</v>
      </c>
      <c r="J2488" s="19" t="s">
        <v>10</v>
      </c>
      <c r="K2488" s="22">
        <f t="shared" si="2"/>
        <v>0</v>
      </c>
    </row>
    <row r="2489">
      <c r="A2489" s="18">
        <v>6613.0</v>
      </c>
      <c r="B2489" s="18" t="s">
        <v>32</v>
      </c>
      <c r="C2489" s="18">
        <v>261.0</v>
      </c>
      <c r="D2489" s="18" t="s">
        <v>31</v>
      </c>
      <c r="E2489" s="27">
        <v>42566.907326388886</v>
      </c>
      <c r="F2489" s="19">
        <f>IFERROR(__xludf.DUMMYFUNCTION("IFERROR(TO_DATE(E2489), """")"),42566.907326388886)</f>
        <v>42566.90733</v>
      </c>
      <c r="G2489" s="20">
        <f t="shared" si="1"/>
        <v>21</v>
      </c>
      <c r="H2489" s="27">
        <v>42566.934895833336</v>
      </c>
      <c r="I2489" s="19">
        <f>IFERROR(__xludf.DUMMYFUNCTION("IFERROR(TO_DATE(H2489), """")"),42566.934895833336)</f>
        <v>42566.9349</v>
      </c>
      <c r="J2489" s="19" t="s">
        <v>13</v>
      </c>
      <c r="K2489" s="22">
        <f t="shared" si="2"/>
        <v>0</v>
      </c>
    </row>
    <row r="2490">
      <c r="A2490" s="18">
        <v>361.0</v>
      </c>
      <c r="B2490" s="18" t="s">
        <v>32</v>
      </c>
      <c r="C2490" s="18">
        <v>262.0</v>
      </c>
      <c r="D2490" s="18" t="s">
        <v>31</v>
      </c>
      <c r="E2490" s="26">
        <v>42562.336805555555</v>
      </c>
      <c r="F2490" s="19">
        <f>IFERROR(__xludf.DUMMYFUNCTION("IFERROR(TO_DATE(E2490), """")"),42562.336805555555)</f>
        <v>42562.33681</v>
      </c>
      <c r="G2490" s="20">
        <f t="shared" si="1"/>
        <v>8</v>
      </c>
      <c r="H2490" s="26">
        <v>42562.36666666667</v>
      </c>
      <c r="I2490" s="19">
        <f>IFERROR(__xludf.DUMMYFUNCTION("IFERROR(TO_DATE(H2490), """")"),42562.36666666667)</f>
        <v>42562.36667</v>
      </c>
      <c r="J2490" s="19" t="s">
        <v>14</v>
      </c>
      <c r="K2490" s="22">
        <f t="shared" si="2"/>
        <v>0</v>
      </c>
    </row>
    <row r="2491">
      <c r="A2491" s="18">
        <v>1101.0</v>
      </c>
      <c r="B2491" s="18" t="s">
        <v>32</v>
      </c>
      <c r="C2491" s="18">
        <v>262.0</v>
      </c>
      <c r="D2491" s="18" t="s">
        <v>31</v>
      </c>
      <c r="E2491" s="26">
        <v>42562.83819444444</v>
      </c>
      <c r="F2491" s="19">
        <f>IFERROR(__xludf.DUMMYFUNCTION("IFERROR(TO_DATE(E2491), """")"),42562.83819444444)</f>
        <v>42562.83819</v>
      </c>
      <c r="G2491" s="20">
        <f t="shared" si="1"/>
        <v>20</v>
      </c>
      <c r="H2491" s="26">
        <v>42562.87569444445</v>
      </c>
      <c r="I2491" s="19">
        <f>IFERROR(__xludf.DUMMYFUNCTION("IFERROR(TO_DATE(H2491), """")"),42562.87569444445)</f>
        <v>42562.87569</v>
      </c>
      <c r="J2491" s="19" t="s">
        <v>13</v>
      </c>
      <c r="K2491" s="22">
        <f t="shared" si="2"/>
        <v>0</v>
      </c>
    </row>
    <row r="2492">
      <c r="A2492" s="18">
        <v>1272.0</v>
      </c>
      <c r="B2492" s="18" t="s">
        <v>30</v>
      </c>
      <c r="C2492" s="18">
        <v>262.0</v>
      </c>
      <c r="D2492" s="18" t="s">
        <v>31</v>
      </c>
      <c r="E2492" s="26">
        <v>42562.916666666664</v>
      </c>
      <c r="F2492" s="19">
        <f>IFERROR(__xludf.DUMMYFUNCTION("IFERROR(TO_DATE(E2492), """")"),42562.916666666664)</f>
        <v>42562.91667</v>
      </c>
      <c r="G2492" s="20">
        <f t="shared" si="1"/>
        <v>22</v>
      </c>
      <c r="H2492" s="26">
        <v>42562.955555555556</v>
      </c>
      <c r="I2492" s="19">
        <f>IFERROR(__xludf.DUMMYFUNCTION("IFERROR(TO_DATE(H2492), """")"),42562.955555555556)</f>
        <v>42562.95556</v>
      </c>
      <c r="J2492" s="19" t="s">
        <v>13</v>
      </c>
      <c r="K2492" s="22">
        <f t="shared" si="2"/>
        <v>0</v>
      </c>
    </row>
    <row r="2493">
      <c r="A2493" s="18">
        <v>2106.0</v>
      </c>
      <c r="B2493" s="18" t="s">
        <v>32</v>
      </c>
      <c r="C2493" s="18">
        <v>262.0</v>
      </c>
      <c r="D2493" s="18" t="s">
        <v>31</v>
      </c>
      <c r="E2493" s="26">
        <v>42563.67638888889</v>
      </c>
      <c r="F2493" s="19">
        <f>IFERROR(__xludf.DUMMYFUNCTION("IFERROR(TO_DATE(E2493), """")"),42563.67638888889)</f>
        <v>42563.67639</v>
      </c>
      <c r="G2493" s="20">
        <f t="shared" si="1"/>
        <v>16</v>
      </c>
      <c r="H2493" s="26">
        <v>42563.70486111111</v>
      </c>
      <c r="I2493" s="19">
        <f>IFERROR(__xludf.DUMMYFUNCTION("IFERROR(TO_DATE(H2493), """")"),42563.70486111111)</f>
        <v>42563.70486</v>
      </c>
      <c r="J2493" s="19" t="s">
        <v>12</v>
      </c>
      <c r="K2493" s="22">
        <f t="shared" si="2"/>
        <v>0</v>
      </c>
    </row>
    <row r="2494">
      <c r="A2494" s="18">
        <v>2584.0</v>
      </c>
      <c r="B2494" s="18" t="s">
        <v>30</v>
      </c>
      <c r="C2494" s="18">
        <v>262.0</v>
      </c>
      <c r="D2494" s="18" t="s">
        <v>31</v>
      </c>
      <c r="E2494" s="26">
        <v>42563.904861111114</v>
      </c>
      <c r="F2494" s="19">
        <f>IFERROR(__xludf.DUMMYFUNCTION("IFERROR(TO_DATE(E2494), """")"),42563.904861111114)</f>
        <v>42563.90486</v>
      </c>
      <c r="G2494" s="20">
        <f t="shared" si="1"/>
        <v>21</v>
      </c>
      <c r="H2494" s="26">
        <v>42563.941666666666</v>
      </c>
      <c r="I2494" s="19">
        <f>IFERROR(__xludf.DUMMYFUNCTION("IFERROR(TO_DATE(H2494), """")"),42563.941666666666)</f>
        <v>42563.94167</v>
      </c>
      <c r="J2494" s="19" t="s">
        <v>13</v>
      </c>
      <c r="K2494" s="22">
        <f t="shared" si="2"/>
        <v>0</v>
      </c>
    </row>
    <row r="2495">
      <c r="A2495" s="18">
        <v>3305.0</v>
      </c>
      <c r="B2495" s="18" t="s">
        <v>32</v>
      </c>
      <c r="C2495" s="18">
        <v>262.0</v>
      </c>
      <c r="D2495" s="18" t="s">
        <v>31</v>
      </c>
      <c r="E2495" s="27">
        <v>42564.495474537034</v>
      </c>
      <c r="F2495" s="19">
        <f>IFERROR(__xludf.DUMMYFUNCTION("IFERROR(TO_DATE(E2495), """")"),42564.495474537034)</f>
        <v>42564.49547</v>
      </c>
      <c r="G2495" s="20">
        <f t="shared" si="1"/>
        <v>11</v>
      </c>
      <c r="H2495" s="27">
        <v>42564.53525462963</v>
      </c>
      <c r="I2495" s="19">
        <f>IFERROR(__xludf.DUMMYFUNCTION("IFERROR(TO_DATE(H2495), """")"),42564.53525462963)</f>
        <v>42564.53525</v>
      </c>
      <c r="J2495" s="19" t="s">
        <v>14</v>
      </c>
      <c r="K2495" s="22">
        <f t="shared" si="2"/>
        <v>0</v>
      </c>
    </row>
    <row r="2496">
      <c r="A2496" s="18">
        <v>4733.0</v>
      </c>
      <c r="B2496" s="18" t="s">
        <v>32</v>
      </c>
      <c r="C2496" s="18">
        <v>262.0</v>
      </c>
      <c r="D2496" s="18" t="s">
        <v>31</v>
      </c>
      <c r="E2496" s="27">
        <v>42565.60150462963</v>
      </c>
      <c r="F2496" s="19">
        <f>IFERROR(__xludf.DUMMYFUNCTION("IFERROR(TO_DATE(E2496), """")"),42565.60150462963)</f>
        <v>42565.6015</v>
      </c>
      <c r="G2496" s="20">
        <f t="shared" si="1"/>
        <v>14</v>
      </c>
      <c r="H2496" s="27">
        <v>42565.639756944445</v>
      </c>
      <c r="I2496" s="19">
        <f>IFERROR(__xludf.DUMMYFUNCTION("IFERROR(TO_DATE(H2496), """")"),42565.639756944445)</f>
        <v>42565.63976</v>
      </c>
      <c r="J2496" s="19" t="s">
        <v>10</v>
      </c>
      <c r="K2496" s="22">
        <f t="shared" si="2"/>
        <v>0</v>
      </c>
    </row>
    <row r="2497">
      <c r="A2497" s="18">
        <v>6124.0</v>
      </c>
      <c r="B2497" s="18" t="s">
        <v>30</v>
      </c>
      <c r="C2497" s="18">
        <v>262.0</v>
      </c>
      <c r="D2497" s="18" t="s">
        <v>31</v>
      </c>
      <c r="E2497" s="27">
        <v>42566.64635416667</v>
      </c>
      <c r="F2497" s="19">
        <f>IFERROR(__xludf.DUMMYFUNCTION("IFERROR(TO_DATE(E2497), """")"),42566.64635416667)</f>
        <v>42566.64635</v>
      </c>
      <c r="G2497" s="20">
        <f t="shared" si="1"/>
        <v>15</v>
      </c>
      <c r="H2497" s="27">
        <v>42566.671875</v>
      </c>
      <c r="I2497" s="19">
        <f>IFERROR(__xludf.DUMMYFUNCTION("IFERROR(TO_DATE(H2497), """")"),42566.671875)</f>
        <v>42566.67188</v>
      </c>
      <c r="J2497" s="19" t="s">
        <v>10</v>
      </c>
      <c r="K2497" s="22">
        <f t="shared" si="2"/>
        <v>0</v>
      </c>
    </row>
    <row r="2498">
      <c r="A2498" s="18">
        <v>751.0</v>
      </c>
      <c r="B2498" s="18" t="s">
        <v>30</v>
      </c>
      <c r="C2498" s="18">
        <v>263.0</v>
      </c>
      <c r="D2498" s="18" t="s">
        <v>31</v>
      </c>
      <c r="E2498" s="26">
        <v>42562.666666666664</v>
      </c>
      <c r="F2498" s="19">
        <f>IFERROR(__xludf.DUMMYFUNCTION("IFERROR(TO_DATE(E2498), """")"),42562.666666666664)</f>
        <v>42562.66667</v>
      </c>
      <c r="G2498" s="20">
        <f t="shared" si="1"/>
        <v>16</v>
      </c>
      <c r="H2498" s="26">
        <v>42562.68958333333</v>
      </c>
      <c r="I2498" s="19">
        <f>IFERROR(__xludf.DUMMYFUNCTION("IFERROR(TO_DATE(H2498), """")"),42562.68958333333)</f>
        <v>42562.68958</v>
      </c>
      <c r="J2498" s="19" t="s">
        <v>12</v>
      </c>
      <c r="K2498" s="22">
        <f t="shared" si="2"/>
        <v>0</v>
      </c>
    </row>
    <row r="2499">
      <c r="A2499" s="18">
        <v>992.0</v>
      </c>
      <c r="B2499" s="18" t="s">
        <v>32</v>
      </c>
      <c r="C2499" s="18">
        <v>263.0</v>
      </c>
      <c r="D2499" s="18" t="s">
        <v>31</v>
      </c>
      <c r="E2499" s="26">
        <v>42562.791666666664</v>
      </c>
      <c r="F2499" s="19">
        <f>IFERROR(__xludf.DUMMYFUNCTION("IFERROR(TO_DATE(E2499), """")"),42562.791666666664)</f>
        <v>42562.79167</v>
      </c>
      <c r="G2499" s="20">
        <f t="shared" si="1"/>
        <v>19</v>
      </c>
      <c r="H2499" s="26">
        <v>42562.84166666667</v>
      </c>
      <c r="I2499" s="19">
        <f>IFERROR(__xludf.DUMMYFUNCTION("IFERROR(TO_DATE(H2499), """")"),42562.84166666667)</f>
        <v>42562.84167</v>
      </c>
      <c r="J2499" s="19" t="s">
        <v>12</v>
      </c>
      <c r="K2499" s="22">
        <f t="shared" si="2"/>
        <v>0</v>
      </c>
    </row>
    <row r="2500">
      <c r="A2500" s="18">
        <v>1247.0</v>
      </c>
      <c r="B2500" s="18" t="s">
        <v>30</v>
      </c>
      <c r="C2500" s="18">
        <v>263.0</v>
      </c>
      <c r="D2500" s="18" t="s">
        <v>31</v>
      </c>
      <c r="E2500" s="26">
        <v>42562.910416666666</v>
      </c>
      <c r="F2500" s="19">
        <f>IFERROR(__xludf.DUMMYFUNCTION("IFERROR(TO_DATE(E2500), """")"),42562.910416666666)</f>
        <v>42562.91042</v>
      </c>
      <c r="G2500" s="20">
        <f t="shared" si="1"/>
        <v>21</v>
      </c>
      <c r="H2500" s="26">
        <v>42562.94930555556</v>
      </c>
      <c r="I2500" s="19">
        <f>IFERROR(__xludf.DUMMYFUNCTION("IFERROR(TO_DATE(H2500), """")"),42562.94930555556)</f>
        <v>42562.94931</v>
      </c>
      <c r="J2500" s="19" t="s">
        <v>13</v>
      </c>
      <c r="K2500" s="22">
        <f t="shared" si="2"/>
        <v>0</v>
      </c>
    </row>
    <row r="2501">
      <c r="A2501" s="18">
        <v>1465.0</v>
      </c>
      <c r="B2501" s="18" t="s">
        <v>32</v>
      </c>
      <c r="C2501" s="18">
        <v>263.0</v>
      </c>
      <c r="D2501" s="18" t="s">
        <v>31</v>
      </c>
      <c r="E2501" s="26">
        <v>42563.20763888889</v>
      </c>
      <c r="F2501" s="19">
        <f>IFERROR(__xludf.DUMMYFUNCTION("IFERROR(TO_DATE(E2501), """")"),42563.20763888889)</f>
        <v>42563.20764</v>
      </c>
      <c r="G2501" s="20">
        <f t="shared" si="1"/>
        <v>4</v>
      </c>
      <c r="H2501" s="26">
        <v>42563.26180555556</v>
      </c>
      <c r="I2501" s="19">
        <f>IFERROR(__xludf.DUMMYFUNCTION("IFERROR(TO_DATE(H2501), """")"),42563.26180555556)</f>
        <v>42563.26181</v>
      </c>
      <c r="J2501" s="19" t="s">
        <v>11</v>
      </c>
      <c r="K2501" s="22">
        <f t="shared" si="2"/>
        <v>0</v>
      </c>
    </row>
    <row r="2502">
      <c r="A2502" s="18">
        <v>1686.0</v>
      </c>
      <c r="B2502" s="18" t="s">
        <v>32</v>
      </c>
      <c r="C2502" s="18">
        <v>263.0</v>
      </c>
      <c r="D2502" s="18" t="s">
        <v>31</v>
      </c>
      <c r="E2502" s="26">
        <v>42563.325694444444</v>
      </c>
      <c r="F2502" s="19">
        <f>IFERROR(__xludf.DUMMYFUNCTION("IFERROR(TO_DATE(E2502), """")"),42563.325694444444)</f>
        <v>42563.32569</v>
      </c>
      <c r="G2502" s="20">
        <f t="shared" si="1"/>
        <v>7</v>
      </c>
      <c r="H2502" s="26">
        <v>42563.376388888886</v>
      </c>
      <c r="I2502" s="19">
        <f>IFERROR(__xludf.DUMMYFUNCTION("IFERROR(TO_DATE(H2502), """")"),42563.376388888886)</f>
        <v>42563.37639</v>
      </c>
      <c r="J2502" s="19" t="s">
        <v>11</v>
      </c>
      <c r="K2502" s="22">
        <f t="shared" si="2"/>
        <v>0</v>
      </c>
    </row>
    <row r="2503">
      <c r="A2503" s="18">
        <v>2642.0</v>
      </c>
      <c r="B2503" s="18" t="s">
        <v>32</v>
      </c>
      <c r="C2503" s="18">
        <v>263.0</v>
      </c>
      <c r="D2503" s="18" t="s">
        <v>31</v>
      </c>
      <c r="E2503" s="26">
        <v>42563.93958333333</v>
      </c>
      <c r="F2503" s="19">
        <f>IFERROR(__xludf.DUMMYFUNCTION("IFERROR(TO_DATE(E2503), """")"),42563.93958333333)</f>
        <v>42563.93958</v>
      </c>
      <c r="G2503" s="20">
        <f t="shared" si="1"/>
        <v>22</v>
      </c>
      <c r="H2503" s="26">
        <v>42563.981944444444</v>
      </c>
      <c r="I2503" s="19">
        <f>IFERROR(__xludf.DUMMYFUNCTION("IFERROR(TO_DATE(H2503), """")"),42563.981944444444)</f>
        <v>42563.98194</v>
      </c>
      <c r="J2503" s="19" t="s">
        <v>13</v>
      </c>
      <c r="K2503" s="22">
        <f t="shared" si="2"/>
        <v>0</v>
      </c>
    </row>
    <row r="2504">
      <c r="A2504" s="18">
        <v>2907.0</v>
      </c>
      <c r="B2504" s="18" t="s">
        <v>30</v>
      </c>
      <c r="C2504" s="18">
        <v>263.0</v>
      </c>
      <c r="D2504" s="18" t="s">
        <v>31</v>
      </c>
      <c r="E2504" s="27">
        <v>42564.253969907404</v>
      </c>
      <c r="F2504" s="19">
        <f>IFERROR(__xludf.DUMMYFUNCTION("IFERROR(TO_DATE(E2504), """")"),42564.253969907404)</f>
        <v>42564.25397</v>
      </c>
      <c r="G2504" s="20">
        <f t="shared" si="1"/>
        <v>6</v>
      </c>
      <c r="H2504" s="27">
        <v>42564.299942129626</v>
      </c>
      <c r="I2504" s="19">
        <f>IFERROR(__xludf.DUMMYFUNCTION("IFERROR(TO_DATE(H2504), """")"),42564.299942129626)</f>
        <v>42564.29994</v>
      </c>
      <c r="J2504" s="19" t="s">
        <v>11</v>
      </c>
      <c r="K2504" s="22">
        <f t="shared" si="2"/>
        <v>0</v>
      </c>
    </row>
    <row r="2505">
      <c r="A2505" s="18">
        <v>3408.0</v>
      </c>
      <c r="B2505" s="18" t="s">
        <v>32</v>
      </c>
      <c r="C2505" s="18">
        <v>263.0</v>
      </c>
      <c r="D2505" s="18" t="s">
        <v>31</v>
      </c>
      <c r="E2505" s="27">
        <v>42564.64394675926</v>
      </c>
      <c r="F2505" s="19">
        <f>IFERROR(__xludf.DUMMYFUNCTION("IFERROR(TO_DATE(E2505), """")"),42564.64394675926)</f>
        <v>42564.64395</v>
      </c>
      <c r="G2505" s="20">
        <f t="shared" si="1"/>
        <v>15</v>
      </c>
      <c r="H2505" s="27">
        <v>42564.67888888889</v>
      </c>
      <c r="I2505" s="19">
        <f>IFERROR(__xludf.DUMMYFUNCTION("IFERROR(TO_DATE(H2505), """")"),42564.67888888889)</f>
        <v>42564.67889</v>
      </c>
      <c r="J2505" s="19" t="s">
        <v>10</v>
      </c>
      <c r="K2505" s="22">
        <f t="shared" si="2"/>
        <v>0</v>
      </c>
    </row>
    <row r="2506">
      <c r="A2506" s="18">
        <v>4488.0</v>
      </c>
      <c r="B2506" s="18" t="s">
        <v>32</v>
      </c>
      <c r="C2506" s="18">
        <v>263.0</v>
      </c>
      <c r="D2506" s="18" t="s">
        <v>31</v>
      </c>
      <c r="E2506" s="27">
        <v>42565.37430555555</v>
      </c>
      <c r="F2506" s="19">
        <f>IFERROR(__xludf.DUMMYFUNCTION("IFERROR(TO_DATE(E2506), """")"),42565.37430555555)</f>
        <v>42565.37431</v>
      </c>
      <c r="G2506" s="20">
        <f t="shared" si="1"/>
        <v>8</v>
      </c>
      <c r="H2506" s="27">
        <v>42565.399201388886</v>
      </c>
      <c r="I2506" s="19">
        <f>IFERROR(__xludf.DUMMYFUNCTION("IFERROR(TO_DATE(H2506), """")"),42565.399201388886)</f>
        <v>42565.3992</v>
      </c>
      <c r="J2506" s="19" t="s">
        <v>14</v>
      </c>
      <c r="K2506" s="22">
        <f t="shared" si="2"/>
        <v>0</v>
      </c>
    </row>
    <row r="2507">
      <c r="A2507" s="18">
        <v>6470.0</v>
      </c>
      <c r="B2507" s="18" t="s">
        <v>32</v>
      </c>
      <c r="C2507" s="18">
        <v>263.0</v>
      </c>
      <c r="D2507" s="18" t="s">
        <v>31</v>
      </c>
      <c r="E2507" s="27">
        <v>42566.84519675926</v>
      </c>
      <c r="F2507" s="19">
        <f>IFERROR(__xludf.DUMMYFUNCTION("IFERROR(TO_DATE(E2507), """")"),42566.84519675926)</f>
        <v>42566.8452</v>
      </c>
      <c r="G2507" s="20">
        <f t="shared" si="1"/>
        <v>20</v>
      </c>
      <c r="H2507" s="27">
        <v>42566.88613425926</v>
      </c>
      <c r="I2507" s="19">
        <f>IFERROR(__xludf.DUMMYFUNCTION("IFERROR(TO_DATE(H2507), """")"),42566.88613425926)</f>
        <v>42566.88613</v>
      </c>
      <c r="J2507" s="19" t="s">
        <v>13</v>
      </c>
      <c r="K2507" s="22">
        <f t="shared" si="2"/>
        <v>0</v>
      </c>
    </row>
    <row r="2508">
      <c r="A2508" s="18">
        <v>5.0</v>
      </c>
      <c r="B2508" s="18" t="s">
        <v>30</v>
      </c>
      <c r="C2508" s="18">
        <v>264.0</v>
      </c>
      <c r="D2508" s="18" t="s">
        <v>31</v>
      </c>
      <c r="E2508" s="26">
        <v>42562.025</v>
      </c>
      <c r="F2508" s="19">
        <f>IFERROR(__xludf.DUMMYFUNCTION("IFERROR(TO_DATE(E2508), """")"),42562.025)</f>
        <v>42562.025</v>
      </c>
      <c r="G2508" s="20">
        <f t="shared" si="1"/>
        <v>0</v>
      </c>
      <c r="H2508" s="26">
        <v>42562.06597222222</v>
      </c>
      <c r="I2508" s="19">
        <f>IFERROR(__xludf.DUMMYFUNCTION("IFERROR(TO_DATE(H2508), """")"),42562.06597222222)</f>
        <v>42562.06597</v>
      </c>
      <c r="J2508" s="19" t="s">
        <v>15</v>
      </c>
      <c r="K2508" s="22">
        <f t="shared" si="2"/>
        <v>0</v>
      </c>
    </row>
    <row r="2509">
      <c r="A2509" s="18">
        <v>374.0</v>
      </c>
      <c r="B2509" s="18" t="s">
        <v>30</v>
      </c>
      <c r="C2509" s="18">
        <v>264.0</v>
      </c>
      <c r="D2509" s="18" t="s">
        <v>31</v>
      </c>
      <c r="E2509" s="26">
        <v>42562.34027777778</v>
      </c>
      <c r="F2509" s="19">
        <f>IFERROR(__xludf.DUMMYFUNCTION("IFERROR(TO_DATE(E2509), """")"),42562.34027777778)</f>
        <v>42562.34028</v>
      </c>
      <c r="G2509" s="20">
        <f t="shared" si="1"/>
        <v>8</v>
      </c>
      <c r="H2509" s="26">
        <v>42562.37708333333</v>
      </c>
      <c r="I2509" s="19">
        <f>IFERROR(__xludf.DUMMYFUNCTION("IFERROR(TO_DATE(H2509), """")"),42562.37708333333)</f>
        <v>42562.37708</v>
      </c>
      <c r="J2509" s="19" t="s">
        <v>14</v>
      </c>
      <c r="K2509" s="22">
        <f t="shared" si="2"/>
        <v>0</v>
      </c>
    </row>
    <row r="2510">
      <c r="A2510" s="18">
        <v>721.0</v>
      </c>
      <c r="B2510" s="18" t="s">
        <v>32</v>
      </c>
      <c r="C2510" s="18">
        <v>264.0</v>
      </c>
      <c r="D2510" s="18" t="s">
        <v>31</v>
      </c>
      <c r="E2510" s="26">
        <v>42562.62222222222</v>
      </c>
      <c r="F2510" s="19">
        <f>IFERROR(__xludf.DUMMYFUNCTION("IFERROR(TO_DATE(E2510), """")"),42562.62222222222)</f>
        <v>42562.62222</v>
      </c>
      <c r="G2510" s="20">
        <f t="shared" si="1"/>
        <v>14</v>
      </c>
      <c r="H2510" s="26">
        <v>42562.65694444445</v>
      </c>
      <c r="I2510" s="19">
        <f>IFERROR(__xludf.DUMMYFUNCTION("IFERROR(TO_DATE(H2510), """")"),42562.65694444445)</f>
        <v>42562.65694</v>
      </c>
      <c r="J2510" s="19" t="s">
        <v>10</v>
      </c>
      <c r="K2510" s="22">
        <f t="shared" si="2"/>
        <v>0</v>
      </c>
    </row>
    <row r="2511">
      <c r="A2511" s="18">
        <v>1130.0</v>
      </c>
      <c r="B2511" s="18" t="s">
        <v>32</v>
      </c>
      <c r="C2511" s="18">
        <v>264.0</v>
      </c>
      <c r="D2511" s="18" t="s">
        <v>31</v>
      </c>
      <c r="E2511" s="26">
        <v>42562.85208333333</v>
      </c>
      <c r="F2511" s="19">
        <f>IFERROR(__xludf.DUMMYFUNCTION("IFERROR(TO_DATE(E2511), """")"),42562.85208333333)</f>
        <v>42562.85208</v>
      </c>
      <c r="G2511" s="20">
        <f t="shared" si="1"/>
        <v>20</v>
      </c>
      <c r="H2511" s="26">
        <v>42562.90416666667</v>
      </c>
      <c r="I2511" s="19">
        <f>IFERROR(__xludf.DUMMYFUNCTION("IFERROR(TO_DATE(H2511), """")"),42562.90416666667)</f>
        <v>42562.90417</v>
      </c>
      <c r="J2511" s="19" t="s">
        <v>13</v>
      </c>
      <c r="K2511" s="22">
        <f t="shared" si="2"/>
        <v>0</v>
      </c>
    </row>
    <row r="2512">
      <c r="A2512" s="18">
        <v>2449.0</v>
      </c>
      <c r="B2512" s="18" t="s">
        <v>30</v>
      </c>
      <c r="C2512" s="18">
        <v>264.0</v>
      </c>
      <c r="D2512" s="18" t="s">
        <v>31</v>
      </c>
      <c r="E2512" s="26">
        <v>42563.85138888889</v>
      </c>
      <c r="F2512" s="19">
        <f>IFERROR(__xludf.DUMMYFUNCTION("IFERROR(TO_DATE(E2512), """")"),42563.85138888889)</f>
        <v>42563.85139</v>
      </c>
      <c r="G2512" s="20">
        <f t="shared" si="1"/>
        <v>20</v>
      </c>
      <c r="H2512" s="26">
        <v>42563.885416666664</v>
      </c>
      <c r="I2512" s="19">
        <f>IFERROR(__xludf.DUMMYFUNCTION("IFERROR(TO_DATE(H2512), """")"),42563.885416666664)</f>
        <v>42563.88542</v>
      </c>
      <c r="J2512" s="19" t="s">
        <v>13</v>
      </c>
      <c r="K2512" s="22">
        <f t="shared" si="2"/>
        <v>0</v>
      </c>
    </row>
    <row r="2513">
      <c r="A2513" s="18">
        <v>3755.0</v>
      </c>
      <c r="B2513" s="18" t="s">
        <v>30</v>
      </c>
      <c r="C2513" s="18">
        <v>264.0</v>
      </c>
      <c r="D2513" s="18" t="s">
        <v>31</v>
      </c>
      <c r="E2513" s="27">
        <v>42564.856770833336</v>
      </c>
      <c r="F2513" s="19">
        <f>IFERROR(__xludf.DUMMYFUNCTION("IFERROR(TO_DATE(E2513), """")"),42564.856770833336)</f>
        <v>42564.85677</v>
      </c>
      <c r="G2513" s="20">
        <f t="shared" si="1"/>
        <v>20</v>
      </c>
      <c r="H2513" s="27">
        <v>42564.899039351854</v>
      </c>
      <c r="I2513" s="19">
        <f>IFERROR(__xludf.DUMMYFUNCTION("IFERROR(TO_DATE(H2513), """")"),42564.899039351854)</f>
        <v>42564.89904</v>
      </c>
      <c r="J2513" s="19" t="s">
        <v>13</v>
      </c>
      <c r="K2513" s="22">
        <f t="shared" si="2"/>
        <v>0</v>
      </c>
    </row>
    <row r="2514">
      <c r="A2514" s="18">
        <v>4521.0</v>
      </c>
      <c r="B2514" s="18" t="s">
        <v>32</v>
      </c>
      <c r="C2514" s="18">
        <v>264.0</v>
      </c>
      <c r="D2514" s="18" t="s">
        <v>31</v>
      </c>
      <c r="E2514" s="27">
        <v>42565.386041666665</v>
      </c>
      <c r="F2514" s="19">
        <f>IFERROR(__xludf.DUMMYFUNCTION("IFERROR(TO_DATE(E2514), """")"),42565.386041666665)</f>
        <v>42565.38604</v>
      </c>
      <c r="G2514" s="20">
        <f t="shared" si="1"/>
        <v>9</v>
      </c>
      <c r="H2514" s="27">
        <v>42565.43920138889</v>
      </c>
      <c r="I2514" s="19">
        <f>IFERROR(__xludf.DUMMYFUNCTION("IFERROR(TO_DATE(H2514), """")"),42565.43920138889)</f>
        <v>42565.4392</v>
      </c>
      <c r="J2514" s="19" t="s">
        <v>14</v>
      </c>
      <c r="K2514" s="22">
        <f t="shared" si="2"/>
        <v>0</v>
      </c>
    </row>
    <row r="2515">
      <c r="A2515" s="18">
        <v>4977.0</v>
      </c>
      <c r="B2515" s="18" t="s">
        <v>32</v>
      </c>
      <c r="C2515" s="18">
        <v>264.0</v>
      </c>
      <c r="D2515" s="18" t="s">
        <v>31</v>
      </c>
      <c r="E2515" s="27">
        <v>42565.780648148146</v>
      </c>
      <c r="F2515" s="19">
        <f>IFERROR(__xludf.DUMMYFUNCTION("IFERROR(TO_DATE(E2515), """")"),42565.780648148146)</f>
        <v>42565.78065</v>
      </c>
      <c r="G2515" s="20">
        <f t="shared" si="1"/>
        <v>18</v>
      </c>
      <c r="H2515" s="27">
        <v>42565.80835648148</v>
      </c>
      <c r="I2515" s="19">
        <f>IFERROR(__xludf.DUMMYFUNCTION("IFERROR(TO_DATE(H2515), """")"),42565.80835648148)</f>
        <v>42565.80836</v>
      </c>
      <c r="J2515" s="19" t="s">
        <v>12</v>
      </c>
      <c r="K2515" s="22">
        <f t="shared" si="2"/>
        <v>0</v>
      </c>
    </row>
    <row r="2516">
      <c r="A2516" s="18">
        <v>94.0</v>
      </c>
      <c r="B2516" s="18" t="s">
        <v>32</v>
      </c>
      <c r="C2516" s="18">
        <v>265.0</v>
      </c>
      <c r="D2516" s="18" t="s">
        <v>31</v>
      </c>
      <c r="E2516" s="26">
        <v>42562.20763888889</v>
      </c>
      <c r="F2516" s="19">
        <f>IFERROR(__xludf.DUMMYFUNCTION("IFERROR(TO_DATE(E2516), """")"),42562.20763888889)</f>
        <v>42562.20764</v>
      </c>
      <c r="G2516" s="20">
        <f t="shared" si="1"/>
        <v>4</v>
      </c>
      <c r="H2516" s="26">
        <v>42562.248611111114</v>
      </c>
      <c r="I2516" s="19">
        <f>IFERROR(__xludf.DUMMYFUNCTION("IFERROR(TO_DATE(H2516), """")"),42562.248611111114)</f>
        <v>42562.24861</v>
      </c>
      <c r="J2516" s="19" t="s">
        <v>11</v>
      </c>
      <c r="K2516" s="22">
        <f t="shared" si="2"/>
        <v>0</v>
      </c>
    </row>
    <row r="2517">
      <c r="A2517" s="18">
        <v>1197.0</v>
      </c>
      <c r="B2517" s="18" t="s">
        <v>32</v>
      </c>
      <c r="C2517" s="18">
        <v>265.0</v>
      </c>
      <c r="D2517" s="18" t="s">
        <v>31</v>
      </c>
      <c r="E2517" s="26">
        <v>42562.88263888889</v>
      </c>
      <c r="F2517" s="19">
        <f>IFERROR(__xludf.DUMMYFUNCTION("IFERROR(TO_DATE(E2517), """")"),42562.88263888889)</f>
        <v>42562.88264</v>
      </c>
      <c r="G2517" s="20">
        <f t="shared" si="1"/>
        <v>21</v>
      </c>
      <c r="H2517" s="26">
        <v>42562.91736111111</v>
      </c>
      <c r="I2517" s="19">
        <f>IFERROR(__xludf.DUMMYFUNCTION("IFERROR(TO_DATE(H2517), """")"),42562.91736111111)</f>
        <v>42562.91736</v>
      </c>
      <c r="J2517" s="19" t="s">
        <v>13</v>
      </c>
      <c r="K2517" s="22">
        <f t="shared" si="2"/>
        <v>0</v>
      </c>
    </row>
    <row r="2518">
      <c r="A2518" s="18">
        <v>1633.0</v>
      </c>
      <c r="B2518" s="18" t="s">
        <v>30</v>
      </c>
      <c r="C2518" s="18">
        <v>265.0</v>
      </c>
      <c r="D2518" s="18" t="s">
        <v>31</v>
      </c>
      <c r="E2518" s="26">
        <v>42563.29652777778</v>
      </c>
      <c r="F2518" s="19">
        <f>IFERROR(__xludf.DUMMYFUNCTION("IFERROR(TO_DATE(E2518), """")"),42563.29652777778)</f>
        <v>42563.29653</v>
      </c>
      <c r="G2518" s="20">
        <f t="shared" si="1"/>
        <v>7</v>
      </c>
      <c r="H2518" s="26">
        <v>42563.33819444444</v>
      </c>
      <c r="I2518" s="19">
        <f>IFERROR(__xludf.DUMMYFUNCTION("IFERROR(TO_DATE(H2518), """")"),42563.33819444444)</f>
        <v>42563.33819</v>
      </c>
      <c r="J2518" s="19" t="s">
        <v>11</v>
      </c>
      <c r="K2518" s="22">
        <f t="shared" si="2"/>
        <v>0</v>
      </c>
    </row>
    <row r="2519">
      <c r="A2519" s="18">
        <v>1930.0</v>
      </c>
      <c r="B2519" s="18" t="s">
        <v>32</v>
      </c>
      <c r="C2519" s="18">
        <v>265.0</v>
      </c>
      <c r="D2519" s="18" t="s">
        <v>31</v>
      </c>
      <c r="E2519" s="26">
        <v>42563.46805555555</v>
      </c>
      <c r="F2519" s="19">
        <f>IFERROR(__xludf.DUMMYFUNCTION("IFERROR(TO_DATE(E2519), """")"),42563.46805555555)</f>
        <v>42563.46806</v>
      </c>
      <c r="G2519" s="20">
        <f t="shared" si="1"/>
        <v>11</v>
      </c>
      <c r="H2519" s="26">
        <v>42563.50902777778</v>
      </c>
      <c r="I2519" s="19">
        <f>IFERROR(__xludf.DUMMYFUNCTION("IFERROR(TO_DATE(H2519), """")"),42563.50902777778)</f>
        <v>42563.50903</v>
      </c>
      <c r="J2519" s="19" t="s">
        <v>14</v>
      </c>
      <c r="K2519" s="22">
        <f t="shared" si="2"/>
        <v>0</v>
      </c>
    </row>
    <row r="2520">
      <c r="A2520" s="18">
        <v>6451.0</v>
      </c>
      <c r="B2520" s="18" t="s">
        <v>32</v>
      </c>
      <c r="C2520" s="18">
        <v>265.0</v>
      </c>
      <c r="D2520" s="18" t="s">
        <v>31</v>
      </c>
      <c r="E2520" s="27">
        <v>42566.83846064815</v>
      </c>
      <c r="F2520" s="19">
        <f>IFERROR(__xludf.DUMMYFUNCTION("IFERROR(TO_DATE(E2520), """")"),42566.83846064815)</f>
        <v>42566.83846</v>
      </c>
      <c r="G2520" s="20">
        <f t="shared" si="1"/>
        <v>20</v>
      </c>
      <c r="H2520" s="27">
        <v>42566.878796296296</v>
      </c>
      <c r="I2520" s="19">
        <f>IFERROR(__xludf.DUMMYFUNCTION("IFERROR(TO_DATE(H2520), """")"),42566.878796296296)</f>
        <v>42566.8788</v>
      </c>
      <c r="J2520" s="19" t="s">
        <v>13</v>
      </c>
      <c r="K2520" s="22">
        <f t="shared" si="2"/>
        <v>0</v>
      </c>
    </row>
    <row r="2521">
      <c r="A2521" s="18">
        <v>389.0</v>
      </c>
      <c r="B2521" s="18" t="s">
        <v>32</v>
      </c>
      <c r="C2521" s="18">
        <v>266.0</v>
      </c>
      <c r="D2521" s="18" t="s">
        <v>31</v>
      </c>
      <c r="E2521" s="26">
        <v>42562.34722222222</v>
      </c>
      <c r="F2521" s="19">
        <f>IFERROR(__xludf.DUMMYFUNCTION("IFERROR(TO_DATE(E2521), """")"),42562.34722222222)</f>
        <v>42562.34722</v>
      </c>
      <c r="G2521" s="20">
        <f t="shared" si="1"/>
        <v>8</v>
      </c>
      <c r="H2521" s="26">
        <v>42562.38680555556</v>
      </c>
      <c r="I2521" s="19">
        <f>IFERROR(__xludf.DUMMYFUNCTION("IFERROR(TO_DATE(H2521), """")"),42562.38680555556)</f>
        <v>42562.38681</v>
      </c>
      <c r="J2521" s="19" t="s">
        <v>14</v>
      </c>
      <c r="K2521" s="22">
        <f t="shared" si="2"/>
        <v>0</v>
      </c>
    </row>
    <row r="2522">
      <c r="A2522" s="18">
        <v>712.0</v>
      </c>
      <c r="B2522" s="18" t="s">
        <v>30</v>
      </c>
      <c r="C2522" s="18">
        <v>266.0</v>
      </c>
      <c r="D2522" s="18" t="s">
        <v>31</v>
      </c>
      <c r="E2522" s="26">
        <v>42562.60486111111</v>
      </c>
      <c r="F2522" s="19">
        <f>IFERROR(__xludf.DUMMYFUNCTION("IFERROR(TO_DATE(E2522), """")"),42562.60486111111)</f>
        <v>42562.60486</v>
      </c>
      <c r="G2522" s="20">
        <f t="shared" si="1"/>
        <v>14</v>
      </c>
      <c r="H2522" s="26">
        <v>42562.62569444445</v>
      </c>
      <c r="I2522" s="19">
        <f>IFERROR(__xludf.DUMMYFUNCTION("IFERROR(TO_DATE(H2522), """")"),42562.62569444445)</f>
        <v>42562.62569</v>
      </c>
      <c r="J2522" s="19" t="s">
        <v>10</v>
      </c>
      <c r="K2522" s="22">
        <f t="shared" si="2"/>
        <v>0</v>
      </c>
    </row>
    <row r="2523">
      <c r="A2523" s="18">
        <v>972.0</v>
      </c>
      <c r="B2523" s="18" t="s">
        <v>30</v>
      </c>
      <c r="C2523" s="18">
        <v>266.0</v>
      </c>
      <c r="D2523" s="18" t="s">
        <v>31</v>
      </c>
      <c r="E2523" s="26">
        <v>42562.78611111111</v>
      </c>
      <c r="F2523" s="19">
        <f>IFERROR(__xludf.DUMMYFUNCTION("IFERROR(TO_DATE(E2523), """")"),42562.78611111111)</f>
        <v>42562.78611</v>
      </c>
      <c r="G2523" s="20">
        <f t="shared" si="1"/>
        <v>18</v>
      </c>
      <c r="H2523" s="26">
        <v>42562.822222222225</v>
      </c>
      <c r="I2523" s="19">
        <f>IFERROR(__xludf.DUMMYFUNCTION("IFERROR(TO_DATE(H2523), """")"),42562.822222222225)</f>
        <v>42562.82222</v>
      </c>
      <c r="J2523" s="19" t="s">
        <v>12</v>
      </c>
      <c r="K2523" s="22">
        <f t="shared" si="2"/>
        <v>0</v>
      </c>
    </row>
    <row r="2524">
      <c r="A2524" s="18">
        <v>1811.0</v>
      </c>
      <c r="B2524" s="18" t="s">
        <v>32</v>
      </c>
      <c r="C2524" s="18">
        <v>266.0</v>
      </c>
      <c r="D2524" s="18" t="s">
        <v>31</v>
      </c>
      <c r="E2524" s="26">
        <v>42563.384722222225</v>
      </c>
      <c r="F2524" s="19">
        <f>IFERROR(__xludf.DUMMYFUNCTION("IFERROR(TO_DATE(E2524), """")"),42563.384722222225)</f>
        <v>42563.38472</v>
      </c>
      <c r="G2524" s="20">
        <f t="shared" si="1"/>
        <v>9</v>
      </c>
      <c r="H2524" s="26">
        <v>42563.42152777778</v>
      </c>
      <c r="I2524" s="19">
        <f>IFERROR(__xludf.DUMMYFUNCTION("IFERROR(TO_DATE(H2524), """")"),42563.42152777778)</f>
        <v>42563.42153</v>
      </c>
      <c r="J2524" s="19" t="s">
        <v>14</v>
      </c>
      <c r="K2524" s="22">
        <f t="shared" si="2"/>
        <v>0</v>
      </c>
    </row>
    <row r="2525">
      <c r="A2525" s="18">
        <v>2126.0</v>
      </c>
      <c r="B2525" s="18" t="s">
        <v>32</v>
      </c>
      <c r="C2525" s="18">
        <v>266.0</v>
      </c>
      <c r="D2525" s="18" t="s">
        <v>31</v>
      </c>
      <c r="E2525" s="26">
        <v>42563.70277777778</v>
      </c>
      <c r="F2525" s="19">
        <f>IFERROR(__xludf.DUMMYFUNCTION("IFERROR(TO_DATE(E2525), """")"),42563.70277777778)</f>
        <v>42563.70278</v>
      </c>
      <c r="G2525" s="20">
        <f t="shared" si="1"/>
        <v>16</v>
      </c>
      <c r="H2525" s="26">
        <v>42563.751388888886</v>
      </c>
      <c r="I2525" s="19">
        <f>IFERROR(__xludf.DUMMYFUNCTION("IFERROR(TO_DATE(H2525), """")"),42563.751388888886)</f>
        <v>42563.75139</v>
      </c>
      <c r="J2525" s="19" t="s">
        <v>12</v>
      </c>
      <c r="K2525" s="22">
        <f t="shared" si="2"/>
        <v>0</v>
      </c>
    </row>
    <row r="2526">
      <c r="A2526" s="18">
        <v>3383.0</v>
      </c>
      <c r="B2526" s="18" t="s">
        <v>32</v>
      </c>
      <c r="C2526" s="18">
        <v>266.0</v>
      </c>
      <c r="D2526" s="18" t="s">
        <v>31</v>
      </c>
      <c r="E2526" s="27">
        <v>42564.60140046296</v>
      </c>
      <c r="F2526" s="19">
        <f>IFERROR(__xludf.DUMMYFUNCTION("IFERROR(TO_DATE(E2526), """")"),42564.60140046296)</f>
        <v>42564.6014</v>
      </c>
      <c r="G2526" s="20">
        <f t="shared" si="1"/>
        <v>14</v>
      </c>
      <c r="H2526" s="27">
        <v>42564.62994212963</v>
      </c>
      <c r="I2526" s="19">
        <f>IFERROR(__xludf.DUMMYFUNCTION("IFERROR(TO_DATE(H2526), """")"),42564.62994212963)</f>
        <v>42564.62994</v>
      </c>
      <c r="J2526" s="19" t="s">
        <v>10</v>
      </c>
      <c r="K2526" s="22">
        <f t="shared" si="2"/>
        <v>0</v>
      </c>
    </row>
    <row r="2527">
      <c r="A2527" s="18">
        <v>3594.0</v>
      </c>
      <c r="B2527" s="18" t="s">
        <v>32</v>
      </c>
      <c r="C2527" s="18">
        <v>266.0</v>
      </c>
      <c r="D2527" s="18" t="s">
        <v>31</v>
      </c>
      <c r="E2527" s="27">
        <v>42564.77193287037</v>
      </c>
      <c r="F2527" s="19">
        <f>IFERROR(__xludf.DUMMYFUNCTION("IFERROR(TO_DATE(E2527), """")"),42564.77193287037)</f>
        <v>42564.77193</v>
      </c>
      <c r="G2527" s="20">
        <f t="shared" si="1"/>
        <v>18</v>
      </c>
      <c r="H2527" s="27">
        <v>42564.81890046296</v>
      </c>
      <c r="I2527" s="19">
        <f>IFERROR(__xludf.DUMMYFUNCTION("IFERROR(TO_DATE(H2527), """")"),42564.81890046296)</f>
        <v>42564.8189</v>
      </c>
      <c r="J2527" s="19" t="s">
        <v>12</v>
      </c>
      <c r="K2527" s="22">
        <f t="shared" si="2"/>
        <v>0</v>
      </c>
    </row>
    <row r="2528">
      <c r="A2528" s="18">
        <v>4337.0</v>
      </c>
      <c r="B2528" s="18" t="s">
        <v>32</v>
      </c>
      <c r="C2528" s="18">
        <v>266.0</v>
      </c>
      <c r="D2528" s="18" t="s">
        <v>31</v>
      </c>
      <c r="E2528" s="27">
        <v>42565.29924768519</v>
      </c>
      <c r="F2528" s="19">
        <f>IFERROR(__xludf.DUMMYFUNCTION("IFERROR(TO_DATE(E2528), """")"),42565.29924768519)</f>
        <v>42565.29925</v>
      </c>
      <c r="G2528" s="20">
        <f t="shared" si="1"/>
        <v>7</v>
      </c>
      <c r="H2528" s="27">
        <v>42565.32103009259</v>
      </c>
      <c r="I2528" s="19">
        <f>IFERROR(__xludf.DUMMYFUNCTION("IFERROR(TO_DATE(H2528), """")"),42565.32103009259)</f>
        <v>42565.32103</v>
      </c>
      <c r="J2528" s="19" t="s">
        <v>11</v>
      </c>
      <c r="K2528" s="22">
        <f t="shared" si="2"/>
        <v>0</v>
      </c>
    </row>
    <row r="2529">
      <c r="A2529" s="18">
        <v>4694.0</v>
      </c>
      <c r="B2529" s="18" t="s">
        <v>30</v>
      </c>
      <c r="C2529" s="18">
        <v>266.0</v>
      </c>
      <c r="D2529" s="18" t="s">
        <v>31</v>
      </c>
      <c r="E2529" s="27">
        <v>42565.543032407404</v>
      </c>
      <c r="F2529" s="19">
        <f>IFERROR(__xludf.DUMMYFUNCTION("IFERROR(TO_DATE(E2529), """")"),42565.543032407404)</f>
        <v>42565.54303</v>
      </c>
      <c r="G2529" s="20">
        <f t="shared" si="1"/>
        <v>13</v>
      </c>
      <c r="H2529" s="27">
        <v>42565.56822916667</v>
      </c>
      <c r="I2529" s="19">
        <f>IFERROR(__xludf.DUMMYFUNCTION("IFERROR(TO_DATE(H2529), """")"),42565.56822916667)</f>
        <v>42565.56823</v>
      </c>
      <c r="J2529" s="19" t="s">
        <v>10</v>
      </c>
      <c r="K2529" s="22">
        <f t="shared" si="2"/>
        <v>0</v>
      </c>
    </row>
    <row r="2530">
      <c r="A2530" s="18">
        <v>5891.0</v>
      </c>
      <c r="B2530" s="18" t="s">
        <v>30</v>
      </c>
      <c r="C2530" s="18">
        <v>266.0</v>
      </c>
      <c r="D2530" s="18" t="s">
        <v>31</v>
      </c>
      <c r="E2530" s="27">
        <v>42566.40122685185</v>
      </c>
      <c r="F2530" s="19">
        <f>IFERROR(__xludf.DUMMYFUNCTION("IFERROR(TO_DATE(E2530), """")"),42566.40122685185)</f>
        <v>42566.40123</v>
      </c>
      <c r="G2530" s="20">
        <f t="shared" si="1"/>
        <v>9</v>
      </c>
      <c r="H2530" s="27">
        <v>42566.44054398148</v>
      </c>
      <c r="I2530" s="19">
        <f>IFERROR(__xludf.DUMMYFUNCTION("IFERROR(TO_DATE(H2530), """")"),42566.44054398148)</f>
        <v>42566.44054</v>
      </c>
      <c r="J2530" s="19" t="s">
        <v>14</v>
      </c>
      <c r="K2530" s="22">
        <f t="shared" si="2"/>
        <v>0</v>
      </c>
    </row>
    <row r="2531">
      <c r="A2531" s="18">
        <v>6035.0</v>
      </c>
      <c r="B2531" s="18" t="s">
        <v>30</v>
      </c>
      <c r="C2531" s="18">
        <v>266.0</v>
      </c>
      <c r="D2531" s="18" t="s">
        <v>31</v>
      </c>
      <c r="E2531" s="27">
        <v>42566.541550925926</v>
      </c>
      <c r="F2531" s="19">
        <f>IFERROR(__xludf.DUMMYFUNCTION("IFERROR(TO_DATE(E2531), """")"),42566.541550925926)</f>
        <v>42566.54155</v>
      </c>
      <c r="G2531" s="20">
        <f t="shared" si="1"/>
        <v>12</v>
      </c>
      <c r="H2531" s="27">
        <v>42566.57738425926</v>
      </c>
      <c r="I2531" s="19">
        <f>IFERROR(__xludf.DUMMYFUNCTION("IFERROR(TO_DATE(H2531), """")"),42566.57738425926)</f>
        <v>42566.57738</v>
      </c>
      <c r="J2531" s="19" t="s">
        <v>10</v>
      </c>
      <c r="K2531" s="22">
        <f t="shared" si="2"/>
        <v>0</v>
      </c>
    </row>
    <row r="2532">
      <c r="A2532" s="18">
        <v>2604.0</v>
      </c>
      <c r="B2532" s="18" t="s">
        <v>32</v>
      </c>
      <c r="C2532" s="18">
        <v>267.0</v>
      </c>
      <c r="D2532" s="18" t="s">
        <v>31</v>
      </c>
      <c r="E2532" s="26">
        <v>42563.92013888889</v>
      </c>
      <c r="F2532" s="19">
        <f>IFERROR(__xludf.DUMMYFUNCTION("IFERROR(TO_DATE(E2532), """")"),42563.92013888889)</f>
        <v>42563.92014</v>
      </c>
      <c r="G2532" s="20">
        <f t="shared" si="1"/>
        <v>22</v>
      </c>
      <c r="H2532" s="26">
        <v>42563.95208333333</v>
      </c>
      <c r="I2532" s="19">
        <f>IFERROR(__xludf.DUMMYFUNCTION("IFERROR(TO_DATE(H2532), """")"),42563.95208333333)</f>
        <v>42563.95208</v>
      </c>
      <c r="J2532" s="19" t="s">
        <v>13</v>
      </c>
      <c r="K2532" s="22">
        <f t="shared" si="2"/>
        <v>0</v>
      </c>
    </row>
    <row r="2533">
      <c r="A2533" s="18">
        <v>2761.0</v>
      </c>
      <c r="B2533" s="18" t="s">
        <v>32</v>
      </c>
      <c r="C2533" s="18">
        <v>267.0</v>
      </c>
      <c r="D2533" s="18" t="s">
        <v>31</v>
      </c>
      <c r="E2533" s="27">
        <v>42564.163310185184</v>
      </c>
      <c r="F2533" s="19">
        <f>IFERROR(__xludf.DUMMYFUNCTION("IFERROR(TO_DATE(E2533), """")"),42564.163310185184)</f>
        <v>42564.16331</v>
      </c>
      <c r="G2533" s="20">
        <f t="shared" si="1"/>
        <v>3</v>
      </c>
      <c r="H2533" s="27">
        <v>42564.21297453704</v>
      </c>
      <c r="I2533" s="19">
        <f>IFERROR(__xludf.DUMMYFUNCTION("IFERROR(TO_DATE(H2533), """")"),42564.21297453704)</f>
        <v>42564.21297</v>
      </c>
      <c r="J2533" s="19" t="s">
        <v>15</v>
      </c>
      <c r="K2533" s="22">
        <f t="shared" si="2"/>
        <v>0</v>
      </c>
    </row>
    <row r="2534">
      <c r="A2534" s="18">
        <v>3496.0</v>
      </c>
      <c r="B2534" s="18" t="s">
        <v>30</v>
      </c>
      <c r="C2534" s="18">
        <v>267.0</v>
      </c>
      <c r="D2534" s="18" t="s">
        <v>31</v>
      </c>
      <c r="E2534" s="27">
        <v>42564.734398148146</v>
      </c>
      <c r="F2534" s="19">
        <f>IFERROR(__xludf.DUMMYFUNCTION("IFERROR(TO_DATE(E2534), """")"),42564.734398148146)</f>
        <v>42564.7344</v>
      </c>
      <c r="G2534" s="20">
        <f t="shared" si="1"/>
        <v>17</v>
      </c>
      <c r="H2534" s="27">
        <v>42564.77334490741</v>
      </c>
      <c r="I2534" s="19">
        <f>IFERROR(__xludf.DUMMYFUNCTION("IFERROR(TO_DATE(H2534), """")"),42564.77334490741)</f>
        <v>42564.77334</v>
      </c>
      <c r="J2534" s="19" t="s">
        <v>12</v>
      </c>
      <c r="K2534" s="22">
        <f t="shared" si="2"/>
        <v>0</v>
      </c>
    </row>
    <row r="2535">
      <c r="A2535" s="18">
        <v>4950.0</v>
      </c>
      <c r="B2535" s="18" t="s">
        <v>32</v>
      </c>
      <c r="C2535" s="18">
        <v>267.0</v>
      </c>
      <c r="D2535" s="18" t="s">
        <v>31</v>
      </c>
      <c r="E2535" s="27">
        <v>42565.77077546297</v>
      </c>
      <c r="F2535" s="19">
        <f>IFERROR(__xludf.DUMMYFUNCTION("IFERROR(TO_DATE(E2535), """")"),42565.77077546297)</f>
        <v>42565.77078</v>
      </c>
      <c r="G2535" s="20">
        <f t="shared" si="1"/>
        <v>18</v>
      </c>
      <c r="H2535" s="27">
        <v>42565.809016203704</v>
      </c>
      <c r="I2535" s="19">
        <f>IFERROR(__xludf.DUMMYFUNCTION("IFERROR(TO_DATE(H2535), """")"),42565.809016203704)</f>
        <v>42565.80902</v>
      </c>
      <c r="J2535" s="19" t="s">
        <v>12</v>
      </c>
      <c r="K2535" s="22">
        <f t="shared" si="2"/>
        <v>0</v>
      </c>
    </row>
    <row r="2536">
      <c r="A2536" s="18">
        <v>6762.0</v>
      </c>
      <c r="B2536" s="18" t="s">
        <v>30</v>
      </c>
      <c r="C2536" s="18">
        <v>267.0</v>
      </c>
      <c r="D2536" s="18" t="s">
        <v>31</v>
      </c>
      <c r="E2536" s="27">
        <v>42566.00519675926</v>
      </c>
      <c r="F2536" s="19">
        <f>IFERROR(__xludf.DUMMYFUNCTION("IFERROR(TO_DATE(E2536), """")"),42566.00519675926)</f>
        <v>42566.0052</v>
      </c>
      <c r="G2536" s="20">
        <f t="shared" si="1"/>
        <v>0</v>
      </c>
      <c r="H2536" s="27">
        <v>42566.03668981481</v>
      </c>
      <c r="I2536" s="19">
        <f>IFERROR(__xludf.DUMMYFUNCTION("IFERROR(TO_DATE(H2536), """")"),42566.03668981481)</f>
        <v>42566.03669</v>
      </c>
      <c r="J2536" s="19" t="s">
        <v>15</v>
      </c>
      <c r="K2536" s="22">
        <f t="shared" si="2"/>
        <v>0</v>
      </c>
    </row>
    <row r="2537">
      <c r="A2537" s="18">
        <v>5825.0</v>
      </c>
      <c r="B2537" s="18" t="s">
        <v>30</v>
      </c>
      <c r="C2537" s="18">
        <v>267.0</v>
      </c>
      <c r="D2537" s="18" t="s">
        <v>31</v>
      </c>
      <c r="E2537" s="27">
        <v>42566.37143518519</v>
      </c>
      <c r="F2537" s="19">
        <f>IFERROR(__xludf.DUMMYFUNCTION("IFERROR(TO_DATE(E2537), """")"),42566.37143518519)</f>
        <v>42566.37144</v>
      </c>
      <c r="G2537" s="20">
        <f t="shared" si="1"/>
        <v>8</v>
      </c>
      <c r="H2537" s="27">
        <v>42566.411469907405</v>
      </c>
      <c r="I2537" s="19">
        <f>IFERROR(__xludf.DUMMYFUNCTION("IFERROR(TO_DATE(H2537), """")"),42566.411469907405)</f>
        <v>42566.41147</v>
      </c>
      <c r="J2537" s="19" t="s">
        <v>14</v>
      </c>
      <c r="K2537" s="22">
        <f t="shared" si="2"/>
        <v>0</v>
      </c>
    </row>
    <row r="2538">
      <c r="A2538" s="18">
        <v>251.0</v>
      </c>
      <c r="B2538" s="18" t="s">
        <v>30</v>
      </c>
      <c r="C2538" s="18">
        <v>268.0</v>
      </c>
      <c r="D2538" s="18" t="s">
        <v>31</v>
      </c>
      <c r="E2538" s="26">
        <v>42562.275</v>
      </c>
      <c r="F2538" s="19">
        <f>IFERROR(__xludf.DUMMYFUNCTION("IFERROR(TO_DATE(E2538), """")"),42562.275)</f>
        <v>42562.275</v>
      </c>
      <c r="G2538" s="20">
        <f t="shared" si="1"/>
        <v>6</v>
      </c>
      <c r="H2538" s="26">
        <v>42562.29722222222</v>
      </c>
      <c r="I2538" s="19">
        <f>IFERROR(__xludf.DUMMYFUNCTION("IFERROR(TO_DATE(H2538), """")"),42562.29722222222)</f>
        <v>42562.29722</v>
      </c>
      <c r="J2538" s="19" t="s">
        <v>11</v>
      </c>
      <c r="K2538" s="22">
        <f t="shared" si="2"/>
        <v>0</v>
      </c>
    </row>
    <row r="2539">
      <c r="A2539" s="18">
        <v>618.0</v>
      </c>
      <c r="B2539" s="18" t="s">
        <v>32</v>
      </c>
      <c r="C2539" s="18">
        <v>268.0</v>
      </c>
      <c r="D2539" s="18" t="s">
        <v>31</v>
      </c>
      <c r="E2539" s="26">
        <v>42562.50069444445</v>
      </c>
      <c r="F2539" s="19">
        <f>IFERROR(__xludf.DUMMYFUNCTION("IFERROR(TO_DATE(E2539), """")"),42562.50069444445)</f>
        <v>42562.50069</v>
      </c>
      <c r="G2539" s="20">
        <f t="shared" si="1"/>
        <v>12</v>
      </c>
      <c r="H2539" s="26">
        <v>42562.54375</v>
      </c>
      <c r="I2539" s="19">
        <f>IFERROR(__xludf.DUMMYFUNCTION("IFERROR(TO_DATE(H2539), """")"),42562.54375)</f>
        <v>42562.54375</v>
      </c>
      <c r="J2539" s="19" t="s">
        <v>10</v>
      </c>
      <c r="K2539" s="22">
        <f t="shared" si="2"/>
        <v>0</v>
      </c>
    </row>
    <row r="2540">
      <c r="A2540" s="18">
        <v>1595.0</v>
      </c>
      <c r="B2540" s="18" t="s">
        <v>30</v>
      </c>
      <c r="C2540" s="18">
        <v>268.0</v>
      </c>
      <c r="D2540" s="18" t="s">
        <v>31</v>
      </c>
      <c r="E2540" s="26">
        <v>42563.27361111111</v>
      </c>
      <c r="F2540" s="19">
        <f>IFERROR(__xludf.DUMMYFUNCTION("IFERROR(TO_DATE(E2540), """")"),42563.27361111111)</f>
        <v>42563.27361</v>
      </c>
      <c r="G2540" s="20">
        <f t="shared" si="1"/>
        <v>6</v>
      </c>
      <c r="H2540" s="26">
        <v>42563.29861111111</v>
      </c>
      <c r="I2540" s="19">
        <f>IFERROR(__xludf.DUMMYFUNCTION("IFERROR(TO_DATE(H2540), """")"),42563.29861111111)</f>
        <v>42563.29861</v>
      </c>
      <c r="J2540" s="19" t="s">
        <v>11</v>
      </c>
      <c r="K2540" s="22">
        <f t="shared" si="2"/>
        <v>0</v>
      </c>
    </row>
    <row r="2541">
      <c r="A2541" s="18">
        <v>2087.0</v>
      </c>
      <c r="B2541" s="18" t="s">
        <v>30</v>
      </c>
      <c r="C2541" s="18">
        <v>268.0</v>
      </c>
      <c r="D2541" s="18" t="s">
        <v>31</v>
      </c>
      <c r="E2541" s="26">
        <v>42563.65902777778</v>
      </c>
      <c r="F2541" s="19">
        <f>IFERROR(__xludf.DUMMYFUNCTION("IFERROR(TO_DATE(E2541), """")"),42563.65902777778)</f>
        <v>42563.65903</v>
      </c>
      <c r="G2541" s="20">
        <f t="shared" si="1"/>
        <v>15</v>
      </c>
      <c r="H2541" s="26">
        <v>42563.705555555556</v>
      </c>
      <c r="I2541" s="19">
        <f>IFERROR(__xludf.DUMMYFUNCTION("IFERROR(TO_DATE(H2541), """")"),42563.705555555556)</f>
        <v>42563.70556</v>
      </c>
      <c r="J2541" s="19" t="s">
        <v>10</v>
      </c>
      <c r="K2541" s="22">
        <f t="shared" si="2"/>
        <v>0</v>
      </c>
    </row>
    <row r="2542">
      <c r="A2542" s="18">
        <v>3334.0</v>
      </c>
      <c r="B2542" s="18" t="s">
        <v>30</v>
      </c>
      <c r="C2542" s="18">
        <v>268.0</v>
      </c>
      <c r="D2542" s="18" t="s">
        <v>31</v>
      </c>
      <c r="E2542" s="27">
        <v>42564.524664351855</v>
      </c>
      <c r="F2542" s="19">
        <f>IFERROR(__xludf.DUMMYFUNCTION("IFERROR(TO_DATE(E2542), """")"),42564.524664351855)</f>
        <v>42564.52466</v>
      </c>
      <c r="G2542" s="20">
        <f t="shared" si="1"/>
        <v>12</v>
      </c>
      <c r="H2542" s="27">
        <v>42564.56270833333</v>
      </c>
      <c r="I2542" s="19">
        <f>IFERROR(__xludf.DUMMYFUNCTION("IFERROR(TO_DATE(H2542), """")"),42564.56270833333)</f>
        <v>42564.56271</v>
      </c>
      <c r="J2542" s="19" t="s">
        <v>10</v>
      </c>
      <c r="K2542" s="22">
        <f t="shared" si="2"/>
        <v>0</v>
      </c>
    </row>
    <row r="2543">
      <c r="A2543" s="18">
        <v>3950.0</v>
      </c>
      <c r="B2543" s="18" t="s">
        <v>32</v>
      </c>
      <c r="C2543" s="18">
        <v>268.0</v>
      </c>
      <c r="D2543" s="18" t="s">
        <v>31</v>
      </c>
      <c r="E2543" s="27">
        <v>42564.94571759259</v>
      </c>
      <c r="F2543" s="19">
        <f>IFERROR(__xludf.DUMMYFUNCTION("IFERROR(TO_DATE(E2543), """")"),42564.94571759259)</f>
        <v>42564.94572</v>
      </c>
      <c r="G2543" s="20">
        <f t="shared" si="1"/>
        <v>22</v>
      </c>
      <c r="H2543" s="27">
        <v>42564.98222222222</v>
      </c>
      <c r="I2543" s="19">
        <f>IFERROR(__xludf.DUMMYFUNCTION("IFERROR(TO_DATE(H2543), """")"),42564.98222222222)</f>
        <v>42564.98222</v>
      </c>
      <c r="J2543" s="19" t="s">
        <v>13</v>
      </c>
      <c r="K2543" s="22">
        <f t="shared" si="2"/>
        <v>0</v>
      </c>
    </row>
    <row r="2544">
      <c r="A2544" s="18">
        <v>4378.0</v>
      </c>
      <c r="B2544" s="18" t="s">
        <v>32</v>
      </c>
      <c r="C2544" s="18">
        <v>268.0</v>
      </c>
      <c r="D2544" s="18" t="s">
        <v>31</v>
      </c>
      <c r="E2544" s="27">
        <v>42565.31722222222</v>
      </c>
      <c r="F2544" s="19">
        <f>IFERROR(__xludf.DUMMYFUNCTION("IFERROR(TO_DATE(E2544), """")"),42565.31722222222)</f>
        <v>42565.31722</v>
      </c>
      <c r="G2544" s="20">
        <f t="shared" si="1"/>
        <v>7</v>
      </c>
      <c r="H2544" s="27">
        <v>42565.34878472222</v>
      </c>
      <c r="I2544" s="19">
        <f>IFERROR(__xludf.DUMMYFUNCTION("IFERROR(TO_DATE(H2544), """")"),42565.34878472222)</f>
        <v>42565.34878</v>
      </c>
      <c r="J2544" s="19" t="s">
        <v>11</v>
      </c>
      <c r="K2544" s="22">
        <f t="shared" si="2"/>
        <v>0</v>
      </c>
    </row>
    <row r="2545">
      <c r="A2545" s="18">
        <v>4714.0</v>
      </c>
      <c r="B2545" s="18" t="s">
        <v>32</v>
      </c>
      <c r="C2545" s="18">
        <v>268.0</v>
      </c>
      <c r="D2545" s="18" t="s">
        <v>31</v>
      </c>
      <c r="E2545" s="27">
        <v>42565.56277777778</v>
      </c>
      <c r="F2545" s="19">
        <f>IFERROR(__xludf.DUMMYFUNCTION("IFERROR(TO_DATE(E2545), """")"),42565.56277777778)</f>
        <v>42565.56278</v>
      </c>
      <c r="G2545" s="20">
        <f t="shared" si="1"/>
        <v>13</v>
      </c>
      <c r="H2545" s="27">
        <v>42565.58634259259</v>
      </c>
      <c r="I2545" s="19">
        <f>IFERROR(__xludf.DUMMYFUNCTION("IFERROR(TO_DATE(H2545), """")"),42565.58634259259)</f>
        <v>42565.58634</v>
      </c>
      <c r="J2545" s="19" t="s">
        <v>10</v>
      </c>
      <c r="K2545" s="22">
        <f t="shared" si="2"/>
        <v>0</v>
      </c>
    </row>
    <row r="2546">
      <c r="A2546" s="18">
        <v>4777.0</v>
      </c>
      <c r="B2546" s="18" t="s">
        <v>32</v>
      </c>
      <c r="C2546" s="18">
        <v>268.0</v>
      </c>
      <c r="D2546" s="18" t="s">
        <v>31</v>
      </c>
      <c r="E2546" s="27">
        <v>42565.681342592594</v>
      </c>
      <c r="F2546" s="19">
        <f>IFERROR(__xludf.DUMMYFUNCTION("IFERROR(TO_DATE(E2546), """")"),42565.681342592594)</f>
        <v>42565.68134</v>
      </c>
      <c r="G2546" s="20">
        <f t="shared" si="1"/>
        <v>16</v>
      </c>
      <c r="H2546" s="27">
        <v>42565.703101851854</v>
      </c>
      <c r="I2546" s="19">
        <f>IFERROR(__xludf.DUMMYFUNCTION("IFERROR(TO_DATE(H2546), """")"),42565.703101851854)</f>
        <v>42565.7031</v>
      </c>
      <c r="J2546" s="19" t="s">
        <v>12</v>
      </c>
      <c r="K2546" s="22">
        <f t="shared" si="2"/>
        <v>0</v>
      </c>
    </row>
    <row r="2547">
      <c r="A2547" s="18">
        <v>5619.0</v>
      </c>
      <c r="B2547" s="18" t="s">
        <v>30</v>
      </c>
      <c r="C2547" s="18">
        <v>268.0</v>
      </c>
      <c r="D2547" s="18" t="s">
        <v>31</v>
      </c>
      <c r="E2547" s="27">
        <v>42566.27107638889</v>
      </c>
      <c r="F2547" s="19">
        <f>IFERROR(__xludf.DUMMYFUNCTION("IFERROR(TO_DATE(E2547), """")"),42566.27107638889)</f>
        <v>42566.27108</v>
      </c>
      <c r="G2547" s="20">
        <f t="shared" si="1"/>
        <v>6</v>
      </c>
      <c r="H2547" s="27">
        <v>42566.31916666667</v>
      </c>
      <c r="I2547" s="19">
        <f>IFERROR(__xludf.DUMMYFUNCTION("IFERROR(TO_DATE(H2547), """")"),42566.31916666667)</f>
        <v>42566.31917</v>
      </c>
      <c r="J2547" s="19" t="s">
        <v>11</v>
      </c>
      <c r="K2547" s="22">
        <f t="shared" si="2"/>
        <v>0</v>
      </c>
    </row>
    <row r="2548">
      <c r="A2548" s="18">
        <v>6649.0</v>
      </c>
      <c r="B2548" s="18" t="s">
        <v>30</v>
      </c>
      <c r="C2548" s="18">
        <v>268.0</v>
      </c>
      <c r="D2548" s="18" t="s">
        <v>31</v>
      </c>
      <c r="E2548" s="27">
        <v>42566.92217592592</v>
      </c>
      <c r="F2548" s="19">
        <f>IFERROR(__xludf.DUMMYFUNCTION("IFERROR(TO_DATE(E2548), """")"),42566.92217592592)</f>
        <v>42566.92218</v>
      </c>
      <c r="G2548" s="20">
        <f t="shared" si="1"/>
        <v>22</v>
      </c>
      <c r="H2548" s="27">
        <v>42566.974814814814</v>
      </c>
      <c r="I2548" s="19">
        <f>IFERROR(__xludf.DUMMYFUNCTION("IFERROR(TO_DATE(H2548), """")"),42566.974814814814)</f>
        <v>42566.97481</v>
      </c>
      <c r="J2548" s="19" t="s">
        <v>13</v>
      </c>
      <c r="K2548" s="22">
        <f t="shared" si="2"/>
        <v>0</v>
      </c>
    </row>
    <row r="2549">
      <c r="A2549" s="18">
        <v>596.0</v>
      </c>
      <c r="B2549" s="18" t="s">
        <v>32</v>
      </c>
      <c r="C2549" s="18">
        <v>269.0</v>
      </c>
      <c r="D2549" s="18" t="s">
        <v>31</v>
      </c>
      <c r="E2549" s="26">
        <v>42562.479166666664</v>
      </c>
      <c r="F2549" s="19">
        <f>IFERROR(__xludf.DUMMYFUNCTION("IFERROR(TO_DATE(E2549), """")"),42562.479166666664)</f>
        <v>42562.47917</v>
      </c>
      <c r="G2549" s="20">
        <f t="shared" si="1"/>
        <v>11</v>
      </c>
      <c r="H2549" s="26">
        <v>42562.51944444444</v>
      </c>
      <c r="I2549" s="19">
        <f>IFERROR(__xludf.DUMMYFUNCTION("IFERROR(TO_DATE(H2549), """")"),42562.51944444444)</f>
        <v>42562.51944</v>
      </c>
      <c r="J2549" s="19" t="s">
        <v>14</v>
      </c>
      <c r="K2549" s="22">
        <f t="shared" si="2"/>
        <v>0</v>
      </c>
    </row>
    <row r="2550">
      <c r="A2550" s="18">
        <v>910.0</v>
      </c>
      <c r="B2550" s="18" t="s">
        <v>30</v>
      </c>
      <c r="C2550" s="18">
        <v>269.0</v>
      </c>
      <c r="D2550" s="18" t="s">
        <v>31</v>
      </c>
      <c r="E2550" s="26">
        <v>42562.76458333333</v>
      </c>
      <c r="F2550" s="19">
        <f>IFERROR(__xludf.DUMMYFUNCTION("IFERROR(TO_DATE(E2550), """")"),42562.76458333333)</f>
        <v>42562.76458</v>
      </c>
      <c r="G2550" s="20">
        <f t="shared" si="1"/>
        <v>18</v>
      </c>
      <c r="H2550" s="26">
        <v>42562.79236111111</v>
      </c>
      <c r="I2550" s="19">
        <f>IFERROR(__xludf.DUMMYFUNCTION("IFERROR(TO_DATE(H2550), """")"),42562.79236111111)</f>
        <v>42562.79236</v>
      </c>
      <c r="J2550" s="19" t="s">
        <v>12</v>
      </c>
      <c r="K2550" s="22">
        <f t="shared" si="2"/>
        <v>0</v>
      </c>
    </row>
    <row r="2551">
      <c r="A2551" s="18">
        <v>1751.0</v>
      </c>
      <c r="B2551" s="18" t="s">
        <v>30</v>
      </c>
      <c r="C2551" s="18">
        <v>269.0</v>
      </c>
      <c r="D2551" s="18" t="s">
        <v>31</v>
      </c>
      <c r="E2551" s="26">
        <v>42563.36041666667</v>
      </c>
      <c r="F2551" s="19">
        <f>IFERROR(__xludf.DUMMYFUNCTION("IFERROR(TO_DATE(E2551), """")"),42563.36041666667)</f>
        <v>42563.36042</v>
      </c>
      <c r="G2551" s="20">
        <f t="shared" si="1"/>
        <v>8</v>
      </c>
      <c r="H2551" s="26">
        <v>42563.39513888889</v>
      </c>
      <c r="I2551" s="19">
        <f>IFERROR(__xludf.DUMMYFUNCTION("IFERROR(TO_DATE(H2551), """")"),42563.39513888889)</f>
        <v>42563.39514</v>
      </c>
      <c r="J2551" s="19" t="s">
        <v>14</v>
      </c>
      <c r="K2551" s="22">
        <f t="shared" si="2"/>
        <v>0</v>
      </c>
    </row>
    <row r="2552">
      <c r="A2552" s="18">
        <v>1952.0</v>
      </c>
      <c r="B2552" s="18" t="s">
        <v>32</v>
      </c>
      <c r="C2552" s="18">
        <v>269.0</v>
      </c>
      <c r="D2552" s="18" t="s">
        <v>31</v>
      </c>
      <c r="E2552" s="26">
        <v>42563.479166666664</v>
      </c>
      <c r="F2552" s="19">
        <f>IFERROR(__xludf.DUMMYFUNCTION("IFERROR(TO_DATE(E2552), """")"),42563.479166666664)</f>
        <v>42563.47917</v>
      </c>
      <c r="G2552" s="20">
        <f t="shared" si="1"/>
        <v>11</v>
      </c>
      <c r="H2552" s="26">
        <v>42563.51458333333</v>
      </c>
      <c r="I2552" s="19">
        <f>IFERROR(__xludf.DUMMYFUNCTION("IFERROR(TO_DATE(H2552), """")"),42563.51458333333)</f>
        <v>42563.51458</v>
      </c>
      <c r="J2552" s="19" t="s">
        <v>14</v>
      </c>
      <c r="K2552" s="22">
        <f t="shared" si="2"/>
        <v>0</v>
      </c>
    </row>
    <row r="2553">
      <c r="A2553" s="18">
        <v>2814.0</v>
      </c>
      <c r="B2553" s="18" t="s">
        <v>32</v>
      </c>
      <c r="C2553" s="18">
        <v>269.0</v>
      </c>
      <c r="D2553" s="18" t="s">
        <v>31</v>
      </c>
      <c r="E2553" s="27">
        <v>42564.21513888889</v>
      </c>
      <c r="F2553" s="19">
        <f>IFERROR(__xludf.DUMMYFUNCTION("IFERROR(TO_DATE(E2553), """")"),42564.21513888889)</f>
        <v>42564.21514</v>
      </c>
      <c r="G2553" s="20">
        <f t="shared" si="1"/>
        <v>5</v>
      </c>
      <c r="H2553" s="27">
        <v>42564.256006944444</v>
      </c>
      <c r="I2553" s="19">
        <f>IFERROR(__xludf.DUMMYFUNCTION("IFERROR(TO_DATE(H2553), """")"),42564.256006944444)</f>
        <v>42564.25601</v>
      </c>
      <c r="J2553" s="19" t="s">
        <v>11</v>
      </c>
      <c r="K2553" s="22">
        <f t="shared" si="2"/>
        <v>0</v>
      </c>
    </row>
    <row r="2554">
      <c r="A2554" s="18">
        <v>3425.0</v>
      </c>
      <c r="B2554" s="18" t="s">
        <v>32</v>
      </c>
      <c r="C2554" s="18">
        <v>269.0</v>
      </c>
      <c r="D2554" s="18" t="s">
        <v>31</v>
      </c>
      <c r="E2554" s="27">
        <v>42564.66111111111</v>
      </c>
      <c r="F2554" s="19">
        <f>IFERROR(__xludf.DUMMYFUNCTION("IFERROR(TO_DATE(E2554), """")"),42564.66111111111)</f>
        <v>42564.66111</v>
      </c>
      <c r="G2554" s="20">
        <f t="shared" si="1"/>
        <v>15</v>
      </c>
      <c r="H2554" s="27">
        <v>42564.68305555556</v>
      </c>
      <c r="I2554" s="19">
        <f>IFERROR(__xludf.DUMMYFUNCTION("IFERROR(TO_DATE(H2554), """")"),42564.68305555556)</f>
        <v>42564.68306</v>
      </c>
      <c r="J2554" s="19" t="s">
        <v>10</v>
      </c>
      <c r="K2554" s="22">
        <f t="shared" si="2"/>
        <v>0</v>
      </c>
    </row>
    <row r="2555">
      <c r="A2555" s="18">
        <v>4525.0</v>
      </c>
      <c r="B2555" s="18" t="s">
        <v>30</v>
      </c>
      <c r="C2555" s="18">
        <v>269.0</v>
      </c>
      <c r="D2555" s="18" t="s">
        <v>31</v>
      </c>
      <c r="E2555" s="27">
        <v>42565.3940625</v>
      </c>
      <c r="F2555" s="19">
        <f>IFERROR(__xludf.DUMMYFUNCTION("IFERROR(TO_DATE(E2555), """")"),42565.3940625)</f>
        <v>42565.39406</v>
      </c>
      <c r="G2555" s="20">
        <f t="shared" si="1"/>
        <v>9</v>
      </c>
      <c r="H2555" s="27">
        <v>42565.42947916667</v>
      </c>
      <c r="I2555" s="19">
        <f>IFERROR(__xludf.DUMMYFUNCTION("IFERROR(TO_DATE(H2555), """")"),42565.42947916667)</f>
        <v>42565.42948</v>
      </c>
      <c r="J2555" s="19" t="s">
        <v>14</v>
      </c>
      <c r="K2555" s="22">
        <f t="shared" si="2"/>
        <v>0</v>
      </c>
    </row>
    <row r="2556">
      <c r="A2556" s="18">
        <v>4661.0</v>
      </c>
      <c r="B2556" s="18" t="s">
        <v>32</v>
      </c>
      <c r="C2556" s="18">
        <v>269.0</v>
      </c>
      <c r="D2556" s="18" t="s">
        <v>31</v>
      </c>
      <c r="E2556" s="27">
        <v>42565.51447916667</v>
      </c>
      <c r="F2556" s="19">
        <f>IFERROR(__xludf.DUMMYFUNCTION("IFERROR(TO_DATE(E2556), """")"),42565.51447916667)</f>
        <v>42565.51448</v>
      </c>
      <c r="G2556" s="20">
        <f t="shared" si="1"/>
        <v>12</v>
      </c>
      <c r="H2556" s="27">
        <v>42565.53965277778</v>
      </c>
      <c r="I2556" s="19">
        <f>IFERROR(__xludf.DUMMYFUNCTION("IFERROR(TO_DATE(H2556), """")"),42565.53965277778)</f>
        <v>42565.53965</v>
      </c>
      <c r="J2556" s="19" t="s">
        <v>10</v>
      </c>
      <c r="K2556" s="22">
        <f t="shared" si="2"/>
        <v>0</v>
      </c>
    </row>
    <row r="2557">
      <c r="A2557" s="18">
        <v>5533.0</v>
      </c>
      <c r="B2557" s="18" t="s">
        <v>32</v>
      </c>
      <c r="C2557" s="18">
        <v>269.0</v>
      </c>
      <c r="D2557" s="18" t="s">
        <v>31</v>
      </c>
      <c r="E2557" s="27">
        <v>42566.222650462965</v>
      </c>
      <c r="F2557" s="19">
        <f>IFERROR(__xludf.DUMMYFUNCTION("IFERROR(TO_DATE(E2557), """")"),42566.222650462965)</f>
        <v>42566.22265</v>
      </c>
      <c r="G2557" s="20">
        <f t="shared" si="1"/>
        <v>5</v>
      </c>
      <c r="H2557" s="27">
        <v>42566.26789351852</v>
      </c>
      <c r="I2557" s="19">
        <f>IFERROR(__xludf.DUMMYFUNCTION("IFERROR(TO_DATE(H2557), """")"),42566.26789351852)</f>
        <v>42566.26789</v>
      </c>
      <c r="J2557" s="19" t="s">
        <v>11</v>
      </c>
      <c r="K2557" s="22">
        <f t="shared" si="2"/>
        <v>0</v>
      </c>
    </row>
    <row r="2558">
      <c r="A2558" s="18">
        <v>6101.0</v>
      </c>
      <c r="B2558" s="18" t="s">
        <v>32</v>
      </c>
      <c r="C2558" s="18">
        <v>269.0</v>
      </c>
      <c r="D2558" s="18" t="s">
        <v>31</v>
      </c>
      <c r="E2558" s="27">
        <v>42566.619467592594</v>
      </c>
      <c r="F2558" s="19">
        <f>IFERROR(__xludf.DUMMYFUNCTION("IFERROR(TO_DATE(E2558), """")"),42566.619467592594)</f>
        <v>42566.61947</v>
      </c>
      <c r="G2558" s="20">
        <f t="shared" si="1"/>
        <v>14</v>
      </c>
      <c r="H2558" s="27">
        <v>42566.669386574074</v>
      </c>
      <c r="I2558" s="19">
        <f>IFERROR(__xludf.DUMMYFUNCTION("IFERROR(TO_DATE(H2558), """")"),42566.669386574074)</f>
        <v>42566.66939</v>
      </c>
      <c r="J2558" s="19" t="s">
        <v>10</v>
      </c>
      <c r="K2558" s="22">
        <f t="shared" si="2"/>
        <v>0</v>
      </c>
    </row>
    <row r="2559">
      <c r="A2559" s="18">
        <v>95.0</v>
      </c>
      <c r="B2559" s="18" t="s">
        <v>30</v>
      </c>
      <c r="C2559" s="18">
        <v>270.0</v>
      </c>
      <c r="D2559" s="18" t="s">
        <v>31</v>
      </c>
      <c r="E2559" s="26">
        <v>42562.20416666667</v>
      </c>
      <c r="F2559" s="19">
        <f>IFERROR(__xludf.DUMMYFUNCTION("IFERROR(TO_DATE(E2559), """")"),42562.20416666667)</f>
        <v>42562.20417</v>
      </c>
      <c r="G2559" s="20">
        <f t="shared" si="1"/>
        <v>4</v>
      </c>
      <c r="H2559" s="26">
        <v>42562.25208333333</v>
      </c>
      <c r="I2559" s="19">
        <f>IFERROR(__xludf.DUMMYFUNCTION("IFERROR(TO_DATE(H2559), """")"),42562.25208333333)</f>
        <v>42562.25208</v>
      </c>
      <c r="J2559" s="19" t="s">
        <v>11</v>
      </c>
      <c r="K2559" s="22">
        <f t="shared" si="2"/>
        <v>0</v>
      </c>
    </row>
    <row r="2560">
      <c r="A2560" s="18">
        <v>944.0</v>
      </c>
      <c r="B2560" s="18" t="s">
        <v>32</v>
      </c>
      <c r="C2560" s="18">
        <v>270.0</v>
      </c>
      <c r="D2560" s="18" t="s">
        <v>31</v>
      </c>
      <c r="E2560" s="26">
        <v>42562.774305555555</v>
      </c>
      <c r="F2560" s="19">
        <f>IFERROR(__xludf.DUMMYFUNCTION("IFERROR(TO_DATE(E2560), """")"),42562.774305555555)</f>
        <v>42562.77431</v>
      </c>
      <c r="G2560" s="20">
        <f t="shared" si="1"/>
        <v>18</v>
      </c>
      <c r="H2560" s="26">
        <v>42562.79791666667</v>
      </c>
      <c r="I2560" s="19">
        <f>IFERROR(__xludf.DUMMYFUNCTION("IFERROR(TO_DATE(H2560), """")"),42562.79791666667)</f>
        <v>42562.79792</v>
      </c>
      <c r="J2560" s="19" t="s">
        <v>12</v>
      </c>
      <c r="K2560" s="22">
        <f t="shared" si="2"/>
        <v>0</v>
      </c>
    </row>
    <row r="2561">
      <c r="A2561" s="18">
        <v>1066.0</v>
      </c>
      <c r="B2561" s="18" t="s">
        <v>30</v>
      </c>
      <c r="C2561" s="18">
        <v>270.0</v>
      </c>
      <c r="D2561" s="18" t="s">
        <v>31</v>
      </c>
      <c r="E2561" s="26">
        <v>42562.83194444444</v>
      </c>
      <c r="F2561" s="19">
        <f>IFERROR(__xludf.DUMMYFUNCTION("IFERROR(TO_DATE(E2561), """")"),42562.83194444444)</f>
        <v>42562.83194</v>
      </c>
      <c r="G2561" s="20">
        <f t="shared" si="1"/>
        <v>19</v>
      </c>
      <c r="H2561" s="26">
        <v>42562.86875</v>
      </c>
      <c r="I2561" s="19">
        <f>IFERROR(__xludf.DUMMYFUNCTION("IFERROR(TO_DATE(H2561), """")"),42562.86875)</f>
        <v>42562.86875</v>
      </c>
      <c r="J2561" s="19" t="s">
        <v>12</v>
      </c>
      <c r="K2561" s="22">
        <f t="shared" si="2"/>
        <v>0</v>
      </c>
    </row>
    <row r="2562">
      <c r="A2562" s="18">
        <v>1592.0</v>
      </c>
      <c r="B2562" s="18" t="s">
        <v>32</v>
      </c>
      <c r="C2562" s="18">
        <v>270.0</v>
      </c>
      <c r="D2562" s="18" t="s">
        <v>31</v>
      </c>
      <c r="E2562" s="26">
        <v>42563.27569444444</v>
      </c>
      <c r="F2562" s="19">
        <f>IFERROR(__xludf.DUMMYFUNCTION("IFERROR(TO_DATE(E2562), """")"),42563.27569444444)</f>
        <v>42563.27569</v>
      </c>
      <c r="G2562" s="20">
        <f t="shared" si="1"/>
        <v>6</v>
      </c>
      <c r="H2562" s="26">
        <v>42563.325</v>
      </c>
      <c r="I2562" s="19">
        <f>IFERROR(__xludf.DUMMYFUNCTION("IFERROR(TO_DATE(H2562), """")"),42563.325)</f>
        <v>42563.325</v>
      </c>
      <c r="J2562" s="19" t="s">
        <v>11</v>
      </c>
      <c r="K2562" s="22">
        <f t="shared" si="2"/>
        <v>0</v>
      </c>
    </row>
    <row r="2563">
      <c r="A2563" s="18">
        <v>2461.0</v>
      </c>
      <c r="B2563" s="18" t="s">
        <v>30</v>
      </c>
      <c r="C2563" s="18">
        <v>270.0</v>
      </c>
      <c r="D2563" s="18" t="s">
        <v>31</v>
      </c>
      <c r="E2563" s="26">
        <v>42563.85555555556</v>
      </c>
      <c r="F2563" s="19">
        <f>IFERROR(__xludf.DUMMYFUNCTION("IFERROR(TO_DATE(E2563), """")"),42563.85555555556)</f>
        <v>42563.85556</v>
      </c>
      <c r="G2563" s="20">
        <f t="shared" si="1"/>
        <v>20</v>
      </c>
      <c r="H2563" s="26">
        <v>42563.89722222222</v>
      </c>
      <c r="I2563" s="19">
        <f>IFERROR(__xludf.DUMMYFUNCTION("IFERROR(TO_DATE(H2563), """")"),42563.89722222222)</f>
        <v>42563.89722</v>
      </c>
      <c r="J2563" s="19" t="s">
        <v>13</v>
      </c>
      <c r="K2563" s="22">
        <f t="shared" si="2"/>
        <v>0</v>
      </c>
    </row>
    <row r="2564">
      <c r="A2564" s="18">
        <v>3039.0</v>
      </c>
      <c r="B2564" s="18" t="s">
        <v>30</v>
      </c>
      <c r="C2564" s="18">
        <v>270.0</v>
      </c>
      <c r="D2564" s="18" t="s">
        <v>31</v>
      </c>
      <c r="E2564" s="27">
        <v>42564.31584490741</v>
      </c>
      <c r="F2564" s="19">
        <f>IFERROR(__xludf.DUMMYFUNCTION("IFERROR(TO_DATE(E2564), """")"),42564.31584490741)</f>
        <v>42564.31584</v>
      </c>
      <c r="G2564" s="20">
        <f t="shared" si="1"/>
        <v>7</v>
      </c>
      <c r="H2564" s="27">
        <v>42564.343460648146</v>
      </c>
      <c r="I2564" s="19">
        <f>IFERROR(__xludf.DUMMYFUNCTION("IFERROR(TO_DATE(H2564), """")"),42564.343460648146)</f>
        <v>42564.34346</v>
      </c>
      <c r="J2564" s="19" t="s">
        <v>11</v>
      </c>
      <c r="K2564" s="22">
        <f t="shared" si="2"/>
        <v>0</v>
      </c>
    </row>
    <row r="2565">
      <c r="A2565" s="18">
        <v>3768.0</v>
      </c>
      <c r="B2565" s="18" t="s">
        <v>32</v>
      </c>
      <c r="C2565" s="18">
        <v>270.0</v>
      </c>
      <c r="D2565" s="18" t="s">
        <v>31</v>
      </c>
      <c r="E2565" s="27">
        <v>42564.86053240741</v>
      </c>
      <c r="F2565" s="19">
        <f>IFERROR(__xludf.DUMMYFUNCTION("IFERROR(TO_DATE(E2565), """")"),42564.86053240741)</f>
        <v>42564.86053</v>
      </c>
      <c r="G2565" s="20">
        <f t="shared" si="1"/>
        <v>20</v>
      </c>
      <c r="H2565" s="27">
        <v>42564.8918287037</v>
      </c>
      <c r="I2565" s="19">
        <f>IFERROR(__xludf.DUMMYFUNCTION("IFERROR(TO_DATE(H2565), """")"),42564.8918287037)</f>
        <v>42564.89183</v>
      </c>
      <c r="J2565" s="19" t="s">
        <v>13</v>
      </c>
      <c r="K2565" s="22">
        <f t="shared" si="2"/>
        <v>0</v>
      </c>
    </row>
    <row r="2566">
      <c r="A2566" s="18">
        <v>4277.0</v>
      </c>
      <c r="B2566" s="18" t="s">
        <v>32</v>
      </c>
      <c r="C2566" s="18">
        <v>270.0</v>
      </c>
      <c r="D2566" s="18" t="s">
        <v>31</v>
      </c>
      <c r="E2566" s="27">
        <v>42565.26583333333</v>
      </c>
      <c r="F2566" s="19">
        <f>IFERROR(__xludf.DUMMYFUNCTION("IFERROR(TO_DATE(E2566), """")"),42565.26583333333)</f>
        <v>42565.26583</v>
      </c>
      <c r="G2566" s="20">
        <f t="shared" si="1"/>
        <v>6</v>
      </c>
      <c r="H2566" s="27">
        <v>42565.30509259259</v>
      </c>
      <c r="I2566" s="19">
        <f>IFERROR(__xludf.DUMMYFUNCTION("IFERROR(TO_DATE(H2566), """")"),42565.30509259259)</f>
        <v>42565.30509</v>
      </c>
      <c r="J2566" s="19" t="s">
        <v>11</v>
      </c>
      <c r="K2566" s="22">
        <f t="shared" si="2"/>
        <v>0</v>
      </c>
    </row>
    <row r="2567">
      <c r="A2567" s="18">
        <v>4658.0</v>
      </c>
      <c r="B2567" s="18" t="s">
        <v>32</v>
      </c>
      <c r="C2567" s="18">
        <v>270.0</v>
      </c>
      <c r="D2567" s="18" t="s">
        <v>31</v>
      </c>
      <c r="E2567" s="27">
        <v>42565.50609953704</v>
      </c>
      <c r="F2567" s="19">
        <f>IFERROR(__xludf.DUMMYFUNCTION("IFERROR(TO_DATE(E2567), """")"),42565.50609953704)</f>
        <v>42565.5061</v>
      </c>
      <c r="G2567" s="20">
        <f t="shared" si="1"/>
        <v>12</v>
      </c>
      <c r="H2567" s="27">
        <v>42565.54565972222</v>
      </c>
      <c r="I2567" s="19">
        <f>IFERROR(__xludf.DUMMYFUNCTION("IFERROR(TO_DATE(H2567), """")"),42565.54565972222)</f>
        <v>42565.54566</v>
      </c>
      <c r="J2567" s="19" t="s">
        <v>10</v>
      </c>
      <c r="K2567" s="22">
        <f t="shared" si="2"/>
        <v>0</v>
      </c>
    </row>
    <row r="2568">
      <c r="A2568" s="18">
        <v>6111.0</v>
      </c>
      <c r="B2568" s="18" t="s">
        <v>32</v>
      </c>
      <c r="C2568" s="18">
        <v>270.0</v>
      </c>
      <c r="D2568" s="18" t="s">
        <v>31</v>
      </c>
      <c r="E2568" s="27">
        <v>42566.627337962964</v>
      </c>
      <c r="F2568" s="19">
        <f>IFERROR(__xludf.DUMMYFUNCTION("IFERROR(TO_DATE(E2568), """")"),42566.627337962964)</f>
        <v>42566.62734</v>
      </c>
      <c r="G2568" s="20">
        <f t="shared" si="1"/>
        <v>15</v>
      </c>
      <c r="H2568" s="27">
        <v>42566.6775</v>
      </c>
      <c r="I2568" s="19">
        <f>IFERROR(__xludf.DUMMYFUNCTION("IFERROR(TO_DATE(H2568), """")"),42566.6775)</f>
        <v>42566.6775</v>
      </c>
      <c r="J2568" s="19" t="s">
        <v>10</v>
      </c>
      <c r="K2568" s="22">
        <f t="shared" si="2"/>
        <v>0</v>
      </c>
    </row>
    <row r="2569">
      <c r="A2569" s="18">
        <v>559.0</v>
      </c>
      <c r="B2569" s="18" t="s">
        <v>32</v>
      </c>
      <c r="C2569" s="18">
        <v>271.0</v>
      </c>
      <c r="D2569" s="18" t="s">
        <v>31</v>
      </c>
      <c r="E2569" s="26">
        <v>42562.42638888889</v>
      </c>
      <c r="F2569" s="19">
        <f>IFERROR(__xludf.DUMMYFUNCTION("IFERROR(TO_DATE(E2569), """")"),42562.42638888889)</f>
        <v>42562.42639</v>
      </c>
      <c r="G2569" s="20">
        <f t="shared" si="1"/>
        <v>10</v>
      </c>
      <c r="H2569" s="26">
        <v>42562.46041666667</v>
      </c>
      <c r="I2569" s="19">
        <f>IFERROR(__xludf.DUMMYFUNCTION("IFERROR(TO_DATE(H2569), """")"),42562.46041666667)</f>
        <v>42562.46042</v>
      </c>
      <c r="J2569" s="19" t="s">
        <v>14</v>
      </c>
      <c r="K2569" s="22">
        <f t="shared" si="2"/>
        <v>0</v>
      </c>
    </row>
    <row r="2570">
      <c r="A2570" s="18">
        <v>860.0</v>
      </c>
      <c r="B2570" s="18" t="s">
        <v>32</v>
      </c>
      <c r="C2570" s="18">
        <v>271.0</v>
      </c>
      <c r="D2570" s="18" t="s">
        <v>31</v>
      </c>
      <c r="E2570" s="26">
        <v>42562.74722222222</v>
      </c>
      <c r="F2570" s="19">
        <f>IFERROR(__xludf.DUMMYFUNCTION("IFERROR(TO_DATE(E2570), """")"),42562.74722222222)</f>
        <v>42562.74722</v>
      </c>
      <c r="G2570" s="20">
        <f t="shared" si="1"/>
        <v>17</v>
      </c>
      <c r="H2570" s="26">
        <v>42562.777083333334</v>
      </c>
      <c r="I2570" s="19">
        <f>IFERROR(__xludf.DUMMYFUNCTION("IFERROR(TO_DATE(H2570), """")"),42562.777083333334)</f>
        <v>42562.77708</v>
      </c>
      <c r="J2570" s="19" t="s">
        <v>12</v>
      </c>
      <c r="K2570" s="22">
        <f t="shared" si="2"/>
        <v>0</v>
      </c>
    </row>
    <row r="2571">
      <c r="A2571" s="18">
        <v>1724.0</v>
      </c>
      <c r="B2571" s="18" t="s">
        <v>32</v>
      </c>
      <c r="C2571" s="18">
        <v>271.0</v>
      </c>
      <c r="D2571" s="18" t="s">
        <v>31</v>
      </c>
      <c r="E2571" s="26">
        <v>42563.34652777778</v>
      </c>
      <c r="F2571" s="19">
        <f>IFERROR(__xludf.DUMMYFUNCTION("IFERROR(TO_DATE(E2571), """")"),42563.34652777778)</f>
        <v>42563.34653</v>
      </c>
      <c r="G2571" s="20">
        <f t="shared" si="1"/>
        <v>8</v>
      </c>
      <c r="H2571" s="26">
        <v>42563.39375</v>
      </c>
      <c r="I2571" s="19">
        <f>IFERROR(__xludf.DUMMYFUNCTION("IFERROR(TO_DATE(H2571), """")"),42563.39375)</f>
        <v>42563.39375</v>
      </c>
      <c r="J2571" s="19" t="s">
        <v>14</v>
      </c>
      <c r="K2571" s="22">
        <f t="shared" si="2"/>
        <v>0</v>
      </c>
    </row>
    <row r="2572">
      <c r="A2572" s="18">
        <v>4409.0</v>
      </c>
      <c r="B2572" s="18" t="s">
        <v>32</v>
      </c>
      <c r="C2572" s="18">
        <v>271.0</v>
      </c>
      <c r="D2572" s="18" t="s">
        <v>31</v>
      </c>
      <c r="E2572" s="27">
        <v>42565.34091435185</v>
      </c>
      <c r="F2572" s="19">
        <f>IFERROR(__xludf.DUMMYFUNCTION("IFERROR(TO_DATE(E2572), """")"),42565.34091435185)</f>
        <v>42565.34091</v>
      </c>
      <c r="G2572" s="20">
        <f t="shared" si="1"/>
        <v>8</v>
      </c>
      <c r="H2572" s="27">
        <v>42565.38731481481</v>
      </c>
      <c r="I2572" s="19">
        <f>IFERROR(__xludf.DUMMYFUNCTION("IFERROR(TO_DATE(H2572), """")"),42565.38731481481)</f>
        <v>42565.38731</v>
      </c>
      <c r="J2572" s="19" t="s">
        <v>14</v>
      </c>
      <c r="K2572" s="22">
        <f t="shared" si="2"/>
        <v>0</v>
      </c>
    </row>
    <row r="2573">
      <c r="A2573" s="18">
        <v>5534.0</v>
      </c>
      <c r="B2573" s="18" t="s">
        <v>32</v>
      </c>
      <c r="C2573" s="18">
        <v>271.0</v>
      </c>
      <c r="D2573" s="18" t="s">
        <v>31</v>
      </c>
      <c r="E2573" s="27">
        <v>42566.22231481481</v>
      </c>
      <c r="F2573" s="19">
        <f>IFERROR(__xludf.DUMMYFUNCTION("IFERROR(TO_DATE(E2573), """")"),42566.22231481481)</f>
        <v>42566.22231</v>
      </c>
      <c r="G2573" s="20">
        <f t="shared" si="1"/>
        <v>5</v>
      </c>
      <c r="H2573" s="27">
        <v>42566.24613425926</v>
      </c>
      <c r="I2573" s="19">
        <f>IFERROR(__xludf.DUMMYFUNCTION("IFERROR(TO_DATE(H2573), """")"),42566.24613425926)</f>
        <v>42566.24613</v>
      </c>
      <c r="J2573" s="19" t="s">
        <v>11</v>
      </c>
      <c r="K2573" s="22">
        <f t="shared" si="2"/>
        <v>0</v>
      </c>
    </row>
    <row r="2574">
      <c r="A2574" s="18">
        <v>5908.0</v>
      </c>
      <c r="B2574" s="18" t="s">
        <v>30</v>
      </c>
      <c r="C2574" s="18">
        <v>271.0</v>
      </c>
      <c r="D2574" s="18" t="s">
        <v>31</v>
      </c>
      <c r="E2574" s="27">
        <v>42566.414131944446</v>
      </c>
      <c r="F2574" s="19">
        <f>IFERROR(__xludf.DUMMYFUNCTION("IFERROR(TO_DATE(E2574), """")"),42566.414131944446)</f>
        <v>42566.41413</v>
      </c>
      <c r="G2574" s="20">
        <f t="shared" si="1"/>
        <v>9</v>
      </c>
      <c r="H2574" s="27">
        <v>42566.464108796295</v>
      </c>
      <c r="I2574" s="19">
        <f>IFERROR(__xludf.DUMMYFUNCTION("IFERROR(TO_DATE(H2574), """")"),42566.464108796295)</f>
        <v>42566.46411</v>
      </c>
      <c r="J2574" s="19" t="s">
        <v>14</v>
      </c>
      <c r="K2574" s="22">
        <f t="shared" si="2"/>
        <v>0</v>
      </c>
    </row>
    <row r="2575">
      <c r="A2575" s="18">
        <v>597.0</v>
      </c>
      <c r="B2575" s="18" t="s">
        <v>30</v>
      </c>
      <c r="C2575" s="18">
        <v>272.0</v>
      </c>
      <c r="D2575" s="18" t="s">
        <v>31</v>
      </c>
      <c r="E2575" s="26">
        <v>42562.479166666664</v>
      </c>
      <c r="F2575" s="19">
        <f>IFERROR(__xludf.DUMMYFUNCTION("IFERROR(TO_DATE(E2575), """")"),42562.479166666664)</f>
        <v>42562.47917</v>
      </c>
      <c r="G2575" s="20">
        <f t="shared" si="1"/>
        <v>11</v>
      </c>
      <c r="H2575" s="26">
        <v>42562.50833333333</v>
      </c>
      <c r="I2575" s="19">
        <f>IFERROR(__xludf.DUMMYFUNCTION("IFERROR(TO_DATE(H2575), """")"),42562.50833333333)</f>
        <v>42562.50833</v>
      </c>
      <c r="J2575" s="19" t="s">
        <v>14</v>
      </c>
      <c r="K2575" s="22">
        <f t="shared" si="2"/>
        <v>0</v>
      </c>
    </row>
    <row r="2576">
      <c r="A2576" s="18">
        <v>1417.0</v>
      </c>
      <c r="B2576" s="18" t="s">
        <v>32</v>
      </c>
      <c r="C2576" s="18">
        <v>272.0</v>
      </c>
      <c r="D2576" s="18" t="s">
        <v>31</v>
      </c>
      <c r="E2576" s="26">
        <v>42563.15069444444</v>
      </c>
      <c r="F2576" s="19">
        <f>IFERROR(__xludf.DUMMYFUNCTION("IFERROR(TO_DATE(E2576), """")"),42563.15069444444)</f>
        <v>42563.15069</v>
      </c>
      <c r="G2576" s="20">
        <f t="shared" si="1"/>
        <v>3</v>
      </c>
      <c r="H2576" s="26">
        <v>42563.17291666667</v>
      </c>
      <c r="I2576" s="19">
        <f>IFERROR(__xludf.DUMMYFUNCTION("IFERROR(TO_DATE(H2576), """")"),42563.17291666667)</f>
        <v>42563.17292</v>
      </c>
      <c r="J2576" s="19" t="s">
        <v>15</v>
      </c>
      <c r="K2576" s="22">
        <f t="shared" si="2"/>
        <v>0</v>
      </c>
    </row>
    <row r="2577">
      <c r="A2577" s="18">
        <v>1714.0</v>
      </c>
      <c r="B2577" s="18" t="s">
        <v>30</v>
      </c>
      <c r="C2577" s="18">
        <v>272.0</v>
      </c>
      <c r="D2577" s="18" t="s">
        <v>31</v>
      </c>
      <c r="E2577" s="26">
        <v>42563.34305555555</v>
      </c>
      <c r="F2577" s="19">
        <f>IFERROR(__xludf.DUMMYFUNCTION("IFERROR(TO_DATE(E2577), """")"),42563.34305555555)</f>
        <v>42563.34306</v>
      </c>
      <c r="G2577" s="20">
        <f t="shared" si="1"/>
        <v>8</v>
      </c>
      <c r="H2577" s="26">
        <v>42563.39027777778</v>
      </c>
      <c r="I2577" s="19">
        <f>IFERROR(__xludf.DUMMYFUNCTION("IFERROR(TO_DATE(H2577), """")"),42563.39027777778)</f>
        <v>42563.39028</v>
      </c>
      <c r="J2577" s="19" t="s">
        <v>14</v>
      </c>
      <c r="K2577" s="22">
        <f t="shared" si="2"/>
        <v>0</v>
      </c>
    </row>
    <row r="2578">
      <c r="A2578" s="18">
        <v>1919.0</v>
      </c>
      <c r="B2578" s="18" t="s">
        <v>32</v>
      </c>
      <c r="C2578" s="18">
        <v>272.0</v>
      </c>
      <c r="D2578" s="18" t="s">
        <v>31</v>
      </c>
      <c r="E2578" s="26">
        <v>42563.45763888889</v>
      </c>
      <c r="F2578" s="19">
        <f>IFERROR(__xludf.DUMMYFUNCTION("IFERROR(TO_DATE(E2578), """")"),42563.45763888889)</f>
        <v>42563.45764</v>
      </c>
      <c r="G2578" s="20">
        <f t="shared" si="1"/>
        <v>10</v>
      </c>
      <c r="H2578" s="26">
        <v>42563.50902777778</v>
      </c>
      <c r="I2578" s="19">
        <f>IFERROR(__xludf.DUMMYFUNCTION("IFERROR(TO_DATE(H2578), """")"),42563.50902777778)</f>
        <v>42563.50903</v>
      </c>
      <c r="J2578" s="19" t="s">
        <v>14</v>
      </c>
      <c r="K2578" s="22">
        <f t="shared" si="2"/>
        <v>0</v>
      </c>
    </row>
    <row r="2579">
      <c r="A2579" s="18">
        <v>3256.0</v>
      </c>
      <c r="B2579" s="18" t="s">
        <v>30</v>
      </c>
      <c r="C2579" s="18">
        <v>272.0</v>
      </c>
      <c r="D2579" s="18" t="s">
        <v>31</v>
      </c>
      <c r="E2579" s="27">
        <v>42564.42225694445</v>
      </c>
      <c r="F2579" s="19">
        <f>IFERROR(__xludf.DUMMYFUNCTION("IFERROR(TO_DATE(E2579), """")"),42564.42225694445)</f>
        <v>42564.42226</v>
      </c>
      <c r="G2579" s="20">
        <f t="shared" si="1"/>
        <v>10</v>
      </c>
      <c r="H2579" s="27">
        <v>42564.45033564815</v>
      </c>
      <c r="I2579" s="19">
        <f>IFERROR(__xludf.DUMMYFUNCTION("IFERROR(TO_DATE(H2579), """")"),42564.45033564815)</f>
        <v>42564.45034</v>
      </c>
      <c r="J2579" s="19" t="s">
        <v>14</v>
      </c>
      <c r="K2579" s="22">
        <f t="shared" si="2"/>
        <v>0</v>
      </c>
    </row>
    <row r="2580">
      <c r="A2580" s="18">
        <v>5286.0</v>
      </c>
      <c r="B2580" s="18" t="s">
        <v>32</v>
      </c>
      <c r="C2580" s="18">
        <v>272.0</v>
      </c>
      <c r="D2580" s="18" t="s">
        <v>31</v>
      </c>
      <c r="E2580" s="27">
        <v>42565.903333333335</v>
      </c>
      <c r="F2580" s="19">
        <f>IFERROR(__xludf.DUMMYFUNCTION("IFERROR(TO_DATE(E2580), """")"),42565.903333333335)</f>
        <v>42565.90333</v>
      </c>
      <c r="G2580" s="20">
        <f t="shared" si="1"/>
        <v>21</v>
      </c>
      <c r="H2580" s="27">
        <v>42565.936527777776</v>
      </c>
      <c r="I2580" s="19">
        <f>IFERROR(__xludf.DUMMYFUNCTION("IFERROR(TO_DATE(H2580), """")"),42565.936527777776)</f>
        <v>42565.93653</v>
      </c>
      <c r="J2580" s="19" t="s">
        <v>13</v>
      </c>
      <c r="K2580" s="22">
        <f t="shared" si="2"/>
        <v>0</v>
      </c>
    </row>
    <row r="2581">
      <c r="A2581" s="18">
        <v>5526.0</v>
      </c>
      <c r="B2581" s="18" t="s">
        <v>32</v>
      </c>
      <c r="C2581" s="18">
        <v>272.0</v>
      </c>
      <c r="D2581" s="18" t="s">
        <v>31</v>
      </c>
      <c r="E2581" s="27">
        <v>42566.22152777778</v>
      </c>
      <c r="F2581" s="19">
        <f>IFERROR(__xludf.DUMMYFUNCTION("IFERROR(TO_DATE(E2581), """")"),42566.22152777778)</f>
        <v>42566.22153</v>
      </c>
      <c r="G2581" s="20">
        <f t="shared" si="1"/>
        <v>5</v>
      </c>
      <c r="H2581" s="27">
        <v>42566.25949074074</v>
      </c>
      <c r="I2581" s="19">
        <f>IFERROR(__xludf.DUMMYFUNCTION("IFERROR(TO_DATE(H2581), """")"),42566.25949074074)</f>
        <v>42566.25949</v>
      </c>
      <c r="J2581" s="19" t="s">
        <v>11</v>
      </c>
      <c r="K2581" s="22">
        <f t="shared" si="2"/>
        <v>0</v>
      </c>
    </row>
    <row r="2582">
      <c r="A2582" s="18">
        <v>5905.0</v>
      </c>
      <c r="B2582" s="18" t="s">
        <v>30</v>
      </c>
      <c r="C2582" s="18">
        <v>272.0</v>
      </c>
      <c r="D2582" s="18" t="s">
        <v>31</v>
      </c>
      <c r="E2582" s="27">
        <v>42566.41048611111</v>
      </c>
      <c r="F2582" s="19">
        <f>IFERROR(__xludf.DUMMYFUNCTION("IFERROR(TO_DATE(E2582), """")"),42566.41048611111)</f>
        <v>42566.41049</v>
      </c>
      <c r="G2582" s="20">
        <f t="shared" si="1"/>
        <v>9</v>
      </c>
      <c r="H2582" s="27">
        <v>42566.436875</v>
      </c>
      <c r="I2582" s="19">
        <f>IFERROR(__xludf.DUMMYFUNCTION("IFERROR(TO_DATE(H2582), """")"),42566.436875)</f>
        <v>42566.43688</v>
      </c>
      <c r="J2582" s="19" t="s">
        <v>14</v>
      </c>
      <c r="K2582" s="22">
        <f t="shared" si="2"/>
        <v>0</v>
      </c>
    </row>
    <row r="2583">
      <c r="A2583" s="18">
        <v>6231.0</v>
      </c>
      <c r="B2583" s="18" t="s">
        <v>30</v>
      </c>
      <c r="C2583" s="18">
        <v>272.0</v>
      </c>
      <c r="D2583" s="18" t="s">
        <v>31</v>
      </c>
      <c r="E2583" s="27">
        <v>42566.73987268518</v>
      </c>
      <c r="F2583" s="19">
        <f>IFERROR(__xludf.DUMMYFUNCTION("IFERROR(TO_DATE(E2583), """")"),42566.73987268518)</f>
        <v>42566.73987</v>
      </c>
      <c r="G2583" s="20">
        <f t="shared" si="1"/>
        <v>17</v>
      </c>
      <c r="H2583" s="27">
        <v>42566.767175925925</v>
      </c>
      <c r="I2583" s="19">
        <f>IFERROR(__xludf.DUMMYFUNCTION("IFERROR(TO_DATE(H2583), """")"),42566.767175925925)</f>
        <v>42566.76718</v>
      </c>
      <c r="J2583" s="19" t="s">
        <v>12</v>
      </c>
      <c r="K2583" s="22">
        <f t="shared" si="2"/>
        <v>0</v>
      </c>
    </row>
    <row r="2584">
      <c r="A2584" s="18">
        <v>258.0</v>
      </c>
      <c r="B2584" s="18" t="s">
        <v>30</v>
      </c>
      <c r="C2584" s="18">
        <v>273.0</v>
      </c>
      <c r="D2584" s="18" t="s">
        <v>31</v>
      </c>
      <c r="E2584" s="26">
        <v>42562.275</v>
      </c>
      <c r="F2584" s="19">
        <f>IFERROR(__xludf.DUMMYFUNCTION("IFERROR(TO_DATE(E2584), """")"),42562.275)</f>
        <v>42562.275</v>
      </c>
      <c r="G2584" s="20">
        <f t="shared" si="1"/>
        <v>6</v>
      </c>
      <c r="H2584" s="26">
        <v>42562.30486111111</v>
      </c>
      <c r="I2584" s="19">
        <f>IFERROR(__xludf.DUMMYFUNCTION("IFERROR(TO_DATE(H2584), """")"),42562.30486111111)</f>
        <v>42562.30486</v>
      </c>
      <c r="J2584" s="19" t="s">
        <v>11</v>
      </c>
      <c r="K2584" s="22">
        <f t="shared" si="2"/>
        <v>0</v>
      </c>
    </row>
    <row r="2585">
      <c r="A2585" s="18">
        <v>723.0</v>
      </c>
      <c r="B2585" s="18" t="s">
        <v>32</v>
      </c>
      <c r="C2585" s="18">
        <v>273.0</v>
      </c>
      <c r="D2585" s="18" t="s">
        <v>31</v>
      </c>
      <c r="E2585" s="26">
        <v>42562.62708333333</v>
      </c>
      <c r="F2585" s="19">
        <f>IFERROR(__xludf.DUMMYFUNCTION("IFERROR(TO_DATE(E2585), """")"),42562.62708333333)</f>
        <v>42562.62708</v>
      </c>
      <c r="G2585" s="20">
        <f t="shared" si="1"/>
        <v>15</v>
      </c>
      <c r="H2585" s="26">
        <v>42562.6625</v>
      </c>
      <c r="I2585" s="19">
        <f>IFERROR(__xludf.DUMMYFUNCTION("IFERROR(TO_DATE(H2585), """")"),42562.6625)</f>
        <v>42562.6625</v>
      </c>
      <c r="J2585" s="19" t="s">
        <v>10</v>
      </c>
      <c r="K2585" s="22">
        <f t="shared" si="2"/>
        <v>0</v>
      </c>
    </row>
    <row r="2586">
      <c r="A2586" s="18">
        <v>930.0</v>
      </c>
      <c r="B2586" s="18" t="s">
        <v>32</v>
      </c>
      <c r="C2586" s="18">
        <v>273.0</v>
      </c>
      <c r="D2586" s="18" t="s">
        <v>31</v>
      </c>
      <c r="E2586" s="26">
        <v>42562.76875</v>
      </c>
      <c r="F2586" s="19">
        <f>IFERROR(__xludf.DUMMYFUNCTION("IFERROR(TO_DATE(E2586), """")"),42562.76875)</f>
        <v>42562.76875</v>
      </c>
      <c r="G2586" s="20">
        <f t="shared" si="1"/>
        <v>18</v>
      </c>
      <c r="H2586" s="26">
        <v>42562.79722222222</v>
      </c>
      <c r="I2586" s="19">
        <f>IFERROR(__xludf.DUMMYFUNCTION("IFERROR(TO_DATE(H2586), """")"),42562.79722222222)</f>
        <v>42562.79722</v>
      </c>
      <c r="J2586" s="19" t="s">
        <v>12</v>
      </c>
      <c r="K2586" s="22">
        <f t="shared" si="2"/>
        <v>0</v>
      </c>
    </row>
    <row r="2587">
      <c r="A2587" s="18">
        <v>1498.0</v>
      </c>
      <c r="B2587" s="18" t="s">
        <v>32</v>
      </c>
      <c r="C2587" s="18">
        <v>273.0</v>
      </c>
      <c r="D2587" s="18" t="s">
        <v>31</v>
      </c>
      <c r="E2587" s="26">
        <v>42563.229166666664</v>
      </c>
      <c r="F2587" s="19">
        <f>IFERROR(__xludf.DUMMYFUNCTION("IFERROR(TO_DATE(E2587), """")"),42563.229166666664)</f>
        <v>42563.22917</v>
      </c>
      <c r="G2587" s="20">
        <f t="shared" si="1"/>
        <v>5</v>
      </c>
      <c r="H2587" s="26">
        <v>42563.260416666664</v>
      </c>
      <c r="I2587" s="19">
        <f>IFERROR(__xludf.DUMMYFUNCTION("IFERROR(TO_DATE(H2587), """")"),42563.260416666664)</f>
        <v>42563.26042</v>
      </c>
      <c r="J2587" s="19" t="s">
        <v>11</v>
      </c>
      <c r="K2587" s="22">
        <f t="shared" si="2"/>
        <v>0</v>
      </c>
    </row>
    <row r="2588">
      <c r="A2588" s="18">
        <v>2553.0</v>
      </c>
      <c r="B2588" s="18" t="s">
        <v>30</v>
      </c>
      <c r="C2588" s="18">
        <v>273.0</v>
      </c>
      <c r="D2588" s="18" t="s">
        <v>31</v>
      </c>
      <c r="E2588" s="26">
        <v>42563.89097222222</v>
      </c>
      <c r="F2588" s="19">
        <f>IFERROR(__xludf.DUMMYFUNCTION("IFERROR(TO_DATE(E2588), """")"),42563.89097222222)</f>
        <v>42563.89097</v>
      </c>
      <c r="G2588" s="20">
        <f t="shared" si="1"/>
        <v>21</v>
      </c>
      <c r="H2588" s="26">
        <v>42563.947222222225</v>
      </c>
      <c r="I2588" s="19">
        <f>IFERROR(__xludf.DUMMYFUNCTION("IFERROR(TO_DATE(H2588), """")"),42563.947222222225)</f>
        <v>42563.94722</v>
      </c>
      <c r="J2588" s="19" t="s">
        <v>13</v>
      </c>
      <c r="K2588" s="22">
        <f t="shared" si="2"/>
        <v>0</v>
      </c>
    </row>
    <row r="2589">
      <c r="A2589" s="18">
        <v>3777.0</v>
      </c>
      <c r="B2589" s="18" t="s">
        <v>30</v>
      </c>
      <c r="C2589" s="18">
        <v>273.0</v>
      </c>
      <c r="D2589" s="18" t="s">
        <v>31</v>
      </c>
      <c r="E2589" s="27">
        <v>42564.86633101852</v>
      </c>
      <c r="F2589" s="19">
        <f>IFERROR(__xludf.DUMMYFUNCTION("IFERROR(TO_DATE(E2589), """")"),42564.86633101852)</f>
        <v>42564.86633</v>
      </c>
      <c r="G2589" s="20">
        <f t="shared" si="1"/>
        <v>20</v>
      </c>
      <c r="H2589" s="27">
        <v>42564.894525462965</v>
      </c>
      <c r="I2589" s="19">
        <f>IFERROR(__xludf.DUMMYFUNCTION("IFERROR(TO_DATE(H2589), """")"),42564.894525462965)</f>
        <v>42564.89453</v>
      </c>
      <c r="J2589" s="19" t="s">
        <v>13</v>
      </c>
      <c r="K2589" s="22">
        <f t="shared" si="2"/>
        <v>0</v>
      </c>
    </row>
    <row r="2590">
      <c r="A2590" s="18">
        <v>3914.0</v>
      </c>
      <c r="B2590" s="18" t="s">
        <v>32</v>
      </c>
      <c r="C2590" s="18">
        <v>273.0</v>
      </c>
      <c r="D2590" s="18" t="s">
        <v>31</v>
      </c>
      <c r="E2590" s="27">
        <v>42564.923530092594</v>
      </c>
      <c r="F2590" s="19">
        <f>IFERROR(__xludf.DUMMYFUNCTION("IFERROR(TO_DATE(E2590), """")"),42564.923530092594)</f>
        <v>42564.92353</v>
      </c>
      <c r="G2590" s="20">
        <f t="shared" si="1"/>
        <v>22</v>
      </c>
      <c r="H2590" s="27">
        <v>42564.94494212963</v>
      </c>
      <c r="I2590" s="19">
        <f>IFERROR(__xludf.DUMMYFUNCTION("IFERROR(TO_DATE(H2590), """")"),42564.94494212963)</f>
        <v>42564.94494</v>
      </c>
      <c r="J2590" s="19" t="s">
        <v>13</v>
      </c>
      <c r="K2590" s="22">
        <f t="shared" si="2"/>
        <v>0</v>
      </c>
    </row>
    <row r="2591">
      <c r="A2591" s="18">
        <v>4114.0</v>
      </c>
      <c r="B2591" s="18" t="s">
        <v>32</v>
      </c>
      <c r="C2591" s="18">
        <v>273.0</v>
      </c>
      <c r="D2591" s="18" t="s">
        <v>31</v>
      </c>
      <c r="E2591" s="27">
        <v>42565.16994212963</v>
      </c>
      <c r="F2591" s="19">
        <f>IFERROR(__xludf.DUMMYFUNCTION("IFERROR(TO_DATE(E2591), """")"),42565.16994212963)</f>
        <v>42565.16994</v>
      </c>
      <c r="G2591" s="20">
        <f t="shared" si="1"/>
        <v>4</v>
      </c>
      <c r="H2591" s="27">
        <v>42565.19603009259</v>
      </c>
      <c r="I2591" s="19">
        <f>IFERROR(__xludf.DUMMYFUNCTION("IFERROR(TO_DATE(H2591), """")"),42565.19603009259)</f>
        <v>42565.19603</v>
      </c>
      <c r="J2591" s="19" t="s">
        <v>11</v>
      </c>
      <c r="K2591" s="22">
        <f t="shared" si="2"/>
        <v>0</v>
      </c>
    </row>
    <row r="2592">
      <c r="A2592" s="18">
        <v>5703.0</v>
      </c>
      <c r="B2592" s="18" t="s">
        <v>30</v>
      </c>
      <c r="C2592" s="18">
        <v>273.0</v>
      </c>
      <c r="D2592" s="18" t="s">
        <v>31</v>
      </c>
      <c r="E2592" s="27">
        <v>42566.31103009259</v>
      </c>
      <c r="F2592" s="19">
        <f>IFERROR(__xludf.DUMMYFUNCTION("IFERROR(TO_DATE(E2592), """")"),42566.31103009259)</f>
        <v>42566.31103</v>
      </c>
      <c r="G2592" s="20">
        <f t="shared" si="1"/>
        <v>7</v>
      </c>
      <c r="H2592" s="27">
        <v>42566.34945601852</v>
      </c>
      <c r="I2592" s="19">
        <f>IFERROR(__xludf.DUMMYFUNCTION("IFERROR(TO_DATE(H2592), """")"),42566.34945601852)</f>
        <v>42566.34946</v>
      </c>
      <c r="J2592" s="19" t="s">
        <v>11</v>
      </c>
      <c r="K2592" s="22">
        <f t="shared" si="2"/>
        <v>0</v>
      </c>
    </row>
    <row r="2593">
      <c r="A2593" s="18">
        <v>5888.0</v>
      </c>
      <c r="B2593" s="18" t="s">
        <v>32</v>
      </c>
      <c r="C2593" s="18">
        <v>273.0</v>
      </c>
      <c r="D2593" s="18" t="s">
        <v>31</v>
      </c>
      <c r="E2593" s="27">
        <v>42566.401458333334</v>
      </c>
      <c r="F2593" s="19">
        <f>IFERROR(__xludf.DUMMYFUNCTION("IFERROR(TO_DATE(E2593), """")"),42566.401458333334)</f>
        <v>42566.40146</v>
      </c>
      <c r="G2593" s="20">
        <f t="shared" si="1"/>
        <v>9</v>
      </c>
      <c r="H2593" s="27">
        <v>42566.441412037035</v>
      </c>
      <c r="I2593" s="19">
        <f>IFERROR(__xludf.DUMMYFUNCTION("IFERROR(TO_DATE(H2593), """")"),42566.441412037035)</f>
        <v>42566.44141</v>
      </c>
      <c r="J2593" s="19" t="s">
        <v>14</v>
      </c>
      <c r="K2593" s="22">
        <f t="shared" si="2"/>
        <v>0</v>
      </c>
    </row>
    <row r="2594">
      <c r="A2594" s="18">
        <v>6042.0</v>
      </c>
      <c r="B2594" s="18" t="s">
        <v>30</v>
      </c>
      <c r="C2594" s="18">
        <v>273.0</v>
      </c>
      <c r="D2594" s="18" t="s">
        <v>31</v>
      </c>
      <c r="E2594" s="27">
        <v>42566.548414351855</v>
      </c>
      <c r="F2594" s="19">
        <f>IFERROR(__xludf.DUMMYFUNCTION("IFERROR(TO_DATE(E2594), """")"),42566.548414351855)</f>
        <v>42566.54841</v>
      </c>
      <c r="G2594" s="20">
        <f t="shared" si="1"/>
        <v>13</v>
      </c>
      <c r="H2594" s="27">
        <v>42566.60474537037</v>
      </c>
      <c r="I2594" s="19">
        <f>IFERROR(__xludf.DUMMYFUNCTION("IFERROR(TO_DATE(H2594), """")"),42566.60474537037)</f>
        <v>42566.60475</v>
      </c>
      <c r="J2594" s="19" t="s">
        <v>10</v>
      </c>
      <c r="K2594" s="22">
        <f t="shared" si="2"/>
        <v>0</v>
      </c>
    </row>
    <row r="2595">
      <c r="A2595" s="18">
        <v>6150.0</v>
      </c>
      <c r="B2595" s="18" t="s">
        <v>30</v>
      </c>
      <c r="C2595" s="18">
        <v>273.0</v>
      </c>
      <c r="D2595" s="18" t="s">
        <v>31</v>
      </c>
      <c r="E2595" s="27">
        <v>42566.68174768519</v>
      </c>
      <c r="F2595" s="19">
        <f>IFERROR(__xludf.DUMMYFUNCTION("IFERROR(TO_DATE(E2595), """")"),42566.68174768519)</f>
        <v>42566.68175</v>
      </c>
      <c r="G2595" s="20">
        <f t="shared" si="1"/>
        <v>16</v>
      </c>
      <c r="H2595" s="27">
        <v>42566.722592592596</v>
      </c>
      <c r="I2595" s="19">
        <f>IFERROR(__xludf.DUMMYFUNCTION("IFERROR(TO_DATE(H2595), """")"),42566.722592592596)</f>
        <v>42566.72259</v>
      </c>
      <c r="J2595" s="19" t="s">
        <v>12</v>
      </c>
      <c r="K2595" s="22">
        <f t="shared" si="2"/>
        <v>0</v>
      </c>
    </row>
    <row r="2596">
      <c r="A2596" s="18">
        <v>410.0</v>
      </c>
      <c r="B2596" s="18" t="s">
        <v>32</v>
      </c>
      <c r="C2596" s="18">
        <v>274.0</v>
      </c>
      <c r="D2596" s="18" t="s">
        <v>31</v>
      </c>
      <c r="E2596" s="26">
        <v>42562.356944444444</v>
      </c>
      <c r="F2596" s="19">
        <f>IFERROR(__xludf.DUMMYFUNCTION("IFERROR(TO_DATE(E2596), """")"),42562.356944444444)</f>
        <v>42562.35694</v>
      </c>
      <c r="G2596" s="20">
        <f t="shared" si="1"/>
        <v>8</v>
      </c>
      <c r="H2596" s="26">
        <v>42562.39236111111</v>
      </c>
      <c r="I2596" s="19">
        <f>IFERROR(__xludf.DUMMYFUNCTION("IFERROR(TO_DATE(H2596), """")"),42562.39236111111)</f>
        <v>42562.39236</v>
      </c>
      <c r="J2596" s="19" t="s">
        <v>14</v>
      </c>
      <c r="K2596" s="22">
        <f t="shared" si="2"/>
        <v>0</v>
      </c>
    </row>
    <row r="2597">
      <c r="A2597" s="18">
        <v>610.0</v>
      </c>
      <c r="B2597" s="18" t="s">
        <v>30</v>
      </c>
      <c r="C2597" s="18">
        <v>274.0</v>
      </c>
      <c r="D2597" s="18" t="s">
        <v>31</v>
      </c>
      <c r="E2597" s="26">
        <v>42562.49236111111</v>
      </c>
      <c r="F2597" s="19">
        <f>IFERROR(__xludf.DUMMYFUNCTION("IFERROR(TO_DATE(E2597), """")"),42562.49236111111)</f>
        <v>42562.49236</v>
      </c>
      <c r="G2597" s="20">
        <f t="shared" si="1"/>
        <v>11</v>
      </c>
      <c r="H2597" s="26">
        <v>42562.54027777778</v>
      </c>
      <c r="I2597" s="19">
        <f>IFERROR(__xludf.DUMMYFUNCTION("IFERROR(TO_DATE(H2597), """")"),42562.54027777778)</f>
        <v>42562.54028</v>
      </c>
      <c r="J2597" s="19" t="s">
        <v>14</v>
      </c>
      <c r="K2597" s="22">
        <f t="shared" si="2"/>
        <v>0</v>
      </c>
    </row>
    <row r="2598">
      <c r="A2598" s="18">
        <v>719.0</v>
      </c>
      <c r="B2598" s="18" t="s">
        <v>30</v>
      </c>
      <c r="C2598" s="18">
        <v>274.0</v>
      </c>
      <c r="D2598" s="18" t="s">
        <v>31</v>
      </c>
      <c r="E2598" s="26">
        <v>42562.61944444444</v>
      </c>
      <c r="F2598" s="19">
        <f>IFERROR(__xludf.DUMMYFUNCTION("IFERROR(TO_DATE(E2598), """")"),42562.61944444444)</f>
        <v>42562.61944</v>
      </c>
      <c r="G2598" s="20">
        <f t="shared" si="1"/>
        <v>14</v>
      </c>
      <c r="H2598" s="26">
        <v>42562.64722222222</v>
      </c>
      <c r="I2598" s="19">
        <f>IFERROR(__xludf.DUMMYFUNCTION("IFERROR(TO_DATE(H2598), """")"),42562.64722222222)</f>
        <v>42562.64722</v>
      </c>
      <c r="J2598" s="19" t="s">
        <v>10</v>
      </c>
      <c r="K2598" s="22">
        <f t="shared" si="2"/>
        <v>0</v>
      </c>
    </row>
    <row r="2599">
      <c r="A2599" s="18">
        <v>1060.0</v>
      </c>
      <c r="B2599" s="18" t="s">
        <v>32</v>
      </c>
      <c r="C2599" s="18">
        <v>274.0</v>
      </c>
      <c r="D2599" s="18" t="s">
        <v>31</v>
      </c>
      <c r="E2599" s="26">
        <v>42562.82638888889</v>
      </c>
      <c r="F2599" s="19">
        <f>IFERROR(__xludf.DUMMYFUNCTION("IFERROR(TO_DATE(E2599), """")"),42562.82638888889)</f>
        <v>42562.82639</v>
      </c>
      <c r="G2599" s="20">
        <f t="shared" si="1"/>
        <v>19</v>
      </c>
      <c r="H2599" s="26">
        <v>42562.86666666667</v>
      </c>
      <c r="I2599" s="19">
        <f>IFERROR(__xludf.DUMMYFUNCTION("IFERROR(TO_DATE(H2599), """")"),42562.86666666667)</f>
        <v>42562.86667</v>
      </c>
      <c r="J2599" s="19" t="s">
        <v>12</v>
      </c>
      <c r="K2599" s="22">
        <f t="shared" si="2"/>
        <v>0</v>
      </c>
    </row>
    <row r="2600">
      <c r="A2600" s="18">
        <v>1929.0</v>
      </c>
      <c r="B2600" s="18" t="s">
        <v>32</v>
      </c>
      <c r="C2600" s="18">
        <v>274.0</v>
      </c>
      <c r="D2600" s="18" t="s">
        <v>31</v>
      </c>
      <c r="E2600" s="26">
        <v>42563.47083333333</v>
      </c>
      <c r="F2600" s="19">
        <f>IFERROR(__xludf.DUMMYFUNCTION("IFERROR(TO_DATE(E2600), """")"),42563.47083333333)</f>
        <v>42563.47083</v>
      </c>
      <c r="G2600" s="20">
        <f t="shared" si="1"/>
        <v>11</v>
      </c>
      <c r="H2600" s="26">
        <v>42563.51111111111</v>
      </c>
      <c r="I2600" s="19">
        <f>IFERROR(__xludf.DUMMYFUNCTION("IFERROR(TO_DATE(H2600), """")"),42563.51111111111)</f>
        <v>42563.51111</v>
      </c>
      <c r="J2600" s="19" t="s">
        <v>14</v>
      </c>
      <c r="K2600" s="22">
        <f t="shared" si="2"/>
        <v>0</v>
      </c>
    </row>
    <row r="2601">
      <c r="A2601" s="18">
        <v>2101.0</v>
      </c>
      <c r="B2601" s="18" t="s">
        <v>32</v>
      </c>
      <c r="C2601" s="18">
        <v>274.0</v>
      </c>
      <c r="D2601" s="18" t="s">
        <v>31</v>
      </c>
      <c r="E2601" s="26">
        <v>42563.67361111111</v>
      </c>
      <c r="F2601" s="19">
        <f>IFERROR(__xludf.DUMMYFUNCTION("IFERROR(TO_DATE(E2601), """")"),42563.67361111111)</f>
        <v>42563.67361</v>
      </c>
      <c r="G2601" s="20">
        <f t="shared" si="1"/>
        <v>16</v>
      </c>
      <c r="H2601" s="26">
        <v>42563.71527777778</v>
      </c>
      <c r="I2601" s="19">
        <f>IFERROR(__xludf.DUMMYFUNCTION("IFERROR(TO_DATE(H2601), """")"),42563.71527777778)</f>
        <v>42563.71528</v>
      </c>
      <c r="J2601" s="19" t="s">
        <v>12</v>
      </c>
      <c r="K2601" s="22">
        <f t="shared" si="2"/>
        <v>0</v>
      </c>
    </row>
    <row r="2602">
      <c r="A2602" s="18">
        <v>2282.0</v>
      </c>
      <c r="B2602" s="18" t="s">
        <v>32</v>
      </c>
      <c r="C2602" s="18">
        <v>274.0</v>
      </c>
      <c r="D2602" s="18" t="s">
        <v>31</v>
      </c>
      <c r="E2602" s="26">
        <v>42563.77916666667</v>
      </c>
      <c r="F2602" s="19">
        <f>IFERROR(__xludf.DUMMYFUNCTION("IFERROR(TO_DATE(E2602), """")"),42563.77916666667)</f>
        <v>42563.77917</v>
      </c>
      <c r="G2602" s="20">
        <f t="shared" si="1"/>
        <v>18</v>
      </c>
      <c r="H2602" s="26">
        <v>42563.822916666664</v>
      </c>
      <c r="I2602" s="19">
        <f>IFERROR(__xludf.DUMMYFUNCTION("IFERROR(TO_DATE(H2602), """")"),42563.822916666664)</f>
        <v>42563.82292</v>
      </c>
      <c r="J2602" s="19" t="s">
        <v>12</v>
      </c>
      <c r="K2602" s="22">
        <f t="shared" si="2"/>
        <v>0</v>
      </c>
    </row>
    <row r="2603">
      <c r="A2603" s="18">
        <v>3190.0</v>
      </c>
      <c r="B2603" s="18" t="s">
        <v>32</v>
      </c>
      <c r="C2603" s="18">
        <v>274.0</v>
      </c>
      <c r="D2603" s="18" t="s">
        <v>31</v>
      </c>
      <c r="E2603" s="27">
        <v>42564.39462962963</v>
      </c>
      <c r="F2603" s="19">
        <f>IFERROR(__xludf.DUMMYFUNCTION("IFERROR(TO_DATE(E2603), """")"),42564.39462962963)</f>
        <v>42564.39463</v>
      </c>
      <c r="G2603" s="20">
        <f t="shared" si="1"/>
        <v>9</v>
      </c>
      <c r="H2603" s="27">
        <v>42564.447488425925</v>
      </c>
      <c r="I2603" s="19">
        <f>IFERROR(__xludf.DUMMYFUNCTION("IFERROR(TO_DATE(H2603), """")"),42564.447488425925)</f>
        <v>42564.44749</v>
      </c>
      <c r="J2603" s="19" t="s">
        <v>14</v>
      </c>
      <c r="K2603" s="22">
        <f t="shared" si="2"/>
        <v>0</v>
      </c>
    </row>
    <row r="2604">
      <c r="A2604" s="18">
        <v>3412.0</v>
      </c>
      <c r="B2604" s="18" t="s">
        <v>32</v>
      </c>
      <c r="C2604" s="18">
        <v>274.0</v>
      </c>
      <c r="D2604" s="18" t="s">
        <v>31</v>
      </c>
      <c r="E2604" s="27">
        <v>42564.643483796295</v>
      </c>
      <c r="F2604" s="19">
        <f>IFERROR(__xludf.DUMMYFUNCTION("IFERROR(TO_DATE(E2604), """")"),42564.643483796295)</f>
        <v>42564.64348</v>
      </c>
      <c r="G2604" s="20">
        <f t="shared" si="1"/>
        <v>15</v>
      </c>
      <c r="H2604" s="27">
        <v>42564.67</v>
      </c>
      <c r="I2604" s="19">
        <f>IFERROR(__xludf.DUMMYFUNCTION("IFERROR(TO_DATE(H2604), """")"),42564.67)</f>
        <v>42564.67</v>
      </c>
      <c r="J2604" s="19" t="s">
        <v>10</v>
      </c>
      <c r="K2604" s="22">
        <f t="shared" si="2"/>
        <v>0</v>
      </c>
    </row>
    <row r="2605">
      <c r="A2605" s="18">
        <v>3725.0</v>
      </c>
      <c r="B2605" s="18" t="s">
        <v>32</v>
      </c>
      <c r="C2605" s="18">
        <v>274.0</v>
      </c>
      <c r="D2605" s="18" t="s">
        <v>31</v>
      </c>
      <c r="E2605" s="27">
        <v>42564.83400462963</v>
      </c>
      <c r="F2605" s="19">
        <f>IFERROR(__xludf.DUMMYFUNCTION("IFERROR(TO_DATE(E2605), """")"),42564.83400462963)</f>
        <v>42564.834</v>
      </c>
      <c r="G2605" s="20">
        <f t="shared" si="1"/>
        <v>20</v>
      </c>
      <c r="H2605" s="27">
        <v>42564.88445601852</v>
      </c>
      <c r="I2605" s="19">
        <f>IFERROR(__xludf.DUMMYFUNCTION("IFERROR(TO_DATE(H2605), """")"),42564.88445601852)</f>
        <v>42564.88446</v>
      </c>
      <c r="J2605" s="19" t="s">
        <v>13</v>
      </c>
      <c r="K2605" s="22">
        <f t="shared" si="2"/>
        <v>0</v>
      </c>
    </row>
    <row r="2606">
      <c r="A2606" s="18">
        <v>4612.0</v>
      </c>
      <c r="B2606" s="18" t="s">
        <v>32</v>
      </c>
      <c r="C2606" s="18">
        <v>274.0</v>
      </c>
      <c r="D2606" s="18" t="s">
        <v>31</v>
      </c>
      <c r="E2606" s="27">
        <v>42565.44546296296</v>
      </c>
      <c r="F2606" s="19">
        <f>IFERROR(__xludf.DUMMYFUNCTION("IFERROR(TO_DATE(E2606), """")"),42565.44546296296)</f>
        <v>42565.44546</v>
      </c>
      <c r="G2606" s="20">
        <f t="shared" si="1"/>
        <v>10</v>
      </c>
      <c r="H2606" s="27">
        <v>42565.480358796296</v>
      </c>
      <c r="I2606" s="19">
        <f>IFERROR(__xludf.DUMMYFUNCTION("IFERROR(TO_DATE(H2606), """")"),42565.480358796296)</f>
        <v>42565.48036</v>
      </c>
      <c r="J2606" s="19" t="s">
        <v>14</v>
      </c>
      <c r="K2606" s="22">
        <f t="shared" si="2"/>
        <v>0</v>
      </c>
    </row>
    <row r="2607">
      <c r="A2607" s="18">
        <v>5033.0</v>
      </c>
      <c r="B2607" s="18" t="s">
        <v>30</v>
      </c>
      <c r="C2607" s="18">
        <v>274.0</v>
      </c>
      <c r="D2607" s="18" t="s">
        <v>31</v>
      </c>
      <c r="E2607" s="27">
        <v>42565.80290509259</v>
      </c>
      <c r="F2607" s="19">
        <f>IFERROR(__xludf.DUMMYFUNCTION("IFERROR(TO_DATE(E2607), """")"),42565.80290509259)</f>
        <v>42565.80291</v>
      </c>
      <c r="G2607" s="20">
        <f t="shared" si="1"/>
        <v>19</v>
      </c>
      <c r="H2607" s="27">
        <v>42565.8375</v>
      </c>
      <c r="I2607" s="19">
        <f>IFERROR(__xludf.DUMMYFUNCTION("IFERROR(TO_DATE(H2607), """")"),42565.8375)</f>
        <v>42565.8375</v>
      </c>
      <c r="J2607" s="19" t="s">
        <v>12</v>
      </c>
      <c r="K2607" s="22">
        <f t="shared" si="2"/>
        <v>0</v>
      </c>
    </row>
    <row r="2608">
      <c r="A2608" s="18">
        <v>5764.0</v>
      </c>
      <c r="B2608" s="18" t="s">
        <v>32</v>
      </c>
      <c r="C2608" s="18">
        <v>274.0</v>
      </c>
      <c r="D2608" s="18" t="s">
        <v>31</v>
      </c>
      <c r="E2608" s="27">
        <v>42566.345497685186</v>
      </c>
      <c r="F2608" s="19">
        <f>IFERROR(__xludf.DUMMYFUNCTION("IFERROR(TO_DATE(E2608), """")"),42566.345497685186)</f>
        <v>42566.3455</v>
      </c>
      <c r="G2608" s="20">
        <f t="shared" si="1"/>
        <v>8</v>
      </c>
      <c r="H2608" s="27">
        <v>42566.376226851855</v>
      </c>
      <c r="I2608" s="19">
        <f>IFERROR(__xludf.DUMMYFUNCTION("IFERROR(TO_DATE(H2608), """")"),42566.376226851855)</f>
        <v>42566.37623</v>
      </c>
      <c r="J2608" s="19" t="s">
        <v>14</v>
      </c>
      <c r="K2608" s="22">
        <f t="shared" si="2"/>
        <v>0</v>
      </c>
    </row>
    <row r="2609">
      <c r="A2609" s="18">
        <v>6750.0</v>
      </c>
      <c r="B2609" s="18" t="s">
        <v>30</v>
      </c>
      <c r="C2609" s="18">
        <v>274.0</v>
      </c>
      <c r="D2609" s="18" t="s">
        <v>31</v>
      </c>
      <c r="E2609" s="27">
        <v>42566.99423611111</v>
      </c>
      <c r="F2609" s="19">
        <f>IFERROR(__xludf.DUMMYFUNCTION("IFERROR(TO_DATE(E2609), """")"),42566.99423611111)</f>
        <v>42566.99424</v>
      </c>
      <c r="G2609" s="20">
        <f t="shared" si="1"/>
        <v>23</v>
      </c>
      <c r="H2609" s="27">
        <v>42567.03465277778</v>
      </c>
      <c r="I2609" s="19">
        <f>IFERROR(__xludf.DUMMYFUNCTION("IFERROR(TO_DATE(H2609), """")"),42567.03465277778)</f>
        <v>42567.03465</v>
      </c>
      <c r="J2609" s="19" t="s">
        <v>13</v>
      </c>
      <c r="K2609" s="22">
        <f t="shared" si="2"/>
        <v>0</v>
      </c>
    </row>
    <row r="2610">
      <c r="A2610" s="18">
        <v>314.0</v>
      </c>
      <c r="B2610" s="18" t="s">
        <v>30</v>
      </c>
      <c r="C2610" s="18">
        <v>275.0</v>
      </c>
      <c r="D2610" s="18" t="s">
        <v>31</v>
      </c>
      <c r="E2610" s="26">
        <v>42562.311111111114</v>
      </c>
      <c r="F2610" s="19">
        <f>IFERROR(__xludf.DUMMYFUNCTION("IFERROR(TO_DATE(E2610), """")"),42562.311111111114)</f>
        <v>42562.31111</v>
      </c>
      <c r="G2610" s="20">
        <f t="shared" si="1"/>
        <v>7</v>
      </c>
      <c r="H2610" s="26">
        <v>42562.34375</v>
      </c>
      <c r="I2610" s="19">
        <f>IFERROR(__xludf.DUMMYFUNCTION("IFERROR(TO_DATE(H2610), """")"),42562.34375)</f>
        <v>42562.34375</v>
      </c>
      <c r="J2610" s="19" t="s">
        <v>11</v>
      </c>
      <c r="K2610" s="22">
        <f t="shared" si="2"/>
        <v>0</v>
      </c>
    </row>
    <row r="2611">
      <c r="A2611" s="18">
        <v>757.0</v>
      </c>
      <c r="B2611" s="18" t="s">
        <v>30</v>
      </c>
      <c r="C2611" s="18">
        <v>275.0</v>
      </c>
      <c r="D2611" s="18" t="s">
        <v>31</v>
      </c>
      <c r="E2611" s="26">
        <v>42562.66736111111</v>
      </c>
      <c r="F2611" s="19">
        <f>IFERROR(__xludf.DUMMYFUNCTION("IFERROR(TO_DATE(E2611), """")"),42562.66736111111)</f>
        <v>42562.66736</v>
      </c>
      <c r="G2611" s="20">
        <f t="shared" si="1"/>
        <v>16</v>
      </c>
      <c r="H2611" s="26">
        <v>42562.70277777778</v>
      </c>
      <c r="I2611" s="19">
        <f>IFERROR(__xludf.DUMMYFUNCTION("IFERROR(TO_DATE(H2611), """")"),42562.70277777778)</f>
        <v>42562.70278</v>
      </c>
      <c r="J2611" s="19" t="s">
        <v>12</v>
      </c>
      <c r="K2611" s="22">
        <f t="shared" si="2"/>
        <v>0</v>
      </c>
    </row>
    <row r="2612">
      <c r="A2612" s="18">
        <v>2123.0</v>
      </c>
      <c r="B2612" s="18" t="s">
        <v>32</v>
      </c>
      <c r="C2612" s="18">
        <v>275.0</v>
      </c>
      <c r="D2612" s="18" t="s">
        <v>31</v>
      </c>
      <c r="E2612" s="26">
        <v>42563.697916666664</v>
      </c>
      <c r="F2612" s="19">
        <f>IFERROR(__xludf.DUMMYFUNCTION("IFERROR(TO_DATE(E2612), """")"),42563.697916666664)</f>
        <v>42563.69792</v>
      </c>
      <c r="G2612" s="20">
        <f t="shared" si="1"/>
        <v>16</v>
      </c>
      <c r="H2612" s="26">
        <v>42563.73611111111</v>
      </c>
      <c r="I2612" s="19">
        <f>IFERROR(__xludf.DUMMYFUNCTION("IFERROR(TO_DATE(H2612), """")"),42563.73611111111)</f>
        <v>42563.73611</v>
      </c>
      <c r="J2612" s="19" t="s">
        <v>12</v>
      </c>
      <c r="K2612" s="22">
        <f t="shared" si="2"/>
        <v>0</v>
      </c>
    </row>
    <row r="2613">
      <c r="A2613" s="18">
        <v>2824.0</v>
      </c>
      <c r="B2613" s="18" t="s">
        <v>32</v>
      </c>
      <c r="C2613" s="18">
        <v>275.0</v>
      </c>
      <c r="D2613" s="18" t="s">
        <v>31</v>
      </c>
      <c r="E2613" s="27">
        <v>42564.21560185185</v>
      </c>
      <c r="F2613" s="19">
        <f>IFERROR(__xludf.DUMMYFUNCTION("IFERROR(TO_DATE(E2613), """")"),42564.21560185185)</f>
        <v>42564.2156</v>
      </c>
      <c r="G2613" s="20">
        <f t="shared" si="1"/>
        <v>5</v>
      </c>
      <c r="H2613" s="27">
        <v>42564.27034722222</v>
      </c>
      <c r="I2613" s="19">
        <f>IFERROR(__xludf.DUMMYFUNCTION("IFERROR(TO_DATE(H2613), """")"),42564.27034722222)</f>
        <v>42564.27035</v>
      </c>
      <c r="J2613" s="19" t="s">
        <v>11</v>
      </c>
      <c r="K2613" s="22">
        <f t="shared" si="2"/>
        <v>0</v>
      </c>
    </row>
    <row r="2614">
      <c r="A2614" s="18">
        <v>3445.0</v>
      </c>
      <c r="B2614" s="18" t="s">
        <v>30</v>
      </c>
      <c r="C2614" s="18">
        <v>275.0</v>
      </c>
      <c r="D2614" s="18" t="s">
        <v>31</v>
      </c>
      <c r="E2614" s="27">
        <v>42564.69435185185</v>
      </c>
      <c r="F2614" s="19">
        <f>IFERROR(__xludf.DUMMYFUNCTION("IFERROR(TO_DATE(E2614), """")"),42564.69435185185)</f>
        <v>42564.69435</v>
      </c>
      <c r="G2614" s="20">
        <f t="shared" si="1"/>
        <v>16</v>
      </c>
      <c r="H2614" s="27">
        <v>42564.723912037036</v>
      </c>
      <c r="I2614" s="19">
        <f>IFERROR(__xludf.DUMMYFUNCTION("IFERROR(TO_DATE(H2614), """")"),42564.723912037036)</f>
        <v>42564.72391</v>
      </c>
      <c r="J2614" s="19" t="s">
        <v>12</v>
      </c>
      <c r="K2614" s="22">
        <f t="shared" si="2"/>
        <v>0</v>
      </c>
    </row>
    <row r="2615">
      <c r="A2615" s="18">
        <v>3690.0</v>
      </c>
      <c r="B2615" s="18" t="s">
        <v>30</v>
      </c>
      <c r="C2615" s="18">
        <v>275.0</v>
      </c>
      <c r="D2615" s="18" t="s">
        <v>31</v>
      </c>
      <c r="E2615" s="27">
        <v>42564.821909722225</v>
      </c>
      <c r="F2615" s="19">
        <f>IFERROR(__xludf.DUMMYFUNCTION("IFERROR(TO_DATE(E2615), """")"),42564.821909722225)</f>
        <v>42564.82191</v>
      </c>
      <c r="G2615" s="20">
        <f t="shared" si="1"/>
        <v>19</v>
      </c>
      <c r="H2615" s="27">
        <v>42564.86681712963</v>
      </c>
      <c r="I2615" s="19">
        <f>IFERROR(__xludf.DUMMYFUNCTION("IFERROR(TO_DATE(H2615), """")"),42564.86681712963)</f>
        <v>42564.86682</v>
      </c>
      <c r="J2615" s="19" t="s">
        <v>12</v>
      </c>
      <c r="K2615" s="22">
        <f t="shared" si="2"/>
        <v>0</v>
      </c>
    </row>
    <row r="2616">
      <c r="A2616" s="18">
        <v>5440.0</v>
      </c>
      <c r="B2616" s="18" t="s">
        <v>30</v>
      </c>
      <c r="C2616" s="18">
        <v>275.0</v>
      </c>
      <c r="D2616" s="18" t="s">
        <v>31</v>
      </c>
      <c r="E2616" s="27">
        <v>42566.12814814815</v>
      </c>
      <c r="F2616" s="19">
        <f>IFERROR(__xludf.DUMMYFUNCTION("IFERROR(TO_DATE(E2616), """")"),42566.12814814815)</f>
        <v>42566.12815</v>
      </c>
      <c r="G2616" s="20">
        <f t="shared" si="1"/>
        <v>3</v>
      </c>
      <c r="H2616" s="27">
        <v>42566.16967592593</v>
      </c>
      <c r="I2616" s="19">
        <f>IFERROR(__xludf.DUMMYFUNCTION("IFERROR(TO_DATE(H2616), """")"),42566.16967592593)</f>
        <v>42566.16968</v>
      </c>
      <c r="J2616" s="19" t="s">
        <v>15</v>
      </c>
      <c r="K2616" s="22">
        <f t="shared" si="2"/>
        <v>0</v>
      </c>
    </row>
    <row r="2617">
      <c r="A2617" s="18">
        <v>6090.0</v>
      </c>
      <c r="B2617" s="18" t="s">
        <v>30</v>
      </c>
      <c r="C2617" s="18">
        <v>275.0</v>
      </c>
      <c r="D2617" s="18" t="s">
        <v>31</v>
      </c>
      <c r="E2617" s="27">
        <v>42566.605405092596</v>
      </c>
      <c r="F2617" s="19">
        <f>IFERROR(__xludf.DUMMYFUNCTION("IFERROR(TO_DATE(E2617), """")"),42566.605405092596)</f>
        <v>42566.60541</v>
      </c>
      <c r="G2617" s="20">
        <f t="shared" si="1"/>
        <v>14</v>
      </c>
      <c r="H2617" s="27">
        <v>42566.63150462963</v>
      </c>
      <c r="I2617" s="19">
        <f>IFERROR(__xludf.DUMMYFUNCTION("IFERROR(TO_DATE(H2617), """")"),42566.63150462963)</f>
        <v>42566.6315</v>
      </c>
      <c r="J2617" s="19" t="s">
        <v>10</v>
      </c>
      <c r="K2617" s="22">
        <f t="shared" si="2"/>
        <v>0</v>
      </c>
    </row>
    <row r="2618">
      <c r="A2618" s="18">
        <v>303.0</v>
      </c>
      <c r="B2618" s="18" t="s">
        <v>30</v>
      </c>
      <c r="C2618" s="18">
        <v>276.0</v>
      </c>
      <c r="D2618" s="18" t="s">
        <v>31</v>
      </c>
      <c r="E2618" s="26">
        <v>42562.30486111111</v>
      </c>
      <c r="F2618" s="19">
        <f>IFERROR(__xludf.DUMMYFUNCTION("IFERROR(TO_DATE(E2618), """")"),42562.30486111111)</f>
        <v>42562.30486</v>
      </c>
      <c r="G2618" s="20">
        <f t="shared" si="1"/>
        <v>7</v>
      </c>
      <c r="H2618" s="26">
        <v>42562.334027777775</v>
      </c>
      <c r="I2618" s="19">
        <f>IFERROR(__xludf.DUMMYFUNCTION("IFERROR(TO_DATE(H2618), """")"),42562.334027777775)</f>
        <v>42562.33403</v>
      </c>
      <c r="J2618" s="19" t="s">
        <v>11</v>
      </c>
      <c r="K2618" s="22">
        <f t="shared" si="2"/>
        <v>0</v>
      </c>
    </row>
    <row r="2619">
      <c r="A2619" s="18">
        <v>560.0</v>
      </c>
      <c r="B2619" s="18" t="s">
        <v>30</v>
      </c>
      <c r="C2619" s="18">
        <v>276.0</v>
      </c>
      <c r="D2619" s="18" t="s">
        <v>31</v>
      </c>
      <c r="E2619" s="26">
        <v>42562.427777777775</v>
      </c>
      <c r="F2619" s="19">
        <f>IFERROR(__xludf.DUMMYFUNCTION("IFERROR(TO_DATE(E2619), """")"),42562.427777777775)</f>
        <v>42562.42778</v>
      </c>
      <c r="G2619" s="20">
        <f t="shared" si="1"/>
        <v>10</v>
      </c>
      <c r="H2619" s="26">
        <v>42562.475694444445</v>
      </c>
      <c r="I2619" s="19">
        <f>IFERROR(__xludf.DUMMYFUNCTION("IFERROR(TO_DATE(H2619), """")"),42562.475694444445)</f>
        <v>42562.47569</v>
      </c>
      <c r="J2619" s="19" t="s">
        <v>14</v>
      </c>
      <c r="K2619" s="22">
        <f t="shared" si="2"/>
        <v>0</v>
      </c>
    </row>
    <row r="2620">
      <c r="A2620" s="18">
        <v>1319.0</v>
      </c>
      <c r="B2620" s="18" t="s">
        <v>32</v>
      </c>
      <c r="C2620" s="18">
        <v>276.0</v>
      </c>
      <c r="D2620" s="18" t="s">
        <v>31</v>
      </c>
      <c r="E2620" s="26">
        <v>42562.95</v>
      </c>
      <c r="F2620" s="19">
        <f>IFERROR(__xludf.DUMMYFUNCTION("IFERROR(TO_DATE(E2620), """")"),42562.95)</f>
        <v>42562.95</v>
      </c>
      <c r="G2620" s="20">
        <f t="shared" si="1"/>
        <v>22</v>
      </c>
      <c r="H2620" s="26">
        <v>42562.98819444444</v>
      </c>
      <c r="I2620" s="19">
        <f>IFERROR(__xludf.DUMMYFUNCTION("IFERROR(TO_DATE(H2620), """")"),42562.98819444444)</f>
        <v>42562.98819</v>
      </c>
      <c r="J2620" s="19" t="s">
        <v>13</v>
      </c>
      <c r="K2620" s="22">
        <f t="shared" si="2"/>
        <v>0</v>
      </c>
    </row>
    <row r="2621">
      <c r="A2621" s="18">
        <v>1493.0</v>
      </c>
      <c r="B2621" s="18" t="s">
        <v>30</v>
      </c>
      <c r="C2621" s="18">
        <v>276.0</v>
      </c>
      <c r="D2621" s="18" t="s">
        <v>31</v>
      </c>
      <c r="E2621" s="26">
        <v>42563.22777777778</v>
      </c>
      <c r="F2621" s="19">
        <f>IFERROR(__xludf.DUMMYFUNCTION("IFERROR(TO_DATE(E2621), """")"),42563.22777777778)</f>
        <v>42563.22778</v>
      </c>
      <c r="G2621" s="20">
        <f t="shared" si="1"/>
        <v>5</v>
      </c>
      <c r="H2621" s="26">
        <v>42563.26527777778</v>
      </c>
      <c r="I2621" s="19">
        <f>IFERROR(__xludf.DUMMYFUNCTION("IFERROR(TO_DATE(H2621), """")"),42563.26527777778)</f>
        <v>42563.26528</v>
      </c>
      <c r="J2621" s="19" t="s">
        <v>11</v>
      </c>
      <c r="K2621" s="22">
        <f t="shared" si="2"/>
        <v>0</v>
      </c>
    </row>
    <row r="2622">
      <c r="A2622" s="18">
        <v>1662.0</v>
      </c>
      <c r="B2622" s="18" t="s">
        <v>32</v>
      </c>
      <c r="C2622" s="18">
        <v>276.0</v>
      </c>
      <c r="D2622" s="18" t="s">
        <v>31</v>
      </c>
      <c r="E2622" s="26">
        <v>42563.31041666667</v>
      </c>
      <c r="F2622" s="19">
        <f>IFERROR(__xludf.DUMMYFUNCTION("IFERROR(TO_DATE(E2622), """")"),42563.31041666667)</f>
        <v>42563.31042</v>
      </c>
      <c r="G2622" s="20">
        <f t="shared" si="1"/>
        <v>7</v>
      </c>
      <c r="H2622" s="26">
        <v>42563.35555555556</v>
      </c>
      <c r="I2622" s="19">
        <f>IFERROR(__xludf.DUMMYFUNCTION("IFERROR(TO_DATE(H2622), """")"),42563.35555555556)</f>
        <v>42563.35556</v>
      </c>
      <c r="J2622" s="19" t="s">
        <v>11</v>
      </c>
      <c r="K2622" s="22">
        <f t="shared" si="2"/>
        <v>0</v>
      </c>
    </row>
    <row r="2623">
      <c r="A2623" s="18">
        <v>2020.0</v>
      </c>
      <c r="B2623" s="18" t="s">
        <v>32</v>
      </c>
      <c r="C2623" s="18">
        <v>276.0</v>
      </c>
      <c r="D2623" s="18" t="s">
        <v>31</v>
      </c>
      <c r="E2623" s="26">
        <v>42563.569444444445</v>
      </c>
      <c r="F2623" s="19">
        <f>IFERROR(__xludf.DUMMYFUNCTION("IFERROR(TO_DATE(E2623), """")"),42563.569444444445)</f>
        <v>42563.56944</v>
      </c>
      <c r="G2623" s="20">
        <f t="shared" si="1"/>
        <v>13</v>
      </c>
      <c r="H2623" s="26">
        <v>42563.60902777778</v>
      </c>
      <c r="I2623" s="19">
        <f>IFERROR(__xludf.DUMMYFUNCTION("IFERROR(TO_DATE(H2623), """")"),42563.60902777778)</f>
        <v>42563.60903</v>
      </c>
      <c r="J2623" s="19" t="s">
        <v>10</v>
      </c>
      <c r="K2623" s="22">
        <f t="shared" si="2"/>
        <v>0</v>
      </c>
    </row>
    <row r="2624">
      <c r="A2624" s="18">
        <v>2407.0</v>
      </c>
      <c r="B2624" s="18" t="s">
        <v>32</v>
      </c>
      <c r="C2624" s="18">
        <v>276.0</v>
      </c>
      <c r="D2624" s="18" t="s">
        <v>31</v>
      </c>
      <c r="E2624" s="26">
        <v>42563.83125</v>
      </c>
      <c r="F2624" s="19">
        <f>IFERROR(__xludf.DUMMYFUNCTION("IFERROR(TO_DATE(E2624), """")"),42563.83125)</f>
        <v>42563.83125</v>
      </c>
      <c r="G2624" s="20">
        <f t="shared" si="1"/>
        <v>19</v>
      </c>
      <c r="H2624" s="26">
        <v>42563.86597222222</v>
      </c>
      <c r="I2624" s="19">
        <f>IFERROR(__xludf.DUMMYFUNCTION("IFERROR(TO_DATE(H2624), """")"),42563.86597222222)</f>
        <v>42563.86597</v>
      </c>
      <c r="J2624" s="19" t="s">
        <v>12</v>
      </c>
      <c r="K2624" s="22">
        <f t="shared" si="2"/>
        <v>0</v>
      </c>
    </row>
    <row r="2625">
      <c r="A2625" s="18">
        <v>2818.0</v>
      </c>
      <c r="B2625" s="18" t="s">
        <v>30</v>
      </c>
      <c r="C2625" s="18">
        <v>276.0</v>
      </c>
      <c r="D2625" s="18" t="s">
        <v>31</v>
      </c>
      <c r="E2625" s="27">
        <v>42564.212488425925</v>
      </c>
      <c r="F2625" s="19">
        <f>IFERROR(__xludf.DUMMYFUNCTION("IFERROR(TO_DATE(E2625), """")"),42564.212488425925)</f>
        <v>42564.21249</v>
      </c>
      <c r="G2625" s="20">
        <f t="shared" si="1"/>
        <v>5</v>
      </c>
      <c r="H2625" s="27">
        <v>42564.234351851854</v>
      </c>
      <c r="I2625" s="19">
        <f>IFERROR(__xludf.DUMMYFUNCTION("IFERROR(TO_DATE(H2625), """")"),42564.234351851854)</f>
        <v>42564.23435</v>
      </c>
      <c r="J2625" s="19" t="s">
        <v>11</v>
      </c>
      <c r="K2625" s="22">
        <f t="shared" si="2"/>
        <v>0</v>
      </c>
    </row>
    <row r="2626">
      <c r="A2626" s="18">
        <v>3827.0</v>
      </c>
      <c r="B2626" s="18" t="s">
        <v>32</v>
      </c>
      <c r="C2626" s="18">
        <v>276.0</v>
      </c>
      <c r="D2626" s="18" t="s">
        <v>31</v>
      </c>
      <c r="E2626" s="27">
        <v>42564.88234953704</v>
      </c>
      <c r="F2626" s="19">
        <f>IFERROR(__xludf.DUMMYFUNCTION("IFERROR(TO_DATE(E2626), """")"),42564.88234953704)</f>
        <v>42564.88235</v>
      </c>
      <c r="G2626" s="20">
        <f t="shared" si="1"/>
        <v>21</v>
      </c>
      <c r="H2626" s="27">
        <v>42564.923125</v>
      </c>
      <c r="I2626" s="19">
        <f>IFERROR(__xludf.DUMMYFUNCTION("IFERROR(TO_DATE(H2626), """")"),42564.923125)</f>
        <v>42564.92313</v>
      </c>
      <c r="J2626" s="19" t="s">
        <v>13</v>
      </c>
      <c r="K2626" s="22">
        <f t="shared" si="2"/>
        <v>0</v>
      </c>
    </row>
    <row r="2627">
      <c r="A2627" s="18">
        <v>4421.0</v>
      </c>
      <c r="B2627" s="18" t="s">
        <v>32</v>
      </c>
      <c r="C2627" s="18">
        <v>276.0</v>
      </c>
      <c r="D2627" s="18" t="s">
        <v>31</v>
      </c>
      <c r="E2627" s="27">
        <v>42565.34511574074</v>
      </c>
      <c r="F2627" s="19">
        <f>IFERROR(__xludf.DUMMYFUNCTION("IFERROR(TO_DATE(E2627), """")"),42565.34511574074)</f>
        <v>42565.34512</v>
      </c>
      <c r="G2627" s="20">
        <f t="shared" si="1"/>
        <v>8</v>
      </c>
      <c r="H2627" s="27">
        <v>42565.38935185185</v>
      </c>
      <c r="I2627" s="19">
        <f>IFERROR(__xludf.DUMMYFUNCTION("IFERROR(TO_DATE(H2627), """")"),42565.38935185185)</f>
        <v>42565.38935</v>
      </c>
      <c r="J2627" s="19" t="s">
        <v>14</v>
      </c>
      <c r="K2627" s="22">
        <f t="shared" si="2"/>
        <v>0</v>
      </c>
    </row>
    <row r="2628">
      <c r="A2628" s="18">
        <v>5673.0</v>
      </c>
      <c r="B2628" s="18" t="s">
        <v>30</v>
      </c>
      <c r="C2628" s="18">
        <v>276.0</v>
      </c>
      <c r="D2628" s="18" t="s">
        <v>31</v>
      </c>
      <c r="E2628" s="27">
        <v>42566.2953587963</v>
      </c>
      <c r="F2628" s="19">
        <f>IFERROR(__xludf.DUMMYFUNCTION("IFERROR(TO_DATE(E2628), """")"),42566.2953587963)</f>
        <v>42566.29536</v>
      </c>
      <c r="G2628" s="20">
        <f t="shared" si="1"/>
        <v>7</v>
      </c>
      <c r="H2628" s="27">
        <v>42566.31931712963</v>
      </c>
      <c r="I2628" s="19">
        <f>IFERROR(__xludf.DUMMYFUNCTION("IFERROR(TO_DATE(H2628), """")"),42566.31931712963)</f>
        <v>42566.31932</v>
      </c>
      <c r="J2628" s="19" t="s">
        <v>11</v>
      </c>
      <c r="K2628" s="22">
        <f t="shared" si="2"/>
        <v>0</v>
      </c>
    </row>
    <row r="2629">
      <c r="A2629" s="18">
        <v>6372.0</v>
      </c>
      <c r="B2629" s="18" t="s">
        <v>30</v>
      </c>
      <c r="C2629" s="18">
        <v>276.0</v>
      </c>
      <c r="D2629" s="18" t="s">
        <v>31</v>
      </c>
      <c r="E2629" s="27">
        <v>42566.79832175926</v>
      </c>
      <c r="F2629" s="19">
        <f>IFERROR(__xludf.DUMMYFUNCTION("IFERROR(TO_DATE(E2629), """")"),42566.79832175926)</f>
        <v>42566.79832</v>
      </c>
      <c r="G2629" s="20">
        <f t="shared" si="1"/>
        <v>19</v>
      </c>
      <c r="H2629" s="27">
        <v>42566.81763888889</v>
      </c>
      <c r="I2629" s="19">
        <f>IFERROR(__xludf.DUMMYFUNCTION("IFERROR(TO_DATE(H2629), """")"),42566.81763888889)</f>
        <v>42566.81764</v>
      </c>
      <c r="J2629" s="19" t="s">
        <v>12</v>
      </c>
      <c r="K2629" s="22">
        <f t="shared" si="2"/>
        <v>0</v>
      </c>
    </row>
    <row r="2630">
      <c r="A2630" s="18">
        <v>6563.0</v>
      </c>
      <c r="B2630" s="18" t="s">
        <v>32</v>
      </c>
      <c r="C2630" s="18">
        <v>276.0</v>
      </c>
      <c r="D2630" s="18" t="s">
        <v>31</v>
      </c>
      <c r="E2630" s="27">
        <v>42566.87763888889</v>
      </c>
      <c r="F2630" s="19">
        <f>IFERROR(__xludf.DUMMYFUNCTION("IFERROR(TO_DATE(E2630), """")"),42566.87763888889)</f>
        <v>42566.87764</v>
      </c>
      <c r="G2630" s="20">
        <f t="shared" si="1"/>
        <v>21</v>
      </c>
      <c r="H2630" s="27">
        <v>42566.93150462963</v>
      </c>
      <c r="I2630" s="19">
        <f>IFERROR(__xludf.DUMMYFUNCTION("IFERROR(TO_DATE(H2630), """")"),42566.93150462963)</f>
        <v>42566.9315</v>
      </c>
      <c r="J2630" s="19" t="s">
        <v>13</v>
      </c>
      <c r="K2630" s="22">
        <f t="shared" si="2"/>
        <v>0</v>
      </c>
    </row>
    <row r="2631">
      <c r="A2631" s="18">
        <v>579.0</v>
      </c>
      <c r="B2631" s="18" t="s">
        <v>32</v>
      </c>
      <c r="C2631" s="18">
        <v>277.0</v>
      </c>
      <c r="D2631" s="18" t="s">
        <v>31</v>
      </c>
      <c r="E2631" s="26">
        <v>42562.46111111111</v>
      </c>
      <c r="F2631" s="19">
        <f>IFERROR(__xludf.DUMMYFUNCTION("IFERROR(TO_DATE(E2631), """")"),42562.46111111111)</f>
        <v>42562.46111</v>
      </c>
      <c r="G2631" s="20">
        <f t="shared" si="1"/>
        <v>11</v>
      </c>
      <c r="H2631" s="26">
        <v>42562.501388888886</v>
      </c>
      <c r="I2631" s="19">
        <f>IFERROR(__xludf.DUMMYFUNCTION("IFERROR(TO_DATE(H2631), """")"),42562.501388888886)</f>
        <v>42562.50139</v>
      </c>
      <c r="J2631" s="19" t="s">
        <v>14</v>
      </c>
      <c r="K2631" s="22">
        <f t="shared" si="2"/>
        <v>0</v>
      </c>
    </row>
    <row r="2632">
      <c r="A2632" s="18">
        <v>689.0</v>
      </c>
      <c r="B2632" s="18" t="s">
        <v>32</v>
      </c>
      <c r="C2632" s="18">
        <v>277.0</v>
      </c>
      <c r="D2632" s="18" t="s">
        <v>31</v>
      </c>
      <c r="E2632" s="26">
        <v>42562.572916666664</v>
      </c>
      <c r="F2632" s="19">
        <f>IFERROR(__xludf.DUMMYFUNCTION("IFERROR(TO_DATE(E2632), """")"),42562.572916666664)</f>
        <v>42562.57292</v>
      </c>
      <c r="G2632" s="20">
        <f t="shared" si="1"/>
        <v>13</v>
      </c>
      <c r="H2632" s="26">
        <v>42562.59652777778</v>
      </c>
      <c r="I2632" s="19">
        <f>IFERROR(__xludf.DUMMYFUNCTION("IFERROR(TO_DATE(H2632), """")"),42562.59652777778)</f>
        <v>42562.59653</v>
      </c>
      <c r="J2632" s="19" t="s">
        <v>10</v>
      </c>
      <c r="K2632" s="22">
        <f t="shared" si="2"/>
        <v>0</v>
      </c>
    </row>
    <row r="2633">
      <c r="A2633" s="18">
        <v>724.0</v>
      </c>
      <c r="B2633" s="18" t="s">
        <v>30</v>
      </c>
      <c r="C2633" s="18">
        <v>277.0</v>
      </c>
      <c r="D2633" s="18" t="s">
        <v>31</v>
      </c>
      <c r="E2633" s="26">
        <v>42562.629166666666</v>
      </c>
      <c r="F2633" s="19">
        <f>IFERROR(__xludf.DUMMYFUNCTION("IFERROR(TO_DATE(E2633), """")"),42562.629166666666)</f>
        <v>42562.62917</v>
      </c>
      <c r="G2633" s="20">
        <f t="shared" si="1"/>
        <v>15</v>
      </c>
      <c r="H2633" s="26">
        <v>42562.65416666667</v>
      </c>
      <c r="I2633" s="19">
        <f>IFERROR(__xludf.DUMMYFUNCTION("IFERROR(TO_DATE(H2633), """")"),42562.65416666667)</f>
        <v>42562.65417</v>
      </c>
      <c r="J2633" s="19" t="s">
        <v>10</v>
      </c>
      <c r="K2633" s="22">
        <f t="shared" si="2"/>
        <v>0</v>
      </c>
    </row>
    <row r="2634">
      <c r="A2634" s="18">
        <v>1499.0</v>
      </c>
      <c r="B2634" s="18" t="s">
        <v>32</v>
      </c>
      <c r="C2634" s="18">
        <v>277.0</v>
      </c>
      <c r="D2634" s="18" t="s">
        <v>31</v>
      </c>
      <c r="E2634" s="26">
        <v>42563.229166666664</v>
      </c>
      <c r="F2634" s="19">
        <f>IFERROR(__xludf.DUMMYFUNCTION("IFERROR(TO_DATE(E2634), """")"),42563.229166666664)</f>
        <v>42563.22917</v>
      </c>
      <c r="G2634" s="20">
        <f t="shared" si="1"/>
        <v>5</v>
      </c>
      <c r="H2634" s="26">
        <v>42563.2625</v>
      </c>
      <c r="I2634" s="19">
        <f>IFERROR(__xludf.DUMMYFUNCTION("IFERROR(TO_DATE(H2634), """")"),42563.2625)</f>
        <v>42563.2625</v>
      </c>
      <c r="J2634" s="19" t="s">
        <v>11</v>
      </c>
      <c r="K2634" s="22">
        <f t="shared" si="2"/>
        <v>0</v>
      </c>
    </row>
    <row r="2635">
      <c r="A2635" s="18">
        <v>3960.0</v>
      </c>
      <c r="B2635" s="18" t="s">
        <v>30</v>
      </c>
      <c r="C2635" s="18">
        <v>277.0</v>
      </c>
      <c r="D2635" s="18" t="s">
        <v>31</v>
      </c>
      <c r="E2635" s="27">
        <v>42564.953252314815</v>
      </c>
      <c r="F2635" s="19">
        <f>IFERROR(__xludf.DUMMYFUNCTION("IFERROR(TO_DATE(E2635), """")"),42564.953252314815)</f>
        <v>42564.95325</v>
      </c>
      <c r="G2635" s="20">
        <f t="shared" si="1"/>
        <v>22</v>
      </c>
      <c r="H2635" s="27">
        <v>42564.98175925926</v>
      </c>
      <c r="I2635" s="19">
        <f>IFERROR(__xludf.DUMMYFUNCTION("IFERROR(TO_DATE(H2635), """")"),42564.98175925926)</f>
        <v>42564.98176</v>
      </c>
      <c r="J2635" s="19" t="s">
        <v>13</v>
      </c>
      <c r="K2635" s="22">
        <f t="shared" si="2"/>
        <v>0</v>
      </c>
    </row>
    <row r="2636">
      <c r="A2636" s="18">
        <v>4919.0</v>
      </c>
      <c r="B2636" s="18" t="s">
        <v>30</v>
      </c>
      <c r="C2636" s="18">
        <v>277.0</v>
      </c>
      <c r="D2636" s="18" t="s">
        <v>31</v>
      </c>
      <c r="E2636" s="27">
        <v>42565.761655092596</v>
      </c>
      <c r="F2636" s="19">
        <f>IFERROR(__xludf.DUMMYFUNCTION("IFERROR(TO_DATE(E2636), """")"),42565.761655092596)</f>
        <v>42565.76166</v>
      </c>
      <c r="G2636" s="20">
        <f t="shared" si="1"/>
        <v>18</v>
      </c>
      <c r="H2636" s="27">
        <v>42565.788090277776</v>
      </c>
      <c r="I2636" s="19">
        <f>IFERROR(__xludf.DUMMYFUNCTION("IFERROR(TO_DATE(H2636), """")"),42565.788090277776)</f>
        <v>42565.78809</v>
      </c>
      <c r="J2636" s="19" t="s">
        <v>12</v>
      </c>
      <c r="K2636" s="22">
        <f t="shared" si="2"/>
        <v>0</v>
      </c>
    </row>
    <row r="2637">
      <c r="A2637" s="18">
        <v>6334.0</v>
      </c>
      <c r="B2637" s="18" t="s">
        <v>30</v>
      </c>
      <c r="C2637" s="18">
        <v>277.0</v>
      </c>
      <c r="D2637" s="18" t="s">
        <v>31</v>
      </c>
      <c r="E2637" s="27">
        <v>42566.78009259259</v>
      </c>
      <c r="F2637" s="19">
        <f>IFERROR(__xludf.DUMMYFUNCTION("IFERROR(TO_DATE(E2637), """")"),42566.78009259259)</f>
        <v>42566.78009</v>
      </c>
      <c r="G2637" s="20">
        <f t="shared" si="1"/>
        <v>18</v>
      </c>
      <c r="H2637" s="27">
        <v>42566.82659722222</v>
      </c>
      <c r="I2637" s="19">
        <f>IFERROR(__xludf.DUMMYFUNCTION("IFERROR(TO_DATE(H2637), """")"),42566.82659722222)</f>
        <v>42566.8266</v>
      </c>
      <c r="J2637" s="19" t="s">
        <v>12</v>
      </c>
      <c r="K2637" s="22">
        <f t="shared" si="2"/>
        <v>0</v>
      </c>
    </row>
    <row r="2638">
      <c r="A2638" s="18">
        <v>1577.0</v>
      </c>
      <c r="B2638" s="18" t="s">
        <v>30</v>
      </c>
      <c r="C2638" s="18">
        <v>278.0</v>
      </c>
      <c r="D2638" s="18" t="s">
        <v>31</v>
      </c>
      <c r="E2638" s="26">
        <v>42563.26527777778</v>
      </c>
      <c r="F2638" s="19">
        <f>IFERROR(__xludf.DUMMYFUNCTION("IFERROR(TO_DATE(E2638), """")"),42563.26527777778)</f>
        <v>42563.26528</v>
      </c>
      <c r="G2638" s="20">
        <f t="shared" si="1"/>
        <v>6</v>
      </c>
      <c r="H2638" s="26">
        <v>42563.31736111111</v>
      </c>
      <c r="I2638" s="19">
        <f>IFERROR(__xludf.DUMMYFUNCTION("IFERROR(TO_DATE(H2638), """")"),42563.31736111111)</f>
        <v>42563.31736</v>
      </c>
      <c r="J2638" s="19" t="s">
        <v>11</v>
      </c>
      <c r="K2638" s="22">
        <f t="shared" si="2"/>
        <v>0</v>
      </c>
    </row>
    <row r="2639">
      <c r="A2639" s="18">
        <v>2197.0</v>
      </c>
      <c r="B2639" s="18" t="s">
        <v>30</v>
      </c>
      <c r="C2639" s="18">
        <v>278.0</v>
      </c>
      <c r="D2639" s="18" t="s">
        <v>31</v>
      </c>
      <c r="E2639" s="26">
        <v>42563.74513888889</v>
      </c>
      <c r="F2639" s="19">
        <f>IFERROR(__xludf.DUMMYFUNCTION("IFERROR(TO_DATE(E2639), """")"),42563.74513888889)</f>
        <v>42563.74514</v>
      </c>
      <c r="G2639" s="20">
        <f t="shared" si="1"/>
        <v>17</v>
      </c>
      <c r="H2639" s="26">
        <v>42563.76875</v>
      </c>
      <c r="I2639" s="19">
        <f>IFERROR(__xludf.DUMMYFUNCTION("IFERROR(TO_DATE(H2639), """")"),42563.76875)</f>
        <v>42563.76875</v>
      </c>
      <c r="J2639" s="19" t="s">
        <v>12</v>
      </c>
      <c r="K2639" s="22">
        <f t="shared" si="2"/>
        <v>0</v>
      </c>
    </row>
    <row r="2640">
      <c r="A2640" s="18">
        <v>2509.0</v>
      </c>
      <c r="B2640" s="18" t="s">
        <v>32</v>
      </c>
      <c r="C2640" s="18">
        <v>278.0</v>
      </c>
      <c r="D2640" s="18" t="s">
        <v>31</v>
      </c>
      <c r="E2640" s="26">
        <v>42563.87569444445</v>
      </c>
      <c r="F2640" s="19">
        <f>IFERROR(__xludf.DUMMYFUNCTION("IFERROR(TO_DATE(E2640), """")"),42563.87569444445)</f>
        <v>42563.87569</v>
      </c>
      <c r="G2640" s="20">
        <f t="shared" si="1"/>
        <v>21</v>
      </c>
      <c r="H2640" s="26">
        <v>42563.910416666666</v>
      </c>
      <c r="I2640" s="19">
        <f>IFERROR(__xludf.DUMMYFUNCTION("IFERROR(TO_DATE(H2640), """")"),42563.910416666666)</f>
        <v>42563.91042</v>
      </c>
      <c r="J2640" s="19" t="s">
        <v>13</v>
      </c>
      <c r="K2640" s="22">
        <f t="shared" si="2"/>
        <v>0</v>
      </c>
    </row>
    <row r="2641">
      <c r="A2641" s="18">
        <v>3514.0</v>
      </c>
      <c r="B2641" s="18" t="s">
        <v>30</v>
      </c>
      <c r="C2641" s="18">
        <v>278.0</v>
      </c>
      <c r="D2641" s="18" t="s">
        <v>31</v>
      </c>
      <c r="E2641" s="27">
        <v>42564.73763888889</v>
      </c>
      <c r="F2641" s="19">
        <f>IFERROR(__xludf.DUMMYFUNCTION("IFERROR(TO_DATE(E2641), """")"),42564.73763888889)</f>
        <v>42564.73764</v>
      </c>
      <c r="G2641" s="20">
        <f t="shared" si="1"/>
        <v>17</v>
      </c>
      <c r="H2641" s="27">
        <v>42564.77069444444</v>
      </c>
      <c r="I2641" s="19">
        <f>IFERROR(__xludf.DUMMYFUNCTION("IFERROR(TO_DATE(H2641), """")"),42564.77069444444)</f>
        <v>42564.77069</v>
      </c>
      <c r="J2641" s="19" t="s">
        <v>12</v>
      </c>
      <c r="K2641" s="22">
        <f t="shared" si="2"/>
        <v>0</v>
      </c>
    </row>
    <row r="2642">
      <c r="A2642" s="18">
        <v>4588.0</v>
      </c>
      <c r="B2642" s="18" t="s">
        <v>32</v>
      </c>
      <c r="C2642" s="18">
        <v>278.0</v>
      </c>
      <c r="D2642" s="18" t="s">
        <v>31</v>
      </c>
      <c r="E2642" s="27">
        <v>42565.41768518519</v>
      </c>
      <c r="F2642" s="19">
        <f>IFERROR(__xludf.DUMMYFUNCTION("IFERROR(TO_DATE(E2642), """")"),42565.41768518519)</f>
        <v>42565.41769</v>
      </c>
      <c r="G2642" s="20">
        <f t="shared" si="1"/>
        <v>10</v>
      </c>
      <c r="H2642" s="27">
        <v>42565.466261574074</v>
      </c>
      <c r="I2642" s="19">
        <f>IFERROR(__xludf.DUMMYFUNCTION("IFERROR(TO_DATE(H2642), """")"),42565.466261574074)</f>
        <v>42565.46626</v>
      </c>
      <c r="J2642" s="19" t="s">
        <v>14</v>
      </c>
      <c r="K2642" s="22">
        <f t="shared" si="2"/>
        <v>0</v>
      </c>
    </row>
    <row r="2643">
      <c r="A2643" s="18">
        <v>5929.0</v>
      </c>
      <c r="B2643" s="18" t="s">
        <v>30</v>
      </c>
      <c r="C2643" s="18">
        <v>278.0</v>
      </c>
      <c r="D2643" s="18" t="s">
        <v>31</v>
      </c>
      <c r="E2643" s="27">
        <v>42566.421261574076</v>
      </c>
      <c r="F2643" s="19">
        <f>IFERROR(__xludf.DUMMYFUNCTION("IFERROR(TO_DATE(E2643), """")"),42566.421261574076)</f>
        <v>42566.42126</v>
      </c>
      <c r="G2643" s="20">
        <f t="shared" si="1"/>
        <v>10</v>
      </c>
      <c r="H2643" s="27">
        <v>42566.45392361111</v>
      </c>
      <c r="I2643" s="19">
        <f>IFERROR(__xludf.DUMMYFUNCTION("IFERROR(TO_DATE(H2643), """")"),42566.45392361111)</f>
        <v>42566.45392</v>
      </c>
      <c r="J2643" s="19" t="s">
        <v>14</v>
      </c>
      <c r="K2643" s="22">
        <f t="shared" si="2"/>
        <v>0</v>
      </c>
    </row>
    <row r="2644">
      <c r="A2644" s="18">
        <v>6335.0</v>
      </c>
      <c r="B2644" s="18" t="s">
        <v>32</v>
      </c>
      <c r="C2644" s="18">
        <v>278.0</v>
      </c>
      <c r="D2644" s="18" t="s">
        <v>31</v>
      </c>
      <c r="E2644" s="27">
        <v>42566.78192129629</v>
      </c>
      <c r="F2644" s="19">
        <f>IFERROR(__xludf.DUMMYFUNCTION("IFERROR(TO_DATE(E2644), """")"),42566.78192129629)</f>
        <v>42566.78192</v>
      </c>
      <c r="G2644" s="20">
        <f t="shared" si="1"/>
        <v>18</v>
      </c>
      <c r="H2644" s="27">
        <v>42566.80447916667</v>
      </c>
      <c r="I2644" s="19">
        <f>IFERROR(__xludf.DUMMYFUNCTION("IFERROR(TO_DATE(H2644), """")"),42566.80447916667)</f>
        <v>42566.80448</v>
      </c>
      <c r="J2644" s="19" t="s">
        <v>12</v>
      </c>
      <c r="K2644" s="22">
        <f t="shared" si="2"/>
        <v>0</v>
      </c>
    </row>
    <row r="2645">
      <c r="A2645" s="18">
        <v>375.0</v>
      </c>
      <c r="B2645" s="18" t="s">
        <v>30</v>
      </c>
      <c r="C2645" s="18">
        <v>279.0</v>
      </c>
      <c r="D2645" s="18" t="s">
        <v>31</v>
      </c>
      <c r="E2645" s="26">
        <v>42562.33819444444</v>
      </c>
      <c r="F2645" s="19">
        <f>IFERROR(__xludf.DUMMYFUNCTION("IFERROR(TO_DATE(E2645), """")"),42562.33819444444)</f>
        <v>42562.33819</v>
      </c>
      <c r="G2645" s="20">
        <f t="shared" si="1"/>
        <v>8</v>
      </c>
      <c r="H2645" s="26">
        <v>42562.393055555556</v>
      </c>
      <c r="I2645" s="19">
        <f>IFERROR(__xludf.DUMMYFUNCTION("IFERROR(TO_DATE(H2645), """")"),42562.393055555556)</f>
        <v>42562.39306</v>
      </c>
      <c r="J2645" s="19" t="s">
        <v>14</v>
      </c>
      <c r="K2645" s="22">
        <f t="shared" si="2"/>
        <v>0</v>
      </c>
    </row>
    <row r="2646">
      <c r="A2646" s="18">
        <v>555.0</v>
      </c>
      <c r="B2646" s="18" t="s">
        <v>32</v>
      </c>
      <c r="C2646" s="18">
        <v>279.0</v>
      </c>
      <c r="D2646" s="18" t="s">
        <v>31</v>
      </c>
      <c r="E2646" s="26">
        <v>42562.427777777775</v>
      </c>
      <c r="F2646" s="19">
        <f>IFERROR(__xludf.DUMMYFUNCTION("IFERROR(TO_DATE(E2646), """")"),42562.427777777775)</f>
        <v>42562.42778</v>
      </c>
      <c r="G2646" s="20">
        <f t="shared" si="1"/>
        <v>10</v>
      </c>
      <c r="H2646" s="26">
        <v>42562.459027777775</v>
      </c>
      <c r="I2646" s="19">
        <f>IFERROR(__xludf.DUMMYFUNCTION("IFERROR(TO_DATE(H2646), """")"),42562.459027777775)</f>
        <v>42562.45903</v>
      </c>
      <c r="J2646" s="19" t="s">
        <v>14</v>
      </c>
      <c r="K2646" s="22">
        <f t="shared" si="2"/>
        <v>0</v>
      </c>
    </row>
    <row r="2647">
      <c r="A2647" s="18">
        <v>622.0</v>
      </c>
      <c r="B2647" s="18" t="s">
        <v>30</v>
      </c>
      <c r="C2647" s="18">
        <v>279.0</v>
      </c>
      <c r="D2647" s="18" t="s">
        <v>31</v>
      </c>
      <c r="E2647" s="26">
        <v>42562.50069444445</v>
      </c>
      <c r="F2647" s="19">
        <f>IFERROR(__xludf.DUMMYFUNCTION("IFERROR(TO_DATE(E2647), """")"),42562.50069444445)</f>
        <v>42562.50069</v>
      </c>
      <c r="G2647" s="20">
        <f t="shared" si="1"/>
        <v>12</v>
      </c>
      <c r="H2647" s="26">
        <v>42562.552083333336</v>
      </c>
      <c r="I2647" s="19">
        <f>IFERROR(__xludf.DUMMYFUNCTION("IFERROR(TO_DATE(H2647), """")"),42562.552083333336)</f>
        <v>42562.55208</v>
      </c>
      <c r="J2647" s="19" t="s">
        <v>10</v>
      </c>
      <c r="K2647" s="22">
        <f t="shared" si="2"/>
        <v>0</v>
      </c>
    </row>
    <row r="2648">
      <c r="A2648" s="18">
        <v>1975.0</v>
      </c>
      <c r="B2648" s="18" t="s">
        <v>32</v>
      </c>
      <c r="C2648" s="18">
        <v>279.0</v>
      </c>
      <c r="D2648" s="18" t="s">
        <v>31</v>
      </c>
      <c r="E2648" s="26">
        <v>42563.51180555556</v>
      </c>
      <c r="F2648" s="19">
        <f>IFERROR(__xludf.DUMMYFUNCTION("IFERROR(TO_DATE(E2648), """")"),42563.51180555556)</f>
        <v>42563.51181</v>
      </c>
      <c r="G2648" s="20">
        <f t="shared" si="1"/>
        <v>12</v>
      </c>
      <c r="H2648" s="26">
        <v>42563.56527777778</v>
      </c>
      <c r="I2648" s="19">
        <f>IFERROR(__xludf.DUMMYFUNCTION("IFERROR(TO_DATE(H2648), """")"),42563.56527777778)</f>
        <v>42563.56528</v>
      </c>
      <c r="J2648" s="19" t="s">
        <v>10</v>
      </c>
      <c r="K2648" s="22">
        <f t="shared" si="2"/>
        <v>0</v>
      </c>
    </row>
    <row r="2649">
      <c r="A2649" s="18">
        <v>2831.0</v>
      </c>
      <c r="B2649" s="18" t="s">
        <v>30</v>
      </c>
      <c r="C2649" s="18">
        <v>279.0</v>
      </c>
      <c r="D2649" s="18" t="s">
        <v>31</v>
      </c>
      <c r="E2649" s="27">
        <v>42564.223807870374</v>
      </c>
      <c r="F2649" s="19">
        <f>IFERROR(__xludf.DUMMYFUNCTION("IFERROR(TO_DATE(E2649), """")"),42564.223807870374)</f>
        <v>42564.22381</v>
      </c>
      <c r="G2649" s="20">
        <f t="shared" si="1"/>
        <v>5</v>
      </c>
      <c r="H2649" s="27">
        <v>42564.268125</v>
      </c>
      <c r="I2649" s="19">
        <f>IFERROR(__xludf.DUMMYFUNCTION("IFERROR(TO_DATE(H2649), """")"),42564.268125)</f>
        <v>42564.26813</v>
      </c>
      <c r="J2649" s="19" t="s">
        <v>11</v>
      </c>
      <c r="K2649" s="22">
        <f t="shared" si="2"/>
        <v>0</v>
      </c>
    </row>
    <row r="2650">
      <c r="A2650" s="18">
        <v>3085.0</v>
      </c>
      <c r="B2650" s="18" t="s">
        <v>30</v>
      </c>
      <c r="C2650" s="18">
        <v>279.0</v>
      </c>
      <c r="D2650" s="18" t="s">
        <v>31</v>
      </c>
      <c r="E2650" s="27">
        <v>42564.34645833333</v>
      </c>
      <c r="F2650" s="19">
        <f>IFERROR(__xludf.DUMMYFUNCTION("IFERROR(TO_DATE(E2650), """")"),42564.34645833333)</f>
        <v>42564.34646</v>
      </c>
      <c r="G2650" s="20">
        <f t="shared" si="1"/>
        <v>8</v>
      </c>
      <c r="H2650" s="27">
        <v>42564.371886574074</v>
      </c>
      <c r="I2650" s="19">
        <f>IFERROR(__xludf.DUMMYFUNCTION("IFERROR(TO_DATE(H2650), """")"),42564.371886574074)</f>
        <v>42564.37189</v>
      </c>
      <c r="J2650" s="19" t="s">
        <v>14</v>
      </c>
      <c r="K2650" s="22">
        <f t="shared" si="2"/>
        <v>0</v>
      </c>
    </row>
    <row r="2651">
      <c r="A2651" s="18">
        <v>3418.0</v>
      </c>
      <c r="B2651" s="18" t="s">
        <v>32</v>
      </c>
      <c r="C2651" s="18">
        <v>279.0</v>
      </c>
      <c r="D2651" s="18" t="s">
        <v>31</v>
      </c>
      <c r="E2651" s="27">
        <v>42564.65087962963</v>
      </c>
      <c r="F2651" s="19">
        <f>IFERROR(__xludf.DUMMYFUNCTION("IFERROR(TO_DATE(E2651), """")"),42564.65087962963)</f>
        <v>42564.65088</v>
      </c>
      <c r="G2651" s="20">
        <f t="shared" si="1"/>
        <v>15</v>
      </c>
      <c r="H2651" s="27">
        <v>42564.69857638889</v>
      </c>
      <c r="I2651" s="19">
        <f>IFERROR(__xludf.DUMMYFUNCTION("IFERROR(TO_DATE(H2651), """")"),42564.69857638889)</f>
        <v>42564.69858</v>
      </c>
      <c r="J2651" s="19" t="s">
        <v>10</v>
      </c>
      <c r="K2651" s="22">
        <f t="shared" si="2"/>
        <v>0</v>
      </c>
    </row>
    <row r="2652">
      <c r="A2652" s="18">
        <v>3915.0</v>
      </c>
      <c r="B2652" s="18" t="s">
        <v>32</v>
      </c>
      <c r="C2652" s="18">
        <v>279.0</v>
      </c>
      <c r="D2652" s="18" t="s">
        <v>31</v>
      </c>
      <c r="E2652" s="27">
        <v>42564.922581018516</v>
      </c>
      <c r="F2652" s="19">
        <f>IFERROR(__xludf.DUMMYFUNCTION("IFERROR(TO_DATE(E2652), """")"),42564.922581018516)</f>
        <v>42564.92258</v>
      </c>
      <c r="G2652" s="20">
        <f t="shared" si="1"/>
        <v>22</v>
      </c>
      <c r="H2652" s="27">
        <v>42564.97699074074</v>
      </c>
      <c r="I2652" s="19">
        <f>IFERROR(__xludf.DUMMYFUNCTION("IFERROR(TO_DATE(H2652), """")"),42564.97699074074)</f>
        <v>42564.97699</v>
      </c>
      <c r="J2652" s="19" t="s">
        <v>13</v>
      </c>
      <c r="K2652" s="22">
        <f t="shared" si="2"/>
        <v>0</v>
      </c>
    </row>
    <row r="2653">
      <c r="A2653" s="18">
        <v>4443.0</v>
      </c>
      <c r="B2653" s="18" t="s">
        <v>30</v>
      </c>
      <c r="C2653" s="18">
        <v>279.0</v>
      </c>
      <c r="D2653" s="18" t="s">
        <v>31</v>
      </c>
      <c r="E2653" s="27">
        <v>42565.35398148148</v>
      </c>
      <c r="F2653" s="19">
        <f>IFERROR(__xludf.DUMMYFUNCTION("IFERROR(TO_DATE(E2653), """")"),42565.35398148148)</f>
        <v>42565.35398</v>
      </c>
      <c r="G2653" s="20">
        <f t="shared" si="1"/>
        <v>8</v>
      </c>
      <c r="H2653" s="27">
        <v>42565.40300925926</v>
      </c>
      <c r="I2653" s="19">
        <f>IFERROR(__xludf.DUMMYFUNCTION("IFERROR(TO_DATE(H2653), """")"),42565.40300925926)</f>
        <v>42565.40301</v>
      </c>
      <c r="J2653" s="19" t="s">
        <v>14</v>
      </c>
      <c r="K2653" s="22">
        <f t="shared" si="2"/>
        <v>0</v>
      </c>
    </row>
    <row r="2654">
      <c r="A2654" s="18">
        <v>5686.0</v>
      </c>
      <c r="B2654" s="18" t="s">
        <v>32</v>
      </c>
      <c r="C2654" s="18">
        <v>279.0</v>
      </c>
      <c r="D2654" s="18" t="s">
        <v>31</v>
      </c>
      <c r="E2654" s="27">
        <v>42566.30501157408</v>
      </c>
      <c r="F2654" s="19">
        <f>IFERROR(__xludf.DUMMYFUNCTION("IFERROR(TO_DATE(E2654), """")"),42566.30501157408)</f>
        <v>42566.30501</v>
      </c>
      <c r="G2654" s="20">
        <f t="shared" si="1"/>
        <v>7</v>
      </c>
      <c r="H2654" s="27">
        <v>42566.34912037037</v>
      </c>
      <c r="I2654" s="19">
        <f>IFERROR(__xludf.DUMMYFUNCTION("IFERROR(TO_DATE(H2654), """")"),42566.34912037037)</f>
        <v>42566.34912</v>
      </c>
      <c r="J2654" s="19" t="s">
        <v>11</v>
      </c>
      <c r="K2654" s="22">
        <f t="shared" si="2"/>
        <v>0</v>
      </c>
    </row>
    <row r="2655">
      <c r="A2655" s="18">
        <v>6120.0</v>
      </c>
      <c r="B2655" s="18" t="s">
        <v>30</v>
      </c>
      <c r="C2655" s="18">
        <v>279.0</v>
      </c>
      <c r="D2655" s="18" t="s">
        <v>31</v>
      </c>
      <c r="E2655" s="27">
        <v>42566.64003472222</v>
      </c>
      <c r="F2655" s="19">
        <f>IFERROR(__xludf.DUMMYFUNCTION("IFERROR(TO_DATE(E2655), """")"),42566.64003472222)</f>
        <v>42566.64003</v>
      </c>
      <c r="G2655" s="20">
        <f t="shared" si="1"/>
        <v>15</v>
      </c>
      <c r="H2655" s="27">
        <v>42566.67089120371</v>
      </c>
      <c r="I2655" s="19">
        <f>IFERROR(__xludf.DUMMYFUNCTION("IFERROR(TO_DATE(H2655), """")"),42566.67089120371)</f>
        <v>42566.67089</v>
      </c>
      <c r="J2655" s="19" t="s">
        <v>10</v>
      </c>
      <c r="K2655" s="22">
        <f t="shared" si="2"/>
        <v>0</v>
      </c>
    </row>
    <row r="2656">
      <c r="A2656" s="18">
        <v>6274.0</v>
      </c>
      <c r="B2656" s="18" t="s">
        <v>30</v>
      </c>
      <c r="C2656" s="18">
        <v>279.0</v>
      </c>
      <c r="D2656" s="18" t="s">
        <v>31</v>
      </c>
      <c r="E2656" s="27">
        <v>42566.76289351852</v>
      </c>
      <c r="F2656" s="19">
        <f>IFERROR(__xludf.DUMMYFUNCTION("IFERROR(TO_DATE(E2656), """")"),42566.76289351852)</f>
        <v>42566.76289</v>
      </c>
      <c r="G2656" s="20">
        <f t="shared" si="1"/>
        <v>18</v>
      </c>
      <c r="H2656" s="27">
        <v>42566.79351851852</v>
      </c>
      <c r="I2656" s="19">
        <f>IFERROR(__xludf.DUMMYFUNCTION("IFERROR(TO_DATE(H2656), """")"),42566.79351851852)</f>
        <v>42566.79352</v>
      </c>
      <c r="J2656" s="19" t="s">
        <v>12</v>
      </c>
      <c r="K2656" s="22">
        <f t="shared" si="2"/>
        <v>0</v>
      </c>
    </row>
    <row r="2657">
      <c r="A2657" s="18">
        <v>6364.0</v>
      </c>
      <c r="B2657" s="18" t="s">
        <v>32</v>
      </c>
      <c r="C2657" s="18">
        <v>279.0</v>
      </c>
      <c r="D2657" s="18" t="s">
        <v>31</v>
      </c>
      <c r="E2657" s="27">
        <v>42566.79951388889</v>
      </c>
      <c r="F2657" s="19">
        <f>IFERROR(__xludf.DUMMYFUNCTION("IFERROR(TO_DATE(E2657), """")"),42566.79951388889)</f>
        <v>42566.79951</v>
      </c>
      <c r="G2657" s="20">
        <f t="shared" si="1"/>
        <v>19</v>
      </c>
      <c r="H2657" s="27">
        <v>42566.826840277776</v>
      </c>
      <c r="I2657" s="19">
        <f>IFERROR(__xludf.DUMMYFUNCTION("IFERROR(TO_DATE(H2657), """")"),42566.826840277776)</f>
        <v>42566.82684</v>
      </c>
      <c r="J2657" s="19" t="s">
        <v>12</v>
      </c>
      <c r="K2657" s="22">
        <f t="shared" si="2"/>
        <v>0</v>
      </c>
    </row>
    <row r="2658">
      <c r="A2658" s="18">
        <v>89.0</v>
      </c>
      <c r="B2658" s="18" t="s">
        <v>32</v>
      </c>
      <c r="C2658" s="18">
        <v>280.0</v>
      </c>
      <c r="D2658" s="18" t="s">
        <v>31</v>
      </c>
      <c r="E2658" s="26">
        <v>42562.20277777778</v>
      </c>
      <c r="F2658" s="19">
        <f>IFERROR(__xludf.DUMMYFUNCTION("IFERROR(TO_DATE(E2658), """")"),42562.20277777778)</f>
        <v>42562.20278</v>
      </c>
      <c r="G2658" s="20">
        <f t="shared" si="1"/>
        <v>4</v>
      </c>
      <c r="H2658" s="26">
        <v>42562.24375</v>
      </c>
      <c r="I2658" s="19">
        <f>IFERROR(__xludf.DUMMYFUNCTION("IFERROR(TO_DATE(H2658), """")"),42562.24375)</f>
        <v>42562.24375</v>
      </c>
      <c r="J2658" s="19" t="s">
        <v>11</v>
      </c>
      <c r="K2658" s="22">
        <f t="shared" si="2"/>
        <v>0</v>
      </c>
    </row>
    <row r="2659">
      <c r="A2659" s="18">
        <v>805.0</v>
      </c>
      <c r="B2659" s="18" t="s">
        <v>30</v>
      </c>
      <c r="C2659" s="18">
        <v>280.0</v>
      </c>
      <c r="D2659" s="18" t="s">
        <v>31</v>
      </c>
      <c r="E2659" s="26">
        <v>42562.72152777778</v>
      </c>
      <c r="F2659" s="19">
        <f>IFERROR(__xludf.DUMMYFUNCTION("IFERROR(TO_DATE(E2659), """")"),42562.72152777778)</f>
        <v>42562.72153</v>
      </c>
      <c r="G2659" s="20">
        <f t="shared" si="1"/>
        <v>17</v>
      </c>
      <c r="H2659" s="26">
        <v>42562.7625</v>
      </c>
      <c r="I2659" s="19">
        <f>IFERROR(__xludf.DUMMYFUNCTION("IFERROR(TO_DATE(H2659), """")"),42562.7625)</f>
        <v>42562.7625</v>
      </c>
      <c r="J2659" s="19" t="s">
        <v>12</v>
      </c>
      <c r="K2659" s="22">
        <f t="shared" si="2"/>
        <v>0</v>
      </c>
    </row>
    <row r="2660">
      <c r="A2660" s="18">
        <v>2836.0</v>
      </c>
      <c r="B2660" s="18" t="s">
        <v>32</v>
      </c>
      <c r="C2660" s="18">
        <v>280.0</v>
      </c>
      <c r="D2660" s="18" t="s">
        <v>31</v>
      </c>
      <c r="E2660" s="27">
        <v>42564.22236111111</v>
      </c>
      <c r="F2660" s="19">
        <f>IFERROR(__xludf.DUMMYFUNCTION("IFERROR(TO_DATE(E2660), """")"),42564.22236111111)</f>
        <v>42564.22236</v>
      </c>
      <c r="G2660" s="20">
        <f t="shared" si="1"/>
        <v>5</v>
      </c>
      <c r="H2660" s="27">
        <v>42564.26594907408</v>
      </c>
      <c r="I2660" s="19">
        <f>IFERROR(__xludf.DUMMYFUNCTION("IFERROR(TO_DATE(H2660), """")"),42564.26594907408)</f>
        <v>42564.26595</v>
      </c>
      <c r="J2660" s="19" t="s">
        <v>11</v>
      </c>
      <c r="K2660" s="22">
        <f t="shared" si="2"/>
        <v>0</v>
      </c>
    </row>
    <row r="2661">
      <c r="A2661" s="18">
        <v>3298.0</v>
      </c>
      <c r="B2661" s="18" t="s">
        <v>32</v>
      </c>
      <c r="C2661" s="18">
        <v>280.0</v>
      </c>
      <c r="D2661" s="18" t="s">
        <v>31</v>
      </c>
      <c r="E2661" s="27">
        <v>42564.488958333335</v>
      </c>
      <c r="F2661" s="19">
        <f>IFERROR(__xludf.DUMMYFUNCTION("IFERROR(TO_DATE(E2661), """")"),42564.488958333335)</f>
        <v>42564.48896</v>
      </c>
      <c r="G2661" s="20">
        <f t="shared" si="1"/>
        <v>11</v>
      </c>
      <c r="H2661" s="27">
        <v>42564.532847222225</v>
      </c>
      <c r="I2661" s="19">
        <f>IFERROR(__xludf.DUMMYFUNCTION("IFERROR(TO_DATE(H2661), """")"),42564.532847222225)</f>
        <v>42564.53285</v>
      </c>
      <c r="J2661" s="19" t="s">
        <v>14</v>
      </c>
      <c r="K2661" s="22">
        <f t="shared" si="2"/>
        <v>0</v>
      </c>
    </row>
    <row r="2662">
      <c r="A2662" s="18">
        <v>5506.0</v>
      </c>
      <c r="B2662" s="18" t="s">
        <v>32</v>
      </c>
      <c r="C2662" s="18">
        <v>280.0</v>
      </c>
      <c r="D2662" s="18" t="s">
        <v>31</v>
      </c>
      <c r="E2662" s="27">
        <v>42566.21270833333</v>
      </c>
      <c r="F2662" s="19">
        <f>IFERROR(__xludf.DUMMYFUNCTION("IFERROR(TO_DATE(E2662), """")"),42566.21270833333)</f>
        <v>42566.21271</v>
      </c>
      <c r="G2662" s="20">
        <f t="shared" si="1"/>
        <v>5</v>
      </c>
      <c r="H2662" s="27">
        <v>42566.23704861111</v>
      </c>
      <c r="I2662" s="19">
        <f>IFERROR(__xludf.DUMMYFUNCTION("IFERROR(TO_DATE(H2662), """")"),42566.23704861111)</f>
        <v>42566.23705</v>
      </c>
      <c r="J2662" s="19" t="s">
        <v>11</v>
      </c>
      <c r="K2662" s="22">
        <f t="shared" si="2"/>
        <v>0</v>
      </c>
    </row>
    <row r="2663">
      <c r="A2663" s="18">
        <v>6159.0</v>
      </c>
      <c r="B2663" s="18" t="s">
        <v>32</v>
      </c>
      <c r="C2663" s="18">
        <v>280.0</v>
      </c>
      <c r="D2663" s="18" t="s">
        <v>31</v>
      </c>
      <c r="E2663" s="27">
        <v>42566.69137731481</v>
      </c>
      <c r="F2663" s="19">
        <f>IFERROR(__xludf.DUMMYFUNCTION("IFERROR(TO_DATE(E2663), """")"),42566.69137731481)</f>
        <v>42566.69138</v>
      </c>
      <c r="G2663" s="20">
        <f t="shared" si="1"/>
        <v>16</v>
      </c>
      <c r="H2663" s="27">
        <v>42566.724641203706</v>
      </c>
      <c r="I2663" s="19">
        <f>IFERROR(__xludf.DUMMYFUNCTION("IFERROR(TO_DATE(H2663), """")"),42566.724641203706)</f>
        <v>42566.72464</v>
      </c>
      <c r="J2663" s="19" t="s">
        <v>12</v>
      </c>
      <c r="K2663" s="22">
        <f t="shared" si="2"/>
        <v>0</v>
      </c>
    </row>
    <row r="2664">
      <c r="A2664" s="18">
        <v>6492.0</v>
      </c>
      <c r="B2664" s="18" t="s">
        <v>32</v>
      </c>
      <c r="C2664" s="18">
        <v>280.0</v>
      </c>
      <c r="D2664" s="18" t="s">
        <v>31</v>
      </c>
      <c r="E2664" s="27">
        <v>42566.85519675926</v>
      </c>
      <c r="F2664" s="19">
        <f>IFERROR(__xludf.DUMMYFUNCTION("IFERROR(TO_DATE(E2664), """")"),42566.85519675926)</f>
        <v>42566.8552</v>
      </c>
      <c r="G2664" s="20">
        <f t="shared" si="1"/>
        <v>20</v>
      </c>
      <c r="H2664" s="27">
        <v>42566.88784722222</v>
      </c>
      <c r="I2664" s="19">
        <f>IFERROR(__xludf.DUMMYFUNCTION("IFERROR(TO_DATE(H2664), """")"),42566.88784722222)</f>
        <v>42566.88785</v>
      </c>
      <c r="J2664" s="19" t="s">
        <v>13</v>
      </c>
      <c r="K2664" s="22">
        <f t="shared" si="2"/>
        <v>0</v>
      </c>
    </row>
    <row r="2665">
      <c r="A2665" s="18">
        <v>592.0</v>
      </c>
      <c r="B2665" s="18" t="s">
        <v>32</v>
      </c>
      <c r="C2665" s="18">
        <v>281.0</v>
      </c>
      <c r="D2665" s="18" t="s">
        <v>31</v>
      </c>
      <c r="E2665" s="26">
        <v>42562.47083333333</v>
      </c>
      <c r="F2665" s="19">
        <f>IFERROR(__xludf.DUMMYFUNCTION("IFERROR(TO_DATE(E2665), """")"),42562.47083333333)</f>
        <v>42562.47083</v>
      </c>
      <c r="G2665" s="20">
        <f t="shared" si="1"/>
        <v>11</v>
      </c>
      <c r="H2665" s="26">
        <v>42562.495833333334</v>
      </c>
      <c r="I2665" s="19">
        <f>IFERROR(__xludf.DUMMYFUNCTION("IFERROR(TO_DATE(H2665), """")"),42562.495833333334)</f>
        <v>42562.49583</v>
      </c>
      <c r="J2665" s="19" t="s">
        <v>14</v>
      </c>
      <c r="K2665" s="22">
        <f t="shared" si="2"/>
        <v>0</v>
      </c>
    </row>
    <row r="2666">
      <c r="A2666" s="18">
        <v>737.0</v>
      </c>
      <c r="B2666" s="18" t="s">
        <v>30</v>
      </c>
      <c r="C2666" s="18">
        <v>281.0</v>
      </c>
      <c r="D2666" s="18" t="s">
        <v>31</v>
      </c>
      <c r="E2666" s="26">
        <v>42562.645833333336</v>
      </c>
      <c r="F2666" s="19">
        <f>IFERROR(__xludf.DUMMYFUNCTION("IFERROR(TO_DATE(E2666), """")"),42562.645833333336)</f>
        <v>42562.64583</v>
      </c>
      <c r="G2666" s="20">
        <f t="shared" si="1"/>
        <v>15</v>
      </c>
      <c r="H2666" s="26">
        <v>42562.669444444444</v>
      </c>
      <c r="I2666" s="19">
        <f>IFERROR(__xludf.DUMMYFUNCTION("IFERROR(TO_DATE(H2666), """")"),42562.669444444444)</f>
        <v>42562.66944</v>
      </c>
      <c r="J2666" s="19" t="s">
        <v>10</v>
      </c>
      <c r="K2666" s="22">
        <f t="shared" si="2"/>
        <v>0</v>
      </c>
    </row>
    <row r="2667">
      <c r="A2667" s="18">
        <v>1108.0</v>
      </c>
      <c r="B2667" s="18" t="s">
        <v>32</v>
      </c>
      <c r="C2667" s="18">
        <v>281.0</v>
      </c>
      <c r="D2667" s="18" t="s">
        <v>31</v>
      </c>
      <c r="E2667" s="26">
        <v>42562.84097222222</v>
      </c>
      <c r="F2667" s="19">
        <f>IFERROR(__xludf.DUMMYFUNCTION("IFERROR(TO_DATE(E2667), """")"),42562.84097222222)</f>
        <v>42562.84097</v>
      </c>
      <c r="G2667" s="20">
        <f t="shared" si="1"/>
        <v>20</v>
      </c>
      <c r="H2667" s="26">
        <v>42562.87013888889</v>
      </c>
      <c r="I2667" s="19">
        <f>IFERROR(__xludf.DUMMYFUNCTION("IFERROR(TO_DATE(H2667), """")"),42562.87013888889)</f>
        <v>42562.87014</v>
      </c>
      <c r="J2667" s="19" t="s">
        <v>13</v>
      </c>
      <c r="K2667" s="22">
        <f t="shared" si="2"/>
        <v>0</v>
      </c>
    </row>
    <row r="2668">
      <c r="A2668" s="18">
        <v>1387.0</v>
      </c>
      <c r="B2668" s="18" t="s">
        <v>30</v>
      </c>
      <c r="C2668" s="18">
        <v>281.0</v>
      </c>
      <c r="D2668" s="18" t="s">
        <v>31</v>
      </c>
      <c r="E2668" s="26">
        <v>42563.06458333333</v>
      </c>
      <c r="F2668" s="19">
        <f>IFERROR(__xludf.DUMMYFUNCTION("IFERROR(TO_DATE(E2668), """")"),42563.06458333333)</f>
        <v>42563.06458</v>
      </c>
      <c r="G2668" s="20">
        <f t="shared" si="1"/>
        <v>1</v>
      </c>
      <c r="H2668" s="26">
        <v>42563.09583333333</v>
      </c>
      <c r="I2668" s="19">
        <f>IFERROR(__xludf.DUMMYFUNCTION("IFERROR(TO_DATE(H2668), """")"),42563.09583333333)</f>
        <v>42563.09583</v>
      </c>
      <c r="J2668" s="19" t="s">
        <v>15</v>
      </c>
      <c r="K2668" s="22">
        <f t="shared" si="2"/>
        <v>0</v>
      </c>
    </row>
    <row r="2669">
      <c r="A2669" s="18">
        <v>2311.0</v>
      </c>
      <c r="B2669" s="18" t="s">
        <v>30</v>
      </c>
      <c r="C2669" s="18">
        <v>281.0</v>
      </c>
      <c r="D2669" s="18" t="s">
        <v>31</v>
      </c>
      <c r="E2669" s="26">
        <v>42563.791666666664</v>
      </c>
      <c r="F2669" s="19">
        <f>IFERROR(__xludf.DUMMYFUNCTION("IFERROR(TO_DATE(E2669), """")"),42563.791666666664)</f>
        <v>42563.79167</v>
      </c>
      <c r="G2669" s="20">
        <f t="shared" si="1"/>
        <v>19</v>
      </c>
      <c r="H2669" s="26">
        <v>42563.830555555556</v>
      </c>
      <c r="I2669" s="19">
        <f>IFERROR(__xludf.DUMMYFUNCTION("IFERROR(TO_DATE(H2669), """")"),42563.830555555556)</f>
        <v>42563.83056</v>
      </c>
      <c r="J2669" s="19" t="s">
        <v>12</v>
      </c>
      <c r="K2669" s="22">
        <f t="shared" si="2"/>
        <v>0</v>
      </c>
    </row>
    <row r="2670">
      <c r="A2670" s="18">
        <v>2887.0</v>
      </c>
      <c r="B2670" s="18" t="s">
        <v>32</v>
      </c>
      <c r="C2670" s="18">
        <v>281.0</v>
      </c>
      <c r="D2670" s="18" t="s">
        <v>31</v>
      </c>
      <c r="E2670" s="27">
        <v>42564.24363425926</v>
      </c>
      <c r="F2670" s="19">
        <f>IFERROR(__xludf.DUMMYFUNCTION("IFERROR(TO_DATE(E2670), """")"),42564.24363425926)</f>
        <v>42564.24363</v>
      </c>
      <c r="G2670" s="20">
        <f t="shared" si="1"/>
        <v>5</v>
      </c>
      <c r="H2670" s="27">
        <v>42564.26987268519</v>
      </c>
      <c r="I2670" s="19">
        <f>IFERROR(__xludf.DUMMYFUNCTION("IFERROR(TO_DATE(H2670), """")"),42564.26987268519)</f>
        <v>42564.26987</v>
      </c>
      <c r="J2670" s="19" t="s">
        <v>11</v>
      </c>
      <c r="K2670" s="22">
        <f t="shared" si="2"/>
        <v>0</v>
      </c>
    </row>
    <row r="2671">
      <c r="A2671" s="18">
        <v>3283.0</v>
      </c>
      <c r="B2671" s="18" t="s">
        <v>32</v>
      </c>
      <c r="C2671" s="18">
        <v>281.0</v>
      </c>
      <c r="D2671" s="18" t="s">
        <v>31</v>
      </c>
      <c r="E2671" s="27">
        <v>42564.45239583333</v>
      </c>
      <c r="F2671" s="19">
        <f>IFERROR(__xludf.DUMMYFUNCTION("IFERROR(TO_DATE(E2671), """")"),42564.45239583333)</f>
        <v>42564.4524</v>
      </c>
      <c r="G2671" s="20">
        <f t="shared" si="1"/>
        <v>10</v>
      </c>
      <c r="H2671" s="27">
        <v>42564.48349537037</v>
      </c>
      <c r="I2671" s="19">
        <f>IFERROR(__xludf.DUMMYFUNCTION("IFERROR(TO_DATE(H2671), """")"),42564.48349537037)</f>
        <v>42564.4835</v>
      </c>
      <c r="J2671" s="19" t="s">
        <v>14</v>
      </c>
      <c r="K2671" s="22">
        <f t="shared" si="2"/>
        <v>0</v>
      </c>
    </row>
    <row r="2672">
      <c r="A2672" s="18">
        <v>4341.0</v>
      </c>
      <c r="B2672" s="18" t="s">
        <v>32</v>
      </c>
      <c r="C2672" s="18">
        <v>281.0</v>
      </c>
      <c r="D2672" s="18" t="s">
        <v>31</v>
      </c>
      <c r="E2672" s="27">
        <v>42565.30150462963</v>
      </c>
      <c r="F2672" s="19">
        <f>IFERROR(__xludf.DUMMYFUNCTION("IFERROR(TO_DATE(E2672), """")"),42565.30150462963)</f>
        <v>42565.3015</v>
      </c>
      <c r="G2672" s="20">
        <f t="shared" si="1"/>
        <v>7</v>
      </c>
      <c r="H2672" s="27">
        <v>42565.35142361111</v>
      </c>
      <c r="I2672" s="19">
        <f>IFERROR(__xludf.DUMMYFUNCTION("IFERROR(TO_DATE(H2672), """")"),42565.35142361111)</f>
        <v>42565.35142</v>
      </c>
      <c r="J2672" s="19" t="s">
        <v>11</v>
      </c>
      <c r="K2672" s="22">
        <f t="shared" si="2"/>
        <v>0</v>
      </c>
    </row>
    <row r="2673">
      <c r="A2673" s="18">
        <v>5025.0</v>
      </c>
      <c r="B2673" s="18" t="s">
        <v>30</v>
      </c>
      <c r="C2673" s="18">
        <v>281.0</v>
      </c>
      <c r="D2673" s="18" t="s">
        <v>31</v>
      </c>
      <c r="E2673" s="27">
        <v>42565.795810185184</v>
      </c>
      <c r="F2673" s="19">
        <f>IFERROR(__xludf.DUMMYFUNCTION("IFERROR(TO_DATE(E2673), """")"),42565.795810185184)</f>
        <v>42565.79581</v>
      </c>
      <c r="G2673" s="20">
        <f t="shared" si="1"/>
        <v>19</v>
      </c>
      <c r="H2673" s="27">
        <v>42565.83888888889</v>
      </c>
      <c r="I2673" s="19">
        <f>IFERROR(__xludf.DUMMYFUNCTION("IFERROR(TO_DATE(H2673), """")"),42565.83888888889)</f>
        <v>42565.83889</v>
      </c>
      <c r="J2673" s="19" t="s">
        <v>12</v>
      </c>
      <c r="K2673" s="22">
        <f t="shared" si="2"/>
        <v>0</v>
      </c>
    </row>
    <row r="2674">
      <c r="A2674" s="18">
        <v>5437.0</v>
      </c>
      <c r="B2674" s="18" t="s">
        <v>30</v>
      </c>
      <c r="C2674" s="18">
        <v>281.0</v>
      </c>
      <c r="D2674" s="18" t="s">
        <v>31</v>
      </c>
      <c r="E2674" s="27">
        <v>42566.12488425926</v>
      </c>
      <c r="F2674" s="19">
        <f>IFERROR(__xludf.DUMMYFUNCTION("IFERROR(TO_DATE(E2674), """")"),42566.12488425926)</f>
        <v>42566.12488</v>
      </c>
      <c r="G2674" s="20">
        <f t="shared" si="1"/>
        <v>2</v>
      </c>
      <c r="H2674" s="27">
        <v>42566.164976851855</v>
      </c>
      <c r="I2674" s="19">
        <f>IFERROR(__xludf.DUMMYFUNCTION("IFERROR(TO_DATE(H2674), """")"),42566.164976851855)</f>
        <v>42566.16498</v>
      </c>
      <c r="J2674" s="19" t="s">
        <v>15</v>
      </c>
      <c r="K2674" s="22">
        <f t="shared" si="2"/>
        <v>0</v>
      </c>
    </row>
    <row r="2675">
      <c r="A2675" s="18">
        <v>5652.0</v>
      </c>
      <c r="B2675" s="18" t="s">
        <v>32</v>
      </c>
      <c r="C2675" s="18">
        <v>281.0</v>
      </c>
      <c r="D2675" s="18" t="s">
        <v>31</v>
      </c>
      <c r="E2675" s="27">
        <v>42566.28896990741</v>
      </c>
      <c r="F2675" s="19">
        <f>IFERROR(__xludf.DUMMYFUNCTION("IFERROR(TO_DATE(E2675), """")"),42566.28896990741)</f>
        <v>42566.28897</v>
      </c>
      <c r="G2675" s="20">
        <f t="shared" si="1"/>
        <v>6</v>
      </c>
      <c r="H2675" s="27">
        <v>42566.33868055556</v>
      </c>
      <c r="I2675" s="19">
        <f>IFERROR(__xludf.DUMMYFUNCTION("IFERROR(TO_DATE(H2675), """")"),42566.33868055556)</f>
        <v>42566.33868</v>
      </c>
      <c r="J2675" s="19" t="s">
        <v>11</v>
      </c>
      <c r="K2675" s="22">
        <f t="shared" si="2"/>
        <v>0</v>
      </c>
    </row>
    <row r="2676">
      <c r="A2676" s="18">
        <v>672.0</v>
      </c>
      <c r="B2676" s="18" t="s">
        <v>30</v>
      </c>
      <c r="C2676" s="18">
        <v>282.0</v>
      </c>
      <c r="D2676" s="18" t="s">
        <v>31</v>
      </c>
      <c r="E2676" s="26">
        <v>42562.555555555555</v>
      </c>
      <c r="F2676" s="19">
        <f>IFERROR(__xludf.DUMMYFUNCTION("IFERROR(TO_DATE(E2676), """")"),42562.555555555555)</f>
        <v>42562.55556</v>
      </c>
      <c r="G2676" s="20">
        <f t="shared" si="1"/>
        <v>13</v>
      </c>
      <c r="H2676" s="26">
        <v>42562.59861111111</v>
      </c>
      <c r="I2676" s="19">
        <f>IFERROR(__xludf.DUMMYFUNCTION("IFERROR(TO_DATE(H2676), """")"),42562.59861111111)</f>
        <v>42562.59861</v>
      </c>
      <c r="J2676" s="19" t="s">
        <v>10</v>
      </c>
      <c r="K2676" s="22">
        <f t="shared" si="2"/>
        <v>0</v>
      </c>
    </row>
    <row r="2677">
      <c r="A2677" s="18">
        <v>1578.0</v>
      </c>
      <c r="B2677" s="18" t="s">
        <v>30</v>
      </c>
      <c r="C2677" s="18">
        <v>282.0</v>
      </c>
      <c r="D2677" s="18" t="s">
        <v>31</v>
      </c>
      <c r="E2677" s="26">
        <v>42563.26736111111</v>
      </c>
      <c r="F2677" s="19">
        <f>IFERROR(__xludf.DUMMYFUNCTION("IFERROR(TO_DATE(E2677), """")"),42563.26736111111)</f>
        <v>42563.26736</v>
      </c>
      <c r="G2677" s="20">
        <f t="shared" si="1"/>
        <v>6</v>
      </c>
      <c r="H2677" s="26">
        <v>42563.32083333333</v>
      </c>
      <c r="I2677" s="19">
        <f>IFERROR(__xludf.DUMMYFUNCTION("IFERROR(TO_DATE(H2677), """")"),42563.32083333333)</f>
        <v>42563.32083</v>
      </c>
      <c r="J2677" s="19" t="s">
        <v>11</v>
      </c>
      <c r="K2677" s="22">
        <f t="shared" si="2"/>
        <v>0</v>
      </c>
    </row>
    <row r="2678">
      <c r="A2678" s="18">
        <v>4506.0</v>
      </c>
      <c r="B2678" s="18" t="s">
        <v>32</v>
      </c>
      <c r="C2678" s="18">
        <v>282.0</v>
      </c>
      <c r="D2678" s="18" t="s">
        <v>31</v>
      </c>
      <c r="E2678" s="27">
        <v>42565.381736111114</v>
      </c>
      <c r="F2678" s="19">
        <f>IFERROR(__xludf.DUMMYFUNCTION("IFERROR(TO_DATE(E2678), """")"),42565.381736111114)</f>
        <v>42565.38174</v>
      </c>
      <c r="G2678" s="20">
        <f t="shared" si="1"/>
        <v>9</v>
      </c>
      <c r="H2678" s="27">
        <v>42565.422418981485</v>
      </c>
      <c r="I2678" s="19">
        <f>IFERROR(__xludf.DUMMYFUNCTION("IFERROR(TO_DATE(H2678), """")"),42565.422418981485)</f>
        <v>42565.42242</v>
      </c>
      <c r="J2678" s="19" t="s">
        <v>14</v>
      </c>
      <c r="K2678" s="22">
        <f t="shared" si="2"/>
        <v>0</v>
      </c>
    </row>
    <row r="2679">
      <c r="A2679" s="18">
        <v>4762.0</v>
      </c>
      <c r="B2679" s="18" t="s">
        <v>32</v>
      </c>
      <c r="C2679" s="18">
        <v>282.0</v>
      </c>
      <c r="D2679" s="18" t="s">
        <v>31</v>
      </c>
      <c r="E2679" s="27">
        <v>42565.64041666667</v>
      </c>
      <c r="F2679" s="19">
        <f>IFERROR(__xludf.DUMMYFUNCTION("IFERROR(TO_DATE(E2679), """")"),42565.64041666667)</f>
        <v>42565.64042</v>
      </c>
      <c r="G2679" s="20">
        <f t="shared" si="1"/>
        <v>15</v>
      </c>
      <c r="H2679" s="27">
        <v>42565.68017361111</v>
      </c>
      <c r="I2679" s="19">
        <f>IFERROR(__xludf.DUMMYFUNCTION("IFERROR(TO_DATE(H2679), """")"),42565.68017361111)</f>
        <v>42565.68017</v>
      </c>
      <c r="J2679" s="19" t="s">
        <v>10</v>
      </c>
      <c r="K2679" s="22">
        <f t="shared" si="2"/>
        <v>0</v>
      </c>
    </row>
    <row r="2680">
      <c r="A2680" s="18">
        <v>6081.0</v>
      </c>
      <c r="B2680" s="18" t="s">
        <v>32</v>
      </c>
      <c r="C2680" s="18">
        <v>282.0</v>
      </c>
      <c r="D2680" s="18" t="s">
        <v>31</v>
      </c>
      <c r="E2680" s="27">
        <v>42566.59916666667</v>
      </c>
      <c r="F2680" s="19">
        <f>IFERROR(__xludf.DUMMYFUNCTION("IFERROR(TO_DATE(E2680), """")"),42566.59916666667)</f>
        <v>42566.59917</v>
      </c>
      <c r="G2680" s="20">
        <f t="shared" si="1"/>
        <v>14</v>
      </c>
      <c r="H2680" s="27">
        <v>42566.633564814816</v>
      </c>
      <c r="I2680" s="19">
        <f>IFERROR(__xludf.DUMMYFUNCTION("IFERROR(TO_DATE(H2680), """")"),42566.633564814816)</f>
        <v>42566.63356</v>
      </c>
      <c r="J2680" s="19" t="s">
        <v>10</v>
      </c>
      <c r="K2680" s="22">
        <f t="shared" si="2"/>
        <v>0</v>
      </c>
    </row>
    <row r="2681">
      <c r="A2681" s="18">
        <v>6503.0</v>
      </c>
      <c r="B2681" s="18" t="s">
        <v>32</v>
      </c>
      <c r="C2681" s="18">
        <v>282.0</v>
      </c>
      <c r="D2681" s="18" t="s">
        <v>31</v>
      </c>
      <c r="E2681" s="27">
        <v>42566.85456018519</v>
      </c>
      <c r="F2681" s="19">
        <f>IFERROR(__xludf.DUMMYFUNCTION("IFERROR(TO_DATE(E2681), """")"),42566.85456018519)</f>
        <v>42566.85456</v>
      </c>
      <c r="G2681" s="20">
        <f t="shared" si="1"/>
        <v>20</v>
      </c>
      <c r="H2681" s="27">
        <v>42566.89065972222</v>
      </c>
      <c r="I2681" s="19">
        <f>IFERROR(__xludf.DUMMYFUNCTION("IFERROR(TO_DATE(H2681), """")"),42566.89065972222)</f>
        <v>42566.89066</v>
      </c>
      <c r="J2681" s="19" t="s">
        <v>13</v>
      </c>
      <c r="K2681" s="22">
        <f t="shared" si="2"/>
        <v>0</v>
      </c>
    </row>
    <row r="2682">
      <c r="A2682" s="18">
        <v>649.0</v>
      </c>
      <c r="B2682" s="18" t="s">
        <v>32</v>
      </c>
      <c r="C2682" s="18">
        <v>283.0</v>
      </c>
      <c r="D2682" s="18" t="s">
        <v>31</v>
      </c>
      <c r="E2682" s="26">
        <v>42562.52916666667</v>
      </c>
      <c r="F2682" s="19">
        <f>IFERROR(__xludf.DUMMYFUNCTION("IFERROR(TO_DATE(E2682), """")"),42562.52916666667)</f>
        <v>42562.52917</v>
      </c>
      <c r="G2682" s="20">
        <f t="shared" si="1"/>
        <v>12</v>
      </c>
      <c r="H2682" s="26">
        <v>42562.552777777775</v>
      </c>
      <c r="I2682" s="19">
        <f>IFERROR(__xludf.DUMMYFUNCTION("IFERROR(TO_DATE(H2682), """")"),42562.552777777775)</f>
        <v>42562.55278</v>
      </c>
      <c r="J2682" s="19" t="s">
        <v>10</v>
      </c>
      <c r="K2682" s="22">
        <f t="shared" si="2"/>
        <v>0</v>
      </c>
    </row>
    <row r="2683">
      <c r="A2683" s="18">
        <v>1040.0</v>
      </c>
      <c r="B2683" s="18" t="s">
        <v>32</v>
      </c>
      <c r="C2683" s="18">
        <v>283.0</v>
      </c>
      <c r="D2683" s="18" t="s">
        <v>31</v>
      </c>
      <c r="E2683" s="26">
        <v>42562.81458333333</v>
      </c>
      <c r="F2683" s="19">
        <f>IFERROR(__xludf.DUMMYFUNCTION("IFERROR(TO_DATE(E2683), """")"),42562.81458333333)</f>
        <v>42562.81458</v>
      </c>
      <c r="G2683" s="20">
        <f t="shared" si="1"/>
        <v>19</v>
      </c>
      <c r="H2683" s="26">
        <v>42562.84375</v>
      </c>
      <c r="I2683" s="19">
        <f>IFERROR(__xludf.DUMMYFUNCTION("IFERROR(TO_DATE(H2683), """")"),42562.84375)</f>
        <v>42562.84375</v>
      </c>
      <c r="J2683" s="19" t="s">
        <v>12</v>
      </c>
      <c r="K2683" s="22">
        <f t="shared" si="2"/>
        <v>0</v>
      </c>
    </row>
    <row r="2684">
      <c r="A2684" s="18">
        <v>1461.0</v>
      </c>
      <c r="B2684" s="18" t="s">
        <v>30</v>
      </c>
      <c r="C2684" s="18">
        <v>283.0</v>
      </c>
      <c r="D2684" s="18" t="s">
        <v>31</v>
      </c>
      <c r="E2684" s="26">
        <v>42563.20694444444</v>
      </c>
      <c r="F2684" s="19">
        <f>IFERROR(__xludf.DUMMYFUNCTION("IFERROR(TO_DATE(E2684), """")"),42563.20694444444)</f>
        <v>42563.20694</v>
      </c>
      <c r="G2684" s="20">
        <f t="shared" si="1"/>
        <v>4</v>
      </c>
      <c r="H2684" s="26">
        <v>42563.256944444445</v>
      </c>
      <c r="I2684" s="19">
        <f>IFERROR(__xludf.DUMMYFUNCTION("IFERROR(TO_DATE(H2684), """")"),42563.256944444445)</f>
        <v>42563.25694</v>
      </c>
      <c r="J2684" s="19" t="s">
        <v>11</v>
      </c>
      <c r="K2684" s="22">
        <f t="shared" si="2"/>
        <v>0</v>
      </c>
    </row>
    <row r="2685">
      <c r="A2685" s="18">
        <v>2497.0</v>
      </c>
      <c r="B2685" s="18" t="s">
        <v>32</v>
      </c>
      <c r="C2685" s="18">
        <v>283.0</v>
      </c>
      <c r="D2685" s="18" t="s">
        <v>31</v>
      </c>
      <c r="E2685" s="26">
        <v>42563.87291666667</v>
      </c>
      <c r="F2685" s="19">
        <f>IFERROR(__xludf.DUMMYFUNCTION("IFERROR(TO_DATE(E2685), """")"),42563.87291666667)</f>
        <v>42563.87292</v>
      </c>
      <c r="G2685" s="20">
        <f t="shared" si="1"/>
        <v>20</v>
      </c>
      <c r="H2685" s="26">
        <v>42563.90416666667</v>
      </c>
      <c r="I2685" s="19">
        <f>IFERROR(__xludf.DUMMYFUNCTION("IFERROR(TO_DATE(H2685), """")"),42563.90416666667)</f>
        <v>42563.90417</v>
      </c>
      <c r="J2685" s="19" t="s">
        <v>13</v>
      </c>
      <c r="K2685" s="22">
        <f t="shared" si="2"/>
        <v>0</v>
      </c>
    </row>
    <row r="2686">
      <c r="A2686" s="18">
        <v>2758.0</v>
      </c>
      <c r="B2686" s="18" t="s">
        <v>32</v>
      </c>
      <c r="C2686" s="18">
        <v>283.0</v>
      </c>
      <c r="D2686" s="18" t="s">
        <v>31</v>
      </c>
      <c r="E2686" s="27">
        <v>42564.15857638889</v>
      </c>
      <c r="F2686" s="19">
        <f>IFERROR(__xludf.DUMMYFUNCTION("IFERROR(TO_DATE(E2686), """")"),42564.15857638889)</f>
        <v>42564.15858</v>
      </c>
      <c r="G2686" s="20">
        <f t="shared" si="1"/>
        <v>3</v>
      </c>
      <c r="H2686" s="27">
        <v>42564.181863425925</v>
      </c>
      <c r="I2686" s="19">
        <f>IFERROR(__xludf.DUMMYFUNCTION("IFERROR(TO_DATE(H2686), """")"),42564.181863425925)</f>
        <v>42564.18186</v>
      </c>
      <c r="J2686" s="19" t="s">
        <v>15</v>
      </c>
      <c r="K2686" s="22">
        <f t="shared" si="2"/>
        <v>0</v>
      </c>
    </row>
    <row r="2687">
      <c r="A2687" s="18">
        <v>2991.0</v>
      </c>
      <c r="B2687" s="18" t="s">
        <v>30</v>
      </c>
      <c r="C2687" s="18">
        <v>283.0</v>
      </c>
      <c r="D2687" s="18" t="s">
        <v>31</v>
      </c>
      <c r="E2687" s="27">
        <v>42564.29686342592</v>
      </c>
      <c r="F2687" s="19">
        <f>IFERROR(__xludf.DUMMYFUNCTION("IFERROR(TO_DATE(E2687), """")"),42564.29686342592)</f>
        <v>42564.29686</v>
      </c>
      <c r="G2687" s="20">
        <f t="shared" si="1"/>
        <v>7</v>
      </c>
      <c r="H2687" s="27">
        <v>42564.33844907407</v>
      </c>
      <c r="I2687" s="19">
        <f>IFERROR(__xludf.DUMMYFUNCTION("IFERROR(TO_DATE(H2687), """")"),42564.33844907407)</f>
        <v>42564.33845</v>
      </c>
      <c r="J2687" s="19" t="s">
        <v>11</v>
      </c>
      <c r="K2687" s="22">
        <f t="shared" si="2"/>
        <v>0</v>
      </c>
    </row>
    <row r="2688">
      <c r="A2688" s="18">
        <v>3458.0</v>
      </c>
      <c r="B2688" s="18" t="s">
        <v>32</v>
      </c>
      <c r="C2688" s="18">
        <v>283.0</v>
      </c>
      <c r="D2688" s="18" t="s">
        <v>31</v>
      </c>
      <c r="E2688" s="27">
        <v>42564.71144675926</v>
      </c>
      <c r="F2688" s="19">
        <f>IFERROR(__xludf.DUMMYFUNCTION("IFERROR(TO_DATE(E2688), """")"),42564.71144675926)</f>
        <v>42564.71145</v>
      </c>
      <c r="G2688" s="20">
        <f t="shared" si="1"/>
        <v>17</v>
      </c>
      <c r="H2688" s="27">
        <v>42564.75202546296</v>
      </c>
      <c r="I2688" s="19">
        <f>IFERROR(__xludf.DUMMYFUNCTION("IFERROR(TO_DATE(H2688), """")"),42564.75202546296)</f>
        <v>42564.75203</v>
      </c>
      <c r="J2688" s="19" t="s">
        <v>12</v>
      </c>
      <c r="K2688" s="22">
        <f t="shared" si="2"/>
        <v>0</v>
      </c>
    </row>
    <row r="2689">
      <c r="A2689" s="18">
        <v>3830.0</v>
      </c>
      <c r="B2689" s="18" t="s">
        <v>30</v>
      </c>
      <c r="C2689" s="18">
        <v>283.0</v>
      </c>
      <c r="D2689" s="18" t="s">
        <v>31</v>
      </c>
      <c r="E2689" s="27">
        <v>42564.88502314815</v>
      </c>
      <c r="F2689" s="19">
        <f>IFERROR(__xludf.DUMMYFUNCTION("IFERROR(TO_DATE(E2689), """")"),42564.88502314815)</f>
        <v>42564.88502</v>
      </c>
      <c r="G2689" s="20">
        <f t="shared" si="1"/>
        <v>21</v>
      </c>
      <c r="H2689" s="27">
        <v>42564.918171296296</v>
      </c>
      <c r="I2689" s="19">
        <f>IFERROR(__xludf.DUMMYFUNCTION("IFERROR(TO_DATE(H2689), """")"),42564.918171296296)</f>
        <v>42564.91817</v>
      </c>
      <c r="J2689" s="19" t="s">
        <v>13</v>
      </c>
      <c r="K2689" s="22">
        <f t="shared" si="2"/>
        <v>0</v>
      </c>
    </row>
    <row r="2690">
      <c r="A2690" s="18">
        <v>6685.0</v>
      </c>
      <c r="B2690" s="18" t="s">
        <v>30</v>
      </c>
      <c r="C2690" s="18">
        <v>283.0</v>
      </c>
      <c r="D2690" s="18" t="s">
        <v>31</v>
      </c>
      <c r="E2690" s="27">
        <v>42566.94091435185</v>
      </c>
      <c r="F2690" s="19">
        <f>IFERROR(__xludf.DUMMYFUNCTION("IFERROR(TO_DATE(E2690), """")"),42566.94091435185)</f>
        <v>42566.94091</v>
      </c>
      <c r="G2690" s="20">
        <f t="shared" si="1"/>
        <v>22</v>
      </c>
      <c r="H2690" s="27">
        <v>42566.977685185186</v>
      </c>
      <c r="I2690" s="19">
        <f>IFERROR(__xludf.DUMMYFUNCTION("IFERROR(TO_DATE(H2690), """")"),42566.977685185186)</f>
        <v>42566.97769</v>
      </c>
      <c r="J2690" s="19" t="s">
        <v>13</v>
      </c>
      <c r="K2690" s="22">
        <f t="shared" si="2"/>
        <v>0</v>
      </c>
    </row>
    <row r="2691">
      <c r="A2691" s="18">
        <v>420.0</v>
      </c>
      <c r="B2691" s="18" t="s">
        <v>32</v>
      </c>
      <c r="C2691" s="18">
        <v>284.0</v>
      </c>
      <c r="D2691" s="18" t="s">
        <v>31</v>
      </c>
      <c r="E2691" s="26">
        <v>42562.35902777778</v>
      </c>
      <c r="F2691" s="19">
        <f>IFERROR(__xludf.DUMMYFUNCTION("IFERROR(TO_DATE(E2691), """")"),42562.35902777778)</f>
        <v>42562.35903</v>
      </c>
      <c r="G2691" s="20">
        <f t="shared" si="1"/>
        <v>8</v>
      </c>
      <c r="H2691" s="26">
        <v>42562.39375</v>
      </c>
      <c r="I2691" s="19">
        <f>IFERROR(__xludf.DUMMYFUNCTION("IFERROR(TO_DATE(H2691), """")"),42562.39375)</f>
        <v>42562.39375</v>
      </c>
      <c r="J2691" s="19" t="s">
        <v>14</v>
      </c>
      <c r="K2691" s="22">
        <f t="shared" si="2"/>
        <v>0</v>
      </c>
    </row>
    <row r="2692">
      <c r="A2692" s="18">
        <v>662.0</v>
      </c>
      <c r="B2692" s="18" t="s">
        <v>32</v>
      </c>
      <c r="C2692" s="18">
        <v>284.0</v>
      </c>
      <c r="D2692" s="18" t="s">
        <v>31</v>
      </c>
      <c r="E2692" s="26">
        <v>42562.54027777778</v>
      </c>
      <c r="F2692" s="19">
        <f>IFERROR(__xludf.DUMMYFUNCTION("IFERROR(TO_DATE(E2692), """")"),42562.54027777778)</f>
        <v>42562.54028</v>
      </c>
      <c r="G2692" s="20">
        <f t="shared" si="1"/>
        <v>12</v>
      </c>
      <c r="H2692" s="26">
        <v>42562.58472222222</v>
      </c>
      <c r="I2692" s="19">
        <f>IFERROR(__xludf.DUMMYFUNCTION("IFERROR(TO_DATE(H2692), """")"),42562.58472222222)</f>
        <v>42562.58472</v>
      </c>
      <c r="J2692" s="19" t="s">
        <v>10</v>
      </c>
      <c r="K2692" s="22">
        <f t="shared" si="2"/>
        <v>0</v>
      </c>
    </row>
    <row r="2693">
      <c r="A2693" s="18">
        <v>791.0</v>
      </c>
      <c r="B2693" s="18" t="s">
        <v>30</v>
      </c>
      <c r="C2693" s="18">
        <v>284.0</v>
      </c>
      <c r="D2693" s="18" t="s">
        <v>31</v>
      </c>
      <c r="E2693" s="26">
        <v>42562.70486111111</v>
      </c>
      <c r="F2693" s="19">
        <f>IFERROR(__xludf.DUMMYFUNCTION("IFERROR(TO_DATE(E2693), """")"),42562.70486111111)</f>
        <v>42562.70486</v>
      </c>
      <c r="G2693" s="20">
        <f t="shared" si="1"/>
        <v>16</v>
      </c>
      <c r="H2693" s="26">
        <v>42562.73263888889</v>
      </c>
      <c r="I2693" s="19">
        <f>IFERROR(__xludf.DUMMYFUNCTION("IFERROR(TO_DATE(H2693), """")"),42562.73263888889)</f>
        <v>42562.73264</v>
      </c>
      <c r="J2693" s="19" t="s">
        <v>12</v>
      </c>
      <c r="K2693" s="22">
        <f t="shared" si="2"/>
        <v>0</v>
      </c>
    </row>
    <row r="2694">
      <c r="A2694" s="18">
        <v>1164.0</v>
      </c>
      <c r="B2694" s="18" t="s">
        <v>32</v>
      </c>
      <c r="C2694" s="18">
        <v>284.0</v>
      </c>
      <c r="D2694" s="18" t="s">
        <v>31</v>
      </c>
      <c r="E2694" s="26">
        <v>42562.868055555555</v>
      </c>
      <c r="F2694" s="19">
        <f>IFERROR(__xludf.DUMMYFUNCTION("IFERROR(TO_DATE(E2694), """")"),42562.868055555555)</f>
        <v>42562.86806</v>
      </c>
      <c r="G2694" s="20">
        <f t="shared" si="1"/>
        <v>20</v>
      </c>
      <c r="H2694" s="26">
        <v>42562.902083333334</v>
      </c>
      <c r="I2694" s="19">
        <f>IFERROR(__xludf.DUMMYFUNCTION("IFERROR(TO_DATE(H2694), """")"),42562.902083333334)</f>
        <v>42562.90208</v>
      </c>
      <c r="J2694" s="19" t="s">
        <v>13</v>
      </c>
      <c r="K2694" s="22">
        <f t="shared" si="2"/>
        <v>0</v>
      </c>
    </row>
    <row r="2695">
      <c r="A2695" s="18">
        <v>2939.0</v>
      </c>
      <c r="B2695" s="18" t="s">
        <v>32</v>
      </c>
      <c r="C2695" s="18">
        <v>284.0</v>
      </c>
      <c r="D2695" s="18" t="s">
        <v>31</v>
      </c>
      <c r="E2695" s="27">
        <v>42564.267534722225</v>
      </c>
      <c r="F2695" s="19">
        <f>IFERROR(__xludf.DUMMYFUNCTION("IFERROR(TO_DATE(E2695), """")"),42564.267534722225)</f>
        <v>42564.26753</v>
      </c>
      <c r="G2695" s="20">
        <f t="shared" si="1"/>
        <v>6</v>
      </c>
      <c r="H2695" s="27">
        <v>42564.29524305555</v>
      </c>
      <c r="I2695" s="19">
        <f>IFERROR(__xludf.DUMMYFUNCTION("IFERROR(TO_DATE(H2695), """")"),42564.29524305555)</f>
        <v>42564.29524</v>
      </c>
      <c r="J2695" s="19" t="s">
        <v>11</v>
      </c>
      <c r="K2695" s="22">
        <f t="shared" si="2"/>
        <v>0</v>
      </c>
    </row>
    <row r="2696">
      <c r="A2696" s="18">
        <v>3867.0</v>
      </c>
      <c r="B2696" s="18" t="s">
        <v>32</v>
      </c>
      <c r="C2696" s="18">
        <v>284.0</v>
      </c>
      <c r="D2696" s="18" t="s">
        <v>31</v>
      </c>
      <c r="E2696" s="27">
        <v>42564.90641203704</v>
      </c>
      <c r="F2696" s="19">
        <f>IFERROR(__xludf.DUMMYFUNCTION("IFERROR(TO_DATE(E2696), """")"),42564.90641203704)</f>
        <v>42564.90641</v>
      </c>
      <c r="G2696" s="20">
        <f t="shared" si="1"/>
        <v>21</v>
      </c>
      <c r="H2696" s="27">
        <v>42564.933796296296</v>
      </c>
      <c r="I2696" s="19">
        <f>IFERROR(__xludf.DUMMYFUNCTION("IFERROR(TO_DATE(H2696), """")"),42564.933796296296)</f>
        <v>42564.9338</v>
      </c>
      <c r="J2696" s="19" t="s">
        <v>13</v>
      </c>
      <c r="K2696" s="22">
        <f t="shared" si="2"/>
        <v>0</v>
      </c>
    </row>
    <row r="2697">
      <c r="A2697" s="18">
        <v>4290.0</v>
      </c>
      <c r="B2697" s="18" t="s">
        <v>32</v>
      </c>
      <c r="C2697" s="18">
        <v>284.0</v>
      </c>
      <c r="D2697" s="18" t="s">
        <v>31</v>
      </c>
      <c r="E2697" s="27">
        <v>42565.27501157407</v>
      </c>
      <c r="F2697" s="19">
        <f>IFERROR(__xludf.DUMMYFUNCTION("IFERROR(TO_DATE(E2697), """")"),42565.27501157407)</f>
        <v>42565.27501</v>
      </c>
      <c r="G2697" s="20">
        <f t="shared" si="1"/>
        <v>6</v>
      </c>
      <c r="H2697" s="27">
        <v>42565.316712962966</v>
      </c>
      <c r="I2697" s="19">
        <f>IFERROR(__xludf.DUMMYFUNCTION("IFERROR(TO_DATE(H2697), """")"),42565.316712962966)</f>
        <v>42565.31671</v>
      </c>
      <c r="J2697" s="19" t="s">
        <v>11</v>
      </c>
      <c r="K2697" s="22">
        <f t="shared" si="2"/>
        <v>0</v>
      </c>
    </row>
    <row r="2698">
      <c r="A2698" s="18">
        <v>4400.0</v>
      </c>
      <c r="B2698" s="18" t="s">
        <v>30</v>
      </c>
      <c r="C2698" s="18">
        <v>284.0</v>
      </c>
      <c r="D2698" s="18" t="s">
        <v>31</v>
      </c>
      <c r="E2698" s="27">
        <v>42565.334710648145</v>
      </c>
      <c r="F2698" s="19">
        <f>IFERROR(__xludf.DUMMYFUNCTION("IFERROR(TO_DATE(E2698), """")"),42565.334710648145)</f>
        <v>42565.33471</v>
      </c>
      <c r="G2698" s="20">
        <f t="shared" si="1"/>
        <v>8</v>
      </c>
      <c r="H2698" s="27">
        <v>42565.36403935185</v>
      </c>
      <c r="I2698" s="19">
        <f>IFERROR(__xludf.DUMMYFUNCTION("IFERROR(TO_DATE(H2698), """")"),42565.36403935185)</f>
        <v>42565.36404</v>
      </c>
      <c r="J2698" s="19" t="s">
        <v>14</v>
      </c>
      <c r="K2698" s="22">
        <f t="shared" si="2"/>
        <v>0</v>
      </c>
    </row>
    <row r="2699">
      <c r="A2699" s="18">
        <v>5100.0</v>
      </c>
      <c r="B2699" s="18" t="s">
        <v>30</v>
      </c>
      <c r="C2699" s="18">
        <v>284.0</v>
      </c>
      <c r="D2699" s="18" t="s">
        <v>31</v>
      </c>
      <c r="E2699" s="27">
        <v>42565.832037037035</v>
      </c>
      <c r="F2699" s="19">
        <f>IFERROR(__xludf.DUMMYFUNCTION("IFERROR(TO_DATE(E2699), """")"),42565.832037037035)</f>
        <v>42565.83204</v>
      </c>
      <c r="G2699" s="20">
        <f t="shared" si="1"/>
        <v>19</v>
      </c>
      <c r="H2699" s="27">
        <v>42565.863541666666</v>
      </c>
      <c r="I2699" s="19">
        <f>IFERROR(__xludf.DUMMYFUNCTION("IFERROR(TO_DATE(H2699), """")"),42565.863541666666)</f>
        <v>42565.86354</v>
      </c>
      <c r="J2699" s="19" t="s">
        <v>12</v>
      </c>
      <c r="K2699" s="22">
        <f t="shared" si="2"/>
        <v>0</v>
      </c>
    </row>
    <row r="2700">
      <c r="A2700" s="18">
        <v>5956.0</v>
      </c>
      <c r="B2700" s="18" t="s">
        <v>32</v>
      </c>
      <c r="C2700" s="18">
        <v>284.0</v>
      </c>
      <c r="D2700" s="18" t="s">
        <v>31</v>
      </c>
      <c r="E2700" s="27">
        <v>42566.44553240741</v>
      </c>
      <c r="F2700" s="19">
        <f>IFERROR(__xludf.DUMMYFUNCTION("IFERROR(TO_DATE(E2700), """")"),42566.44553240741)</f>
        <v>42566.44553</v>
      </c>
      <c r="G2700" s="20">
        <f t="shared" si="1"/>
        <v>10</v>
      </c>
      <c r="H2700" s="27">
        <v>42566.48893518518</v>
      </c>
      <c r="I2700" s="19">
        <f>IFERROR(__xludf.DUMMYFUNCTION("IFERROR(TO_DATE(H2700), """")"),42566.48893518518)</f>
        <v>42566.48894</v>
      </c>
      <c r="J2700" s="19" t="s">
        <v>14</v>
      </c>
      <c r="K2700" s="22">
        <f t="shared" si="2"/>
        <v>0</v>
      </c>
    </row>
    <row r="2701">
      <c r="A2701" s="18">
        <v>6701.0</v>
      </c>
      <c r="B2701" s="18" t="s">
        <v>32</v>
      </c>
      <c r="C2701" s="18">
        <v>284.0</v>
      </c>
      <c r="D2701" s="18" t="s">
        <v>31</v>
      </c>
      <c r="E2701" s="27">
        <v>42566.95494212963</v>
      </c>
      <c r="F2701" s="19">
        <f>IFERROR(__xludf.DUMMYFUNCTION("IFERROR(TO_DATE(E2701), """")"),42566.95494212963)</f>
        <v>42566.95494</v>
      </c>
      <c r="G2701" s="20">
        <f t="shared" si="1"/>
        <v>22</v>
      </c>
      <c r="H2701" s="27">
        <v>42566.98443287037</v>
      </c>
      <c r="I2701" s="19">
        <f>IFERROR(__xludf.DUMMYFUNCTION("IFERROR(TO_DATE(H2701), """")"),42566.98443287037)</f>
        <v>42566.98443</v>
      </c>
      <c r="J2701" s="19" t="s">
        <v>13</v>
      </c>
      <c r="K2701" s="22">
        <f t="shared" si="2"/>
        <v>0</v>
      </c>
    </row>
    <row r="2702">
      <c r="A2702" s="18">
        <v>1.0</v>
      </c>
      <c r="B2702" s="18" t="s">
        <v>30</v>
      </c>
      <c r="C2702" s="18">
        <v>285.0</v>
      </c>
      <c r="D2702" s="18" t="s">
        <v>31</v>
      </c>
      <c r="E2702" s="26">
        <v>42562.01388888889</v>
      </c>
      <c r="F2702" s="19">
        <f>IFERROR(__xludf.DUMMYFUNCTION("IFERROR(TO_DATE(E2702), """")"),42562.01388888889)</f>
        <v>42562.01389</v>
      </c>
      <c r="G2702" s="20">
        <f t="shared" si="1"/>
        <v>0</v>
      </c>
      <c r="H2702" s="26">
        <v>42562.035416666666</v>
      </c>
      <c r="I2702" s="19">
        <f>IFERROR(__xludf.DUMMYFUNCTION("IFERROR(TO_DATE(H2702), """")"),42562.035416666666)</f>
        <v>42562.03542</v>
      </c>
      <c r="J2702" s="19" t="s">
        <v>15</v>
      </c>
      <c r="K2702" s="22">
        <f t="shared" si="2"/>
        <v>0</v>
      </c>
    </row>
    <row r="2703">
      <c r="A2703" s="18">
        <v>1923.0</v>
      </c>
      <c r="B2703" s="18" t="s">
        <v>32</v>
      </c>
      <c r="C2703" s="18">
        <v>285.0</v>
      </c>
      <c r="D2703" s="18" t="s">
        <v>31</v>
      </c>
      <c r="E2703" s="26">
        <v>42563.458333333336</v>
      </c>
      <c r="F2703" s="19">
        <f>IFERROR(__xludf.DUMMYFUNCTION("IFERROR(TO_DATE(E2703), """")"),42563.458333333336)</f>
        <v>42563.45833</v>
      </c>
      <c r="G2703" s="20">
        <f t="shared" si="1"/>
        <v>11</v>
      </c>
      <c r="H2703" s="26">
        <v>42563.5</v>
      </c>
      <c r="I2703" s="19">
        <f>IFERROR(__xludf.DUMMYFUNCTION("IFERROR(TO_DATE(H2703), """")"),42563.5)</f>
        <v>42563.5</v>
      </c>
      <c r="J2703" s="19" t="s">
        <v>14</v>
      </c>
      <c r="K2703" s="22">
        <f t="shared" si="2"/>
        <v>0</v>
      </c>
    </row>
    <row r="2704">
      <c r="A2704" s="18">
        <v>3804.0</v>
      </c>
      <c r="B2704" s="18" t="s">
        <v>30</v>
      </c>
      <c r="C2704" s="18">
        <v>285.0</v>
      </c>
      <c r="D2704" s="18" t="s">
        <v>31</v>
      </c>
      <c r="E2704" s="27">
        <v>42564.875625</v>
      </c>
      <c r="F2704" s="19">
        <f>IFERROR(__xludf.DUMMYFUNCTION("IFERROR(TO_DATE(E2704), """")"),42564.875625)</f>
        <v>42564.87563</v>
      </c>
      <c r="G2704" s="20">
        <f t="shared" si="1"/>
        <v>21</v>
      </c>
      <c r="H2704" s="27">
        <v>42564.90121527778</v>
      </c>
      <c r="I2704" s="19">
        <f>IFERROR(__xludf.DUMMYFUNCTION("IFERROR(TO_DATE(H2704), """")"),42564.90121527778)</f>
        <v>42564.90122</v>
      </c>
      <c r="J2704" s="19" t="s">
        <v>13</v>
      </c>
      <c r="K2704" s="22">
        <f t="shared" si="2"/>
        <v>0</v>
      </c>
    </row>
    <row r="2705">
      <c r="A2705" s="18">
        <v>4876.0</v>
      </c>
      <c r="B2705" s="18" t="s">
        <v>30</v>
      </c>
      <c r="C2705" s="18">
        <v>285.0</v>
      </c>
      <c r="D2705" s="18" t="s">
        <v>31</v>
      </c>
      <c r="E2705" s="27">
        <v>42565.74040509259</v>
      </c>
      <c r="F2705" s="19">
        <f>IFERROR(__xludf.DUMMYFUNCTION("IFERROR(TO_DATE(E2705), """")"),42565.74040509259)</f>
        <v>42565.74041</v>
      </c>
      <c r="G2705" s="20">
        <f t="shared" si="1"/>
        <v>17</v>
      </c>
      <c r="H2705" s="27">
        <v>42565.766168981485</v>
      </c>
      <c r="I2705" s="19">
        <f>IFERROR(__xludf.DUMMYFUNCTION("IFERROR(TO_DATE(H2705), """")"),42565.766168981485)</f>
        <v>42565.76617</v>
      </c>
      <c r="J2705" s="19" t="s">
        <v>12</v>
      </c>
      <c r="K2705" s="22">
        <f t="shared" si="2"/>
        <v>0</v>
      </c>
    </row>
    <row r="2706">
      <c r="A2706" s="18">
        <v>5428.0</v>
      </c>
      <c r="B2706" s="18" t="s">
        <v>30</v>
      </c>
      <c r="C2706" s="18">
        <v>285.0</v>
      </c>
      <c r="D2706" s="18" t="s">
        <v>31</v>
      </c>
      <c r="E2706" s="27">
        <v>42566.103171296294</v>
      </c>
      <c r="F2706" s="19">
        <f>IFERROR(__xludf.DUMMYFUNCTION("IFERROR(TO_DATE(E2706), """")"),42566.103171296294)</f>
        <v>42566.10317</v>
      </c>
      <c r="G2706" s="20">
        <f t="shared" si="1"/>
        <v>2</v>
      </c>
      <c r="H2706" s="27">
        <v>42566.128171296295</v>
      </c>
      <c r="I2706" s="19">
        <f>IFERROR(__xludf.DUMMYFUNCTION("IFERROR(TO_DATE(H2706), """")"),42566.128171296295)</f>
        <v>42566.12817</v>
      </c>
      <c r="J2706" s="19" t="s">
        <v>15</v>
      </c>
      <c r="K2706" s="22">
        <f t="shared" si="2"/>
        <v>0</v>
      </c>
    </row>
    <row r="2707">
      <c r="A2707" s="18">
        <v>6452.0</v>
      </c>
      <c r="B2707" s="18" t="s">
        <v>32</v>
      </c>
      <c r="C2707" s="18">
        <v>285.0</v>
      </c>
      <c r="D2707" s="18" t="s">
        <v>31</v>
      </c>
      <c r="E2707" s="27">
        <v>42566.83857638889</v>
      </c>
      <c r="F2707" s="19">
        <f>IFERROR(__xludf.DUMMYFUNCTION("IFERROR(TO_DATE(E2707), """")"),42566.83857638889)</f>
        <v>42566.83858</v>
      </c>
      <c r="G2707" s="20">
        <f t="shared" si="1"/>
        <v>20</v>
      </c>
      <c r="H2707" s="27">
        <v>42566.86672453704</v>
      </c>
      <c r="I2707" s="19">
        <f>IFERROR(__xludf.DUMMYFUNCTION("IFERROR(TO_DATE(H2707), """")"),42566.86672453704)</f>
        <v>42566.86672</v>
      </c>
      <c r="J2707" s="19" t="s">
        <v>13</v>
      </c>
      <c r="K2707" s="22">
        <f t="shared" si="2"/>
        <v>0</v>
      </c>
    </row>
    <row r="2708">
      <c r="A2708" s="18">
        <v>6703.0</v>
      </c>
      <c r="B2708" s="18" t="s">
        <v>32</v>
      </c>
      <c r="C2708" s="18">
        <v>285.0</v>
      </c>
      <c r="D2708" s="18" t="s">
        <v>31</v>
      </c>
      <c r="E2708" s="27">
        <v>42566.95271990741</v>
      </c>
      <c r="F2708" s="19">
        <f>IFERROR(__xludf.DUMMYFUNCTION("IFERROR(TO_DATE(E2708), """")"),42566.95271990741)</f>
        <v>42566.95272</v>
      </c>
      <c r="G2708" s="20">
        <f t="shared" si="1"/>
        <v>22</v>
      </c>
      <c r="H2708" s="27">
        <v>42566.98443287037</v>
      </c>
      <c r="I2708" s="19">
        <f>IFERROR(__xludf.DUMMYFUNCTION("IFERROR(TO_DATE(H2708), """")"),42566.98443287037)</f>
        <v>42566.98443</v>
      </c>
      <c r="J2708" s="19" t="s">
        <v>13</v>
      </c>
      <c r="K2708" s="22">
        <f t="shared" si="2"/>
        <v>0</v>
      </c>
    </row>
    <row r="2709">
      <c r="A2709" s="18">
        <v>116.0</v>
      </c>
      <c r="B2709" s="18" t="s">
        <v>30</v>
      </c>
      <c r="C2709" s="18">
        <v>286.0</v>
      </c>
      <c r="D2709" s="18" t="s">
        <v>31</v>
      </c>
      <c r="E2709" s="26">
        <v>42562.21319444444</v>
      </c>
      <c r="F2709" s="19">
        <f>IFERROR(__xludf.DUMMYFUNCTION("IFERROR(TO_DATE(E2709), """")"),42562.21319444444)</f>
        <v>42562.21319</v>
      </c>
      <c r="G2709" s="20">
        <f t="shared" si="1"/>
        <v>5</v>
      </c>
      <c r="H2709" s="26">
        <v>42562.24513888889</v>
      </c>
      <c r="I2709" s="19">
        <f>IFERROR(__xludf.DUMMYFUNCTION("IFERROR(TO_DATE(H2709), """")"),42562.24513888889)</f>
        <v>42562.24514</v>
      </c>
      <c r="J2709" s="19" t="s">
        <v>11</v>
      </c>
      <c r="K2709" s="22">
        <f t="shared" si="2"/>
        <v>0</v>
      </c>
    </row>
    <row r="2710">
      <c r="A2710" s="18">
        <v>761.0</v>
      </c>
      <c r="B2710" s="18" t="s">
        <v>30</v>
      </c>
      <c r="C2710" s="18">
        <v>286.0</v>
      </c>
      <c r="D2710" s="18" t="s">
        <v>31</v>
      </c>
      <c r="E2710" s="26">
        <v>42562.674305555556</v>
      </c>
      <c r="F2710" s="19">
        <f>IFERROR(__xludf.DUMMYFUNCTION("IFERROR(TO_DATE(E2710), """")"),42562.674305555556)</f>
        <v>42562.67431</v>
      </c>
      <c r="G2710" s="20">
        <f t="shared" si="1"/>
        <v>16</v>
      </c>
      <c r="H2710" s="26">
        <v>42562.71666666667</v>
      </c>
      <c r="I2710" s="19">
        <f>IFERROR(__xludf.DUMMYFUNCTION("IFERROR(TO_DATE(H2710), """")"),42562.71666666667)</f>
        <v>42562.71667</v>
      </c>
      <c r="J2710" s="19" t="s">
        <v>12</v>
      </c>
      <c r="K2710" s="22">
        <f t="shared" si="2"/>
        <v>0</v>
      </c>
    </row>
    <row r="2711">
      <c r="A2711" s="18">
        <v>932.0</v>
      </c>
      <c r="B2711" s="18" t="s">
        <v>32</v>
      </c>
      <c r="C2711" s="18">
        <v>286.0</v>
      </c>
      <c r="D2711" s="18" t="s">
        <v>31</v>
      </c>
      <c r="E2711" s="26">
        <v>42562.76944444444</v>
      </c>
      <c r="F2711" s="19">
        <f>IFERROR(__xludf.DUMMYFUNCTION("IFERROR(TO_DATE(E2711), """")"),42562.76944444444)</f>
        <v>42562.76944</v>
      </c>
      <c r="G2711" s="20">
        <f t="shared" si="1"/>
        <v>18</v>
      </c>
      <c r="H2711" s="26">
        <v>42562.805555555555</v>
      </c>
      <c r="I2711" s="19">
        <f>IFERROR(__xludf.DUMMYFUNCTION("IFERROR(TO_DATE(H2711), """")"),42562.805555555555)</f>
        <v>42562.80556</v>
      </c>
      <c r="J2711" s="19" t="s">
        <v>12</v>
      </c>
      <c r="K2711" s="22">
        <f t="shared" si="2"/>
        <v>0</v>
      </c>
    </row>
    <row r="2712">
      <c r="A2712" s="18">
        <v>1217.0</v>
      </c>
      <c r="B2712" s="18" t="s">
        <v>32</v>
      </c>
      <c r="C2712" s="18">
        <v>286.0</v>
      </c>
      <c r="D2712" s="18" t="s">
        <v>31</v>
      </c>
      <c r="E2712" s="26">
        <v>42562.89097222222</v>
      </c>
      <c r="F2712" s="19">
        <f>IFERROR(__xludf.DUMMYFUNCTION("IFERROR(TO_DATE(E2712), """")"),42562.89097222222)</f>
        <v>42562.89097</v>
      </c>
      <c r="G2712" s="20">
        <f t="shared" si="1"/>
        <v>21</v>
      </c>
      <c r="H2712" s="26">
        <v>42562.94375</v>
      </c>
      <c r="I2712" s="19">
        <f>IFERROR(__xludf.DUMMYFUNCTION("IFERROR(TO_DATE(H2712), """")"),42562.94375)</f>
        <v>42562.94375</v>
      </c>
      <c r="J2712" s="19" t="s">
        <v>13</v>
      </c>
      <c r="K2712" s="22">
        <f t="shared" si="2"/>
        <v>0</v>
      </c>
    </row>
    <row r="2713">
      <c r="A2713" s="18">
        <v>1617.0</v>
      </c>
      <c r="B2713" s="18" t="s">
        <v>30</v>
      </c>
      <c r="C2713" s="18">
        <v>286.0</v>
      </c>
      <c r="D2713" s="18" t="s">
        <v>31</v>
      </c>
      <c r="E2713" s="26">
        <v>42563.28680555556</v>
      </c>
      <c r="F2713" s="19">
        <f>IFERROR(__xludf.DUMMYFUNCTION("IFERROR(TO_DATE(E2713), """")"),42563.28680555556)</f>
        <v>42563.28681</v>
      </c>
      <c r="G2713" s="20">
        <f t="shared" si="1"/>
        <v>6</v>
      </c>
      <c r="H2713" s="26">
        <v>42563.30763888889</v>
      </c>
      <c r="I2713" s="19">
        <f>IFERROR(__xludf.DUMMYFUNCTION("IFERROR(TO_DATE(H2713), """")"),42563.30763888889)</f>
        <v>42563.30764</v>
      </c>
      <c r="J2713" s="19" t="s">
        <v>11</v>
      </c>
      <c r="K2713" s="22">
        <f t="shared" si="2"/>
        <v>0</v>
      </c>
    </row>
    <row r="2714">
      <c r="A2714" s="18">
        <v>1849.0</v>
      </c>
      <c r="B2714" s="18" t="s">
        <v>30</v>
      </c>
      <c r="C2714" s="18">
        <v>286.0</v>
      </c>
      <c r="D2714" s="18" t="s">
        <v>31</v>
      </c>
      <c r="E2714" s="26">
        <v>42563.40416666667</v>
      </c>
      <c r="F2714" s="19">
        <f>IFERROR(__xludf.DUMMYFUNCTION("IFERROR(TO_DATE(E2714), """")"),42563.40416666667)</f>
        <v>42563.40417</v>
      </c>
      <c r="G2714" s="20">
        <f t="shared" si="1"/>
        <v>9</v>
      </c>
      <c r="H2714" s="26">
        <v>42563.436111111114</v>
      </c>
      <c r="I2714" s="19">
        <f>IFERROR(__xludf.DUMMYFUNCTION("IFERROR(TO_DATE(H2714), """")"),42563.436111111114)</f>
        <v>42563.43611</v>
      </c>
      <c r="J2714" s="19" t="s">
        <v>14</v>
      </c>
      <c r="K2714" s="22">
        <f t="shared" si="2"/>
        <v>0</v>
      </c>
    </row>
    <row r="2715">
      <c r="A2715" s="18">
        <v>2055.0</v>
      </c>
      <c r="B2715" s="18" t="s">
        <v>32</v>
      </c>
      <c r="C2715" s="18">
        <v>286.0</v>
      </c>
      <c r="D2715" s="18" t="s">
        <v>31</v>
      </c>
      <c r="E2715" s="26">
        <v>42563.620833333334</v>
      </c>
      <c r="F2715" s="19">
        <f>IFERROR(__xludf.DUMMYFUNCTION("IFERROR(TO_DATE(E2715), """")"),42563.620833333334)</f>
        <v>42563.62083</v>
      </c>
      <c r="G2715" s="20">
        <f t="shared" si="1"/>
        <v>14</v>
      </c>
      <c r="H2715" s="26">
        <v>42563.654861111114</v>
      </c>
      <c r="I2715" s="19">
        <f>IFERROR(__xludf.DUMMYFUNCTION("IFERROR(TO_DATE(H2715), """")"),42563.654861111114)</f>
        <v>42563.65486</v>
      </c>
      <c r="J2715" s="19" t="s">
        <v>10</v>
      </c>
      <c r="K2715" s="22">
        <f t="shared" si="2"/>
        <v>0</v>
      </c>
    </row>
    <row r="2716">
      <c r="A2716" s="18">
        <v>2841.0</v>
      </c>
      <c r="B2716" s="18" t="s">
        <v>30</v>
      </c>
      <c r="C2716" s="18">
        <v>286.0</v>
      </c>
      <c r="D2716" s="18" t="s">
        <v>31</v>
      </c>
      <c r="E2716" s="27">
        <v>42564.22440972222</v>
      </c>
      <c r="F2716" s="19">
        <f>IFERROR(__xludf.DUMMYFUNCTION("IFERROR(TO_DATE(E2716), """")"),42564.22440972222)</f>
        <v>42564.22441</v>
      </c>
      <c r="G2716" s="20">
        <f t="shared" si="1"/>
        <v>5</v>
      </c>
      <c r="H2716" s="27">
        <v>42564.245300925926</v>
      </c>
      <c r="I2716" s="19">
        <f>IFERROR(__xludf.DUMMYFUNCTION("IFERROR(TO_DATE(H2716), """")"),42564.245300925926)</f>
        <v>42564.2453</v>
      </c>
      <c r="J2716" s="19" t="s">
        <v>11</v>
      </c>
      <c r="K2716" s="22">
        <f t="shared" si="2"/>
        <v>0</v>
      </c>
    </row>
    <row r="2717">
      <c r="A2717" s="18">
        <v>5983.0</v>
      </c>
      <c r="B2717" s="18" t="s">
        <v>32</v>
      </c>
      <c r="C2717" s="18">
        <v>286.0</v>
      </c>
      <c r="D2717" s="18" t="s">
        <v>31</v>
      </c>
      <c r="E2717" s="27">
        <v>42566.48688657407</v>
      </c>
      <c r="F2717" s="19">
        <f>IFERROR(__xludf.DUMMYFUNCTION("IFERROR(TO_DATE(E2717), """")"),42566.48688657407)</f>
        <v>42566.48689</v>
      </c>
      <c r="G2717" s="20">
        <f t="shared" si="1"/>
        <v>11</v>
      </c>
      <c r="H2717" s="27">
        <v>42566.50900462963</v>
      </c>
      <c r="I2717" s="19">
        <f>IFERROR(__xludf.DUMMYFUNCTION("IFERROR(TO_DATE(H2717), """")"),42566.50900462963)</f>
        <v>42566.509</v>
      </c>
      <c r="J2717" s="19" t="s">
        <v>14</v>
      </c>
      <c r="K2717" s="22">
        <f t="shared" si="2"/>
        <v>0</v>
      </c>
    </row>
    <row r="2718">
      <c r="A2718" s="18">
        <v>6016.0</v>
      </c>
      <c r="B2718" s="18" t="s">
        <v>30</v>
      </c>
      <c r="C2718" s="18">
        <v>286.0</v>
      </c>
      <c r="D2718" s="18" t="s">
        <v>31</v>
      </c>
      <c r="E2718" s="27">
        <v>42566.52201388889</v>
      </c>
      <c r="F2718" s="19">
        <f>IFERROR(__xludf.DUMMYFUNCTION("IFERROR(TO_DATE(E2718), """")"),42566.52201388889)</f>
        <v>42566.52201</v>
      </c>
      <c r="G2718" s="20">
        <f t="shared" si="1"/>
        <v>12</v>
      </c>
      <c r="H2718" s="27">
        <v>42566.55542824074</v>
      </c>
      <c r="I2718" s="19">
        <f>IFERROR(__xludf.DUMMYFUNCTION("IFERROR(TO_DATE(H2718), """")"),42566.55542824074)</f>
        <v>42566.55543</v>
      </c>
      <c r="J2718" s="19" t="s">
        <v>10</v>
      </c>
      <c r="K2718" s="22">
        <f t="shared" si="2"/>
        <v>0</v>
      </c>
    </row>
    <row r="2719">
      <c r="A2719" s="18">
        <v>845.0</v>
      </c>
      <c r="B2719" s="18" t="s">
        <v>32</v>
      </c>
      <c r="C2719" s="18">
        <v>287.0</v>
      </c>
      <c r="D2719" s="18" t="s">
        <v>31</v>
      </c>
      <c r="E2719" s="26">
        <v>42562.736805555556</v>
      </c>
      <c r="F2719" s="19">
        <f>IFERROR(__xludf.DUMMYFUNCTION("IFERROR(TO_DATE(E2719), """")"),42562.736805555556)</f>
        <v>42562.73681</v>
      </c>
      <c r="G2719" s="20">
        <f t="shared" si="1"/>
        <v>17</v>
      </c>
      <c r="H2719" s="26">
        <v>42562.78958333333</v>
      </c>
      <c r="I2719" s="19">
        <f>IFERROR(__xludf.DUMMYFUNCTION("IFERROR(TO_DATE(H2719), """")"),42562.78958333333)</f>
        <v>42562.78958</v>
      </c>
      <c r="J2719" s="19" t="s">
        <v>12</v>
      </c>
      <c r="K2719" s="22">
        <f t="shared" si="2"/>
        <v>0</v>
      </c>
    </row>
    <row r="2720">
      <c r="A2720" s="18">
        <v>1832.0</v>
      </c>
      <c r="B2720" s="18" t="s">
        <v>30</v>
      </c>
      <c r="C2720" s="18">
        <v>287.0</v>
      </c>
      <c r="D2720" s="18" t="s">
        <v>31</v>
      </c>
      <c r="E2720" s="26">
        <v>42563.4</v>
      </c>
      <c r="F2720" s="19">
        <f>IFERROR(__xludf.DUMMYFUNCTION("IFERROR(TO_DATE(E2720), """")"),42563.4)</f>
        <v>42563.4</v>
      </c>
      <c r="G2720" s="20">
        <f t="shared" si="1"/>
        <v>9</v>
      </c>
      <c r="H2720" s="26">
        <v>42563.42222222222</v>
      </c>
      <c r="I2720" s="19">
        <f>IFERROR(__xludf.DUMMYFUNCTION("IFERROR(TO_DATE(H2720), """")"),42563.42222222222)</f>
        <v>42563.42222</v>
      </c>
      <c r="J2720" s="19" t="s">
        <v>14</v>
      </c>
      <c r="K2720" s="22">
        <f t="shared" si="2"/>
        <v>0</v>
      </c>
    </row>
    <row r="2721">
      <c r="A2721" s="18">
        <v>2740.0</v>
      </c>
      <c r="B2721" s="18" t="s">
        <v>30</v>
      </c>
      <c r="C2721" s="18">
        <v>287.0</v>
      </c>
      <c r="D2721" s="18" t="s">
        <v>31</v>
      </c>
      <c r="E2721" s="27">
        <v>42564.12337962963</v>
      </c>
      <c r="F2721" s="19">
        <f>IFERROR(__xludf.DUMMYFUNCTION("IFERROR(TO_DATE(E2721), """")"),42564.12337962963)</f>
        <v>42564.12338</v>
      </c>
      <c r="G2721" s="20">
        <f t="shared" si="1"/>
        <v>2</v>
      </c>
      <c r="H2721" s="27">
        <v>42564.171122685184</v>
      </c>
      <c r="I2721" s="19">
        <f>IFERROR(__xludf.DUMMYFUNCTION("IFERROR(TO_DATE(H2721), """")"),42564.171122685184)</f>
        <v>42564.17112</v>
      </c>
      <c r="J2721" s="19" t="s">
        <v>15</v>
      </c>
      <c r="K2721" s="22">
        <f t="shared" si="2"/>
        <v>0</v>
      </c>
    </row>
    <row r="2722">
      <c r="A2722" s="18">
        <v>3622.0</v>
      </c>
      <c r="B2722" s="18" t="s">
        <v>30</v>
      </c>
      <c r="C2722" s="18">
        <v>287.0</v>
      </c>
      <c r="D2722" s="18" t="s">
        <v>31</v>
      </c>
      <c r="E2722" s="27">
        <v>42564.79010416667</v>
      </c>
      <c r="F2722" s="19">
        <f>IFERROR(__xludf.DUMMYFUNCTION("IFERROR(TO_DATE(E2722), """")"),42564.79010416667)</f>
        <v>42564.7901</v>
      </c>
      <c r="G2722" s="20">
        <f t="shared" si="1"/>
        <v>18</v>
      </c>
      <c r="H2722" s="27">
        <v>42564.84391203704</v>
      </c>
      <c r="I2722" s="19">
        <f>IFERROR(__xludf.DUMMYFUNCTION("IFERROR(TO_DATE(H2722), """")"),42564.84391203704)</f>
        <v>42564.84391</v>
      </c>
      <c r="J2722" s="19" t="s">
        <v>12</v>
      </c>
      <c r="K2722" s="22">
        <f t="shared" si="2"/>
        <v>0</v>
      </c>
    </row>
    <row r="2723">
      <c r="A2723" s="18">
        <v>3979.0</v>
      </c>
      <c r="B2723" s="18" t="s">
        <v>32</v>
      </c>
      <c r="C2723" s="18">
        <v>287.0</v>
      </c>
      <c r="D2723" s="18" t="s">
        <v>31</v>
      </c>
      <c r="E2723" s="27">
        <v>42564.96975694445</v>
      </c>
      <c r="F2723" s="19">
        <f>IFERROR(__xludf.DUMMYFUNCTION("IFERROR(TO_DATE(E2723), """")"),42564.96975694445)</f>
        <v>42564.96976</v>
      </c>
      <c r="G2723" s="20">
        <f t="shared" si="1"/>
        <v>23</v>
      </c>
      <c r="H2723" s="27">
        <v>42564.99037037037</v>
      </c>
      <c r="I2723" s="19">
        <f>IFERROR(__xludf.DUMMYFUNCTION("IFERROR(TO_DATE(H2723), """")"),42564.99037037037)</f>
        <v>42564.99037</v>
      </c>
      <c r="J2723" s="19" t="s">
        <v>13</v>
      </c>
      <c r="K2723" s="22">
        <f t="shared" si="2"/>
        <v>0</v>
      </c>
    </row>
    <row r="2724">
      <c r="A2724" s="18">
        <v>5749.0</v>
      </c>
      <c r="B2724" s="18" t="s">
        <v>30</v>
      </c>
      <c r="C2724" s="18">
        <v>287.0</v>
      </c>
      <c r="D2724" s="18" t="s">
        <v>31</v>
      </c>
      <c r="E2724" s="27">
        <v>42566.33280092593</v>
      </c>
      <c r="F2724" s="19">
        <f>IFERROR(__xludf.DUMMYFUNCTION("IFERROR(TO_DATE(E2724), """")"),42566.33280092593)</f>
        <v>42566.3328</v>
      </c>
      <c r="G2724" s="20">
        <f t="shared" si="1"/>
        <v>7</v>
      </c>
      <c r="H2724" s="27">
        <v>42566.3672337963</v>
      </c>
      <c r="I2724" s="19">
        <f>IFERROR(__xludf.DUMMYFUNCTION("IFERROR(TO_DATE(H2724), """")"),42566.3672337963)</f>
        <v>42566.36723</v>
      </c>
      <c r="J2724" s="19" t="s">
        <v>11</v>
      </c>
      <c r="K2724" s="22">
        <f t="shared" si="2"/>
        <v>0</v>
      </c>
    </row>
    <row r="2725">
      <c r="A2725" s="18">
        <v>6633.0</v>
      </c>
      <c r="B2725" s="18" t="s">
        <v>32</v>
      </c>
      <c r="C2725" s="18">
        <v>287.0</v>
      </c>
      <c r="D2725" s="18" t="s">
        <v>31</v>
      </c>
      <c r="E2725" s="27">
        <v>42566.91523148148</v>
      </c>
      <c r="F2725" s="19">
        <f>IFERROR(__xludf.DUMMYFUNCTION("IFERROR(TO_DATE(E2725), """")"),42566.91523148148)</f>
        <v>42566.91523</v>
      </c>
      <c r="G2725" s="20">
        <f t="shared" si="1"/>
        <v>21</v>
      </c>
      <c r="H2725" s="27">
        <v>42566.95106481481</v>
      </c>
      <c r="I2725" s="19">
        <f>IFERROR(__xludf.DUMMYFUNCTION("IFERROR(TO_DATE(H2725), """")"),42566.95106481481)</f>
        <v>42566.95106</v>
      </c>
      <c r="J2725" s="19" t="s">
        <v>13</v>
      </c>
      <c r="K2725" s="22">
        <f t="shared" si="2"/>
        <v>0</v>
      </c>
    </row>
    <row r="2726">
      <c r="A2726" s="18">
        <v>1301.0</v>
      </c>
      <c r="B2726" s="18" t="s">
        <v>30</v>
      </c>
      <c r="C2726" s="18">
        <v>288.0</v>
      </c>
      <c r="D2726" s="18" t="s">
        <v>31</v>
      </c>
      <c r="E2726" s="26">
        <v>42562.9375</v>
      </c>
      <c r="F2726" s="19">
        <f>IFERROR(__xludf.DUMMYFUNCTION("IFERROR(TO_DATE(E2726), """")"),42562.9375)</f>
        <v>42562.9375</v>
      </c>
      <c r="G2726" s="20">
        <f t="shared" si="1"/>
        <v>22</v>
      </c>
      <c r="H2726" s="26">
        <v>42562.967361111114</v>
      </c>
      <c r="I2726" s="19">
        <f>IFERROR(__xludf.DUMMYFUNCTION("IFERROR(TO_DATE(H2726), """")"),42562.967361111114)</f>
        <v>42562.96736</v>
      </c>
      <c r="J2726" s="19" t="s">
        <v>13</v>
      </c>
      <c r="K2726" s="22">
        <f t="shared" si="2"/>
        <v>0</v>
      </c>
    </row>
    <row r="2727">
      <c r="A2727" s="18">
        <v>2203.0</v>
      </c>
      <c r="B2727" s="18" t="s">
        <v>32</v>
      </c>
      <c r="C2727" s="18">
        <v>288.0</v>
      </c>
      <c r="D2727" s="18" t="s">
        <v>31</v>
      </c>
      <c r="E2727" s="26">
        <v>42563.74513888889</v>
      </c>
      <c r="F2727" s="19">
        <f>IFERROR(__xludf.DUMMYFUNCTION("IFERROR(TO_DATE(E2727), """")"),42563.74513888889)</f>
        <v>42563.74514</v>
      </c>
      <c r="G2727" s="20">
        <f t="shared" si="1"/>
        <v>17</v>
      </c>
      <c r="H2727" s="26">
        <v>42563.770833333336</v>
      </c>
      <c r="I2727" s="19">
        <f>IFERROR(__xludf.DUMMYFUNCTION("IFERROR(TO_DATE(H2727), """")"),42563.770833333336)</f>
        <v>42563.77083</v>
      </c>
      <c r="J2727" s="19" t="s">
        <v>12</v>
      </c>
      <c r="K2727" s="22">
        <f t="shared" si="2"/>
        <v>0</v>
      </c>
    </row>
    <row r="2728">
      <c r="A2728" s="18">
        <v>2569.0</v>
      </c>
      <c r="B2728" s="18" t="s">
        <v>32</v>
      </c>
      <c r="C2728" s="18">
        <v>288.0</v>
      </c>
      <c r="D2728" s="18" t="s">
        <v>31</v>
      </c>
      <c r="E2728" s="26">
        <v>42563.90069444444</v>
      </c>
      <c r="F2728" s="19">
        <f>IFERROR(__xludf.DUMMYFUNCTION("IFERROR(TO_DATE(E2728), """")"),42563.90069444444)</f>
        <v>42563.90069</v>
      </c>
      <c r="G2728" s="20">
        <f t="shared" si="1"/>
        <v>21</v>
      </c>
      <c r="H2728" s="26">
        <v>42563.92152777778</v>
      </c>
      <c r="I2728" s="19">
        <f>IFERROR(__xludf.DUMMYFUNCTION("IFERROR(TO_DATE(H2728), """")"),42563.92152777778)</f>
        <v>42563.92153</v>
      </c>
      <c r="J2728" s="19" t="s">
        <v>13</v>
      </c>
      <c r="K2728" s="22">
        <f t="shared" si="2"/>
        <v>0</v>
      </c>
    </row>
    <row r="2729">
      <c r="A2729" s="18">
        <v>3621.0</v>
      </c>
      <c r="B2729" s="18" t="s">
        <v>30</v>
      </c>
      <c r="C2729" s="18">
        <v>288.0</v>
      </c>
      <c r="D2729" s="18" t="s">
        <v>31</v>
      </c>
      <c r="E2729" s="27">
        <v>42564.78912037037</v>
      </c>
      <c r="F2729" s="19">
        <f>IFERROR(__xludf.DUMMYFUNCTION("IFERROR(TO_DATE(E2729), """")"),42564.78912037037)</f>
        <v>42564.78912</v>
      </c>
      <c r="G2729" s="20">
        <f t="shared" si="1"/>
        <v>18</v>
      </c>
      <c r="H2729" s="27">
        <v>42564.81637731481</v>
      </c>
      <c r="I2729" s="19">
        <f>IFERROR(__xludf.DUMMYFUNCTION("IFERROR(TO_DATE(H2729), """")"),42564.81637731481)</f>
        <v>42564.81638</v>
      </c>
      <c r="J2729" s="19" t="s">
        <v>12</v>
      </c>
      <c r="K2729" s="22">
        <f t="shared" si="2"/>
        <v>0</v>
      </c>
    </row>
    <row r="2730">
      <c r="A2730" s="18">
        <v>4051.0</v>
      </c>
      <c r="B2730" s="18" t="s">
        <v>32</v>
      </c>
      <c r="C2730" s="18">
        <v>288.0</v>
      </c>
      <c r="D2730" s="18" t="s">
        <v>31</v>
      </c>
      <c r="E2730" s="27">
        <v>42565.048368055555</v>
      </c>
      <c r="F2730" s="19">
        <f>IFERROR(__xludf.DUMMYFUNCTION("IFERROR(TO_DATE(E2730), """")"),42565.048368055555)</f>
        <v>42565.04837</v>
      </c>
      <c r="G2730" s="20">
        <f t="shared" si="1"/>
        <v>1</v>
      </c>
      <c r="H2730" s="27">
        <v>42565.09012731481</v>
      </c>
      <c r="I2730" s="19">
        <f>IFERROR(__xludf.DUMMYFUNCTION("IFERROR(TO_DATE(H2730), """")"),42565.09012731481)</f>
        <v>42565.09013</v>
      </c>
      <c r="J2730" s="19" t="s">
        <v>15</v>
      </c>
      <c r="K2730" s="22">
        <f t="shared" si="2"/>
        <v>0</v>
      </c>
    </row>
    <row r="2731">
      <c r="A2731" s="18">
        <v>4831.0</v>
      </c>
      <c r="B2731" s="18" t="s">
        <v>32</v>
      </c>
      <c r="C2731" s="18">
        <v>288.0</v>
      </c>
      <c r="D2731" s="18" t="s">
        <v>31</v>
      </c>
      <c r="E2731" s="27">
        <v>42565.72599537037</v>
      </c>
      <c r="F2731" s="19">
        <f>IFERROR(__xludf.DUMMYFUNCTION("IFERROR(TO_DATE(E2731), """")"),42565.72599537037)</f>
        <v>42565.726</v>
      </c>
      <c r="G2731" s="20">
        <f t="shared" si="1"/>
        <v>17</v>
      </c>
      <c r="H2731" s="27">
        <v>42565.771886574075</v>
      </c>
      <c r="I2731" s="19">
        <f>IFERROR(__xludf.DUMMYFUNCTION("IFERROR(TO_DATE(H2731), """")"),42565.771886574075)</f>
        <v>42565.77189</v>
      </c>
      <c r="J2731" s="19" t="s">
        <v>12</v>
      </c>
      <c r="K2731" s="22">
        <f t="shared" si="2"/>
        <v>0</v>
      </c>
    </row>
    <row r="2732">
      <c r="A2732" s="18">
        <v>158.0</v>
      </c>
      <c r="B2732" s="18" t="s">
        <v>32</v>
      </c>
      <c r="C2732" s="18">
        <v>289.0</v>
      </c>
      <c r="D2732" s="18" t="s">
        <v>31</v>
      </c>
      <c r="E2732" s="26">
        <v>42562.23263888889</v>
      </c>
      <c r="F2732" s="19">
        <f>IFERROR(__xludf.DUMMYFUNCTION("IFERROR(TO_DATE(E2732), """")"),42562.23263888889)</f>
        <v>42562.23264</v>
      </c>
      <c r="G2732" s="20">
        <f t="shared" si="1"/>
        <v>5</v>
      </c>
      <c r="H2732" s="26">
        <v>42562.27847222222</v>
      </c>
      <c r="I2732" s="19">
        <f>IFERROR(__xludf.DUMMYFUNCTION("IFERROR(TO_DATE(H2732), """")"),42562.27847222222)</f>
        <v>42562.27847</v>
      </c>
      <c r="J2732" s="19" t="s">
        <v>11</v>
      </c>
      <c r="K2732" s="22">
        <f t="shared" si="2"/>
        <v>0</v>
      </c>
    </row>
    <row r="2733">
      <c r="A2733" s="18">
        <v>1290.0</v>
      </c>
      <c r="B2733" s="18" t="s">
        <v>32</v>
      </c>
      <c r="C2733" s="18">
        <v>289.0</v>
      </c>
      <c r="D2733" s="18" t="s">
        <v>31</v>
      </c>
      <c r="E2733" s="26">
        <v>42562.93263888889</v>
      </c>
      <c r="F2733" s="19">
        <f>IFERROR(__xludf.DUMMYFUNCTION("IFERROR(TO_DATE(E2733), """")"),42562.93263888889)</f>
        <v>42562.93264</v>
      </c>
      <c r="G2733" s="20">
        <f t="shared" si="1"/>
        <v>22</v>
      </c>
      <c r="H2733" s="26">
        <v>42562.958333333336</v>
      </c>
      <c r="I2733" s="19">
        <f>IFERROR(__xludf.DUMMYFUNCTION("IFERROR(TO_DATE(H2733), """")"),42562.958333333336)</f>
        <v>42562.95833</v>
      </c>
      <c r="J2733" s="19" t="s">
        <v>13</v>
      </c>
      <c r="K2733" s="22">
        <f t="shared" si="2"/>
        <v>0</v>
      </c>
    </row>
    <row r="2734">
      <c r="A2734" s="18">
        <v>2441.0</v>
      </c>
      <c r="B2734" s="18" t="s">
        <v>32</v>
      </c>
      <c r="C2734" s="18">
        <v>289.0</v>
      </c>
      <c r="D2734" s="18" t="s">
        <v>31</v>
      </c>
      <c r="E2734" s="26">
        <v>42563.84930555556</v>
      </c>
      <c r="F2734" s="19">
        <f>IFERROR(__xludf.DUMMYFUNCTION("IFERROR(TO_DATE(E2734), """")"),42563.84930555556)</f>
        <v>42563.84931</v>
      </c>
      <c r="G2734" s="20">
        <f t="shared" si="1"/>
        <v>20</v>
      </c>
      <c r="H2734" s="26">
        <v>42563.89236111111</v>
      </c>
      <c r="I2734" s="19">
        <f>IFERROR(__xludf.DUMMYFUNCTION("IFERROR(TO_DATE(H2734), """")"),42563.89236111111)</f>
        <v>42563.89236</v>
      </c>
      <c r="J2734" s="19" t="s">
        <v>13</v>
      </c>
      <c r="K2734" s="22">
        <f t="shared" si="2"/>
        <v>0</v>
      </c>
    </row>
    <row r="2735">
      <c r="A2735" s="18">
        <v>3681.0</v>
      </c>
      <c r="B2735" s="18" t="s">
        <v>30</v>
      </c>
      <c r="C2735" s="18">
        <v>289.0</v>
      </c>
      <c r="D2735" s="18" t="s">
        <v>31</v>
      </c>
      <c r="E2735" s="27">
        <v>42564.81363425926</v>
      </c>
      <c r="F2735" s="19">
        <f>IFERROR(__xludf.DUMMYFUNCTION("IFERROR(TO_DATE(E2735), """")"),42564.81363425926)</f>
        <v>42564.81363</v>
      </c>
      <c r="G2735" s="20">
        <f t="shared" si="1"/>
        <v>19</v>
      </c>
      <c r="H2735" s="27">
        <v>42564.855532407404</v>
      </c>
      <c r="I2735" s="19">
        <f>IFERROR(__xludf.DUMMYFUNCTION("IFERROR(TO_DATE(H2735), """")"),42564.855532407404)</f>
        <v>42564.85553</v>
      </c>
      <c r="J2735" s="19" t="s">
        <v>12</v>
      </c>
      <c r="K2735" s="22">
        <f t="shared" si="2"/>
        <v>0</v>
      </c>
    </row>
    <row r="2736">
      <c r="A2736" s="18">
        <v>4511.0</v>
      </c>
      <c r="B2736" s="18" t="s">
        <v>30</v>
      </c>
      <c r="C2736" s="18">
        <v>289.0</v>
      </c>
      <c r="D2736" s="18" t="s">
        <v>31</v>
      </c>
      <c r="E2736" s="27">
        <v>42565.38253472222</v>
      </c>
      <c r="F2736" s="19">
        <f>IFERROR(__xludf.DUMMYFUNCTION("IFERROR(TO_DATE(E2736), """")"),42565.38253472222)</f>
        <v>42565.38253</v>
      </c>
      <c r="G2736" s="20">
        <f t="shared" si="1"/>
        <v>9</v>
      </c>
      <c r="H2736" s="27">
        <v>42565.42983796296</v>
      </c>
      <c r="I2736" s="19">
        <f>IFERROR(__xludf.DUMMYFUNCTION("IFERROR(TO_DATE(H2736), """")"),42565.42983796296)</f>
        <v>42565.42984</v>
      </c>
      <c r="J2736" s="19" t="s">
        <v>14</v>
      </c>
      <c r="K2736" s="22">
        <f t="shared" si="2"/>
        <v>0</v>
      </c>
    </row>
    <row r="2737">
      <c r="A2737" s="18">
        <v>4684.0</v>
      </c>
      <c r="B2737" s="18" t="s">
        <v>32</v>
      </c>
      <c r="C2737" s="18">
        <v>289.0</v>
      </c>
      <c r="D2737" s="18" t="s">
        <v>31</v>
      </c>
      <c r="E2737" s="27">
        <v>42565.536840277775</v>
      </c>
      <c r="F2737" s="19">
        <f>IFERROR(__xludf.DUMMYFUNCTION("IFERROR(TO_DATE(E2737), """")"),42565.536840277775)</f>
        <v>42565.53684</v>
      </c>
      <c r="G2737" s="20">
        <f t="shared" si="1"/>
        <v>12</v>
      </c>
      <c r="H2737" s="27">
        <v>42565.56140046296</v>
      </c>
      <c r="I2737" s="19">
        <f>IFERROR(__xludf.DUMMYFUNCTION("IFERROR(TO_DATE(H2737), """")"),42565.56140046296)</f>
        <v>42565.5614</v>
      </c>
      <c r="J2737" s="19" t="s">
        <v>10</v>
      </c>
      <c r="K2737" s="22">
        <f t="shared" si="2"/>
        <v>0</v>
      </c>
    </row>
    <row r="2738">
      <c r="A2738" s="18">
        <v>5606.0</v>
      </c>
      <c r="B2738" s="18" t="s">
        <v>32</v>
      </c>
      <c r="C2738" s="18">
        <v>289.0</v>
      </c>
      <c r="D2738" s="18" t="s">
        <v>31</v>
      </c>
      <c r="E2738" s="27">
        <v>42566.25655092593</v>
      </c>
      <c r="F2738" s="19">
        <f>IFERROR(__xludf.DUMMYFUNCTION("IFERROR(TO_DATE(E2738), """")"),42566.25655092593)</f>
        <v>42566.25655</v>
      </c>
      <c r="G2738" s="20">
        <f t="shared" si="1"/>
        <v>6</v>
      </c>
      <c r="H2738" s="27">
        <v>42566.30800925926</v>
      </c>
      <c r="I2738" s="19">
        <f>IFERROR(__xludf.DUMMYFUNCTION("IFERROR(TO_DATE(H2738), """")"),42566.30800925926)</f>
        <v>42566.30801</v>
      </c>
      <c r="J2738" s="19" t="s">
        <v>11</v>
      </c>
      <c r="K2738" s="22">
        <f t="shared" si="2"/>
        <v>0</v>
      </c>
    </row>
    <row r="2739">
      <c r="A2739" s="18">
        <v>5708.0</v>
      </c>
      <c r="B2739" s="18" t="s">
        <v>30</v>
      </c>
      <c r="C2739" s="18">
        <v>289.0</v>
      </c>
      <c r="D2739" s="18" t="s">
        <v>31</v>
      </c>
      <c r="E2739" s="27">
        <v>42566.31600694444</v>
      </c>
      <c r="F2739" s="19">
        <f>IFERROR(__xludf.DUMMYFUNCTION("IFERROR(TO_DATE(E2739), """")"),42566.31600694444)</f>
        <v>42566.31601</v>
      </c>
      <c r="G2739" s="20">
        <f t="shared" si="1"/>
        <v>7</v>
      </c>
      <c r="H2739" s="27">
        <v>42566.338796296295</v>
      </c>
      <c r="I2739" s="19">
        <f>IFERROR(__xludf.DUMMYFUNCTION("IFERROR(TO_DATE(H2739), """")"),42566.338796296295)</f>
        <v>42566.3388</v>
      </c>
      <c r="J2739" s="19" t="s">
        <v>11</v>
      </c>
      <c r="K2739" s="22">
        <f t="shared" si="2"/>
        <v>0</v>
      </c>
    </row>
    <row r="2740">
      <c r="A2740" s="18">
        <v>5960.0</v>
      </c>
      <c r="B2740" s="18" t="s">
        <v>30</v>
      </c>
      <c r="C2740" s="18">
        <v>289.0</v>
      </c>
      <c r="D2740" s="18" t="s">
        <v>31</v>
      </c>
      <c r="E2740" s="27">
        <v>42566.45280092592</v>
      </c>
      <c r="F2740" s="19">
        <f>IFERROR(__xludf.DUMMYFUNCTION("IFERROR(TO_DATE(E2740), """")"),42566.45280092592)</f>
        <v>42566.4528</v>
      </c>
      <c r="G2740" s="20">
        <f t="shared" si="1"/>
        <v>10</v>
      </c>
      <c r="H2740" s="27">
        <v>42566.478634259256</v>
      </c>
      <c r="I2740" s="19">
        <f>IFERROR(__xludf.DUMMYFUNCTION("IFERROR(TO_DATE(H2740), """")"),42566.478634259256)</f>
        <v>42566.47863</v>
      </c>
      <c r="J2740" s="19" t="s">
        <v>14</v>
      </c>
      <c r="K2740" s="22">
        <f t="shared" si="2"/>
        <v>0</v>
      </c>
    </row>
    <row r="2741">
      <c r="A2741" s="18">
        <v>6014.0</v>
      </c>
      <c r="B2741" s="18" t="s">
        <v>32</v>
      </c>
      <c r="C2741" s="18">
        <v>289.0</v>
      </c>
      <c r="D2741" s="18" t="s">
        <v>31</v>
      </c>
      <c r="E2741" s="27">
        <v>42566.521631944444</v>
      </c>
      <c r="F2741" s="19">
        <f>IFERROR(__xludf.DUMMYFUNCTION("IFERROR(TO_DATE(E2741), """")"),42566.521631944444)</f>
        <v>42566.52163</v>
      </c>
      <c r="G2741" s="20">
        <f t="shared" si="1"/>
        <v>12</v>
      </c>
      <c r="H2741" s="27">
        <v>42566.55701388889</v>
      </c>
      <c r="I2741" s="19">
        <f>IFERROR(__xludf.DUMMYFUNCTION("IFERROR(TO_DATE(H2741), """")"),42566.55701388889)</f>
        <v>42566.55701</v>
      </c>
      <c r="J2741" s="19" t="s">
        <v>10</v>
      </c>
      <c r="K2741" s="22">
        <f t="shared" si="2"/>
        <v>0</v>
      </c>
    </row>
    <row r="2742">
      <c r="A2742" s="18">
        <v>6193.0</v>
      </c>
      <c r="B2742" s="18" t="s">
        <v>32</v>
      </c>
      <c r="C2742" s="18">
        <v>289.0</v>
      </c>
      <c r="D2742" s="18" t="s">
        <v>31</v>
      </c>
      <c r="E2742" s="27">
        <v>42566.72201388889</v>
      </c>
      <c r="F2742" s="19">
        <f>IFERROR(__xludf.DUMMYFUNCTION("IFERROR(TO_DATE(E2742), """")"),42566.72201388889)</f>
        <v>42566.72201</v>
      </c>
      <c r="G2742" s="20">
        <f t="shared" si="1"/>
        <v>17</v>
      </c>
      <c r="H2742" s="27">
        <v>42566.75445601852</v>
      </c>
      <c r="I2742" s="19">
        <f>IFERROR(__xludf.DUMMYFUNCTION("IFERROR(TO_DATE(H2742), """")"),42566.75445601852)</f>
        <v>42566.75446</v>
      </c>
      <c r="J2742" s="19" t="s">
        <v>12</v>
      </c>
      <c r="K2742" s="22">
        <f t="shared" si="2"/>
        <v>0</v>
      </c>
    </row>
    <row r="2743">
      <c r="A2743" s="18">
        <v>6635.0</v>
      </c>
      <c r="B2743" s="18" t="s">
        <v>32</v>
      </c>
      <c r="C2743" s="18">
        <v>289.0</v>
      </c>
      <c r="D2743" s="18" t="s">
        <v>31</v>
      </c>
      <c r="E2743" s="27">
        <v>42566.91746527778</v>
      </c>
      <c r="F2743" s="19">
        <f>IFERROR(__xludf.DUMMYFUNCTION("IFERROR(TO_DATE(E2743), """")"),42566.91746527778)</f>
        <v>42566.91747</v>
      </c>
      <c r="G2743" s="20">
        <f t="shared" si="1"/>
        <v>22</v>
      </c>
      <c r="H2743" s="27">
        <v>42566.961747685185</v>
      </c>
      <c r="I2743" s="19">
        <f>IFERROR(__xludf.DUMMYFUNCTION("IFERROR(TO_DATE(H2743), """")"),42566.961747685185)</f>
        <v>42566.96175</v>
      </c>
      <c r="J2743" s="19" t="s">
        <v>13</v>
      </c>
      <c r="K2743" s="22">
        <f t="shared" si="2"/>
        <v>0</v>
      </c>
    </row>
    <row r="2744">
      <c r="A2744" s="18">
        <v>82.0</v>
      </c>
      <c r="B2744" s="18" t="s">
        <v>30</v>
      </c>
      <c r="C2744" s="18">
        <v>290.0</v>
      </c>
      <c r="D2744" s="18" t="s">
        <v>31</v>
      </c>
      <c r="E2744" s="26">
        <v>42562.19930555556</v>
      </c>
      <c r="F2744" s="19">
        <f>IFERROR(__xludf.DUMMYFUNCTION("IFERROR(TO_DATE(E2744), """")"),42562.19930555556)</f>
        <v>42562.19931</v>
      </c>
      <c r="G2744" s="20">
        <f t="shared" si="1"/>
        <v>4</v>
      </c>
      <c r="H2744" s="26">
        <v>42562.22430555556</v>
      </c>
      <c r="I2744" s="19">
        <f>IFERROR(__xludf.DUMMYFUNCTION("IFERROR(TO_DATE(H2744), """")"),42562.22430555556)</f>
        <v>42562.22431</v>
      </c>
      <c r="J2744" s="19" t="s">
        <v>11</v>
      </c>
      <c r="K2744" s="22">
        <f t="shared" si="2"/>
        <v>0</v>
      </c>
    </row>
    <row r="2745">
      <c r="A2745" s="18">
        <v>2518.0</v>
      </c>
      <c r="B2745" s="18" t="s">
        <v>30</v>
      </c>
      <c r="C2745" s="18">
        <v>290.0</v>
      </c>
      <c r="D2745" s="18" t="s">
        <v>31</v>
      </c>
      <c r="E2745" s="26">
        <v>42563.87986111111</v>
      </c>
      <c r="F2745" s="19">
        <f>IFERROR(__xludf.DUMMYFUNCTION("IFERROR(TO_DATE(E2745), """")"),42563.87986111111)</f>
        <v>42563.87986</v>
      </c>
      <c r="G2745" s="20">
        <f t="shared" si="1"/>
        <v>21</v>
      </c>
      <c r="H2745" s="26">
        <v>42563.92361111111</v>
      </c>
      <c r="I2745" s="19">
        <f>IFERROR(__xludf.DUMMYFUNCTION("IFERROR(TO_DATE(H2745), """")"),42563.92361111111)</f>
        <v>42563.92361</v>
      </c>
      <c r="J2745" s="19" t="s">
        <v>13</v>
      </c>
      <c r="K2745" s="22">
        <f t="shared" si="2"/>
        <v>0</v>
      </c>
    </row>
    <row r="2746">
      <c r="A2746" s="18">
        <v>2644.0</v>
      </c>
      <c r="B2746" s="18" t="s">
        <v>32</v>
      </c>
      <c r="C2746" s="18">
        <v>290.0</v>
      </c>
      <c r="D2746" s="18" t="s">
        <v>31</v>
      </c>
      <c r="E2746" s="26">
        <v>42563.94375</v>
      </c>
      <c r="F2746" s="19">
        <f>IFERROR(__xludf.DUMMYFUNCTION("IFERROR(TO_DATE(E2746), """")"),42563.94375)</f>
        <v>42563.94375</v>
      </c>
      <c r="G2746" s="20">
        <f t="shared" si="1"/>
        <v>22</v>
      </c>
      <c r="H2746" s="26">
        <v>42563.97222222222</v>
      </c>
      <c r="I2746" s="19">
        <f>IFERROR(__xludf.DUMMYFUNCTION("IFERROR(TO_DATE(H2746), """")"),42563.97222222222)</f>
        <v>42563.97222</v>
      </c>
      <c r="J2746" s="19" t="s">
        <v>13</v>
      </c>
      <c r="K2746" s="22">
        <f t="shared" si="2"/>
        <v>0</v>
      </c>
    </row>
    <row r="2747">
      <c r="A2747" s="18">
        <v>3280.0</v>
      </c>
      <c r="B2747" s="18" t="s">
        <v>30</v>
      </c>
      <c r="C2747" s="18">
        <v>290.0</v>
      </c>
      <c r="D2747" s="18" t="s">
        <v>31</v>
      </c>
      <c r="E2747" s="27">
        <v>42564.446875</v>
      </c>
      <c r="F2747" s="19">
        <f>IFERROR(__xludf.DUMMYFUNCTION("IFERROR(TO_DATE(E2747), """")"),42564.446875)</f>
        <v>42564.44688</v>
      </c>
      <c r="G2747" s="20">
        <f t="shared" si="1"/>
        <v>10</v>
      </c>
      <c r="H2747" s="27">
        <v>42564.47491898148</v>
      </c>
      <c r="I2747" s="19">
        <f>IFERROR(__xludf.DUMMYFUNCTION("IFERROR(TO_DATE(H2747), """")"),42564.47491898148)</f>
        <v>42564.47492</v>
      </c>
      <c r="J2747" s="19" t="s">
        <v>14</v>
      </c>
      <c r="K2747" s="22">
        <f t="shared" si="2"/>
        <v>0</v>
      </c>
    </row>
    <row r="2748">
      <c r="A2748" s="18">
        <v>3486.0</v>
      </c>
      <c r="B2748" s="18" t="s">
        <v>32</v>
      </c>
      <c r="C2748" s="18">
        <v>290.0</v>
      </c>
      <c r="D2748" s="18" t="s">
        <v>31</v>
      </c>
      <c r="E2748" s="27">
        <v>42564.72491898148</v>
      </c>
      <c r="F2748" s="19">
        <f>IFERROR(__xludf.DUMMYFUNCTION("IFERROR(TO_DATE(E2748), """")"),42564.72491898148)</f>
        <v>42564.72492</v>
      </c>
      <c r="G2748" s="20">
        <f t="shared" si="1"/>
        <v>17</v>
      </c>
      <c r="H2748" s="27">
        <v>42564.76644675926</v>
      </c>
      <c r="I2748" s="19">
        <f>IFERROR(__xludf.DUMMYFUNCTION("IFERROR(TO_DATE(H2748), """")"),42564.76644675926)</f>
        <v>42564.76645</v>
      </c>
      <c r="J2748" s="19" t="s">
        <v>12</v>
      </c>
      <c r="K2748" s="22">
        <f t="shared" si="2"/>
        <v>0</v>
      </c>
    </row>
    <row r="2749">
      <c r="A2749" s="18">
        <v>5297.0</v>
      </c>
      <c r="B2749" s="18" t="s">
        <v>32</v>
      </c>
      <c r="C2749" s="18">
        <v>290.0</v>
      </c>
      <c r="D2749" s="18" t="s">
        <v>31</v>
      </c>
      <c r="E2749" s="27">
        <v>42565.910949074074</v>
      </c>
      <c r="F2749" s="19">
        <f>IFERROR(__xludf.DUMMYFUNCTION("IFERROR(TO_DATE(E2749), """")"),42565.910949074074)</f>
        <v>42565.91095</v>
      </c>
      <c r="G2749" s="20">
        <f t="shared" si="1"/>
        <v>21</v>
      </c>
      <c r="H2749" s="27">
        <v>42565.93414351852</v>
      </c>
      <c r="I2749" s="19">
        <f>IFERROR(__xludf.DUMMYFUNCTION("IFERROR(TO_DATE(H2749), """")"),42565.93414351852)</f>
        <v>42565.93414</v>
      </c>
      <c r="J2749" s="19" t="s">
        <v>13</v>
      </c>
      <c r="K2749" s="22">
        <f t="shared" si="2"/>
        <v>0</v>
      </c>
    </row>
    <row r="2750">
      <c r="A2750" s="18">
        <v>5802.0</v>
      </c>
      <c r="B2750" s="18" t="s">
        <v>32</v>
      </c>
      <c r="C2750" s="18">
        <v>290.0</v>
      </c>
      <c r="D2750" s="18" t="s">
        <v>31</v>
      </c>
      <c r="E2750" s="27">
        <v>42566.3634375</v>
      </c>
      <c r="F2750" s="19">
        <f>IFERROR(__xludf.DUMMYFUNCTION("IFERROR(TO_DATE(E2750), """")"),42566.3634375)</f>
        <v>42566.36344</v>
      </c>
      <c r="G2750" s="20">
        <f t="shared" si="1"/>
        <v>8</v>
      </c>
      <c r="H2750" s="27">
        <v>42566.380694444444</v>
      </c>
      <c r="I2750" s="19">
        <f>IFERROR(__xludf.DUMMYFUNCTION("IFERROR(TO_DATE(H2750), """")"),42566.380694444444)</f>
        <v>42566.38069</v>
      </c>
      <c r="J2750" s="19" t="s">
        <v>14</v>
      </c>
      <c r="K2750" s="22">
        <f t="shared" si="2"/>
        <v>0</v>
      </c>
    </row>
    <row r="2751">
      <c r="A2751" s="18">
        <v>6675.0</v>
      </c>
      <c r="B2751" s="18" t="s">
        <v>32</v>
      </c>
      <c r="C2751" s="18">
        <v>290.0</v>
      </c>
      <c r="D2751" s="18" t="s">
        <v>31</v>
      </c>
      <c r="E2751" s="27">
        <v>42566.93168981482</v>
      </c>
      <c r="F2751" s="19">
        <f>IFERROR(__xludf.DUMMYFUNCTION("IFERROR(TO_DATE(E2751), """")"),42566.93168981482)</f>
        <v>42566.93169</v>
      </c>
      <c r="G2751" s="20">
        <f t="shared" si="1"/>
        <v>22</v>
      </c>
      <c r="H2751" s="27">
        <v>42566.973495370374</v>
      </c>
      <c r="I2751" s="19">
        <f>IFERROR(__xludf.DUMMYFUNCTION("IFERROR(TO_DATE(H2751), """")"),42566.973495370374)</f>
        <v>42566.9735</v>
      </c>
      <c r="J2751" s="19" t="s">
        <v>13</v>
      </c>
      <c r="K2751" s="22">
        <f t="shared" si="2"/>
        <v>0</v>
      </c>
    </row>
    <row r="2752">
      <c r="A2752" s="18">
        <v>2025.0</v>
      </c>
      <c r="B2752" s="18" t="s">
        <v>32</v>
      </c>
      <c r="C2752" s="18">
        <v>291.0</v>
      </c>
      <c r="D2752" s="18" t="s">
        <v>31</v>
      </c>
      <c r="E2752" s="26">
        <v>42563.580555555556</v>
      </c>
      <c r="F2752" s="19">
        <f>IFERROR(__xludf.DUMMYFUNCTION("IFERROR(TO_DATE(E2752), """")"),42563.580555555556)</f>
        <v>42563.58056</v>
      </c>
      <c r="G2752" s="20">
        <f t="shared" si="1"/>
        <v>13</v>
      </c>
      <c r="H2752" s="26">
        <v>42563.623611111114</v>
      </c>
      <c r="I2752" s="19">
        <f>IFERROR(__xludf.DUMMYFUNCTION("IFERROR(TO_DATE(H2752), """")"),42563.623611111114)</f>
        <v>42563.62361</v>
      </c>
      <c r="J2752" s="19" t="s">
        <v>10</v>
      </c>
      <c r="K2752" s="22">
        <f t="shared" si="2"/>
        <v>0</v>
      </c>
    </row>
    <row r="2753">
      <c r="A2753" s="18">
        <v>2270.0</v>
      </c>
      <c r="B2753" s="18" t="s">
        <v>32</v>
      </c>
      <c r="C2753" s="18">
        <v>291.0</v>
      </c>
      <c r="D2753" s="18" t="s">
        <v>31</v>
      </c>
      <c r="E2753" s="26">
        <v>42563.76944444444</v>
      </c>
      <c r="F2753" s="19">
        <f>IFERROR(__xludf.DUMMYFUNCTION("IFERROR(TO_DATE(E2753), """")"),42563.76944444444)</f>
        <v>42563.76944</v>
      </c>
      <c r="G2753" s="20">
        <f t="shared" si="1"/>
        <v>18</v>
      </c>
      <c r="H2753" s="26">
        <v>42563.80347222222</v>
      </c>
      <c r="I2753" s="19">
        <f>IFERROR(__xludf.DUMMYFUNCTION("IFERROR(TO_DATE(H2753), """")"),42563.80347222222)</f>
        <v>42563.80347</v>
      </c>
      <c r="J2753" s="19" t="s">
        <v>12</v>
      </c>
      <c r="K2753" s="22">
        <f t="shared" si="2"/>
        <v>0</v>
      </c>
    </row>
    <row r="2754">
      <c r="A2754" s="18">
        <v>3701.0</v>
      </c>
      <c r="B2754" s="18" t="s">
        <v>30</v>
      </c>
      <c r="C2754" s="18">
        <v>291.0</v>
      </c>
      <c r="D2754" s="18" t="s">
        <v>31</v>
      </c>
      <c r="E2754" s="27">
        <v>42564.824016203704</v>
      </c>
      <c r="F2754" s="19">
        <f>IFERROR(__xludf.DUMMYFUNCTION("IFERROR(TO_DATE(E2754), """")"),42564.824016203704)</f>
        <v>42564.82402</v>
      </c>
      <c r="G2754" s="20">
        <f t="shared" si="1"/>
        <v>19</v>
      </c>
      <c r="H2754" s="27">
        <v>42564.868784722225</v>
      </c>
      <c r="I2754" s="19">
        <f>IFERROR(__xludf.DUMMYFUNCTION("IFERROR(TO_DATE(H2754), """")"),42564.868784722225)</f>
        <v>42564.86878</v>
      </c>
      <c r="J2754" s="19" t="s">
        <v>12</v>
      </c>
      <c r="K2754" s="22">
        <f t="shared" si="2"/>
        <v>0</v>
      </c>
    </row>
    <row r="2755">
      <c r="A2755" s="18">
        <v>4618.0</v>
      </c>
      <c r="B2755" s="18" t="s">
        <v>32</v>
      </c>
      <c r="C2755" s="18">
        <v>291.0</v>
      </c>
      <c r="D2755" s="18" t="s">
        <v>31</v>
      </c>
      <c r="E2755" s="27">
        <v>42565.45978009259</v>
      </c>
      <c r="F2755" s="19">
        <f>IFERROR(__xludf.DUMMYFUNCTION("IFERROR(TO_DATE(E2755), """")"),42565.45978009259)</f>
        <v>42565.45978</v>
      </c>
      <c r="G2755" s="20">
        <f t="shared" si="1"/>
        <v>11</v>
      </c>
      <c r="H2755" s="27">
        <v>42565.48668981482</v>
      </c>
      <c r="I2755" s="19">
        <f>IFERROR(__xludf.DUMMYFUNCTION("IFERROR(TO_DATE(H2755), """")"),42565.48668981482)</f>
        <v>42565.48669</v>
      </c>
      <c r="J2755" s="19" t="s">
        <v>14</v>
      </c>
      <c r="K2755" s="22">
        <f t="shared" si="2"/>
        <v>0</v>
      </c>
    </row>
    <row r="2756">
      <c r="A2756" s="18">
        <v>4909.0</v>
      </c>
      <c r="B2756" s="18" t="s">
        <v>30</v>
      </c>
      <c r="C2756" s="18">
        <v>291.0</v>
      </c>
      <c r="D2756" s="18" t="s">
        <v>31</v>
      </c>
      <c r="E2756" s="27">
        <v>42565.75269675926</v>
      </c>
      <c r="F2756" s="19">
        <f>IFERROR(__xludf.DUMMYFUNCTION("IFERROR(TO_DATE(E2756), """")"),42565.75269675926)</f>
        <v>42565.7527</v>
      </c>
      <c r="G2756" s="20">
        <f t="shared" si="1"/>
        <v>18</v>
      </c>
      <c r="H2756" s="27">
        <v>42565.7737037037</v>
      </c>
      <c r="I2756" s="19">
        <f>IFERROR(__xludf.DUMMYFUNCTION("IFERROR(TO_DATE(H2756), """")"),42565.7737037037)</f>
        <v>42565.7737</v>
      </c>
      <c r="J2756" s="19" t="s">
        <v>12</v>
      </c>
      <c r="K2756" s="22">
        <f t="shared" si="2"/>
        <v>0</v>
      </c>
    </row>
    <row r="2757">
      <c r="A2757" s="18">
        <v>5578.0</v>
      </c>
      <c r="B2757" s="18" t="s">
        <v>32</v>
      </c>
      <c r="C2757" s="18">
        <v>291.0</v>
      </c>
      <c r="D2757" s="18" t="s">
        <v>31</v>
      </c>
      <c r="E2757" s="27">
        <v>42566.24170138889</v>
      </c>
      <c r="F2757" s="19">
        <f>IFERROR(__xludf.DUMMYFUNCTION("IFERROR(TO_DATE(E2757), """")"),42566.24170138889)</f>
        <v>42566.2417</v>
      </c>
      <c r="G2757" s="20">
        <f t="shared" si="1"/>
        <v>5</v>
      </c>
      <c r="H2757" s="27">
        <v>42566.280023148145</v>
      </c>
      <c r="I2757" s="19">
        <f>IFERROR(__xludf.DUMMYFUNCTION("IFERROR(TO_DATE(H2757), """")"),42566.280023148145)</f>
        <v>42566.28002</v>
      </c>
      <c r="J2757" s="19" t="s">
        <v>11</v>
      </c>
      <c r="K2757" s="22">
        <f t="shared" si="2"/>
        <v>0</v>
      </c>
    </row>
    <row r="2758">
      <c r="A2758" s="18">
        <v>6404.0</v>
      </c>
      <c r="B2758" s="18" t="s">
        <v>30</v>
      </c>
      <c r="C2758" s="18">
        <v>291.0</v>
      </c>
      <c r="D2758" s="18" t="s">
        <v>31</v>
      </c>
      <c r="E2758" s="27">
        <v>42566.809016203704</v>
      </c>
      <c r="F2758" s="19">
        <f>IFERROR(__xludf.DUMMYFUNCTION("IFERROR(TO_DATE(E2758), """")"),42566.809016203704)</f>
        <v>42566.80902</v>
      </c>
      <c r="G2758" s="20">
        <f t="shared" si="1"/>
        <v>19</v>
      </c>
      <c r="H2758" s="27">
        <v>42566.83583333333</v>
      </c>
      <c r="I2758" s="19">
        <f>IFERROR(__xludf.DUMMYFUNCTION("IFERROR(TO_DATE(H2758), """")"),42566.83583333333)</f>
        <v>42566.83583</v>
      </c>
      <c r="J2758" s="19" t="s">
        <v>12</v>
      </c>
      <c r="K2758" s="22">
        <f t="shared" si="2"/>
        <v>0</v>
      </c>
    </row>
    <row r="2759">
      <c r="A2759" s="18">
        <v>6623.0</v>
      </c>
      <c r="B2759" s="18" t="s">
        <v>32</v>
      </c>
      <c r="C2759" s="18">
        <v>291.0</v>
      </c>
      <c r="D2759" s="18" t="s">
        <v>31</v>
      </c>
      <c r="E2759" s="27">
        <v>42566.910833333335</v>
      </c>
      <c r="F2759" s="19">
        <f>IFERROR(__xludf.DUMMYFUNCTION("IFERROR(TO_DATE(E2759), """")"),42566.910833333335)</f>
        <v>42566.91083</v>
      </c>
      <c r="G2759" s="20">
        <f t="shared" si="1"/>
        <v>21</v>
      </c>
      <c r="H2759" s="27">
        <v>42566.96673611111</v>
      </c>
      <c r="I2759" s="19">
        <f>IFERROR(__xludf.DUMMYFUNCTION("IFERROR(TO_DATE(H2759), """")"),42566.96673611111)</f>
        <v>42566.96674</v>
      </c>
      <c r="J2759" s="19" t="s">
        <v>13</v>
      </c>
      <c r="K2759" s="22">
        <f t="shared" si="2"/>
        <v>0</v>
      </c>
    </row>
    <row r="2760">
      <c r="A2760" s="18">
        <v>6738.0</v>
      </c>
      <c r="B2760" s="18" t="s">
        <v>30</v>
      </c>
      <c r="C2760" s="18">
        <v>291.0</v>
      </c>
      <c r="D2760" s="18" t="s">
        <v>31</v>
      </c>
      <c r="E2760" s="27">
        <v>42566.9897337963</v>
      </c>
      <c r="F2760" s="19">
        <f>IFERROR(__xludf.DUMMYFUNCTION("IFERROR(TO_DATE(E2760), """")"),42566.9897337963)</f>
        <v>42566.98973</v>
      </c>
      <c r="G2760" s="20">
        <f t="shared" si="1"/>
        <v>23</v>
      </c>
      <c r="H2760" s="27">
        <v>42567.024826388886</v>
      </c>
      <c r="I2760" s="19">
        <f>IFERROR(__xludf.DUMMYFUNCTION("IFERROR(TO_DATE(H2760), """")"),42567.024826388886)</f>
        <v>42567.02483</v>
      </c>
      <c r="J2760" s="19" t="s">
        <v>13</v>
      </c>
      <c r="K2760" s="22">
        <f t="shared" si="2"/>
        <v>0</v>
      </c>
    </row>
    <row r="2761">
      <c r="A2761" s="18">
        <v>497.0</v>
      </c>
      <c r="B2761" s="18" t="s">
        <v>32</v>
      </c>
      <c r="C2761" s="18">
        <v>292.0</v>
      </c>
      <c r="D2761" s="18" t="s">
        <v>31</v>
      </c>
      <c r="E2761" s="26">
        <v>42562.39791666667</v>
      </c>
      <c r="F2761" s="19">
        <f>IFERROR(__xludf.DUMMYFUNCTION("IFERROR(TO_DATE(E2761), """")"),42562.39791666667)</f>
        <v>42562.39792</v>
      </c>
      <c r="G2761" s="20">
        <f t="shared" si="1"/>
        <v>9</v>
      </c>
      <c r="H2761" s="26">
        <v>42562.42291666667</v>
      </c>
      <c r="I2761" s="19">
        <f>IFERROR(__xludf.DUMMYFUNCTION("IFERROR(TO_DATE(H2761), """")"),42562.42291666667)</f>
        <v>42562.42292</v>
      </c>
      <c r="J2761" s="19" t="s">
        <v>14</v>
      </c>
      <c r="K2761" s="22">
        <f t="shared" si="2"/>
        <v>0</v>
      </c>
    </row>
    <row r="2762">
      <c r="A2762" s="18">
        <v>1071.0</v>
      </c>
      <c r="B2762" s="18" t="s">
        <v>30</v>
      </c>
      <c r="C2762" s="18">
        <v>292.0</v>
      </c>
      <c r="D2762" s="18" t="s">
        <v>31</v>
      </c>
      <c r="E2762" s="26">
        <v>42562.83194444444</v>
      </c>
      <c r="F2762" s="19">
        <f>IFERROR(__xludf.DUMMYFUNCTION("IFERROR(TO_DATE(E2762), """")"),42562.83194444444)</f>
        <v>42562.83194</v>
      </c>
      <c r="G2762" s="20">
        <f t="shared" si="1"/>
        <v>19</v>
      </c>
      <c r="H2762" s="26">
        <v>42562.85555555556</v>
      </c>
      <c r="I2762" s="19">
        <f>IFERROR(__xludf.DUMMYFUNCTION("IFERROR(TO_DATE(H2762), """")"),42562.85555555556)</f>
        <v>42562.85556</v>
      </c>
      <c r="J2762" s="19" t="s">
        <v>12</v>
      </c>
      <c r="K2762" s="22">
        <f t="shared" si="2"/>
        <v>0</v>
      </c>
    </row>
    <row r="2763">
      <c r="A2763" s="18">
        <v>1709.0</v>
      </c>
      <c r="B2763" s="18" t="s">
        <v>32</v>
      </c>
      <c r="C2763" s="18">
        <v>292.0</v>
      </c>
      <c r="D2763" s="18" t="s">
        <v>31</v>
      </c>
      <c r="E2763" s="26">
        <v>42563.339583333334</v>
      </c>
      <c r="F2763" s="19">
        <f>IFERROR(__xludf.DUMMYFUNCTION("IFERROR(TO_DATE(E2763), """")"),42563.339583333334)</f>
        <v>42563.33958</v>
      </c>
      <c r="G2763" s="20">
        <f t="shared" si="1"/>
        <v>8</v>
      </c>
      <c r="H2763" s="26">
        <v>42563.38263888889</v>
      </c>
      <c r="I2763" s="19">
        <f>IFERROR(__xludf.DUMMYFUNCTION("IFERROR(TO_DATE(H2763), """")"),42563.38263888889)</f>
        <v>42563.38264</v>
      </c>
      <c r="J2763" s="19" t="s">
        <v>14</v>
      </c>
      <c r="K2763" s="22">
        <f t="shared" si="2"/>
        <v>0</v>
      </c>
    </row>
    <row r="2764">
      <c r="A2764" s="18">
        <v>2348.0</v>
      </c>
      <c r="B2764" s="18" t="s">
        <v>32</v>
      </c>
      <c r="C2764" s="18">
        <v>292.0</v>
      </c>
      <c r="D2764" s="18" t="s">
        <v>31</v>
      </c>
      <c r="E2764" s="26">
        <v>42563.80625</v>
      </c>
      <c r="F2764" s="19">
        <f>IFERROR(__xludf.DUMMYFUNCTION("IFERROR(TO_DATE(E2764), """")"),42563.80625)</f>
        <v>42563.80625</v>
      </c>
      <c r="G2764" s="20">
        <f t="shared" si="1"/>
        <v>19</v>
      </c>
      <c r="H2764" s="26">
        <v>42563.85138888889</v>
      </c>
      <c r="I2764" s="19">
        <f>IFERROR(__xludf.DUMMYFUNCTION("IFERROR(TO_DATE(H2764), """")"),42563.85138888889)</f>
        <v>42563.85139</v>
      </c>
      <c r="J2764" s="19" t="s">
        <v>12</v>
      </c>
      <c r="K2764" s="22">
        <f t="shared" si="2"/>
        <v>0</v>
      </c>
    </row>
    <row r="2765">
      <c r="A2765" s="18">
        <v>3342.0</v>
      </c>
      <c r="B2765" s="18" t="s">
        <v>30</v>
      </c>
      <c r="C2765" s="18">
        <v>292.0</v>
      </c>
      <c r="D2765" s="18" t="s">
        <v>31</v>
      </c>
      <c r="E2765" s="27">
        <v>42564.53556712963</v>
      </c>
      <c r="F2765" s="19">
        <f>IFERROR(__xludf.DUMMYFUNCTION("IFERROR(TO_DATE(E2765), """")"),42564.53556712963)</f>
        <v>42564.53557</v>
      </c>
      <c r="G2765" s="20">
        <f t="shared" si="1"/>
        <v>12</v>
      </c>
      <c r="H2765" s="27">
        <v>42564.56597222222</v>
      </c>
      <c r="I2765" s="19">
        <f>IFERROR(__xludf.DUMMYFUNCTION("IFERROR(TO_DATE(H2765), """")"),42564.56597222222)</f>
        <v>42564.56597</v>
      </c>
      <c r="J2765" s="19" t="s">
        <v>10</v>
      </c>
      <c r="K2765" s="22">
        <f t="shared" si="2"/>
        <v>0</v>
      </c>
    </row>
    <row r="2766">
      <c r="A2766" s="18">
        <v>1008.0</v>
      </c>
      <c r="B2766" s="18" t="s">
        <v>30</v>
      </c>
      <c r="C2766" s="18">
        <v>293.0</v>
      </c>
      <c r="D2766" s="18" t="s">
        <v>31</v>
      </c>
      <c r="E2766" s="26">
        <v>42562.79513888889</v>
      </c>
      <c r="F2766" s="19">
        <f>IFERROR(__xludf.DUMMYFUNCTION("IFERROR(TO_DATE(E2766), """")"),42562.79513888889)</f>
        <v>42562.79514</v>
      </c>
      <c r="G2766" s="20">
        <f t="shared" si="1"/>
        <v>19</v>
      </c>
      <c r="H2766" s="26">
        <v>42562.839583333334</v>
      </c>
      <c r="I2766" s="19">
        <f>IFERROR(__xludf.DUMMYFUNCTION("IFERROR(TO_DATE(H2766), """")"),42562.839583333334)</f>
        <v>42562.83958</v>
      </c>
      <c r="J2766" s="19" t="s">
        <v>12</v>
      </c>
      <c r="K2766" s="22">
        <f t="shared" si="2"/>
        <v>0</v>
      </c>
    </row>
    <row r="2767">
      <c r="A2767" s="18">
        <v>2430.0</v>
      </c>
      <c r="B2767" s="18" t="s">
        <v>32</v>
      </c>
      <c r="C2767" s="18">
        <v>293.0</v>
      </c>
      <c r="D2767" s="18" t="s">
        <v>31</v>
      </c>
      <c r="E2767" s="26">
        <v>42563.84166666667</v>
      </c>
      <c r="F2767" s="19">
        <f>IFERROR(__xludf.DUMMYFUNCTION("IFERROR(TO_DATE(E2767), """")"),42563.84166666667)</f>
        <v>42563.84167</v>
      </c>
      <c r="G2767" s="20">
        <f t="shared" si="1"/>
        <v>20</v>
      </c>
      <c r="H2767" s="26">
        <v>42563.86388888889</v>
      </c>
      <c r="I2767" s="19">
        <f>IFERROR(__xludf.DUMMYFUNCTION("IFERROR(TO_DATE(H2767), """")"),42563.86388888889)</f>
        <v>42563.86389</v>
      </c>
      <c r="J2767" s="19" t="s">
        <v>13</v>
      </c>
      <c r="K2767" s="22">
        <f t="shared" si="2"/>
        <v>0</v>
      </c>
    </row>
    <row r="2768">
      <c r="A2768" s="18">
        <v>3352.0</v>
      </c>
      <c r="B2768" s="18" t="s">
        <v>32</v>
      </c>
      <c r="C2768" s="18">
        <v>293.0</v>
      </c>
      <c r="D2768" s="18" t="s">
        <v>31</v>
      </c>
      <c r="E2768" s="27">
        <v>42564.56005787037</v>
      </c>
      <c r="F2768" s="19">
        <f>IFERROR(__xludf.DUMMYFUNCTION("IFERROR(TO_DATE(E2768), """")"),42564.56005787037)</f>
        <v>42564.56006</v>
      </c>
      <c r="G2768" s="20">
        <f t="shared" si="1"/>
        <v>13</v>
      </c>
      <c r="H2768" s="27">
        <v>42564.586689814816</v>
      </c>
      <c r="I2768" s="19">
        <f>IFERROR(__xludf.DUMMYFUNCTION("IFERROR(TO_DATE(H2768), """")"),42564.586689814816)</f>
        <v>42564.58669</v>
      </c>
      <c r="J2768" s="19" t="s">
        <v>10</v>
      </c>
      <c r="K2768" s="22">
        <f t="shared" si="2"/>
        <v>0</v>
      </c>
    </row>
    <row r="2769">
      <c r="A2769" s="18">
        <v>3748.0</v>
      </c>
      <c r="B2769" s="18" t="s">
        <v>32</v>
      </c>
      <c r="C2769" s="18">
        <v>293.0</v>
      </c>
      <c r="D2769" s="18" t="s">
        <v>31</v>
      </c>
      <c r="E2769" s="27">
        <v>42564.8496875</v>
      </c>
      <c r="F2769" s="19">
        <f>IFERROR(__xludf.DUMMYFUNCTION("IFERROR(TO_DATE(E2769), """")"),42564.8496875)</f>
        <v>42564.84969</v>
      </c>
      <c r="G2769" s="20">
        <f t="shared" si="1"/>
        <v>20</v>
      </c>
      <c r="H2769" s="27">
        <v>42564.89318287037</v>
      </c>
      <c r="I2769" s="19">
        <f>IFERROR(__xludf.DUMMYFUNCTION("IFERROR(TO_DATE(H2769), """")"),42564.89318287037)</f>
        <v>42564.89318</v>
      </c>
      <c r="J2769" s="19" t="s">
        <v>13</v>
      </c>
      <c r="K2769" s="22">
        <f t="shared" si="2"/>
        <v>0</v>
      </c>
    </row>
    <row r="2770">
      <c r="A2770" s="18">
        <v>5687.0</v>
      </c>
      <c r="B2770" s="18" t="s">
        <v>32</v>
      </c>
      <c r="C2770" s="18">
        <v>293.0</v>
      </c>
      <c r="D2770" s="18" t="s">
        <v>31</v>
      </c>
      <c r="E2770" s="27">
        <v>42566.3021875</v>
      </c>
      <c r="F2770" s="19">
        <f>IFERROR(__xludf.DUMMYFUNCTION("IFERROR(TO_DATE(E2770), """")"),42566.3021875)</f>
        <v>42566.30219</v>
      </c>
      <c r="G2770" s="20">
        <f t="shared" si="1"/>
        <v>7</v>
      </c>
      <c r="H2770" s="27">
        <v>42566.33435185185</v>
      </c>
      <c r="I2770" s="19">
        <f>IFERROR(__xludf.DUMMYFUNCTION("IFERROR(TO_DATE(H2770), """")"),42566.33435185185)</f>
        <v>42566.33435</v>
      </c>
      <c r="J2770" s="19" t="s">
        <v>11</v>
      </c>
      <c r="K2770" s="22">
        <f t="shared" si="2"/>
        <v>0</v>
      </c>
    </row>
    <row r="2771">
      <c r="A2771" s="18">
        <v>6724.0</v>
      </c>
      <c r="B2771" s="18" t="s">
        <v>30</v>
      </c>
      <c r="C2771" s="18">
        <v>293.0</v>
      </c>
      <c r="D2771" s="18" t="s">
        <v>31</v>
      </c>
      <c r="E2771" s="27">
        <v>42566.97263888889</v>
      </c>
      <c r="F2771" s="19">
        <f>IFERROR(__xludf.DUMMYFUNCTION("IFERROR(TO_DATE(E2771), """")"),42566.97263888889)</f>
        <v>42566.97264</v>
      </c>
      <c r="G2771" s="20">
        <f t="shared" si="1"/>
        <v>23</v>
      </c>
      <c r="H2771" s="27">
        <v>42567.00712962963</v>
      </c>
      <c r="I2771" s="19">
        <f>IFERROR(__xludf.DUMMYFUNCTION("IFERROR(TO_DATE(H2771), """")"),42567.00712962963)</f>
        <v>42567.00713</v>
      </c>
      <c r="J2771" s="19" t="s">
        <v>13</v>
      </c>
      <c r="K2771" s="22">
        <f t="shared" si="2"/>
        <v>0</v>
      </c>
    </row>
    <row r="2772">
      <c r="A2772" s="18">
        <v>152.0</v>
      </c>
      <c r="B2772" s="18" t="s">
        <v>32</v>
      </c>
      <c r="C2772" s="18">
        <v>294.0</v>
      </c>
      <c r="D2772" s="18" t="s">
        <v>31</v>
      </c>
      <c r="E2772" s="26">
        <v>42562.228472222225</v>
      </c>
      <c r="F2772" s="19">
        <f>IFERROR(__xludf.DUMMYFUNCTION("IFERROR(TO_DATE(E2772), """")"),42562.228472222225)</f>
        <v>42562.22847</v>
      </c>
      <c r="G2772" s="20">
        <f t="shared" si="1"/>
        <v>5</v>
      </c>
      <c r="H2772" s="26">
        <v>42562.26111111111</v>
      </c>
      <c r="I2772" s="19">
        <f>IFERROR(__xludf.DUMMYFUNCTION("IFERROR(TO_DATE(H2772), """")"),42562.26111111111)</f>
        <v>42562.26111</v>
      </c>
      <c r="J2772" s="19" t="s">
        <v>11</v>
      </c>
      <c r="K2772" s="22">
        <f t="shared" si="2"/>
        <v>0</v>
      </c>
    </row>
    <row r="2773">
      <c r="A2773" s="18">
        <v>1207.0</v>
      </c>
      <c r="B2773" s="18" t="s">
        <v>30</v>
      </c>
      <c r="C2773" s="18">
        <v>294.0</v>
      </c>
      <c r="D2773" s="18" t="s">
        <v>31</v>
      </c>
      <c r="E2773" s="26">
        <v>42562.89097222222</v>
      </c>
      <c r="F2773" s="19">
        <f>IFERROR(__xludf.DUMMYFUNCTION("IFERROR(TO_DATE(E2773), """")"),42562.89097222222)</f>
        <v>42562.89097</v>
      </c>
      <c r="G2773" s="20">
        <f t="shared" si="1"/>
        <v>21</v>
      </c>
      <c r="H2773" s="26">
        <v>42562.938888888886</v>
      </c>
      <c r="I2773" s="19">
        <f>IFERROR(__xludf.DUMMYFUNCTION("IFERROR(TO_DATE(H2773), """")"),42562.938888888886)</f>
        <v>42562.93889</v>
      </c>
      <c r="J2773" s="19" t="s">
        <v>13</v>
      </c>
      <c r="K2773" s="22">
        <f t="shared" si="2"/>
        <v>0</v>
      </c>
    </row>
    <row r="2774">
      <c r="A2774" s="18">
        <v>1377.0</v>
      </c>
      <c r="B2774" s="18" t="s">
        <v>30</v>
      </c>
      <c r="C2774" s="18">
        <v>294.0</v>
      </c>
      <c r="D2774" s="18" t="s">
        <v>31</v>
      </c>
      <c r="E2774" s="26">
        <v>42563.0375</v>
      </c>
      <c r="F2774" s="19">
        <f>IFERROR(__xludf.DUMMYFUNCTION("IFERROR(TO_DATE(E2774), """")"),42563.0375)</f>
        <v>42563.0375</v>
      </c>
      <c r="G2774" s="20">
        <f t="shared" si="1"/>
        <v>0</v>
      </c>
      <c r="H2774" s="26">
        <v>42563.07986111111</v>
      </c>
      <c r="I2774" s="19">
        <f>IFERROR(__xludf.DUMMYFUNCTION("IFERROR(TO_DATE(H2774), """")"),42563.07986111111)</f>
        <v>42563.07986</v>
      </c>
      <c r="J2774" s="19" t="s">
        <v>15</v>
      </c>
      <c r="K2774" s="22">
        <f t="shared" si="2"/>
        <v>0</v>
      </c>
    </row>
    <row r="2775">
      <c r="A2775" s="18">
        <v>1606.0</v>
      </c>
      <c r="B2775" s="18" t="s">
        <v>30</v>
      </c>
      <c r="C2775" s="18">
        <v>294.0</v>
      </c>
      <c r="D2775" s="18" t="s">
        <v>31</v>
      </c>
      <c r="E2775" s="26">
        <v>42563.28125</v>
      </c>
      <c r="F2775" s="19">
        <f>IFERROR(__xludf.DUMMYFUNCTION("IFERROR(TO_DATE(E2775), """")"),42563.28125)</f>
        <v>42563.28125</v>
      </c>
      <c r="G2775" s="20">
        <f t="shared" si="1"/>
        <v>6</v>
      </c>
      <c r="H2775" s="26">
        <v>42563.32638888889</v>
      </c>
      <c r="I2775" s="19">
        <f>IFERROR(__xludf.DUMMYFUNCTION("IFERROR(TO_DATE(H2775), """")"),42563.32638888889)</f>
        <v>42563.32639</v>
      </c>
      <c r="J2775" s="19" t="s">
        <v>11</v>
      </c>
      <c r="K2775" s="22">
        <f t="shared" si="2"/>
        <v>0</v>
      </c>
    </row>
    <row r="2776">
      <c r="A2776" s="18">
        <v>1920.0</v>
      </c>
      <c r="B2776" s="18" t="s">
        <v>32</v>
      </c>
      <c r="C2776" s="18">
        <v>294.0</v>
      </c>
      <c r="D2776" s="18" t="s">
        <v>31</v>
      </c>
      <c r="E2776" s="26">
        <v>42563.455555555556</v>
      </c>
      <c r="F2776" s="19">
        <f>IFERROR(__xludf.DUMMYFUNCTION("IFERROR(TO_DATE(E2776), """")"),42563.455555555556)</f>
        <v>42563.45556</v>
      </c>
      <c r="G2776" s="20">
        <f t="shared" si="1"/>
        <v>10</v>
      </c>
      <c r="H2776" s="26">
        <v>42563.498611111114</v>
      </c>
      <c r="I2776" s="19">
        <f>IFERROR(__xludf.DUMMYFUNCTION("IFERROR(TO_DATE(H2776), """")"),42563.498611111114)</f>
        <v>42563.49861</v>
      </c>
      <c r="J2776" s="19" t="s">
        <v>14</v>
      </c>
      <c r="K2776" s="22">
        <f t="shared" si="2"/>
        <v>0</v>
      </c>
    </row>
    <row r="2777">
      <c r="A2777" s="18">
        <v>2856.0</v>
      </c>
      <c r="B2777" s="18" t="s">
        <v>30</v>
      </c>
      <c r="C2777" s="18">
        <v>294.0</v>
      </c>
      <c r="D2777" s="18" t="s">
        <v>31</v>
      </c>
      <c r="E2777" s="27">
        <v>42564.232627314814</v>
      </c>
      <c r="F2777" s="19">
        <f>IFERROR(__xludf.DUMMYFUNCTION("IFERROR(TO_DATE(E2777), """")"),42564.232627314814)</f>
        <v>42564.23263</v>
      </c>
      <c r="G2777" s="20">
        <f t="shared" si="1"/>
        <v>5</v>
      </c>
      <c r="H2777" s="27">
        <v>42564.282546296294</v>
      </c>
      <c r="I2777" s="19">
        <f>IFERROR(__xludf.DUMMYFUNCTION("IFERROR(TO_DATE(H2777), """")"),42564.282546296294)</f>
        <v>42564.28255</v>
      </c>
      <c r="J2777" s="19" t="s">
        <v>11</v>
      </c>
      <c r="K2777" s="22">
        <f t="shared" si="2"/>
        <v>0</v>
      </c>
    </row>
    <row r="2778">
      <c r="A2778" s="18">
        <v>3277.0</v>
      </c>
      <c r="B2778" s="18" t="s">
        <v>32</v>
      </c>
      <c r="C2778" s="18">
        <v>294.0</v>
      </c>
      <c r="D2778" s="18" t="s">
        <v>31</v>
      </c>
      <c r="E2778" s="27">
        <v>42564.44577546296</v>
      </c>
      <c r="F2778" s="19">
        <f>IFERROR(__xludf.DUMMYFUNCTION("IFERROR(TO_DATE(E2778), """")"),42564.44577546296)</f>
        <v>42564.44578</v>
      </c>
      <c r="G2778" s="20">
        <f t="shared" si="1"/>
        <v>10</v>
      </c>
      <c r="H2778" s="27">
        <v>42564.46271990741</v>
      </c>
      <c r="I2778" s="19">
        <f>IFERROR(__xludf.DUMMYFUNCTION("IFERROR(TO_DATE(H2778), """")"),42564.46271990741)</f>
        <v>42564.46272</v>
      </c>
      <c r="J2778" s="19" t="s">
        <v>14</v>
      </c>
      <c r="K2778" s="22">
        <f t="shared" si="2"/>
        <v>0</v>
      </c>
    </row>
    <row r="2779">
      <c r="A2779" s="18">
        <v>4501.0</v>
      </c>
      <c r="B2779" s="18" t="s">
        <v>32</v>
      </c>
      <c r="C2779" s="18">
        <v>294.0</v>
      </c>
      <c r="D2779" s="18" t="s">
        <v>31</v>
      </c>
      <c r="E2779" s="27">
        <v>42565.37600694445</v>
      </c>
      <c r="F2779" s="19">
        <f>IFERROR(__xludf.DUMMYFUNCTION("IFERROR(TO_DATE(E2779), """")"),42565.37600694445)</f>
        <v>42565.37601</v>
      </c>
      <c r="G2779" s="20">
        <f t="shared" si="1"/>
        <v>9</v>
      </c>
      <c r="H2779" s="27">
        <v>42565.411087962966</v>
      </c>
      <c r="I2779" s="19">
        <f>IFERROR(__xludf.DUMMYFUNCTION("IFERROR(TO_DATE(H2779), """")"),42565.411087962966)</f>
        <v>42565.41109</v>
      </c>
      <c r="J2779" s="19" t="s">
        <v>14</v>
      </c>
      <c r="K2779" s="22">
        <f t="shared" si="2"/>
        <v>0</v>
      </c>
    </row>
    <row r="2780">
      <c r="A2780" s="18">
        <v>5194.0</v>
      </c>
      <c r="B2780" s="18" t="s">
        <v>32</v>
      </c>
      <c r="C2780" s="18">
        <v>294.0</v>
      </c>
      <c r="D2780" s="18" t="s">
        <v>31</v>
      </c>
      <c r="E2780" s="27">
        <v>42565.86309027778</v>
      </c>
      <c r="F2780" s="19">
        <f>IFERROR(__xludf.DUMMYFUNCTION("IFERROR(TO_DATE(E2780), """")"),42565.86309027778)</f>
        <v>42565.86309</v>
      </c>
      <c r="G2780" s="20">
        <f t="shared" si="1"/>
        <v>20</v>
      </c>
      <c r="H2780" s="27">
        <v>42565.89362268519</v>
      </c>
      <c r="I2780" s="19">
        <f>IFERROR(__xludf.DUMMYFUNCTION("IFERROR(TO_DATE(H2780), """")"),42565.89362268519)</f>
        <v>42565.89362</v>
      </c>
      <c r="J2780" s="19" t="s">
        <v>13</v>
      </c>
      <c r="K2780" s="22">
        <f t="shared" si="2"/>
        <v>0</v>
      </c>
    </row>
    <row r="2781">
      <c r="A2781" s="18">
        <v>5519.0</v>
      </c>
      <c r="B2781" s="18" t="s">
        <v>30</v>
      </c>
      <c r="C2781" s="18">
        <v>294.0</v>
      </c>
      <c r="D2781" s="18" t="s">
        <v>31</v>
      </c>
      <c r="E2781" s="27">
        <v>42566.216631944444</v>
      </c>
      <c r="F2781" s="19">
        <f>IFERROR(__xludf.DUMMYFUNCTION("IFERROR(TO_DATE(E2781), """")"),42566.216631944444)</f>
        <v>42566.21663</v>
      </c>
      <c r="G2781" s="20">
        <f t="shared" si="1"/>
        <v>5</v>
      </c>
      <c r="H2781" s="27">
        <v>42566.24716435185</v>
      </c>
      <c r="I2781" s="19">
        <f>IFERROR(__xludf.DUMMYFUNCTION("IFERROR(TO_DATE(H2781), """")"),42566.24716435185)</f>
        <v>42566.24716</v>
      </c>
      <c r="J2781" s="19" t="s">
        <v>11</v>
      </c>
      <c r="K2781" s="22">
        <f t="shared" si="2"/>
        <v>0</v>
      </c>
    </row>
    <row r="2782">
      <c r="A2782" s="18">
        <v>6509.0</v>
      </c>
      <c r="B2782" s="18" t="s">
        <v>32</v>
      </c>
      <c r="C2782" s="18">
        <v>294.0</v>
      </c>
      <c r="D2782" s="18" t="s">
        <v>31</v>
      </c>
      <c r="E2782" s="27">
        <v>42566.856157407405</v>
      </c>
      <c r="F2782" s="19">
        <f>IFERROR(__xludf.DUMMYFUNCTION("IFERROR(TO_DATE(E2782), """")"),42566.856157407405)</f>
        <v>42566.85616</v>
      </c>
      <c r="G2782" s="20">
        <f t="shared" si="1"/>
        <v>20</v>
      </c>
      <c r="H2782" s="27">
        <v>42566.91013888889</v>
      </c>
      <c r="I2782" s="19">
        <f>IFERROR(__xludf.DUMMYFUNCTION("IFERROR(TO_DATE(H2782), """")"),42566.91013888889)</f>
        <v>42566.91014</v>
      </c>
      <c r="J2782" s="19" t="s">
        <v>13</v>
      </c>
      <c r="K2782" s="22">
        <f t="shared" si="2"/>
        <v>0</v>
      </c>
    </row>
    <row r="2783">
      <c r="A2783" s="18">
        <v>476.0</v>
      </c>
      <c r="B2783" s="18" t="s">
        <v>32</v>
      </c>
      <c r="C2783" s="18">
        <v>295.0</v>
      </c>
      <c r="D2783" s="18" t="s">
        <v>31</v>
      </c>
      <c r="E2783" s="26">
        <v>42562.39166666667</v>
      </c>
      <c r="F2783" s="19">
        <f>IFERROR(__xludf.DUMMYFUNCTION("IFERROR(TO_DATE(E2783), """")"),42562.39166666667)</f>
        <v>42562.39167</v>
      </c>
      <c r="G2783" s="20">
        <f t="shared" si="1"/>
        <v>9</v>
      </c>
      <c r="H2783" s="26">
        <v>42562.41805555556</v>
      </c>
      <c r="I2783" s="19">
        <f>IFERROR(__xludf.DUMMYFUNCTION("IFERROR(TO_DATE(H2783), """")"),42562.41805555556)</f>
        <v>42562.41806</v>
      </c>
      <c r="J2783" s="19" t="s">
        <v>14</v>
      </c>
      <c r="K2783" s="22">
        <f t="shared" si="2"/>
        <v>0</v>
      </c>
    </row>
    <row r="2784">
      <c r="A2784" s="18">
        <v>1052.0</v>
      </c>
      <c r="B2784" s="18" t="s">
        <v>30</v>
      </c>
      <c r="C2784" s="18">
        <v>295.0</v>
      </c>
      <c r="D2784" s="18" t="s">
        <v>31</v>
      </c>
      <c r="E2784" s="26">
        <v>42562.82083333333</v>
      </c>
      <c r="F2784" s="19">
        <f>IFERROR(__xludf.DUMMYFUNCTION("IFERROR(TO_DATE(E2784), """")"),42562.82083333333)</f>
        <v>42562.82083</v>
      </c>
      <c r="G2784" s="20">
        <f t="shared" si="1"/>
        <v>19</v>
      </c>
      <c r="H2784" s="26">
        <v>42562.870833333334</v>
      </c>
      <c r="I2784" s="19">
        <f>IFERROR(__xludf.DUMMYFUNCTION("IFERROR(TO_DATE(H2784), """")"),42562.870833333334)</f>
        <v>42562.87083</v>
      </c>
      <c r="J2784" s="19" t="s">
        <v>12</v>
      </c>
      <c r="K2784" s="22">
        <f t="shared" si="2"/>
        <v>0</v>
      </c>
    </row>
    <row r="2785">
      <c r="A2785" s="18">
        <v>1743.0</v>
      </c>
      <c r="B2785" s="18" t="s">
        <v>30</v>
      </c>
      <c r="C2785" s="18">
        <v>295.0</v>
      </c>
      <c r="D2785" s="18" t="s">
        <v>31</v>
      </c>
      <c r="E2785" s="26">
        <v>42563.35277777778</v>
      </c>
      <c r="F2785" s="19">
        <f>IFERROR(__xludf.DUMMYFUNCTION("IFERROR(TO_DATE(E2785), """")"),42563.35277777778)</f>
        <v>42563.35278</v>
      </c>
      <c r="G2785" s="20">
        <f t="shared" si="1"/>
        <v>8</v>
      </c>
      <c r="H2785" s="26">
        <v>42563.381944444445</v>
      </c>
      <c r="I2785" s="19">
        <f>IFERROR(__xludf.DUMMYFUNCTION("IFERROR(TO_DATE(H2785), """")"),42563.381944444445)</f>
        <v>42563.38194</v>
      </c>
      <c r="J2785" s="19" t="s">
        <v>14</v>
      </c>
      <c r="K2785" s="22">
        <f t="shared" si="2"/>
        <v>0</v>
      </c>
    </row>
    <row r="2786">
      <c r="A2786" s="18">
        <v>3157.0</v>
      </c>
      <c r="B2786" s="18" t="s">
        <v>30</v>
      </c>
      <c r="C2786" s="18">
        <v>295.0</v>
      </c>
      <c r="D2786" s="18" t="s">
        <v>31</v>
      </c>
      <c r="E2786" s="27">
        <v>42564.37693287037</v>
      </c>
      <c r="F2786" s="19">
        <f>IFERROR(__xludf.DUMMYFUNCTION("IFERROR(TO_DATE(E2786), """")"),42564.37693287037)</f>
        <v>42564.37693</v>
      </c>
      <c r="G2786" s="20">
        <f t="shared" si="1"/>
        <v>9</v>
      </c>
      <c r="H2786" s="27">
        <v>42564.40818287037</v>
      </c>
      <c r="I2786" s="19">
        <f>IFERROR(__xludf.DUMMYFUNCTION("IFERROR(TO_DATE(H2786), """")"),42564.40818287037)</f>
        <v>42564.40818</v>
      </c>
      <c r="J2786" s="19" t="s">
        <v>14</v>
      </c>
      <c r="K2786" s="22">
        <f t="shared" si="2"/>
        <v>0</v>
      </c>
    </row>
    <row r="2787">
      <c r="A2787" s="18">
        <v>5255.0</v>
      </c>
      <c r="B2787" s="18" t="s">
        <v>30</v>
      </c>
      <c r="C2787" s="18">
        <v>295.0</v>
      </c>
      <c r="D2787" s="18" t="s">
        <v>31</v>
      </c>
      <c r="E2787" s="27">
        <v>42565.888715277775</v>
      </c>
      <c r="F2787" s="19">
        <f>IFERROR(__xludf.DUMMYFUNCTION("IFERROR(TO_DATE(E2787), """")"),42565.888715277775)</f>
        <v>42565.88872</v>
      </c>
      <c r="G2787" s="20">
        <f t="shared" si="1"/>
        <v>21</v>
      </c>
      <c r="H2787" s="27">
        <v>42565.92333333333</v>
      </c>
      <c r="I2787" s="19">
        <f>IFERROR(__xludf.DUMMYFUNCTION("IFERROR(TO_DATE(H2787), """")"),42565.92333333333)</f>
        <v>42565.92333</v>
      </c>
      <c r="J2787" s="19" t="s">
        <v>13</v>
      </c>
      <c r="K2787" s="22">
        <f t="shared" si="2"/>
        <v>0</v>
      </c>
    </row>
    <row r="2788">
      <c r="A2788" s="18">
        <v>6475.0</v>
      </c>
      <c r="B2788" s="18" t="s">
        <v>32</v>
      </c>
      <c r="C2788" s="18">
        <v>295.0</v>
      </c>
      <c r="D2788" s="18" t="s">
        <v>31</v>
      </c>
      <c r="E2788" s="27">
        <v>42566.847337962965</v>
      </c>
      <c r="F2788" s="19">
        <f>IFERROR(__xludf.DUMMYFUNCTION("IFERROR(TO_DATE(E2788), """")"),42566.847337962965)</f>
        <v>42566.84734</v>
      </c>
      <c r="G2788" s="20">
        <f t="shared" si="1"/>
        <v>20</v>
      </c>
      <c r="H2788" s="27">
        <v>42566.87667824074</v>
      </c>
      <c r="I2788" s="19">
        <f>IFERROR(__xludf.DUMMYFUNCTION("IFERROR(TO_DATE(H2788), """")"),42566.87667824074)</f>
        <v>42566.87668</v>
      </c>
      <c r="J2788" s="19" t="s">
        <v>13</v>
      </c>
      <c r="K2788" s="22">
        <f t="shared" si="2"/>
        <v>0</v>
      </c>
    </row>
    <row r="2789">
      <c r="A2789" s="18">
        <v>477.0</v>
      </c>
      <c r="B2789" s="18" t="s">
        <v>32</v>
      </c>
      <c r="C2789" s="18">
        <v>296.0</v>
      </c>
      <c r="D2789" s="18" t="s">
        <v>31</v>
      </c>
      <c r="E2789" s="26">
        <v>42562.39444444444</v>
      </c>
      <c r="F2789" s="19">
        <f>IFERROR(__xludf.DUMMYFUNCTION("IFERROR(TO_DATE(E2789), """")"),42562.39444444444)</f>
        <v>42562.39444</v>
      </c>
      <c r="G2789" s="20">
        <f t="shared" si="1"/>
        <v>9</v>
      </c>
      <c r="H2789" s="26">
        <v>42562.44513888889</v>
      </c>
      <c r="I2789" s="19">
        <f>IFERROR(__xludf.DUMMYFUNCTION("IFERROR(TO_DATE(H2789), """")"),42562.44513888889)</f>
        <v>42562.44514</v>
      </c>
      <c r="J2789" s="19" t="s">
        <v>14</v>
      </c>
      <c r="K2789" s="22">
        <f t="shared" si="2"/>
        <v>0</v>
      </c>
    </row>
    <row r="2790">
      <c r="A2790" s="18">
        <v>643.0</v>
      </c>
      <c r="B2790" s="18" t="s">
        <v>32</v>
      </c>
      <c r="C2790" s="18">
        <v>296.0</v>
      </c>
      <c r="D2790" s="18" t="s">
        <v>31</v>
      </c>
      <c r="E2790" s="26">
        <v>42562.524305555555</v>
      </c>
      <c r="F2790" s="19">
        <f>IFERROR(__xludf.DUMMYFUNCTION("IFERROR(TO_DATE(E2790), """")"),42562.524305555555)</f>
        <v>42562.52431</v>
      </c>
      <c r="G2790" s="20">
        <f t="shared" si="1"/>
        <v>12</v>
      </c>
      <c r="H2790" s="26">
        <v>42562.555555555555</v>
      </c>
      <c r="I2790" s="19">
        <f>IFERROR(__xludf.DUMMYFUNCTION("IFERROR(TO_DATE(H2790), """")"),42562.555555555555)</f>
        <v>42562.55556</v>
      </c>
      <c r="J2790" s="19" t="s">
        <v>10</v>
      </c>
      <c r="K2790" s="22">
        <f t="shared" si="2"/>
        <v>0</v>
      </c>
    </row>
    <row r="2791">
      <c r="A2791" s="18">
        <v>1152.0</v>
      </c>
      <c r="B2791" s="18" t="s">
        <v>30</v>
      </c>
      <c r="C2791" s="18">
        <v>296.0</v>
      </c>
      <c r="D2791" s="18" t="s">
        <v>31</v>
      </c>
      <c r="E2791" s="26">
        <v>42562.86041666667</v>
      </c>
      <c r="F2791" s="19">
        <f>IFERROR(__xludf.DUMMYFUNCTION("IFERROR(TO_DATE(E2791), """")"),42562.86041666667)</f>
        <v>42562.86042</v>
      </c>
      <c r="G2791" s="20">
        <f t="shared" si="1"/>
        <v>20</v>
      </c>
      <c r="H2791" s="26">
        <v>42562.89444444444</v>
      </c>
      <c r="I2791" s="19">
        <f>IFERROR(__xludf.DUMMYFUNCTION("IFERROR(TO_DATE(H2791), """")"),42562.89444444444)</f>
        <v>42562.89444</v>
      </c>
      <c r="J2791" s="19" t="s">
        <v>13</v>
      </c>
      <c r="K2791" s="22">
        <f t="shared" si="2"/>
        <v>0</v>
      </c>
    </row>
    <row r="2792">
      <c r="A2792" s="18">
        <v>1333.0</v>
      </c>
      <c r="B2792" s="18" t="s">
        <v>32</v>
      </c>
      <c r="C2792" s="18">
        <v>296.0</v>
      </c>
      <c r="D2792" s="18" t="s">
        <v>31</v>
      </c>
      <c r="E2792" s="26">
        <v>42562.970138888886</v>
      </c>
      <c r="F2792" s="19">
        <f>IFERROR(__xludf.DUMMYFUNCTION("IFERROR(TO_DATE(E2792), """")"),42562.970138888886)</f>
        <v>42562.97014</v>
      </c>
      <c r="G2792" s="20">
        <f t="shared" si="1"/>
        <v>23</v>
      </c>
      <c r="H2792" s="26">
        <v>42563.010416666664</v>
      </c>
      <c r="I2792" s="19">
        <f>IFERROR(__xludf.DUMMYFUNCTION("IFERROR(TO_DATE(H2792), """")"),42563.010416666664)</f>
        <v>42563.01042</v>
      </c>
      <c r="J2792" s="19" t="s">
        <v>13</v>
      </c>
      <c r="K2792" s="22">
        <f t="shared" si="2"/>
        <v>0</v>
      </c>
    </row>
    <row r="2793">
      <c r="A2793" s="18">
        <v>1659.0</v>
      </c>
      <c r="B2793" s="18" t="s">
        <v>32</v>
      </c>
      <c r="C2793" s="18">
        <v>296.0</v>
      </c>
      <c r="D2793" s="18" t="s">
        <v>31</v>
      </c>
      <c r="E2793" s="26">
        <v>42563.308333333334</v>
      </c>
      <c r="F2793" s="19">
        <f>IFERROR(__xludf.DUMMYFUNCTION("IFERROR(TO_DATE(E2793), """")"),42563.308333333334)</f>
        <v>42563.30833</v>
      </c>
      <c r="G2793" s="20">
        <f t="shared" si="1"/>
        <v>7</v>
      </c>
      <c r="H2793" s="26">
        <v>42563.34305555555</v>
      </c>
      <c r="I2793" s="19">
        <f>IFERROR(__xludf.DUMMYFUNCTION("IFERROR(TO_DATE(H2793), """")"),42563.34305555555)</f>
        <v>42563.34306</v>
      </c>
      <c r="J2793" s="19" t="s">
        <v>11</v>
      </c>
      <c r="K2793" s="22">
        <f t="shared" si="2"/>
        <v>0</v>
      </c>
    </row>
    <row r="2794">
      <c r="A2794" s="18">
        <v>2657.0</v>
      </c>
      <c r="B2794" s="18" t="s">
        <v>30</v>
      </c>
      <c r="C2794" s="18">
        <v>296.0</v>
      </c>
      <c r="D2794" s="18" t="s">
        <v>31</v>
      </c>
      <c r="E2794" s="26">
        <v>42563.96597222222</v>
      </c>
      <c r="F2794" s="19">
        <f>IFERROR(__xludf.DUMMYFUNCTION("IFERROR(TO_DATE(E2794), """")"),42563.96597222222)</f>
        <v>42563.96597</v>
      </c>
      <c r="G2794" s="20">
        <f t="shared" si="1"/>
        <v>23</v>
      </c>
      <c r="H2794" s="27">
        <v>42564.01982638889</v>
      </c>
      <c r="I2794" s="19">
        <f>IFERROR(__xludf.DUMMYFUNCTION("IFERROR(TO_DATE(H2794), """")"),42564.01982638889)</f>
        <v>42564.01983</v>
      </c>
      <c r="J2794" s="19" t="s">
        <v>13</v>
      </c>
      <c r="K2794" s="22">
        <f t="shared" si="2"/>
        <v>0</v>
      </c>
    </row>
    <row r="2795">
      <c r="A2795" s="18">
        <v>2898.0</v>
      </c>
      <c r="B2795" s="18" t="s">
        <v>30</v>
      </c>
      <c r="C2795" s="18">
        <v>296.0</v>
      </c>
      <c r="D2795" s="18" t="s">
        <v>31</v>
      </c>
      <c r="E2795" s="27">
        <v>42564.25082175926</v>
      </c>
      <c r="F2795" s="19">
        <f>IFERROR(__xludf.DUMMYFUNCTION("IFERROR(TO_DATE(E2795), """")"),42564.25082175926)</f>
        <v>42564.25082</v>
      </c>
      <c r="G2795" s="20">
        <f t="shared" si="1"/>
        <v>6</v>
      </c>
      <c r="H2795" s="27">
        <v>42564.294895833336</v>
      </c>
      <c r="I2795" s="19">
        <f>IFERROR(__xludf.DUMMYFUNCTION("IFERROR(TO_DATE(H2795), """")"),42564.294895833336)</f>
        <v>42564.2949</v>
      </c>
      <c r="J2795" s="19" t="s">
        <v>11</v>
      </c>
      <c r="K2795" s="22">
        <f t="shared" si="2"/>
        <v>0</v>
      </c>
    </row>
    <row r="2796">
      <c r="A2796" s="18">
        <v>3852.0</v>
      </c>
      <c r="B2796" s="18" t="s">
        <v>30</v>
      </c>
      <c r="C2796" s="18">
        <v>296.0</v>
      </c>
      <c r="D2796" s="18" t="s">
        <v>31</v>
      </c>
      <c r="E2796" s="27">
        <v>42564.90162037037</v>
      </c>
      <c r="F2796" s="19">
        <f>IFERROR(__xludf.DUMMYFUNCTION("IFERROR(TO_DATE(E2796), """")"),42564.90162037037)</f>
        <v>42564.90162</v>
      </c>
      <c r="G2796" s="20">
        <f t="shared" si="1"/>
        <v>21</v>
      </c>
      <c r="H2796" s="27">
        <v>42564.93393518519</v>
      </c>
      <c r="I2796" s="19">
        <f>IFERROR(__xludf.DUMMYFUNCTION("IFERROR(TO_DATE(H2796), """")"),42564.93393518519)</f>
        <v>42564.93394</v>
      </c>
      <c r="J2796" s="19" t="s">
        <v>13</v>
      </c>
      <c r="K2796" s="22">
        <f t="shared" si="2"/>
        <v>0</v>
      </c>
    </row>
    <row r="2797">
      <c r="A2797" s="18">
        <v>5342.0</v>
      </c>
      <c r="B2797" s="18" t="s">
        <v>32</v>
      </c>
      <c r="C2797" s="18">
        <v>296.0</v>
      </c>
      <c r="D2797" s="18" t="s">
        <v>31</v>
      </c>
      <c r="E2797" s="27">
        <v>42565.94349537037</v>
      </c>
      <c r="F2797" s="19">
        <f>IFERROR(__xludf.DUMMYFUNCTION("IFERROR(TO_DATE(E2797), """")"),42565.94349537037)</f>
        <v>42565.9435</v>
      </c>
      <c r="G2797" s="20">
        <f t="shared" si="1"/>
        <v>22</v>
      </c>
      <c r="H2797" s="27">
        <v>42565.9731712963</v>
      </c>
      <c r="I2797" s="19">
        <f>IFERROR(__xludf.DUMMYFUNCTION("IFERROR(TO_DATE(H2797), """")"),42565.9731712963)</f>
        <v>42565.97317</v>
      </c>
      <c r="J2797" s="19" t="s">
        <v>13</v>
      </c>
      <c r="K2797" s="22">
        <f t="shared" si="2"/>
        <v>0</v>
      </c>
    </row>
    <row r="2798">
      <c r="A2798" s="18">
        <v>5634.0</v>
      </c>
      <c r="B2798" s="18" t="s">
        <v>30</v>
      </c>
      <c r="C2798" s="18">
        <v>296.0</v>
      </c>
      <c r="D2798" s="18" t="s">
        <v>31</v>
      </c>
      <c r="E2798" s="27">
        <v>42566.28074074074</v>
      </c>
      <c r="F2798" s="19">
        <f>IFERROR(__xludf.DUMMYFUNCTION("IFERROR(TO_DATE(E2798), """")"),42566.28074074074)</f>
        <v>42566.28074</v>
      </c>
      <c r="G2798" s="20">
        <f t="shared" si="1"/>
        <v>6</v>
      </c>
      <c r="H2798" s="27">
        <v>42566.29917824074</v>
      </c>
      <c r="I2798" s="19">
        <f>IFERROR(__xludf.DUMMYFUNCTION("IFERROR(TO_DATE(H2798), """")"),42566.29917824074)</f>
        <v>42566.29918</v>
      </c>
      <c r="J2798" s="19" t="s">
        <v>11</v>
      </c>
      <c r="K2798" s="22">
        <f t="shared" si="2"/>
        <v>0</v>
      </c>
    </row>
    <row r="2799">
      <c r="A2799" s="18">
        <v>30.0</v>
      </c>
      <c r="B2799" s="18" t="s">
        <v>30</v>
      </c>
      <c r="C2799" s="18">
        <v>297.0</v>
      </c>
      <c r="D2799" s="18" t="s">
        <v>31</v>
      </c>
      <c r="E2799" s="26">
        <v>42562.08611111111</v>
      </c>
      <c r="F2799" s="19">
        <f>IFERROR(__xludf.DUMMYFUNCTION("IFERROR(TO_DATE(E2799), """")"),42562.08611111111)</f>
        <v>42562.08611</v>
      </c>
      <c r="G2799" s="20">
        <f t="shared" si="1"/>
        <v>2</v>
      </c>
      <c r="H2799" s="26">
        <v>42562.10902777778</v>
      </c>
      <c r="I2799" s="19">
        <f>IFERROR(__xludf.DUMMYFUNCTION("IFERROR(TO_DATE(H2799), """")"),42562.10902777778)</f>
        <v>42562.10903</v>
      </c>
      <c r="J2799" s="19" t="s">
        <v>15</v>
      </c>
      <c r="K2799" s="22">
        <f t="shared" si="2"/>
        <v>0</v>
      </c>
    </row>
    <row r="2800">
      <c r="A2800" s="18">
        <v>195.0</v>
      </c>
      <c r="B2800" s="18" t="s">
        <v>32</v>
      </c>
      <c r="C2800" s="18">
        <v>297.0</v>
      </c>
      <c r="D2800" s="18" t="s">
        <v>31</v>
      </c>
      <c r="E2800" s="26">
        <v>42562.25347222222</v>
      </c>
      <c r="F2800" s="19">
        <f>IFERROR(__xludf.DUMMYFUNCTION("IFERROR(TO_DATE(E2800), """")"),42562.25347222222)</f>
        <v>42562.25347</v>
      </c>
      <c r="G2800" s="20">
        <f t="shared" si="1"/>
        <v>6</v>
      </c>
      <c r="H2800" s="26">
        <v>42562.28611111111</v>
      </c>
      <c r="I2800" s="19">
        <f>IFERROR(__xludf.DUMMYFUNCTION("IFERROR(TO_DATE(H2800), """")"),42562.28611111111)</f>
        <v>42562.28611</v>
      </c>
      <c r="J2800" s="19" t="s">
        <v>11</v>
      </c>
      <c r="K2800" s="22">
        <f t="shared" si="2"/>
        <v>0</v>
      </c>
    </row>
    <row r="2801">
      <c r="A2801" s="18">
        <v>993.0</v>
      </c>
      <c r="B2801" s="18" t="s">
        <v>32</v>
      </c>
      <c r="C2801" s="18">
        <v>297.0</v>
      </c>
      <c r="D2801" s="18" t="s">
        <v>31</v>
      </c>
      <c r="E2801" s="26">
        <v>42562.791666666664</v>
      </c>
      <c r="F2801" s="19">
        <f>IFERROR(__xludf.DUMMYFUNCTION("IFERROR(TO_DATE(E2801), """")"),42562.791666666664)</f>
        <v>42562.79167</v>
      </c>
      <c r="G2801" s="20">
        <f t="shared" si="1"/>
        <v>19</v>
      </c>
      <c r="H2801" s="26">
        <v>42562.82013888889</v>
      </c>
      <c r="I2801" s="19">
        <f>IFERROR(__xludf.DUMMYFUNCTION("IFERROR(TO_DATE(H2801), """")"),42562.82013888889)</f>
        <v>42562.82014</v>
      </c>
      <c r="J2801" s="19" t="s">
        <v>12</v>
      </c>
      <c r="K2801" s="22">
        <f t="shared" si="2"/>
        <v>0</v>
      </c>
    </row>
    <row r="2802">
      <c r="A2802" s="18">
        <v>1774.0</v>
      </c>
      <c r="B2802" s="18" t="s">
        <v>30</v>
      </c>
      <c r="C2802" s="18">
        <v>297.0</v>
      </c>
      <c r="D2802" s="18" t="s">
        <v>31</v>
      </c>
      <c r="E2802" s="26">
        <v>42563.37013888889</v>
      </c>
      <c r="F2802" s="19">
        <f>IFERROR(__xludf.DUMMYFUNCTION("IFERROR(TO_DATE(E2802), """")"),42563.37013888889)</f>
        <v>42563.37014</v>
      </c>
      <c r="G2802" s="20">
        <f t="shared" si="1"/>
        <v>8</v>
      </c>
      <c r="H2802" s="26">
        <v>42563.416666666664</v>
      </c>
      <c r="I2802" s="19">
        <f>IFERROR(__xludf.DUMMYFUNCTION("IFERROR(TO_DATE(H2802), """")"),42563.416666666664)</f>
        <v>42563.41667</v>
      </c>
      <c r="J2802" s="19" t="s">
        <v>14</v>
      </c>
      <c r="K2802" s="22">
        <f t="shared" si="2"/>
        <v>0</v>
      </c>
    </row>
    <row r="2803">
      <c r="A2803" s="18">
        <v>2648.0</v>
      </c>
      <c r="B2803" s="18" t="s">
        <v>32</v>
      </c>
      <c r="C2803" s="18">
        <v>297.0</v>
      </c>
      <c r="D2803" s="18" t="s">
        <v>31</v>
      </c>
      <c r="E2803" s="26">
        <v>42563.95138888889</v>
      </c>
      <c r="F2803" s="19">
        <f>IFERROR(__xludf.DUMMYFUNCTION("IFERROR(TO_DATE(E2803), """")"),42563.95138888889)</f>
        <v>42563.95139</v>
      </c>
      <c r="G2803" s="20">
        <f t="shared" si="1"/>
        <v>22</v>
      </c>
      <c r="H2803" s="26">
        <v>42563.98888888889</v>
      </c>
      <c r="I2803" s="19">
        <f>IFERROR(__xludf.DUMMYFUNCTION("IFERROR(TO_DATE(H2803), """")"),42563.98888888889)</f>
        <v>42563.98889</v>
      </c>
      <c r="J2803" s="19" t="s">
        <v>13</v>
      </c>
      <c r="K2803" s="22">
        <f t="shared" si="2"/>
        <v>0</v>
      </c>
    </row>
    <row r="2804">
      <c r="A2804" s="18">
        <v>2979.0</v>
      </c>
      <c r="B2804" s="18" t="s">
        <v>30</v>
      </c>
      <c r="C2804" s="18">
        <v>297.0</v>
      </c>
      <c r="D2804" s="18" t="s">
        <v>31</v>
      </c>
      <c r="E2804" s="27">
        <v>42564.2903125</v>
      </c>
      <c r="F2804" s="19">
        <f>IFERROR(__xludf.DUMMYFUNCTION("IFERROR(TO_DATE(E2804), """")"),42564.2903125)</f>
        <v>42564.29031</v>
      </c>
      <c r="G2804" s="20">
        <f t="shared" si="1"/>
        <v>6</v>
      </c>
      <c r="H2804" s="27">
        <v>42564.332337962966</v>
      </c>
      <c r="I2804" s="19">
        <f>IFERROR(__xludf.DUMMYFUNCTION("IFERROR(TO_DATE(H2804), """")"),42564.332337962966)</f>
        <v>42564.33234</v>
      </c>
      <c r="J2804" s="19" t="s">
        <v>11</v>
      </c>
      <c r="K2804" s="22">
        <f t="shared" si="2"/>
        <v>0</v>
      </c>
    </row>
    <row r="2805">
      <c r="A2805" s="18">
        <v>3676.0</v>
      </c>
      <c r="B2805" s="18" t="s">
        <v>32</v>
      </c>
      <c r="C2805" s="18">
        <v>297.0</v>
      </c>
      <c r="D2805" s="18" t="s">
        <v>31</v>
      </c>
      <c r="E2805" s="27">
        <v>42564.81134259259</v>
      </c>
      <c r="F2805" s="19">
        <f>IFERROR(__xludf.DUMMYFUNCTION("IFERROR(TO_DATE(E2805), """")"),42564.81134259259)</f>
        <v>42564.81134</v>
      </c>
      <c r="G2805" s="20">
        <f t="shared" si="1"/>
        <v>19</v>
      </c>
      <c r="H2805" s="27">
        <v>42564.85472222222</v>
      </c>
      <c r="I2805" s="19">
        <f>IFERROR(__xludf.DUMMYFUNCTION("IFERROR(TO_DATE(H2805), """")"),42564.85472222222)</f>
        <v>42564.85472</v>
      </c>
      <c r="J2805" s="19" t="s">
        <v>12</v>
      </c>
      <c r="K2805" s="22">
        <f t="shared" si="2"/>
        <v>0</v>
      </c>
    </row>
    <row r="2806">
      <c r="A2806" s="18">
        <v>4041.0</v>
      </c>
      <c r="B2806" s="18" t="s">
        <v>30</v>
      </c>
      <c r="C2806" s="18">
        <v>297.0</v>
      </c>
      <c r="D2806" s="18" t="s">
        <v>31</v>
      </c>
      <c r="E2806" s="27">
        <v>42565.026724537034</v>
      </c>
      <c r="F2806" s="19">
        <f>IFERROR(__xludf.DUMMYFUNCTION("IFERROR(TO_DATE(E2806), """")"),42565.026724537034)</f>
        <v>42565.02672</v>
      </c>
      <c r="G2806" s="20">
        <f t="shared" si="1"/>
        <v>0</v>
      </c>
      <c r="H2806" s="27">
        <v>42565.05024305556</v>
      </c>
      <c r="I2806" s="19">
        <f>IFERROR(__xludf.DUMMYFUNCTION("IFERROR(TO_DATE(H2806), """")"),42565.05024305556)</f>
        <v>42565.05024</v>
      </c>
      <c r="J2806" s="19" t="s">
        <v>15</v>
      </c>
      <c r="K2806" s="22">
        <f t="shared" si="2"/>
        <v>0</v>
      </c>
    </row>
    <row r="2807">
      <c r="A2807" s="18">
        <v>4147.0</v>
      </c>
      <c r="B2807" s="18" t="s">
        <v>30</v>
      </c>
      <c r="C2807" s="18">
        <v>297.0</v>
      </c>
      <c r="D2807" s="18" t="s">
        <v>31</v>
      </c>
      <c r="E2807" s="27">
        <v>42565.204247685186</v>
      </c>
      <c r="F2807" s="19">
        <f>IFERROR(__xludf.DUMMYFUNCTION("IFERROR(TO_DATE(E2807), """")"),42565.204247685186)</f>
        <v>42565.20425</v>
      </c>
      <c r="G2807" s="20">
        <f t="shared" si="1"/>
        <v>4</v>
      </c>
      <c r="H2807" s="27">
        <v>42565.250127314815</v>
      </c>
      <c r="I2807" s="19">
        <f>IFERROR(__xludf.DUMMYFUNCTION("IFERROR(TO_DATE(H2807), """")"),42565.250127314815)</f>
        <v>42565.25013</v>
      </c>
      <c r="J2807" s="19" t="s">
        <v>11</v>
      </c>
      <c r="K2807" s="22">
        <f t="shared" si="2"/>
        <v>0</v>
      </c>
    </row>
    <row r="2808">
      <c r="A2808" s="18">
        <v>4859.0</v>
      </c>
      <c r="B2808" s="18" t="s">
        <v>30</v>
      </c>
      <c r="C2808" s="18">
        <v>297.0</v>
      </c>
      <c r="D2808" s="18" t="s">
        <v>31</v>
      </c>
      <c r="E2808" s="27">
        <v>42565.73212962963</v>
      </c>
      <c r="F2808" s="19">
        <f>IFERROR(__xludf.DUMMYFUNCTION("IFERROR(TO_DATE(E2808), """")"),42565.73212962963)</f>
        <v>42565.73213</v>
      </c>
      <c r="G2808" s="20">
        <f t="shared" si="1"/>
        <v>17</v>
      </c>
      <c r="H2808" s="27">
        <v>42565.77138888889</v>
      </c>
      <c r="I2808" s="19">
        <f>IFERROR(__xludf.DUMMYFUNCTION("IFERROR(TO_DATE(H2808), """")"),42565.77138888889)</f>
        <v>42565.77139</v>
      </c>
      <c r="J2808" s="19" t="s">
        <v>12</v>
      </c>
      <c r="K2808" s="22">
        <f t="shared" si="2"/>
        <v>0</v>
      </c>
    </row>
    <row r="2809">
      <c r="A2809" s="18">
        <v>6067.0</v>
      </c>
      <c r="B2809" s="18" t="s">
        <v>30</v>
      </c>
      <c r="C2809" s="18">
        <v>297.0</v>
      </c>
      <c r="D2809" s="18" t="s">
        <v>31</v>
      </c>
      <c r="E2809" s="27">
        <v>42566.58001157407</v>
      </c>
      <c r="F2809" s="19">
        <f>IFERROR(__xludf.DUMMYFUNCTION("IFERROR(TO_DATE(E2809), """")"),42566.58001157407)</f>
        <v>42566.58001</v>
      </c>
      <c r="G2809" s="20">
        <f t="shared" si="1"/>
        <v>13</v>
      </c>
      <c r="H2809" s="27">
        <v>42566.622245370374</v>
      </c>
      <c r="I2809" s="19">
        <f>IFERROR(__xludf.DUMMYFUNCTION("IFERROR(TO_DATE(H2809), """")"),42566.622245370374)</f>
        <v>42566.62225</v>
      </c>
      <c r="J2809" s="19" t="s">
        <v>10</v>
      </c>
      <c r="K2809" s="22">
        <f t="shared" si="2"/>
        <v>0</v>
      </c>
    </row>
    <row r="2810">
      <c r="A2810" s="18">
        <v>1690.0</v>
      </c>
      <c r="B2810" s="18" t="s">
        <v>30</v>
      </c>
      <c r="C2810" s="18">
        <v>298.0</v>
      </c>
      <c r="D2810" s="18" t="s">
        <v>31</v>
      </c>
      <c r="E2810" s="26">
        <v>42563.32777777778</v>
      </c>
      <c r="F2810" s="19">
        <f>IFERROR(__xludf.DUMMYFUNCTION("IFERROR(TO_DATE(E2810), """")"),42563.32777777778)</f>
        <v>42563.32778</v>
      </c>
      <c r="G2810" s="20">
        <f t="shared" si="1"/>
        <v>7</v>
      </c>
      <c r="H2810" s="26">
        <v>42563.37222222222</v>
      </c>
      <c r="I2810" s="19">
        <f>IFERROR(__xludf.DUMMYFUNCTION("IFERROR(TO_DATE(H2810), """")"),42563.37222222222)</f>
        <v>42563.37222</v>
      </c>
      <c r="J2810" s="19" t="s">
        <v>11</v>
      </c>
      <c r="K2810" s="22">
        <f t="shared" si="2"/>
        <v>0</v>
      </c>
    </row>
    <row r="2811">
      <c r="A2811" s="18">
        <v>2404.0</v>
      </c>
      <c r="B2811" s="18" t="s">
        <v>30</v>
      </c>
      <c r="C2811" s="18">
        <v>298.0</v>
      </c>
      <c r="D2811" s="18" t="s">
        <v>31</v>
      </c>
      <c r="E2811" s="26">
        <v>42563.833333333336</v>
      </c>
      <c r="F2811" s="19">
        <f>IFERROR(__xludf.DUMMYFUNCTION("IFERROR(TO_DATE(E2811), """")"),42563.833333333336)</f>
        <v>42563.83333</v>
      </c>
      <c r="G2811" s="20">
        <f t="shared" si="1"/>
        <v>20</v>
      </c>
      <c r="H2811" s="26">
        <v>42563.87222222222</v>
      </c>
      <c r="I2811" s="19">
        <f>IFERROR(__xludf.DUMMYFUNCTION("IFERROR(TO_DATE(H2811), """")"),42563.87222222222)</f>
        <v>42563.87222</v>
      </c>
      <c r="J2811" s="19" t="s">
        <v>13</v>
      </c>
      <c r="K2811" s="22">
        <f t="shared" si="2"/>
        <v>0</v>
      </c>
    </row>
    <row r="2812">
      <c r="A2812" s="18">
        <v>3313.0</v>
      </c>
      <c r="B2812" s="18" t="s">
        <v>32</v>
      </c>
      <c r="C2812" s="18">
        <v>298.0</v>
      </c>
      <c r="D2812" s="18" t="s">
        <v>31</v>
      </c>
      <c r="E2812" s="27">
        <v>42564.50108796296</v>
      </c>
      <c r="F2812" s="19">
        <f>IFERROR(__xludf.DUMMYFUNCTION("IFERROR(TO_DATE(E2812), """")"),42564.50108796296)</f>
        <v>42564.50109</v>
      </c>
      <c r="G2812" s="20">
        <f t="shared" si="1"/>
        <v>12</v>
      </c>
      <c r="H2812" s="27">
        <v>42564.53833333333</v>
      </c>
      <c r="I2812" s="19">
        <f>IFERROR(__xludf.DUMMYFUNCTION("IFERROR(TO_DATE(H2812), """")"),42564.53833333333)</f>
        <v>42564.53833</v>
      </c>
      <c r="J2812" s="19" t="s">
        <v>10</v>
      </c>
      <c r="K2812" s="22">
        <f t="shared" si="2"/>
        <v>0</v>
      </c>
    </row>
    <row r="2813">
      <c r="A2813" s="18">
        <v>3559.0</v>
      </c>
      <c r="B2813" s="18" t="s">
        <v>32</v>
      </c>
      <c r="C2813" s="18">
        <v>298.0</v>
      </c>
      <c r="D2813" s="18" t="s">
        <v>31</v>
      </c>
      <c r="E2813" s="27">
        <v>42564.76133101852</v>
      </c>
      <c r="F2813" s="19">
        <f>IFERROR(__xludf.DUMMYFUNCTION("IFERROR(TO_DATE(E2813), """")"),42564.76133101852)</f>
        <v>42564.76133</v>
      </c>
      <c r="G2813" s="20">
        <f t="shared" si="1"/>
        <v>18</v>
      </c>
      <c r="H2813" s="27">
        <v>42564.809282407405</v>
      </c>
      <c r="I2813" s="19">
        <f>IFERROR(__xludf.DUMMYFUNCTION("IFERROR(TO_DATE(H2813), """")"),42564.809282407405)</f>
        <v>42564.80928</v>
      </c>
      <c r="J2813" s="19" t="s">
        <v>12</v>
      </c>
      <c r="K2813" s="22">
        <f t="shared" si="2"/>
        <v>0</v>
      </c>
    </row>
    <row r="2814">
      <c r="A2814" s="18">
        <v>4018.0</v>
      </c>
      <c r="B2814" s="18" t="s">
        <v>30</v>
      </c>
      <c r="C2814" s="18">
        <v>298.0</v>
      </c>
      <c r="D2814" s="18" t="s">
        <v>31</v>
      </c>
      <c r="E2814" s="27">
        <v>42564.99827546296</v>
      </c>
      <c r="F2814" s="19">
        <f>IFERROR(__xludf.DUMMYFUNCTION("IFERROR(TO_DATE(E2814), """")"),42564.99827546296)</f>
        <v>42564.99828</v>
      </c>
      <c r="G2814" s="20">
        <f t="shared" si="1"/>
        <v>23</v>
      </c>
      <c r="H2814" s="27">
        <v>42565.043333333335</v>
      </c>
      <c r="I2814" s="19">
        <f>IFERROR(__xludf.DUMMYFUNCTION("IFERROR(TO_DATE(H2814), """")"),42565.043333333335)</f>
        <v>42565.04333</v>
      </c>
      <c r="J2814" s="19" t="s">
        <v>13</v>
      </c>
      <c r="K2814" s="22">
        <f t="shared" si="2"/>
        <v>0</v>
      </c>
    </row>
    <row r="2815">
      <c r="A2815" s="18">
        <v>4121.0</v>
      </c>
      <c r="B2815" s="18" t="s">
        <v>30</v>
      </c>
      <c r="C2815" s="18">
        <v>298.0</v>
      </c>
      <c r="D2815" s="18" t="s">
        <v>31</v>
      </c>
      <c r="E2815" s="27">
        <v>42565.18732638889</v>
      </c>
      <c r="F2815" s="19">
        <f>IFERROR(__xludf.DUMMYFUNCTION("IFERROR(TO_DATE(E2815), """")"),42565.18732638889)</f>
        <v>42565.18733</v>
      </c>
      <c r="G2815" s="20">
        <f t="shared" si="1"/>
        <v>4</v>
      </c>
      <c r="H2815" s="27">
        <v>42565.213541666664</v>
      </c>
      <c r="I2815" s="19">
        <f>IFERROR(__xludf.DUMMYFUNCTION("IFERROR(TO_DATE(H2815), """")"),42565.213541666664)</f>
        <v>42565.21354</v>
      </c>
      <c r="J2815" s="19" t="s">
        <v>11</v>
      </c>
      <c r="K2815" s="22">
        <f t="shared" si="2"/>
        <v>0</v>
      </c>
    </row>
    <row r="2816">
      <c r="A2816" s="18">
        <v>4224.0</v>
      </c>
      <c r="B2816" s="18" t="s">
        <v>32</v>
      </c>
      <c r="C2816" s="18">
        <v>298.0</v>
      </c>
      <c r="D2816" s="18" t="s">
        <v>31</v>
      </c>
      <c r="E2816" s="27">
        <v>42565.24254629629</v>
      </c>
      <c r="F2816" s="19">
        <f>IFERROR(__xludf.DUMMYFUNCTION("IFERROR(TO_DATE(E2816), """")"),42565.24254629629)</f>
        <v>42565.24255</v>
      </c>
      <c r="G2816" s="20">
        <f t="shared" si="1"/>
        <v>5</v>
      </c>
      <c r="H2816" s="27">
        <v>42565.28815972222</v>
      </c>
      <c r="I2816" s="19">
        <f>IFERROR(__xludf.DUMMYFUNCTION("IFERROR(TO_DATE(H2816), """")"),42565.28815972222)</f>
        <v>42565.28816</v>
      </c>
      <c r="J2816" s="19" t="s">
        <v>11</v>
      </c>
      <c r="K2816" s="22">
        <f t="shared" si="2"/>
        <v>0</v>
      </c>
    </row>
    <row r="2817">
      <c r="A2817" s="18">
        <v>4810.0</v>
      </c>
      <c r="B2817" s="18" t="s">
        <v>32</v>
      </c>
      <c r="C2817" s="18">
        <v>298.0</v>
      </c>
      <c r="D2817" s="18" t="s">
        <v>31</v>
      </c>
      <c r="E2817" s="27">
        <v>42565.7196875</v>
      </c>
      <c r="F2817" s="19">
        <f>IFERROR(__xludf.DUMMYFUNCTION("IFERROR(TO_DATE(E2817), """")"),42565.7196875)</f>
        <v>42565.71969</v>
      </c>
      <c r="G2817" s="20">
        <f t="shared" si="1"/>
        <v>17</v>
      </c>
      <c r="H2817" s="27">
        <v>42565.75101851852</v>
      </c>
      <c r="I2817" s="19">
        <f>IFERROR(__xludf.DUMMYFUNCTION("IFERROR(TO_DATE(H2817), """")"),42565.75101851852)</f>
        <v>42565.75102</v>
      </c>
      <c r="J2817" s="19" t="s">
        <v>12</v>
      </c>
      <c r="K2817" s="22">
        <f t="shared" si="2"/>
        <v>0</v>
      </c>
    </row>
    <row r="2818">
      <c r="A2818" s="18">
        <v>5295.0</v>
      </c>
      <c r="B2818" s="18" t="s">
        <v>32</v>
      </c>
      <c r="C2818" s="18">
        <v>298.0</v>
      </c>
      <c r="D2818" s="18" t="s">
        <v>31</v>
      </c>
      <c r="E2818" s="27">
        <v>42565.9090162037</v>
      </c>
      <c r="F2818" s="19">
        <f>IFERROR(__xludf.DUMMYFUNCTION("IFERROR(TO_DATE(E2818), """")"),42565.9090162037)</f>
        <v>42565.90902</v>
      </c>
      <c r="G2818" s="20">
        <f t="shared" si="1"/>
        <v>21</v>
      </c>
      <c r="H2818" s="27">
        <v>42565.94569444445</v>
      </c>
      <c r="I2818" s="19">
        <f>IFERROR(__xludf.DUMMYFUNCTION("IFERROR(TO_DATE(H2818), """")"),42565.94569444445)</f>
        <v>42565.94569</v>
      </c>
      <c r="J2818" s="19" t="s">
        <v>13</v>
      </c>
      <c r="K2818" s="22">
        <f t="shared" si="2"/>
        <v>0</v>
      </c>
    </row>
    <row r="2819">
      <c r="A2819" s="18">
        <v>5381.0</v>
      </c>
      <c r="B2819" s="18" t="s">
        <v>30</v>
      </c>
      <c r="C2819" s="18">
        <v>298.0</v>
      </c>
      <c r="D2819" s="18" t="s">
        <v>31</v>
      </c>
      <c r="E2819" s="27">
        <v>42565.99769675926</v>
      </c>
      <c r="F2819" s="19">
        <f>IFERROR(__xludf.DUMMYFUNCTION("IFERROR(TO_DATE(E2819), """")"),42565.99769675926)</f>
        <v>42565.9977</v>
      </c>
      <c r="G2819" s="20">
        <f t="shared" si="1"/>
        <v>23</v>
      </c>
      <c r="H2819" s="27">
        <v>42566.02736111111</v>
      </c>
      <c r="I2819" s="19">
        <f>IFERROR(__xludf.DUMMYFUNCTION("IFERROR(TO_DATE(H2819), """")"),42566.02736111111)</f>
        <v>42566.02736</v>
      </c>
      <c r="J2819" s="19" t="s">
        <v>13</v>
      </c>
      <c r="K2819" s="22">
        <f t="shared" si="2"/>
        <v>0</v>
      </c>
    </row>
    <row r="2820">
      <c r="A2820" s="18">
        <v>6271.0</v>
      </c>
      <c r="B2820" s="18" t="s">
        <v>32</v>
      </c>
      <c r="C2820" s="18">
        <v>298.0</v>
      </c>
      <c r="D2820" s="18" t="s">
        <v>31</v>
      </c>
      <c r="E2820" s="27">
        <v>42566.76037037037</v>
      </c>
      <c r="F2820" s="19">
        <f>IFERROR(__xludf.DUMMYFUNCTION("IFERROR(TO_DATE(E2820), """")"),42566.76037037037)</f>
        <v>42566.76037</v>
      </c>
      <c r="G2820" s="20">
        <f t="shared" si="1"/>
        <v>18</v>
      </c>
      <c r="H2820" s="27">
        <v>42566.79109953704</v>
      </c>
      <c r="I2820" s="19">
        <f>IFERROR(__xludf.DUMMYFUNCTION("IFERROR(TO_DATE(H2820), """")"),42566.79109953704)</f>
        <v>42566.7911</v>
      </c>
      <c r="J2820" s="19" t="s">
        <v>12</v>
      </c>
      <c r="K2820" s="22">
        <f t="shared" si="2"/>
        <v>0</v>
      </c>
    </row>
    <row r="2821">
      <c r="A2821" s="18">
        <v>1244.0</v>
      </c>
      <c r="B2821" s="18" t="s">
        <v>32</v>
      </c>
      <c r="C2821" s="18">
        <v>299.0</v>
      </c>
      <c r="D2821" s="18" t="s">
        <v>31</v>
      </c>
      <c r="E2821" s="26">
        <v>42562.90138888889</v>
      </c>
      <c r="F2821" s="19">
        <f>IFERROR(__xludf.DUMMYFUNCTION("IFERROR(TO_DATE(E2821), """")"),42562.90138888889)</f>
        <v>42562.90139</v>
      </c>
      <c r="G2821" s="20">
        <f t="shared" si="1"/>
        <v>21</v>
      </c>
      <c r="H2821" s="26">
        <v>42562.927083333336</v>
      </c>
      <c r="I2821" s="19">
        <f>IFERROR(__xludf.DUMMYFUNCTION("IFERROR(TO_DATE(H2821), """")"),42562.927083333336)</f>
        <v>42562.92708</v>
      </c>
      <c r="J2821" s="19" t="s">
        <v>13</v>
      </c>
      <c r="K2821" s="22">
        <f t="shared" si="2"/>
        <v>0</v>
      </c>
    </row>
    <row r="2822">
      <c r="A2822" s="18">
        <v>2249.0</v>
      </c>
      <c r="B2822" s="18" t="s">
        <v>32</v>
      </c>
      <c r="C2822" s="18">
        <v>299.0</v>
      </c>
      <c r="D2822" s="18" t="s">
        <v>31</v>
      </c>
      <c r="E2822" s="26">
        <v>42563.76666666667</v>
      </c>
      <c r="F2822" s="19">
        <f>IFERROR(__xludf.DUMMYFUNCTION("IFERROR(TO_DATE(E2822), """")"),42563.76666666667)</f>
        <v>42563.76667</v>
      </c>
      <c r="G2822" s="20">
        <f t="shared" si="1"/>
        <v>18</v>
      </c>
      <c r="H2822" s="26">
        <v>42563.79791666667</v>
      </c>
      <c r="I2822" s="19">
        <f>IFERROR(__xludf.DUMMYFUNCTION("IFERROR(TO_DATE(H2822), """")"),42563.79791666667)</f>
        <v>42563.79792</v>
      </c>
      <c r="J2822" s="19" t="s">
        <v>12</v>
      </c>
      <c r="K2822" s="22">
        <f t="shared" si="2"/>
        <v>0</v>
      </c>
    </row>
    <row r="2823">
      <c r="A2823" s="18">
        <v>3045.0</v>
      </c>
      <c r="B2823" s="18" t="s">
        <v>30</v>
      </c>
      <c r="C2823" s="18">
        <v>299.0</v>
      </c>
      <c r="D2823" s="18" t="s">
        <v>31</v>
      </c>
      <c r="E2823" s="27">
        <v>42564.31935185185</v>
      </c>
      <c r="F2823" s="19">
        <f>IFERROR(__xludf.DUMMYFUNCTION("IFERROR(TO_DATE(E2823), """")"),42564.31935185185)</f>
        <v>42564.31935</v>
      </c>
      <c r="G2823" s="20">
        <f t="shared" si="1"/>
        <v>7</v>
      </c>
      <c r="H2823" s="27">
        <v>42564.35482638889</v>
      </c>
      <c r="I2823" s="19">
        <f>IFERROR(__xludf.DUMMYFUNCTION("IFERROR(TO_DATE(H2823), """")"),42564.35482638889)</f>
        <v>42564.35483</v>
      </c>
      <c r="J2823" s="19" t="s">
        <v>11</v>
      </c>
      <c r="K2823" s="22">
        <f t="shared" si="2"/>
        <v>0</v>
      </c>
    </row>
    <row r="2824">
      <c r="A2824" s="18">
        <v>3817.0</v>
      </c>
      <c r="B2824" s="18" t="s">
        <v>30</v>
      </c>
      <c r="C2824" s="18">
        <v>299.0</v>
      </c>
      <c r="D2824" s="18" t="s">
        <v>31</v>
      </c>
      <c r="E2824" s="27">
        <v>42564.88383101852</v>
      </c>
      <c r="F2824" s="19">
        <f>IFERROR(__xludf.DUMMYFUNCTION("IFERROR(TO_DATE(E2824), """")"),42564.88383101852)</f>
        <v>42564.88383</v>
      </c>
      <c r="G2824" s="20">
        <f t="shared" si="1"/>
        <v>21</v>
      </c>
      <c r="H2824" s="27">
        <v>42564.92053240741</v>
      </c>
      <c r="I2824" s="19">
        <f>IFERROR(__xludf.DUMMYFUNCTION("IFERROR(TO_DATE(H2824), """")"),42564.92053240741)</f>
        <v>42564.92053</v>
      </c>
      <c r="J2824" s="19" t="s">
        <v>13</v>
      </c>
      <c r="K2824" s="22">
        <f t="shared" si="2"/>
        <v>0</v>
      </c>
    </row>
    <row r="2825">
      <c r="A2825" s="18">
        <v>4481.0</v>
      </c>
      <c r="B2825" s="18" t="s">
        <v>32</v>
      </c>
      <c r="C2825" s="18">
        <v>299.0</v>
      </c>
      <c r="D2825" s="18" t="s">
        <v>31</v>
      </c>
      <c r="E2825" s="27">
        <v>42565.365625</v>
      </c>
      <c r="F2825" s="19">
        <f>IFERROR(__xludf.DUMMYFUNCTION("IFERROR(TO_DATE(E2825), """")"),42565.365625)</f>
        <v>42565.36563</v>
      </c>
      <c r="G2825" s="20">
        <f t="shared" si="1"/>
        <v>8</v>
      </c>
      <c r="H2825" s="27">
        <v>42565.413148148145</v>
      </c>
      <c r="I2825" s="19">
        <f>IFERROR(__xludf.DUMMYFUNCTION("IFERROR(TO_DATE(H2825), """")"),42565.413148148145)</f>
        <v>42565.41315</v>
      </c>
      <c r="J2825" s="19" t="s">
        <v>14</v>
      </c>
      <c r="K2825" s="22">
        <f t="shared" si="2"/>
        <v>0</v>
      </c>
    </row>
    <row r="2826">
      <c r="A2826" s="18">
        <v>5160.0</v>
      </c>
      <c r="B2826" s="18" t="s">
        <v>32</v>
      </c>
      <c r="C2826" s="18">
        <v>299.0</v>
      </c>
      <c r="D2826" s="18" t="s">
        <v>31</v>
      </c>
      <c r="E2826" s="27">
        <v>42565.85314814815</v>
      </c>
      <c r="F2826" s="19">
        <f>IFERROR(__xludf.DUMMYFUNCTION("IFERROR(TO_DATE(E2826), """")"),42565.85314814815)</f>
        <v>42565.85315</v>
      </c>
      <c r="G2826" s="20">
        <f t="shared" si="1"/>
        <v>20</v>
      </c>
      <c r="H2826" s="27">
        <v>42565.883888888886</v>
      </c>
      <c r="I2826" s="19">
        <f>IFERROR(__xludf.DUMMYFUNCTION("IFERROR(TO_DATE(H2826), """")"),42565.883888888886)</f>
        <v>42565.88389</v>
      </c>
      <c r="J2826" s="19" t="s">
        <v>13</v>
      </c>
      <c r="K2826" s="22">
        <f t="shared" si="2"/>
        <v>0</v>
      </c>
    </row>
    <row r="2827">
      <c r="A2827" s="18">
        <v>6304.0</v>
      </c>
      <c r="B2827" s="18" t="s">
        <v>32</v>
      </c>
      <c r="C2827" s="18">
        <v>299.0</v>
      </c>
      <c r="D2827" s="18" t="s">
        <v>31</v>
      </c>
      <c r="E2827" s="27">
        <v>42566.771886574075</v>
      </c>
      <c r="F2827" s="19">
        <f>IFERROR(__xludf.DUMMYFUNCTION("IFERROR(TO_DATE(E2827), """")"),42566.771886574075)</f>
        <v>42566.77189</v>
      </c>
      <c r="G2827" s="20">
        <f t="shared" si="1"/>
        <v>18</v>
      </c>
      <c r="H2827" s="27">
        <v>42566.80520833333</v>
      </c>
      <c r="I2827" s="19">
        <f>IFERROR(__xludf.DUMMYFUNCTION("IFERROR(TO_DATE(H2827), """")"),42566.80520833333)</f>
        <v>42566.80521</v>
      </c>
      <c r="J2827" s="19" t="s">
        <v>12</v>
      </c>
      <c r="K2827" s="22">
        <f t="shared" si="2"/>
        <v>0</v>
      </c>
    </row>
    <row r="2828">
      <c r="A2828" s="18">
        <v>1315.0</v>
      </c>
      <c r="B2828" s="18" t="s">
        <v>30</v>
      </c>
      <c r="C2828" s="18">
        <v>300.0</v>
      </c>
      <c r="D2828" s="18" t="s">
        <v>31</v>
      </c>
      <c r="E2828" s="26">
        <v>42562.95416666667</v>
      </c>
      <c r="F2828" s="19">
        <f>IFERROR(__xludf.DUMMYFUNCTION("IFERROR(TO_DATE(E2828), """")"),42562.95416666667)</f>
        <v>42562.95417</v>
      </c>
      <c r="G2828" s="20">
        <f t="shared" si="1"/>
        <v>22</v>
      </c>
      <c r="H2828" s="26">
        <v>42562.98263888889</v>
      </c>
      <c r="I2828" s="19">
        <f>IFERROR(__xludf.DUMMYFUNCTION("IFERROR(TO_DATE(H2828), """")"),42562.98263888889)</f>
        <v>42562.98264</v>
      </c>
      <c r="J2828" s="19" t="s">
        <v>13</v>
      </c>
      <c r="K2828" s="22">
        <f t="shared" si="2"/>
        <v>0</v>
      </c>
    </row>
    <row r="2829">
      <c r="A2829" s="18">
        <v>2924.0</v>
      </c>
      <c r="B2829" s="18" t="s">
        <v>32</v>
      </c>
      <c r="C2829" s="18">
        <v>300.0</v>
      </c>
      <c r="D2829" s="18" t="s">
        <v>31</v>
      </c>
      <c r="E2829" s="27">
        <v>42564.271782407406</v>
      </c>
      <c r="F2829" s="19">
        <f>IFERROR(__xludf.DUMMYFUNCTION("IFERROR(TO_DATE(E2829), """")"),42564.271782407406)</f>
        <v>42564.27178</v>
      </c>
      <c r="G2829" s="20">
        <f t="shared" si="1"/>
        <v>6</v>
      </c>
      <c r="H2829" s="27">
        <v>42564.30615740741</v>
      </c>
      <c r="I2829" s="19">
        <f>IFERROR(__xludf.DUMMYFUNCTION("IFERROR(TO_DATE(H2829), """")"),42564.30615740741)</f>
        <v>42564.30616</v>
      </c>
      <c r="J2829" s="19" t="s">
        <v>11</v>
      </c>
      <c r="K2829" s="22">
        <f t="shared" si="2"/>
        <v>0</v>
      </c>
    </row>
    <row r="2830">
      <c r="A2830" s="18">
        <v>3324.0</v>
      </c>
      <c r="B2830" s="18" t="s">
        <v>30</v>
      </c>
      <c r="C2830" s="18">
        <v>300.0</v>
      </c>
      <c r="D2830" s="18" t="s">
        <v>31</v>
      </c>
      <c r="E2830" s="27">
        <v>42564.52315972222</v>
      </c>
      <c r="F2830" s="19">
        <f>IFERROR(__xludf.DUMMYFUNCTION("IFERROR(TO_DATE(E2830), """")"),42564.52315972222)</f>
        <v>42564.52316</v>
      </c>
      <c r="G2830" s="20">
        <f t="shared" si="1"/>
        <v>12</v>
      </c>
      <c r="H2830" s="27">
        <v>42564.5528125</v>
      </c>
      <c r="I2830" s="19">
        <f>IFERROR(__xludf.DUMMYFUNCTION("IFERROR(TO_DATE(H2830), """")"),42564.5528125)</f>
        <v>42564.55281</v>
      </c>
      <c r="J2830" s="19" t="s">
        <v>10</v>
      </c>
      <c r="K2830" s="22">
        <f t="shared" si="2"/>
        <v>0</v>
      </c>
    </row>
    <row r="2831">
      <c r="A2831" s="18">
        <v>3935.0</v>
      </c>
      <c r="B2831" s="18" t="s">
        <v>30</v>
      </c>
      <c r="C2831" s="18">
        <v>300.0</v>
      </c>
      <c r="D2831" s="18" t="s">
        <v>31</v>
      </c>
      <c r="E2831" s="27">
        <v>42564.93481481481</v>
      </c>
      <c r="F2831" s="19">
        <f>IFERROR(__xludf.DUMMYFUNCTION("IFERROR(TO_DATE(E2831), """")"),42564.93481481481)</f>
        <v>42564.93481</v>
      </c>
      <c r="G2831" s="20">
        <f t="shared" si="1"/>
        <v>22</v>
      </c>
      <c r="H2831" s="27">
        <v>42564.988344907404</v>
      </c>
      <c r="I2831" s="19">
        <f>IFERROR(__xludf.DUMMYFUNCTION("IFERROR(TO_DATE(H2831), """")"),42564.988344907404)</f>
        <v>42564.98834</v>
      </c>
      <c r="J2831" s="19" t="s">
        <v>13</v>
      </c>
      <c r="K2831" s="22">
        <f t="shared" si="2"/>
        <v>0</v>
      </c>
    </row>
    <row r="2832">
      <c r="A2832" s="18">
        <v>5844.0</v>
      </c>
      <c r="B2832" s="18" t="s">
        <v>30</v>
      </c>
      <c r="C2832" s="18">
        <v>300.0</v>
      </c>
      <c r="D2832" s="18" t="s">
        <v>31</v>
      </c>
      <c r="E2832" s="27">
        <v>42566.379965277774</v>
      </c>
      <c r="F2832" s="19">
        <f>IFERROR(__xludf.DUMMYFUNCTION("IFERROR(TO_DATE(E2832), """")"),42566.379965277774)</f>
        <v>42566.37997</v>
      </c>
      <c r="G2832" s="20">
        <f t="shared" si="1"/>
        <v>9</v>
      </c>
      <c r="H2832" s="27">
        <v>42566.41396990741</v>
      </c>
      <c r="I2832" s="19">
        <f>IFERROR(__xludf.DUMMYFUNCTION("IFERROR(TO_DATE(H2832), """")"),42566.41396990741)</f>
        <v>42566.41397</v>
      </c>
      <c r="J2832" s="19" t="s">
        <v>14</v>
      </c>
      <c r="K2832" s="22">
        <f t="shared" si="2"/>
        <v>0</v>
      </c>
    </row>
    <row r="2833">
      <c r="A2833" s="18">
        <v>2905.0</v>
      </c>
      <c r="B2833" s="18" t="s">
        <v>32</v>
      </c>
      <c r="C2833" s="18">
        <v>1.0</v>
      </c>
      <c r="D2833" s="18" t="s">
        <v>33</v>
      </c>
      <c r="E2833" s="27">
        <v>42564.25603009259</v>
      </c>
      <c r="F2833" s="19">
        <f>IFERROR(__xludf.DUMMYFUNCTION("IFERROR(TO_DATE(E2833), """")"),42564.25603009259)</f>
        <v>42564.25603</v>
      </c>
      <c r="G2833" s="20">
        <f t="shared" si="1"/>
        <v>6</v>
      </c>
      <c r="H2833" s="18" t="s">
        <v>34</v>
      </c>
      <c r="I2833" s="19" t="str">
        <f>IFERROR(__xludf.DUMMYFUNCTION("IFERROR(TO_DATE(H2833), """")"),"NA")</f>
        <v>NA</v>
      </c>
      <c r="J2833" s="19" t="s">
        <v>11</v>
      </c>
      <c r="K2833" s="22">
        <f t="shared" si="2"/>
        <v>1</v>
      </c>
    </row>
    <row r="2834">
      <c r="A2834" s="18">
        <v>4805.0</v>
      </c>
      <c r="B2834" s="18" t="s">
        <v>32</v>
      </c>
      <c r="C2834" s="18">
        <v>1.0</v>
      </c>
      <c r="D2834" s="18" t="s">
        <v>33</v>
      </c>
      <c r="E2834" s="27">
        <v>42565.71386574074</v>
      </c>
      <c r="F2834" s="19">
        <f>IFERROR(__xludf.DUMMYFUNCTION("IFERROR(TO_DATE(E2834), """")"),42565.71386574074)</f>
        <v>42565.71387</v>
      </c>
      <c r="G2834" s="20">
        <f t="shared" si="1"/>
        <v>17</v>
      </c>
      <c r="H2834" s="18" t="s">
        <v>34</v>
      </c>
      <c r="I2834" s="19" t="str">
        <f>IFERROR(__xludf.DUMMYFUNCTION("IFERROR(TO_DATE(H2834), """")"),"NA")</f>
        <v>NA</v>
      </c>
      <c r="J2834" s="19" t="s">
        <v>12</v>
      </c>
      <c r="K2834" s="22">
        <f t="shared" si="2"/>
        <v>1</v>
      </c>
    </row>
    <row r="2835">
      <c r="A2835" s="18">
        <v>5202.0</v>
      </c>
      <c r="B2835" s="18" t="s">
        <v>30</v>
      </c>
      <c r="C2835" s="18">
        <v>1.0</v>
      </c>
      <c r="D2835" s="18" t="s">
        <v>33</v>
      </c>
      <c r="E2835" s="27">
        <v>42565.86917824074</v>
      </c>
      <c r="F2835" s="19">
        <f>IFERROR(__xludf.DUMMYFUNCTION("IFERROR(TO_DATE(E2835), """")"),42565.86917824074)</f>
        <v>42565.86918</v>
      </c>
      <c r="G2835" s="20">
        <f t="shared" si="1"/>
        <v>20</v>
      </c>
      <c r="H2835" s="18" t="s">
        <v>34</v>
      </c>
      <c r="I2835" s="19" t="str">
        <f>IFERROR(__xludf.DUMMYFUNCTION("IFERROR(TO_DATE(H2835), """")"),"NA")</f>
        <v>NA</v>
      </c>
      <c r="J2835" s="19" t="s">
        <v>13</v>
      </c>
      <c r="K2835" s="22">
        <f t="shared" si="2"/>
        <v>1</v>
      </c>
    </row>
    <row r="2836">
      <c r="A2836" s="18">
        <v>5927.0</v>
      </c>
      <c r="B2836" s="18" t="s">
        <v>32</v>
      </c>
      <c r="C2836" s="18">
        <v>1.0</v>
      </c>
      <c r="D2836" s="18" t="s">
        <v>33</v>
      </c>
      <c r="E2836" s="27">
        <v>42566.425462962965</v>
      </c>
      <c r="F2836" s="19">
        <f>IFERROR(__xludf.DUMMYFUNCTION("IFERROR(TO_DATE(E2836), """")"),42566.425462962965)</f>
        <v>42566.42546</v>
      </c>
      <c r="G2836" s="20">
        <f t="shared" si="1"/>
        <v>10</v>
      </c>
      <c r="H2836" s="18" t="s">
        <v>34</v>
      </c>
      <c r="I2836" s="19" t="str">
        <f>IFERROR(__xludf.DUMMYFUNCTION("IFERROR(TO_DATE(H2836), """")"),"NA")</f>
        <v>NA</v>
      </c>
      <c r="J2836" s="19" t="s">
        <v>14</v>
      </c>
      <c r="K2836" s="22">
        <f t="shared" si="2"/>
        <v>1</v>
      </c>
    </row>
    <row r="2837">
      <c r="A2837" s="18">
        <v>2347.0</v>
      </c>
      <c r="B2837" s="18" t="s">
        <v>30</v>
      </c>
      <c r="C2837" s="18">
        <v>2.0</v>
      </c>
      <c r="D2837" s="18" t="s">
        <v>33</v>
      </c>
      <c r="E2837" s="26">
        <v>42563.80138888889</v>
      </c>
      <c r="F2837" s="19">
        <f>IFERROR(__xludf.DUMMYFUNCTION("IFERROR(TO_DATE(E2837), """")"),42563.80138888889)</f>
        <v>42563.80139</v>
      </c>
      <c r="G2837" s="20">
        <f t="shared" si="1"/>
        <v>19</v>
      </c>
      <c r="H2837" s="18" t="s">
        <v>34</v>
      </c>
      <c r="I2837" s="19" t="str">
        <f>IFERROR(__xludf.DUMMYFUNCTION("IFERROR(TO_DATE(H2837), """")"),"NA")</f>
        <v>NA</v>
      </c>
      <c r="J2837" s="19" t="s">
        <v>12</v>
      </c>
      <c r="K2837" s="22">
        <f t="shared" si="2"/>
        <v>1</v>
      </c>
    </row>
    <row r="2838">
      <c r="A2838" s="18">
        <v>3806.0</v>
      </c>
      <c r="B2838" s="18" t="s">
        <v>30</v>
      </c>
      <c r="C2838" s="18">
        <v>2.0</v>
      </c>
      <c r="D2838" s="18" t="s">
        <v>33</v>
      </c>
      <c r="E2838" s="27">
        <v>42564.8734837963</v>
      </c>
      <c r="F2838" s="19">
        <f>IFERROR(__xludf.DUMMYFUNCTION("IFERROR(TO_DATE(E2838), """")"),42564.8734837963)</f>
        <v>42564.87348</v>
      </c>
      <c r="G2838" s="20">
        <f t="shared" si="1"/>
        <v>20</v>
      </c>
      <c r="H2838" s="18" t="s">
        <v>34</v>
      </c>
      <c r="I2838" s="19" t="str">
        <f>IFERROR(__xludf.DUMMYFUNCTION("IFERROR(TO_DATE(H2838), """")"),"NA")</f>
        <v>NA</v>
      </c>
      <c r="J2838" s="19" t="s">
        <v>13</v>
      </c>
      <c r="K2838" s="22">
        <f t="shared" si="2"/>
        <v>1</v>
      </c>
    </row>
    <row r="2839">
      <c r="A2839" s="18">
        <v>4451.0</v>
      </c>
      <c r="B2839" s="18" t="s">
        <v>32</v>
      </c>
      <c r="C2839" s="18">
        <v>2.0</v>
      </c>
      <c r="D2839" s="18" t="s">
        <v>33</v>
      </c>
      <c r="E2839" s="27">
        <v>42565.36016203704</v>
      </c>
      <c r="F2839" s="19">
        <f>IFERROR(__xludf.DUMMYFUNCTION("IFERROR(TO_DATE(E2839), """")"),42565.36016203704)</f>
        <v>42565.36016</v>
      </c>
      <c r="G2839" s="20">
        <f t="shared" si="1"/>
        <v>8</v>
      </c>
      <c r="H2839" s="18" t="s">
        <v>34</v>
      </c>
      <c r="I2839" s="19" t="str">
        <f>IFERROR(__xludf.DUMMYFUNCTION("IFERROR(TO_DATE(H2839), """")"),"NA")</f>
        <v>NA</v>
      </c>
      <c r="J2839" s="19" t="s">
        <v>14</v>
      </c>
      <c r="K2839" s="22">
        <f t="shared" si="2"/>
        <v>1</v>
      </c>
    </row>
    <row r="2840">
      <c r="A2840" s="18">
        <v>5023.0</v>
      </c>
      <c r="B2840" s="18" t="s">
        <v>30</v>
      </c>
      <c r="C2840" s="18">
        <v>2.0</v>
      </c>
      <c r="D2840" s="18" t="s">
        <v>33</v>
      </c>
      <c r="E2840" s="27">
        <v>42565.794537037036</v>
      </c>
      <c r="F2840" s="19">
        <f>IFERROR(__xludf.DUMMYFUNCTION("IFERROR(TO_DATE(E2840), """")"),42565.794537037036)</f>
        <v>42565.79454</v>
      </c>
      <c r="G2840" s="20">
        <f t="shared" si="1"/>
        <v>19</v>
      </c>
      <c r="H2840" s="18" t="s">
        <v>34</v>
      </c>
      <c r="I2840" s="19" t="str">
        <f>IFERROR(__xludf.DUMMYFUNCTION("IFERROR(TO_DATE(H2840), """")"),"NA")</f>
        <v>NA</v>
      </c>
      <c r="J2840" s="19" t="s">
        <v>12</v>
      </c>
      <c r="K2840" s="22">
        <f t="shared" si="2"/>
        <v>1</v>
      </c>
    </row>
    <row r="2841">
      <c r="A2841" s="18">
        <v>80.0</v>
      </c>
      <c r="B2841" s="18" t="s">
        <v>32</v>
      </c>
      <c r="C2841" s="18">
        <v>3.0</v>
      </c>
      <c r="D2841" s="18" t="s">
        <v>33</v>
      </c>
      <c r="E2841" s="26">
        <v>42562.19930555556</v>
      </c>
      <c r="F2841" s="19">
        <f>IFERROR(__xludf.DUMMYFUNCTION("IFERROR(TO_DATE(E2841), """")"),42562.19930555556)</f>
        <v>42562.19931</v>
      </c>
      <c r="G2841" s="20">
        <f t="shared" si="1"/>
        <v>4</v>
      </c>
      <c r="H2841" s="18" t="s">
        <v>34</v>
      </c>
      <c r="I2841" s="19" t="str">
        <f>IFERROR(__xludf.DUMMYFUNCTION("IFERROR(TO_DATE(H2841), """")"),"NA")</f>
        <v>NA</v>
      </c>
      <c r="J2841" s="19" t="s">
        <v>11</v>
      </c>
      <c r="K2841" s="22">
        <f t="shared" si="2"/>
        <v>1</v>
      </c>
    </row>
    <row r="2842">
      <c r="A2842" s="18">
        <v>534.0</v>
      </c>
      <c r="B2842" s="18" t="s">
        <v>32</v>
      </c>
      <c r="C2842" s="18">
        <v>3.0</v>
      </c>
      <c r="D2842" s="18" t="s">
        <v>33</v>
      </c>
      <c r="E2842" s="26">
        <v>42562.41736111111</v>
      </c>
      <c r="F2842" s="19">
        <f>IFERROR(__xludf.DUMMYFUNCTION("IFERROR(TO_DATE(E2842), """")"),42562.41736111111)</f>
        <v>42562.41736</v>
      </c>
      <c r="G2842" s="20">
        <f t="shared" si="1"/>
        <v>10</v>
      </c>
      <c r="H2842" s="18" t="s">
        <v>34</v>
      </c>
      <c r="I2842" s="19" t="str">
        <f>IFERROR(__xludf.DUMMYFUNCTION("IFERROR(TO_DATE(H2842), """")"),"NA")</f>
        <v>NA</v>
      </c>
      <c r="J2842" s="19" t="s">
        <v>14</v>
      </c>
      <c r="K2842" s="22">
        <f t="shared" si="2"/>
        <v>1</v>
      </c>
    </row>
    <row r="2843">
      <c r="A2843" s="18">
        <v>1867.0</v>
      </c>
      <c r="B2843" s="18" t="s">
        <v>30</v>
      </c>
      <c r="C2843" s="18">
        <v>3.0</v>
      </c>
      <c r="D2843" s="18" t="s">
        <v>33</v>
      </c>
      <c r="E2843" s="26">
        <v>42563.415972222225</v>
      </c>
      <c r="F2843" s="19">
        <f>IFERROR(__xludf.DUMMYFUNCTION("IFERROR(TO_DATE(E2843), """")"),42563.415972222225)</f>
        <v>42563.41597</v>
      </c>
      <c r="G2843" s="20">
        <f t="shared" si="1"/>
        <v>9</v>
      </c>
      <c r="H2843" s="18" t="s">
        <v>34</v>
      </c>
      <c r="I2843" s="19" t="str">
        <f>IFERROR(__xludf.DUMMYFUNCTION("IFERROR(TO_DATE(H2843), """")"),"NA")</f>
        <v>NA</v>
      </c>
      <c r="J2843" s="19" t="s">
        <v>14</v>
      </c>
      <c r="K2843" s="22">
        <f t="shared" si="2"/>
        <v>1</v>
      </c>
    </row>
    <row r="2844">
      <c r="A2844" s="18">
        <v>4383.0</v>
      </c>
      <c r="B2844" s="18" t="s">
        <v>32</v>
      </c>
      <c r="C2844" s="18">
        <v>3.0</v>
      </c>
      <c r="D2844" s="18" t="s">
        <v>33</v>
      </c>
      <c r="E2844" s="27">
        <v>42565.3253587963</v>
      </c>
      <c r="F2844" s="19">
        <f>IFERROR(__xludf.DUMMYFUNCTION("IFERROR(TO_DATE(E2844), """")"),42565.3253587963)</f>
        <v>42565.32536</v>
      </c>
      <c r="G2844" s="20">
        <f t="shared" si="1"/>
        <v>7</v>
      </c>
      <c r="H2844" s="18" t="s">
        <v>34</v>
      </c>
      <c r="I2844" s="19" t="str">
        <f>IFERROR(__xludf.DUMMYFUNCTION("IFERROR(TO_DATE(H2844), """")"),"NA")</f>
        <v>NA</v>
      </c>
      <c r="J2844" s="19" t="s">
        <v>11</v>
      </c>
      <c r="K2844" s="22">
        <f t="shared" si="2"/>
        <v>1</v>
      </c>
    </row>
    <row r="2845">
      <c r="A2845" s="18">
        <v>748.0</v>
      </c>
      <c r="B2845" s="18" t="s">
        <v>32</v>
      </c>
      <c r="C2845" s="18">
        <v>4.0</v>
      </c>
      <c r="D2845" s="18" t="s">
        <v>33</v>
      </c>
      <c r="E2845" s="26">
        <v>42562.65902777778</v>
      </c>
      <c r="F2845" s="19">
        <f>IFERROR(__xludf.DUMMYFUNCTION("IFERROR(TO_DATE(E2845), """")"),42562.65902777778)</f>
        <v>42562.65903</v>
      </c>
      <c r="G2845" s="20">
        <f t="shared" si="1"/>
        <v>15</v>
      </c>
      <c r="H2845" s="18" t="s">
        <v>34</v>
      </c>
      <c r="I2845" s="19" t="str">
        <f>IFERROR(__xludf.DUMMYFUNCTION("IFERROR(TO_DATE(H2845), """")"),"NA")</f>
        <v>NA</v>
      </c>
      <c r="J2845" s="19" t="s">
        <v>10</v>
      </c>
      <c r="K2845" s="22">
        <f t="shared" si="2"/>
        <v>1</v>
      </c>
    </row>
    <row r="2846">
      <c r="A2846" s="18">
        <v>1254.0</v>
      </c>
      <c r="B2846" s="18" t="s">
        <v>30</v>
      </c>
      <c r="C2846" s="18">
        <v>4.0</v>
      </c>
      <c r="D2846" s="18" t="s">
        <v>33</v>
      </c>
      <c r="E2846" s="26">
        <v>42562.91180555556</v>
      </c>
      <c r="F2846" s="19">
        <f>IFERROR(__xludf.DUMMYFUNCTION("IFERROR(TO_DATE(E2846), """")"),42562.91180555556)</f>
        <v>42562.91181</v>
      </c>
      <c r="G2846" s="20">
        <f t="shared" si="1"/>
        <v>21</v>
      </c>
      <c r="H2846" s="18" t="s">
        <v>34</v>
      </c>
      <c r="I2846" s="19" t="str">
        <f>IFERROR(__xludf.DUMMYFUNCTION("IFERROR(TO_DATE(H2846), """")"),"NA")</f>
        <v>NA</v>
      </c>
      <c r="J2846" s="19" t="s">
        <v>13</v>
      </c>
      <c r="K2846" s="22">
        <f t="shared" si="2"/>
        <v>1</v>
      </c>
    </row>
    <row r="2847">
      <c r="A2847" s="18">
        <v>3807.0</v>
      </c>
      <c r="B2847" s="18" t="s">
        <v>30</v>
      </c>
      <c r="C2847" s="18">
        <v>4.0</v>
      </c>
      <c r="D2847" s="18" t="s">
        <v>33</v>
      </c>
      <c r="E2847" s="27">
        <v>42564.873611111114</v>
      </c>
      <c r="F2847" s="19">
        <f>IFERROR(__xludf.DUMMYFUNCTION("IFERROR(TO_DATE(E2847), """")"),42564.873611111114)</f>
        <v>42564.87361</v>
      </c>
      <c r="G2847" s="20">
        <f t="shared" si="1"/>
        <v>20</v>
      </c>
      <c r="H2847" s="18" t="s">
        <v>34</v>
      </c>
      <c r="I2847" s="19" t="str">
        <f>IFERROR(__xludf.DUMMYFUNCTION("IFERROR(TO_DATE(H2847), """")"),"NA")</f>
        <v>NA</v>
      </c>
      <c r="J2847" s="19" t="s">
        <v>13</v>
      </c>
      <c r="K2847" s="22">
        <f t="shared" si="2"/>
        <v>1</v>
      </c>
    </row>
    <row r="2848">
      <c r="A2848" s="18">
        <v>4280.0</v>
      </c>
      <c r="B2848" s="18" t="s">
        <v>32</v>
      </c>
      <c r="C2848" s="18">
        <v>4.0</v>
      </c>
      <c r="D2848" s="18" t="s">
        <v>33</v>
      </c>
      <c r="E2848" s="27">
        <v>42565.27302083333</v>
      </c>
      <c r="F2848" s="19">
        <f>IFERROR(__xludf.DUMMYFUNCTION("IFERROR(TO_DATE(E2848), """")"),42565.27302083333)</f>
        <v>42565.27302</v>
      </c>
      <c r="G2848" s="20">
        <f t="shared" si="1"/>
        <v>6</v>
      </c>
      <c r="H2848" s="18" t="s">
        <v>34</v>
      </c>
      <c r="I2848" s="19" t="str">
        <f>IFERROR(__xludf.DUMMYFUNCTION("IFERROR(TO_DATE(H2848), """")"),"NA")</f>
        <v>NA</v>
      </c>
      <c r="J2848" s="19" t="s">
        <v>11</v>
      </c>
      <c r="K2848" s="22">
        <f t="shared" si="2"/>
        <v>1</v>
      </c>
    </row>
    <row r="2849">
      <c r="A2849" s="18">
        <v>4533.0</v>
      </c>
      <c r="B2849" s="18" t="s">
        <v>32</v>
      </c>
      <c r="C2849" s="18">
        <v>4.0</v>
      </c>
      <c r="D2849" s="18" t="s">
        <v>33</v>
      </c>
      <c r="E2849" s="27">
        <v>42565.39662037037</v>
      </c>
      <c r="F2849" s="19">
        <f>IFERROR(__xludf.DUMMYFUNCTION("IFERROR(TO_DATE(E2849), """")"),42565.39662037037)</f>
        <v>42565.39662</v>
      </c>
      <c r="G2849" s="20">
        <f t="shared" si="1"/>
        <v>9</v>
      </c>
      <c r="H2849" s="18" t="s">
        <v>34</v>
      </c>
      <c r="I2849" s="19" t="str">
        <f>IFERROR(__xludf.DUMMYFUNCTION("IFERROR(TO_DATE(H2849), """")"),"NA")</f>
        <v>NA</v>
      </c>
      <c r="J2849" s="19" t="s">
        <v>14</v>
      </c>
      <c r="K2849" s="22">
        <f t="shared" si="2"/>
        <v>1</v>
      </c>
    </row>
    <row r="2850">
      <c r="A2850" s="18">
        <v>3230.0</v>
      </c>
      <c r="B2850" s="18" t="s">
        <v>32</v>
      </c>
      <c r="C2850" s="18">
        <v>5.0</v>
      </c>
      <c r="D2850" s="18" t="s">
        <v>33</v>
      </c>
      <c r="E2850" s="27">
        <v>42564.418020833335</v>
      </c>
      <c r="F2850" s="19">
        <f>IFERROR(__xludf.DUMMYFUNCTION("IFERROR(TO_DATE(E2850), """")"),42564.418020833335)</f>
        <v>42564.41802</v>
      </c>
      <c r="G2850" s="20">
        <f t="shared" si="1"/>
        <v>10</v>
      </c>
      <c r="H2850" s="18" t="s">
        <v>34</v>
      </c>
      <c r="I2850" s="19" t="str">
        <f>IFERROR(__xludf.DUMMYFUNCTION("IFERROR(TO_DATE(H2850), """")"),"NA")</f>
        <v>NA</v>
      </c>
      <c r="J2850" s="19" t="s">
        <v>14</v>
      </c>
      <c r="K2850" s="22">
        <f t="shared" si="2"/>
        <v>1</v>
      </c>
    </row>
    <row r="2851">
      <c r="A2851" s="18">
        <v>4296.0</v>
      </c>
      <c r="B2851" s="18" t="s">
        <v>32</v>
      </c>
      <c r="C2851" s="18">
        <v>5.0</v>
      </c>
      <c r="D2851" s="18" t="s">
        <v>33</v>
      </c>
      <c r="E2851" s="27">
        <v>42565.27738425926</v>
      </c>
      <c r="F2851" s="19">
        <f>IFERROR(__xludf.DUMMYFUNCTION("IFERROR(TO_DATE(E2851), """")"),42565.27738425926)</f>
        <v>42565.27738</v>
      </c>
      <c r="G2851" s="20">
        <f t="shared" si="1"/>
        <v>6</v>
      </c>
      <c r="H2851" s="18" t="s">
        <v>34</v>
      </c>
      <c r="I2851" s="19" t="str">
        <f>IFERROR(__xludf.DUMMYFUNCTION("IFERROR(TO_DATE(H2851), """")"),"NA")</f>
        <v>NA</v>
      </c>
      <c r="J2851" s="19" t="s">
        <v>11</v>
      </c>
      <c r="K2851" s="22">
        <f t="shared" si="2"/>
        <v>1</v>
      </c>
    </row>
    <row r="2852">
      <c r="A2852" s="18">
        <v>3059.0</v>
      </c>
      <c r="B2852" s="18" t="s">
        <v>32</v>
      </c>
      <c r="C2852" s="18">
        <v>6.0</v>
      </c>
      <c r="D2852" s="18" t="s">
        <v>33</v>
      </c>
      <c r="E2852" s="27">
        <v>42564.33084490741</v>
      </c>
      <c r="F2852" s="19">
        <f>IFERROR(__xludf.DUMMYFUNCTION("IFERROR(TO_DATE(E2852), """")"),42564.33084490741)</f>
        <v>42564.33084</v>
      </c>
      <c r="G2852" s="20">
        <f t="shared" si="1"/>
        <v>7</v>
      </c>
      <c r="H2852" s="18" t="s">
        <v>34</v>
      </c>
      <c r="I2852" s="19" t="str">
        <f>IFERROR(__xludf.DUMMYFUNCTION("IFERROR(TO_DATE(H2852), """")"),"NA")</f>
        <v>NA</v>
      </c>
      <c r="J2852" s="19" t="s">
        <v>11</v>
      </c>
      <c r="K2852" s="22">
        <f t="shared" si="2"/>
        <v>1</v>
      </c>
    </row>
    <row r="2853">
      <c r="A2853" s="18">
        <v>5547.0</v>
      </c>
      <c r="B2853" s="18" t="s">
        <v>32</v>
      </c>
      <c r="C2853" s="18">
        <v>6.0</v>
      </c>
      <c r="D2853" s="18" t="s">
        <v>33</v>
      </c>
      <c r="E2853" s="27">
        <v>42566.229525462964</v>
      </c>
      <c r="F2853" s="19">
        <f>IFERROR(__xludf.DUMMYFUNCTION("IFERROR(TO_DATE(E2853), """")"),42566.229525462964)</f>
        <v>42566.22953</v>
      </c>
      <c r="G2853" s="20">
        <f t="shared" si="1"/>
        <v>5</v>
      </c>
      <c r="H2853" s="18" t="s">
        <v>34</v>
      </c>
      <c r="I2853" s="19" t="str">
        <f>IFERROR(__xludf.DUMMYFUNCTION("IFERROR(TO_DATE(H2853), """")"),"NA")</f>
        <v>NA</v>
      </c>
      <c r="J2853" s="19" t="s">
        <v>11</v>
      </c>
      <c r="K2853" s="22">
        <f t="shared" si="2"/>
        <v>1</v>
      </c>
    </row>
    <row r="2854">
      <c r="A2854" s="18">
        <v>5699.0</v>
      </c>
      <c r="B2854" s="18" t="s">
        <v>32</v>
      </c>
      <c r="C2854" s="18">
        <v>6.0</v>
      </c>
      <c r="D2854" s="18" t="s">
        <v>33</v>
      </c>
      <c r="E2854" s="27">
        <v>42566.309641203705</v>
      </c>
      <c r="F2854" s="19">
        <f>IFERROR(__xludf.DUMMYFUNCTION("IFERROR(TO_DATE(E2854), """")"),42566.309641203705)</f>
        <v>42566.30964</v>
      </c>
      <c r="G2854" s="20">
        <f t="shared" si="1"/>
        <v>7</v>
      </c>
      <c r="H2854" s="18" t="s">
        <v>34</v>
      </c>
      <c r="I2854" s="19" t="str">
        <f>IFERROR(__xludf.DUMMYFUNCTION("IFERROR(TO_DATE(H2854), """")"),"NA")</f>
        <v>NA</v>
      </c>
      <c r="J2854" s="19" t="s">
        <v>11</v>
      </c>
      <c r="K2854" s="22">
        <f t="shared" si="2"/>
        <v>1</v>
      </c>
    </row>
    <row r="2855">
      <c r="A2855" s="18">
        <v>5701.0</v>
      </c>
      <c r="B2855" s="18" t="s">
        <v>32</v>
      </c>
      <c r="C2855" s="18">
        <v>6.0</v>
      </c>
      <c r="D2855" s="18" t="s">
        <v>33</v>
      </c>
      <c r="E2855" s="27">
        <v>42566.31527777778</v>
      </c>
      <c r="F2855" s="19">
        <f>IFERROR(__xludf.DUMMYFUNCTION("IFERROR(TO_DATE(E2855), """")"),42566.31527777778)</f>
        <v>42566.31528</v>
      </c>
      <c r="G2855" s="20">
        <f t="shared" si="1"/>
        <v>7</v>
      </c>
      <c r="H2855" s="18" t="s">
        <v>34</v>
      </c>
      <c r="I2855" s="19" t="str">
        <f>IFERROR(__xludf.DUMMYFUNCTION("IFERROR(TO_DATE(H2855), """")"),"NA")</f>
        <v>NA</v>
      </c>
      <c r="J2855" s="19" t="s">
        <v>11</v>
      </c>
      <c r="K2855" s="22">
        <f t="shared" si="2"/>
        <v>1</v>
      </c>
    </row>
    <row r="2856">
      <c r="A2856" s="18">
        <v>247.0</v>
      </c>
      <c r="B2856" s="18" t="s">
        <v>32</v>
      </c>
      <c r="C2856" s="18">
        <v>7.0</v>
      </c>
      <c r="D2856" s="18" t="s">
        <v>33</v>
      </c>
      <c r="E2856" s="26">
        <v>42562.27291666667</v>
      </c>
      <c r="F2856" s="19">
        <f>IFERROR(__xludf.DUMMYFUNCTION("IFERROR(TO_DATE(E2856), """")"),42562.27291666667)</f>
        <v>42562.27292</v>
      </c>
      <c r="G2856" s="20">
        <f t="shared" si="1"/>
        <v>6</v>
      </c>
      <c r="H2856" s="18" t="s">
        <v>34</v>
      </c>
      <c r="I2856" s="19" t="str">
        <f>IFERROR(__xludf.DUMMYFUNCTION("IFERROR(TO_DATE(H2856), """")"),"NA")</f>
        <v>NA</v>
      </c>
      <c r="J2856" s="19" t="s">
        <v>11</v>
      </c>
      <c r="K2856" s="22">
        <f t="shared" si="2"/>
        <v>1</v>
      </c>
    </row>
    <row r="2857">
      <c r="A2857" s="18">
        <v>2582.0</v>
      </c>
      <c r="B2857" s="18" t="s">
        <v>30</v>
      </c>
      <c r="C2857" s="18">
        <v>7.0</v>
      </c>
      <c r="D2857" s="18" t="s">
        <v>33</v>
      </c>
      <c r="E2857" s="26">
        <v>42563.90416666667</v>
      </c>
      <c r="F2857" s="19">
        <f>IFERROR(__xludf.DUMMYFUNCTION("IFERROR(TO_DATE(E2857), """")"),42563.90416666667)</f>
        <v>42563.90417</v>
      </c>
      <c r="G2857" s="20">
        <f t="shared" si="1"/>
        <v>21</v>
      </c>
      <c r="H2857" s="18" t="s">
        <v>34</v>
      </c>
      <c r="I2857" s="19" t="str">
        <f>IFERROR(__xludf.DUMMYFUNCTION("IFERROR(TO_DATE(H2857), """")"),"NA")</f>
        <v>NA</v>
      </c>
      <c r="J2857" s="19" t="s">
        <v>13</v>
      </c>
      <c r="K2857" s="22">
        <f t="shared" si="2"/>
        <v>1</v>
      </c>
    </row>
    <row r="2858">
      <c r="A2858" s="18">
        <v>3184.0</v>
      </c>
      <c r="B2858" s="18" t="s">
        <v>32</v>
      </c>
      <c r="C2858" s="18">
        <v>7.0</v>
      </c>
      <c r="D2858" s="18" t="s">
        <v>33</v>
      </c>
      <c r="E2858" s="27">
        <v>42564.39</v>
      </c>
      <c r="F2858" s="19">
        <f>IFERROR(__xludf.DUMMYFUNCTION("IFERROR(TO_DATE(E2858), """")"),42564.39)</f>
        <v>42564.39</v>
      </c>
      <c r="G2858" s="20">
        <f t="shared" si="1"/>
        <v>9</v>
      </c>
      <c r="H2858" s="18" t="s">
        <v>34</v>
      </c>
      <c r="I2858" s="19" t="str">
        <f>IFERROR(__xludf.DUMMYFUNCTION("IFERROR(TO_DATE(H2858), """")"),"NA")</f>
        <v>NA</v>
      </c>
      <c r="J2858" s="19" t="s">
        <v>14</v>
      </c>
      <c r="K2858" s="22">
        <f t="shared" si="2"/>
        <v>1</v>
      </c>
    </row>
    <row r="2859">
      <c r="A2859" s="18">
        <v>1687.0</v>
      </c>
      <c r="B2859" s="18" t="s">
        <v>32</v>
      </c>
      <c r="C2859" s="18">
        <v>8.0</v>
      </c>
      <c r="D2859" s="18" t="s">
        <v>33</v>
      </c>
      <c r="E2859" s="26">
        <v>42563.32708333333</v>
      </c>
      <c r="F2859" s="19">
        <f>IFERROR(__xludf.DUMMYFUNCTION("IFERROR(TO_DATE(E2859), """")"),42563.32708333333)</f>
        <v>42563.32708</v>
      </c>
      <c r="G2859" s="20">
        <f t="shared" si="1"/>
        <v>7</v>
      </c>
      <c r="H2859" s="18" t="s">
        <v>34</v>
      </c>
      <c r="I2859" s="19" t="str">
        <f>IFERROR(__xludf.DUMMYFUNCTION("IFERROR(TO_DATE(H2859), """")"),"NA")</f>
        <v>NA</v>
      </c>
      <c r="J2859" s="19" t="s">
        <v>11</v>
      </c>
      <c r="K2859" s="22">
        <f t="shared" si="2"/>
        <v>1</v>
      </c>
    </row>
    <row r="2860">
      <c r="A2860" s="18">
        <v>4174.0</v>
      </c>
      <c r="B2860" s="18" t="s">
        <v>32</v>
      </c>
      <c r="C2860" s="18">
        <v>8.0</v>
      </c>
      <c r="D2860" s="18" t="s">
        <v>33</v>
      </c>
      <c r="E2860" s="27">
        <v>42565.22221064815</v>
      </c>
      <c r="F2860" s="19">
        <f>IFERROR(__xludf.DUMMYFUNCTION("IFERROR(TO_DATE(E2860), """")"),42565.22221064815)</f>
        <v>42565.22221</v>
      </c>
      <c r="G2860" s="20">
        <f t="shared" si="1"/>
        <v>5</v>
      </c>
      <c r="H2860" s="18" t="s">
        <v>34</v>
      </c>
      <c r="I2860" s="19" t="str">
        <f>IFERROR(__xludf.DUMMYFUNCTION("IFERROR(TO_DATE(H2860), """")"),"NA")</f>
        <v>NA</v>
      </c>
      <c r="J2860" s="19" t="s">
        <v>11</v>
      </c>
      <c r="K2860" s="22">
        <f t="shared" si="2"/>
        <v>1</v>
      </c>
    </row>
    <row r="2861">
      <c r="A2861" s="18">
        <v>4335.0</v>
      </c>
      <c r="B2861" s="18" t="s">
        <v>32</v>
      </c>
      <c r="C2861" s="18">
        <v>8.0</v>
      </c>
      <c r="D2861" s="18" t="s">
        <v>33</v>
      </c>
      <c r="E2861" s="27">
        <v>42565.3012962963</v>
      </c>
      <c r="F2861" s="19">
        <f>IFERROR(__xludf.DUMMYFUNCTION("IFERROR(TO_DATE(E2861), """")"),42565.3012962963)</f>
        <v>42565.3013</v>
      </c>
      <c r="G2861" s="20">
        <f t="shared" si="1"/>
        <v>7</v>
      </c>
      <c r="H2861" s="18" t="s">
        <v>34</v>
      </c>
      <c r="I2861" s="19" t="str">
        <f>IFERROR(__xludf.DUMMYFUNCTION("IFERROR(TO_DATE(H2861), """")"),"NA")</f>
        <v>NA</v>
      </c>
      <c r="J2861" s="19" t="s">
        <v>11</v>
      </c>
      <c r="K2861" s="22">
        <f t="shared" si="2"/>
        <v>1</v>
      </c>
    </row>
    <row r="2862">
      <c r="A2862" s="18">
        <v>150.0</v>
      </c>
      <c r="B2862" s="18" t="s">
        <v>32</v>
      </c>
      <c r="C2862" s="18">
        <v>9.0</v>
      </c>
      <c r="D2862" s="18" t="s">
        <v>33</v>
      </c>
      <c r="E2862" s="26">
        <v>42562.225</v>
      </c>
      <c r="F2862" s="19">
        <f>IFERROR(__xludf.DUMMYFUNCTION("IFERROR(TO_DATE(E2862), """")"),42562.225)</f>
        <v>42562.225</v>
      </c>
      <c r="G2862" s="20">
        <f t="shared" si="1"/>
        <v>5</v>
      </c>
      <c r="H2862" s="18" t="s">
        <v>34</v>
      </c>
      <c r="I2862" s="19" t="str">
        <f>IFERROR(__xludf.DUMMYFUNCTION("IFERROR(TO_DATE(H2862), """")"),"NA")</f>
        <v>NA</v>
      </c>
      <c r="J2862" s="19" t="s">
        <v>11</v>
      </c>
      <c r="K2862" s="22">
        <f t="shared" si="2"/>
        <v>1</v>
      </c>
    </row>
    <row r="2863">
      <c r="A2863" s="18">
        <v>233.0</v>
      </c>
      <c r="B2863" s="18" t="s">
        <v>32</v>
      </c>
      <c r="C2863" s="18">
        <v>9.0</v>
      </c>
      <c r="D2863" s="18" t="s">
        <v>33</v>
      </c>
      <c r="E2863" s="26">
        <v>42562.26875</v>
      </c>
      <c r="F2863" s="19">
        <f>IFERROR(__xludf.DUMMYFUNCTION("IFERROR(TO_DATE(E2863), """")"),42562.26875)</f>
        <v>42562.26875</v>
      </c>
      <c r="G2863" s="20">
        <f t="shared" si="1"/>
        <v>6</v>
      </c>
      <c r="H2863" s="18" t="s">
        <v>34</v>
      </c>
      <c r="I2863" s="19" t="str">
        <f>IFERROR(__xludf.DUMMYFUNCTION("IFERROR(TO_DATE(H2863), """")"),"NA")</f>
        <v>NA</v>
      </c>
      <c r="J2863" s="19" t="s">
        <v>11</v>
      </c>
      <c r="K2863" s="22">
        <f t="shared" si="2"/>
        <v>1</v>
      </c>
    </row>
    <row r="2864">
      <c r="A2864" s="18">
        <v>1880.0</v>
      </c>
      <c r="B2864" s="18" t="s">
        <v>32</v>
      </c>
      <c r="C2864" s="18">
        <v>9.0</v>
      </c>
      <c r="D2864" s="18" t="s">
        <v>33</v>
      </c>
      <c r="E2864" s="26">
        <v>42563.41736111111</v>
      </c>
      <c r="F2864" s="19">
        <f>IFERROR(__xludf.DUMMYFUNCTION("IFERROR(TO_DATE(E2864), """")"),42563.41736111111)</f>
        <v>42563.41736</v>
      </c>
      <c r="G2864" s="20">
        <f t="shared" si="1"/>
        <v>10</v>
      </c>
      <c r="H2864" s="18" t="s">
        <v>34</v>
      </c>
      <c r="I2864" s="19" t="str">
        <f>IFERROR(__xludf.DUMMYFUNCTION("IFERROR(TO_DATE(H2864), """")"),"NA")</f>
        <v>NA</v>
      </c>
      <c r="J2864" s="19" t="s">
        <v>14</v>
      </c>
      <c r="K2864" s="22">
        <f t="shared" si="2"/>
        <v>1</v>
      </c>
    </row>
    <row r="2865">
      <c r="A2865" s="18">
        <v>2986.0</v>
      </c>
      <c r="B2865" s="18" t="s">
        <v>32</v>
      </c>
      <c r="C2865" s="18">
        <v>9.0</v>
      </c>
      <c r="D2865" s="18" t="s">
        <v>33</v>
      </c>
      <c r="E2865" s="27">
        <v>42564.295</v>
      </c>
      <c r="F2865" s="19">
        <f>IFERROR(__xludf.DUMMYFUNCTION("IFERROR(TO_DATE(E2865), """")"),42564.295)</f>
        <v>42564.295</v>
      </c>
      <c r="G2865" s="20">
        <f t="shared" si="1"/>
        <v>7</v>
      </c>
      <c r="H2865" s="18" t="s">
        <v>34</v>
      </c>
      <c r="I2865" s="19" t="str">
        <f>IFERROR(__xludf.DUMMYFUNCTION("IFERROR(TO_DATE(H2865), """")"),"NA")</f>
        <v>NA</v>
      </c>
      <c r="J2865" s="19" t="s">
        <v>11</v>
      </c>
      <c r="K2865" s="22">
        <f t="shared" si="2"/>
        <v>1</v>
      </c>
    </row>
    <row r="2866">
      <c r="A2866" s="18">
        <v>3549.0</v>
      </c>
      <c r="B2866" s="18" t="s">
        <v>32</v>
      </c>
      <c r="C2866" s="18">
        <v>9.0</v>
      </c>
      <c r="D2866" s="18" t="s">
        <v>33</v>
      </c>
      <c r="E2866" s="27">
        <v>42564.752430555556</v>
      </c>
      <c r="F2866" s="19">
        <f>IFERROR(__xludf.DUMMYFUNCTION("IFERROR(TO_DATE(E2866), """")"),42564.752430555556)</f>
        <v>42564.75243</v>
      </c>
      <c r="G2866" s="20">
        <f t="shared" si="1"/>
        <v>18</v>
      </c>
      <c r="H2866" s="18" t="s">
        <v>34</v>
      </c>
      <c r="I2866" s="19" t="str">
        <f>IFERROR(__xludf.DUMMYFUNCTION("IFERROR(TO_DATE(H2866), """")"),"NA")</f>
        <v>NA</v>
      </c>
      <c r="J2866" s="19" t="s">
        <v>12</v>
      </c>
      <c r="K2866" s="22">
        <f t="shared" si="2"/>
        <v>1</v>
      </c>
    </row>
    <row r="2867">
      <c r="A2867" s="18">
        <v>4463.0</v>
      </c>
      <c r="B2867" s="18" t="s">
        <v>32</v>
      </c>
      <c r="C2867" s="18">
        <v>9.0</v>
      </c>
      <c r="D2867" s="18" t="s">
        <v>33</v>
      </c>
      <c r="E2867" s="27">
        <v>42565.363275462965</v>
      </c>
      <c r="F2867" s="19">
        <f>IFERROR(__xludf.DUMMYFUNCTION("IFERROR(TO_DATE(E2867), """")"),42565.363275462965)</f>
        <v>42565.36328</v>
      </c>
      <c r="G2867" s="20">
        <f t="shared" si="1"/>
        <v>8</v>
      </c>
      <c r="H2867" s="18" t="s">
        <v>34</v>
      </c>
      <c r="I2867" s="19" t="str">
        <f>IFERROR(__xludf.DUMMYFUNCTION("IFERROR(TO_DATE(H2867), """")"),"NA")</f>
        <v>NA</v>
      </c>
      <c r="J2867" s="19" t="s">
        <v>14</v>
      </c>
      <c r="K2867" s="22">
        <f t="shared" si="2"/>
        <v>1</v>
      </c>
    </row>
    <row r="2868">
      <c r="A2868" s="18">
        <v>4178.0</v>
      </c>
      <c r="B2868" s="18" t="s">
        <v>32</v>
      </c>
      <c r="C2868" s="18">
        <v>10.0</v>
      </c>
      <c r="D2868" s="18" t="s">
        <v>33</v>
      </c>
      <c r="E2868" s="27">
        <v>42565.22420138889</v>
      </c>
      <c r="F2868" s="19">
        <f>IFERROR(__xludf.DUMMYFUNCTION("IFERROR(TO_DATE(E2868), """")"),42565.22420138889)</f>
        <v>42565.2242</v>
      </c>
      <c r="G2868" s="20">
        <f t="shared" si="1"/>
        <v>5</v>
      </c>
      <c r="H2868" s="18" t="s">
        <v>34</v>
      </c>
      <c r="I2868" s="19" t="str">
        <f>IFERROR(__xludf.DUMMYFUNCTION("IFERROR(TO_DATE(H2868), """")"),"NA")</f>
        <v>NA</v>
      </c>
      <c r="J2868" s="19" t="s">
        <v>11</v>
      </c>
      <c r="K2868" s="22">
        <f t="shared" si="2"/>
        <v>1</v>
      </c>
    </row>
    <row r="2869">
      <c r="A2869" s="18">
        <v>4599.0</v>
      </c>
      <c r="B2869" s="18" t="s">
        <v>32</v>
      </c>
      <c r="C2869" s="18">
        <v>10.0</v>
      </c>
      <c r="D2869" s="18" t="s">
        <v>33</v>
      </c>
      <c r="E2869" s="27">
        <v>42565.42271990741</v>
      </c>
      <c r="F2869" s="19">
        <f>IFERROR(__xludf.DUMMYFUNCTION("IFERROR(TO_DATE(E2869), """")"),42565.42271990741)</f>
        <v>42565.42272</v>
      </c>
      <c r="G2869" s="20">
        <f t="shared" si="1"/>
        <v>10</v>
      </c>
      <c r="H2869" s="18" t="s">
        <v>34</v>
      </c>
      <c r="I2869" s="19" t="str">
        <f>IFERROR(__xludf.DUMMYFUNCTION("IFERROR(TO_DATE(H2869), """")"),"NA")</f>
        <v>NA</v>
      </c>
      <c r="J2869" s="19" t="s">
        <v>14</v>
      </c>
      <c r="K2869" s="22">
        <f t="shared" si="2"/>
        <v>1</v>
      </c>
    </row>
    <row r="2870">
      <c r="A2870" s="18">
        <v>4667.0</v>
      </c>
      <c r="B2870" s="18" t="s">
        <v>30</v>
      </c>
      <c r="C2870" s="18">
        <v>10.0</v>
      </c>
      <c r="D2870" s="18" t="s">
        <v>33</v>
      </c>
      <c r="E2870" s="27">
        <v>42565.51605324074</v>
      </c>
      <c r="F2870" s="19">
        <f>IFERROR(__xludf.DUMMYFUNCTION("IFERROR(TO_DATE(E2870), """")"),42565.51605324074)</f>
        <v>42565.51605</v>
      </c>
      <c r="G2870" s="20">
        <f t="shared" si="1"/>
        <v>12</v>
      </c>
      <c r="H2870" s="18" t="s">
        <v>34</v>
      </c>
      <c r="I2870" s="19" t="str">
        <f>IFERROR(__xludf.DUMMYFUNCTION("IFERROR(TO_DATE(H2870), """")"),"NA")</f>
        <v>NA</v>
      </c>
      <c r="J2870" s="19" t="s">
        <v>10</v>
      </c>
      <c r="K2870" s="22">
        <f t="shared" si="2"/>
        <v>1</v>
      </c>
    </row>
    <row r="2871">
      <c r="A2871" s="18">
        <v>570.0</v>
      </c>
      <c r="B2871" s="18" t="s">
        <v>32</v>
      </c>
      <c r="C2871" s="18">
        <v>13.0</v>
      </c>
      <c r="D2871" s="18" t="s">
        <v>33</v>
      </c>
      <c r="E2871" s="26">
        <v>42562.441666666666</v>
      </c>
      <c r="F2871" s="19">
        <f>IFERROR(__xludf.DUMMYFUNCTION("IFERROR(TO_DATE(E2871), """")"),42562.441666666666)</f>
        <v>42562.44167</v>
      </c>
      <c r="G2871" s="20">
        <f t="shared" si="1"/>
        <v>10</v>
      </c>
      <c r="H2871" s="18" t="s">
        <v>34</v>
      </c>
      <c r="I2871" s="19" t="str">
        <f>IFERROR(__xludf.DUMMYFUNCTION("IFERROR(TO_DATE(H2871), """")"),"NA")</f>
        <v>NA</v>
      </c>
      <c r="J2871" s="19" t="s">
        <v>14</v>
      </c>
      <c r="K2871" s="22">
        <f t="shared" si="2"/>
        <v>1</v>
      </c>
    </row>
    <row r="2872">
      <c r="A2872" s="18">
        <v>1691.0</v>
      </c>
      <c r="B2872" s="18" t="s">
        <v>32</v>
      </c>
      <c r="C2872" s="18">
        <v>13.0</v>
      </c>
      <c r="D2872" s="18" t="s">
        <v>33</v>
      </c>
      <c r="E2872" s="26">
        <v>42563.32916666667</v>
      </c>
      <c r="F2872" s="19">
        <f>IFERROR(__xludf.DUMMYFUNCTION("IFERROR(TO_DATE(E2872), """")"),42563.32916666667)</f>
        <v>42563.32917</v>
      </c>
      <c r="G2872" s="20">
        <f t="shared" si="1"/>
        <v>7</v>
      </c>
      <c r="H2872" s="18" t="s">
        <v>34</v>
      </c>
      <c r="I2872" s="19" t="str">
        <f>IFERROR(__xludf.DUMMYFUNCTION("IFERROR(TO_DATE(H2872), """")"),"NA")</f>
        <v>NA</v>
      </c>
      <c r="J2872" s="19" t="s">
        <v>11</v>
      </c>
      <c r="K2872" s="22">
        <f t="shared" si="2"/>
        <v>1</v>
      </c>
    </row>
    <row r="2873">
      <c r="A2873" s="18">
        <v>3499.0</v>
      </c>
      <c r="B2873" s="18" t="s">
        <v>32</v>
      </c>
      <c r="C2873" s="18">
        <v>13.0</v>
      </c>
      <c r="D2873" s="18" t="s">
        <v>33</v>
      </c>
      <c r="E2873" s="27">
        <v>42564.74055555555</v>
      </c>
      <c r="F2873" s="19">
        <f>IFERROR(__xludf.DUMMYFUNCTION("IFERROR(TO_DATE(E2873), """")"),42564.74055555555)</f>
        <v>42564.74056</v>
      </c>
      <c r="G2873" s="20">
        <f t="shared" si="1"/>
        <v>17</v>
      </c>
      <c r="H2873" s="18" t="s">
        <v>34</v>
      </c>
      <c r="I2873" s="19" t="str">
        <f>IFERROR(__xludf.DUMMYFUNCTION("IFERROR(TO_DATE(H2873), """")"),"NA")</f>
        <v>NA</v>
      </c>
      <c r="J2873" s="19" t="s">
        <v>12</v>
      </c>
      <c r="K2873" s="22">
        <f t="shared" si="2"/>
        <v>1</v>
      </c>
    </row>
    <row r="2874">
      <c r="A2874" s="18">
        <v>4467.0</v>
      </c>
      <c r="B2874" s="18" t="s">
        <v>32</v>
      </c>
      <c r="C2874" s="18">
        <v>13.0</v>
      </c>
      <c r="D2874" s="18" t="s">
        <v>33</v>
      </c>
      <c r="E2874" s="27">
        <v>42565.36262731482</v>
      </c>
      <c r="F2874" s="19">
        <f>IFERROR(__xludf.DUMMYFUNCTION("IFERROR(TO_DATE(E2874), """")"),42565.36262731482)</f>
        <v>42565.36263</v>
      </c>
      <c r="G2874" s="20">
        <f t="shared" si="1"/>
        <v>8</v>
      </c>
      <c r="H2874" s="18" t="s">
        <v>34</v>
      </c>
      <c r="I2874" s="19" t="str">
        <f>IFERROR(__xludf.DUMMYFUNCTION("IFERROR(TO_DATE(H2874), """")"),"NA")</f>
        <v>NA</v>
      </c>
      <c r="J2874" s="19" t="s">
        <v>14</v>
      </c>
      <c r="K2874" s="22">
        <f t="shared" si="2"/>
        <v>1</v>
      </c>
    </row>
    <row r="2875">
      <c r="A2875" s="18">
        <v>2799.0</v>
      </c>
      <c r="B2875" s="18" t="s">
        <v>32</v>
      </c>
      <c r="C2875" s="18">
        <v>14.0</v>
      </c>
      <c r="D2875" s="18" t="s">
        <v>33</v>
      </c>
      <c r="E2875" s="27">
        <v>42564.207824074074</v>
      </c>
      <c r="F2875" s="19">
        <f>IFERROR(__xludf.DUMMYFUNCTION("IFERROR(TO_DATE(E2875), """")"),42564.207824074074)</f>
        <v>42564.20782</v>
      </c>
      <c r="G2875" s="20">
        <f t="shared" si="1"/>
        <v>4</v>
      </c>
      <c r="H2875" s="18" t="s">
        <v>34</v>
      </c>
      <c r="I2875" s="19" t="str">
        <f>IFERROR(__xludf.DUMMYFUNCTION("IFERROR(TO_DATE(H2875), """")"),"NA")</f>
        <v>NA</v>
      </c>
      <c r="J2875" s="19" t="s">
        <v>11</v>
      </c>
      <c r="K2875" s="22">
        <f t="shared" si="2"/>
        <v>1</v>
      </c>
    </row>
    <row r="2876">
      <c r="A2876" s="18">
        <v>3822.0</v>
      </c>
      <c r="B2876" s="18" t="s">
        <v>30</v>
      </c>
      <c r="C2876" s="18">
        <v>14.0</v>
      </c>
      <c r="D2876" s="18" t="s">
        <v>33</v>
      </c>
      <c r="E2876" s="27">
        <v>42564.8825462963</v>
      </c>
      <c r="F2876" s="19">
        <f>IFERROR(__xludf.DUMMYFUNCTION("IFERROR(TO_DATE(E2876), """")"),42564.8825462963)</f>
        <v>42564.88255</v>
      </c>
      <c r="G2876" s="20">
        <f t="shared" si="1"/>
        <v>21</v>
      </c>
      <c r="H2876" s="18" t="s">
        <v>34</v>
      </c>
      <c r="I2876" s="19" t="str">
        <f>IFERROR(__xludf.DUMMYFUNCTION("IFERROR(TO_DATE(H2876), """")"),"NA")</f>
        <v>NA</v>
      </c>
      <c r="J2876" s="19" t="s">
        <v>13</v>
      </c>
      <c r="K2876" s="22">
        <f t="shared" si="2"/>
        <v>1</v>
      </c>
    </row>
    <row r="2877">
      <c r="A2877" s="18">
        <v>4456.0</v>
      </c>
      <c r="B2877" s="18" t="s">
        <v>32</v>
      </c>
      <c r="C2877" s="18">
        <v>14.0</v>
      </c>
      <c r="D2877" s="18" t="s">
        <v>33</v>
      </c>
      <c r="E2877" s="27">
        <v>42565.35603009259</v>
      </c>
      <c r="F2877" s="19">
        <f>IFERROR(__xludf.DUMMYFUNCTION("IFERROR(TO_DATE(E2877), """")"),42565.35603009259)</f>
        <v>42565.35603</v>
      </c>
      <c r="G2877" s="20">
        <f t="shared" si="1"/>
        <v>8</v>
      </c>
      <c r="H2877" s="18" t="s">
        <v>34</v>
      </c>
      <c r="I2877" s="19" t="str">
        <f>IFERROR(__xludf.DUMMYFUNCTION("IFERROR(TO_DATE(H2877), """")"),"NA")</f>
        <v>NA</v>
      </c>
      <c r="J2877" s="19" t="s">
        <v>14</v>
      </c>
      <c r="K2877" s="22">
        <f t="shared" si="2"/>
        <v>1</v>
      </c>
    </row>
    <row r="2878">
      <c r="A2878" s="18">
        <v>4685.0</v>
      </c>
      <c r="B2878" s="18" t="s">
        <v>30</v>
      </c>
      <c r="C2878" s="18">
        <v>14.0</v>
      </c>
      <c r="D2878" s="18" t="s">
        <v>33</v>
      </c>
      <c r="E2878" s="27">
        <v>42565.54211805556</v>
      </c>
      <c r="F2878" s="19">
        <f>IFERROR(__xludf.DUMMYFUNCTION("IFERROR(TO_DATE(E2878), """")"),42565.54211805556)</f>
        <v>42565.54212</v>
      </c>
      <c r="G2878" s="20">
        <f t="shared" si="1"/>
        <v>13</v>
      </c>
      <c r="H2878" s="18" t="s">
        <v>34</v>
      </c>
      <c r="I2878" s="19" t="str">
        <f>IFERROR(__xludf.DUMMYFUNCTION("IFERROR(TO_DATE(H2878), """")"),"NA")</f>
        <v>NA</v>
      </c>
      <c r="J2878" s="19" t="s">
        <v>10</v>
      </c>
      <c r="K2878" s="22">
        <f t="shared" si="2"/>
        <v>1</v>
      </c>
    </row>
    <row r="2879">
      <c r="A2879" s="18">
        <v>306.0</v>
      </c>
      <c r="B2879" s="18" t="s">
        <v>32</v>
      </c>
      <c r="C2879" s="18">
        <v>15.0</v>
      </c>
      <c r="D2879" s="18" t="s">
        <v>33</v>
      </c>
      <c r="E2879" s="26">
        <v>42562.305555555555</v>
      </c>
      <c r="F2879" s="19">
        <f>IFERROR(__xludf.DUMMYFUNCTION("IFERROR(TO_DATE(E2879), """")"),42562.305555555555)</f>
        <v>42562.30556</v>
      </c>
      <c r="G2879" s="20">
        <f t="shared" si="1"/>
        <v>7</v>
      </c>
      <c r="H2879" s="18" t="s">
        <v>34</v>
      </c>
      <c r="I2879" s="19" t="str">
        <f>IFERROR(__xludf.DUMMYFUNCTION("IFERROR(TO_DATE(H2879), """")"),"NA")</f>
        <v>NA</v>
      </c>
      <c r="J2879" s="19" t="s">
        <v>11</v>
      </c>
      <c r="K2879" s="22">
        <f t="shared" si="2"/>
        <v>1</v>
      </c>
    </row>
    <row r="2880">
      <c r="A2880" s="18">
        <v>2888.0</v>
      </c>
      <c r="B2880" s="18" t="s">
        <v>32</v>
      </c>
      <c r="C2880" s="18">
        <v>15.0</v>
      </c>
      <c r="D2880" s="18" t="s">
        <v>33</v>
      </c>
      <c r="E2880" s="27">
        <v>42564.248449074075</v>
      </c>
      <c r="F2880" s="19">
        <f>IFERROR(__xludf.DUMMYFUNCTION("IFERROR(TO_DATE(E2880), """")"),42564.248449074075)</f>
        <v>42564.24845</v>
      </c>
      <c r="G2880" s="20">
        <f t="shared" si="1"/>
        <v>5</v>
      </c>
      <c r="H2880" s="18" t="s">
        <v>34</v>
      </c>
      <c r="I2880" s="19" t="str">
        <f>IFERROR(__xludf.DUMMYFUNCTION("IFERROR(TO_DATE(H2880), """")"),"NA")</f>
        <v>NA</v>
      </c>
      <c r="J2880" s="19" t="s">
        <v>11</v>
      </c>
      <c r="K2880" s="22">
        <f t="shared" si="2"/>
        <v>1</v>
      </c>
    </row>
    <row r="2881">
      <c r="A2881" s="18">
        <v>92.0</v>
      </c>
      <c r="B2881" s="18" t="s">
        <v>32</v>
      </c>
      <c r="C2881" s="18">
        <v>16.0</v>
      </c>
      <c r="D2881" s="18" t="s">
        <v>33</v>
      </c>
      <c r="E2881" s="26">
        <v>42562.20347222222</v>
      </c>
      <c r="F2881" s="19">
        <f>IFERROR(__xludf.DUMMYFUNCTION("IFERROR(TO_DATE(E2881), """")"),42562.20347222222)</f>
        <v>42562.20347</v>
      </c>
      <c r="G2881" s="20">
        <f t="shared" si="1"/>
        <v>4</v>
      </c>
      <c r="H2881" s="18" t="s">
        <v>34</v>
      </c>
      <c r="I2881" s="19" t="str">
        <f>IFERROR(__xludf.DUMMYFUNCTION("IFERROR(TO_DATE(H2881), """")"),"NA")</f>
        <v>NA</v>
      </c>
      <c r="J2881" s="19" t="s">
        <v>11</v>
      </c>
      <c r="K2881" s="22">
        <f t="shared" si="2"/>
        <v>1</v>
      </c>
    </row>
    <row r="2882">
      <c r="A2882" s="18">
        <v>3138.0</v>
      </c>
      <c r="B2882" s="18" t="s">
        <v>32</v>
      </c>
      <c r="C2882" s="18">
        <v>16.0</v>
      </c>
      <c r="D2882" s="18" t="s">
        <v>33</v>
      </c>
      <c r="E2882" s="27">
        <v>42564.36834490741</v>
      </c>
      <c r="F2882" s="19">
        <f>IFERROR(__xludf.DUMMYFUNCTION("IFERROR(TO_DATE(E2882), """")"),42564.36834490741)</f>
        <v>42564.36834</v>
      </c>
      <c r="G2882" s="20">
        <f t="shared" si="1"/>
        <v>8</v>
      </c>
      <c r="H2882" s="18" t="s">
        <v>34</v>
      </c>
      <c r="I2882" s="19" t="str">
        <f>IFERROR(__xludf.DUMMYFUNCTION("IFERROR(TO_DATE(H2882), """")"),"NA")</f>
        <v>NA</v>
      </c>
      <c r="J2882" s="19" t="s">
        <v>14</v>
      </c>
      <c r="K2882" s="22">
        <f t="shared" si="2"/>
        <v>1</v>
      </c>
    </row>
    <row r="2883">
      <c r="A2883" s="18">
        <v>3810.0</v>
      </c>
      <c r="B2883" s="18" t="s">
        <v>32</v>
      </c>
      <c r="C2883" s="18">
        <v>16.0</v>
      </c>
      <c r="D2883" s="18" t="s">
        <v>33</v>
      </c>
      <c r="E2883" s="27">
        <v>42564.8794212963</v>
      </c>
      <c r="F2883" s="19">
        <f>IFERROR(__xludf.DUMMYFUNCTION("IFERROR(TO_DATE(E2883), """")"),42564.8794212963)</f>
        <v>42564.87942</v>
      </c>
      <c r="G2883" s="20">
        <f t="shared" si="1"/>
        <v>21</v>
      </c>
      <c r="H2883" s="18" t="s">
        <v>34</v>
      </c>
      <c r="I2883" s="19" t="str">
        <f>IFERROR(__xludf.DUMMYFUNCTION("IFERROR(TO_DATE(H2883), """")"),"NA")</f>
        <v>NA</v>
      </c>
      <c r="J2883" s="19" t="s">
        <v>13</v>
      </c>
      <c r="K2883" s="22">
        <f t="shared" si="2"/>
        <v>1</v>
      </c>
    </row>
    <row r="2884">
      <c r="A2884" s="18">
        <v>4580.0</v>
      </c>
      <c r="B2884" s="18" t="s">
        <v>32</v>
      </c>
      <c r="C2884" s="18">
        <v>16.0</v>
      </c>
      <c r="D2884" s="18" t="s">
        <v>33</v>
      </c>
      <c r="E2884" s="27">
        <v>42565.41643518519</v>
      </c>
      <c r="F2884" s="19">
        <f>IFERROR(__xludf.DUMMYFUNCTION("IFERROR(TO_DATE(E2884), """")"),42565.41643518519)</f>
        <v>42565.41644</v>
      </c>
      <c r="G2884" s="20">
        <f t="shared" si="1"/>
        <v>9</v>
      </c>
      <c r="H2884" s="18" t="s">
        <v>34</v>
      </c>
      <c r="I2884" s="19" t="str">
        <f>IFERROR(__xludf.DUMMYFUNCTION("IFERROR(TO_DATE(H2884), """")"),"NA")</f>
        <v>NA</v>
      </c>
      <c r="J2884" s="19" t="s">
        <v>14</v>
      </c>
      <c r="K2884" s="22">
        <f t="shared" si="2"/>
        <v>1</v>
      </c>
    </row>
    <row r="2885">
      <c r="A2885" s="18">
        <v>5784.0</v>
      </c>
      <c r="B2885" s="18" t="s">
        <v>32</v>
      </c>
      <c r="C2885" s="18">
        <v>16.0</v>
      </c>
      <c r="D2885" s="18" t="s">
        <v>33</v>
      </c>
      <c r="E2885" s="27">
        <v>42566.357627314814</v>
      </c>
      <c r="F2885" s="19">
        <f>IFERROR(__xludf.DUMMYFUNCTION("IFERROR(TO_DATE(E2885), """")"),42566.357627314814)</f>
        <v>42566.35763</v>
      </c>
      <c r="G2885" s="20">
        <f t="shared" si="1"/>
        <v>8</v>
      </c>
      <c r="H2885" s="18" t="s">
        <v>34</v>
      </c>
      <c r="I2885" s="19" t="str">
        <f>IFERROR(__xludf.DUMMYFUNCTION("IFERROR(TO_DATE(H2885), """")"),"NA")</f>
        <v>NA</v>
      </c>
      <c r="J2885" s="19" t="s">
        <v>14</v>
      </c>
      <c r="K2885" s="22">
        <f t="shared" si="2"/>
        <v>1</v>
      </c>
    </row>
    <row r="2886">
      <c r="A2886" s="18">
        <v>1648.0</v>
      </c>
      <c r="B2886" s="18" t="s">
        <v>32</v>
      </c>
      <c r="C2886" s="18">
        <v>17.0</v>
      </c>
      <c r="D2886" s="18" t="s">
        <v>33</v>
      </c>
      <c r="E2886" s="26">
        <v>42563.305555555555</v>
      </c>
      <c r="F2886" s="19">
        <f>IFERROR(__xludf.DUMMYFUNCTION("IFERROR(TO_DATE(E2886), """")"),42563.305555555555)</f>
        <v>42563.30556</v>
      </c>
      <c r="G2886" s="20">
        <f t="shared" si="1"/>
        <v>7</v>
      </c>
      <c r="H2886" s="18" t="s">
        <v>34</v>
      </c>
      <c r="I2886" s="19" t="str">
        <f>IFERROR(__xludf.DUMMYFUNCTION("IFERROR(TO_DATE(H2886), """")"),"NA")</f>
        <v>NA</v>
      </c>
      <c r="J2886" s="19" t="s">
        <v>11</v>
      </c>
      <c r="K2886" s="22">
        <f t="shared" si="2"/>
        <v>1</v>
      </c>
    </row>
    <row r="2887">
      <c r="A2887" s="18">
        <v>2883.0</v>
      </c>
      <c r="B2887" s="18" t="s">
        <v>32</v>
      </c>
      <c r="C2887" s="18">
        <v>17.0</v>
      </c>
      <c r="D2887" s="18" t="s">
        <v>33</v>
      </c>
      <c r="E2887" s="27">
        <v>42564.24630787037</v>
      </c>
      <c r="F2887" s="19">
        <f>IFERROR(__xludf.DUMMYFUNCTION("IFERROR(TO_DATE(E2887), """")"),42564.24630787037)</f>
        <v>42564.24631</v>
      </c>
      <c r="G2887" s="20">
        <f t="shared" si="1"/>
        <v>5</v>
      </c>
      <c r="H2887" s="18" t="s">
        <v>34</v>
      </c>
      <c r="I2887" s="19" t="str">
        <f>IFERROR(__xludf.DUMMYFUNCTION("IFERROR(TO_DATE(H2887), """")"),"NA")</f>
        <v>NA</v>
      </c>
      <c r="J2887" s="19" t="s">
        <v>11</v>
      </c>
      <c r="K2887" s="22">
        <f t="shared" si="2"/>
        <v>1</v>
      </c>
    </row>
    <row r="2888">
      <c r="A2888" s="18">
        <v>4272.0</v>
      </c>
      <c r="B2888" s="18" t="s">
        <v>32</v>
      </c>
      <c r="C2888" s="18">
        <v>17.0</v>
      </c>
      <c r="D2888" s="18" t="s">
        <v>33</v>
      </c>
      <c r="E2888" s="27">
        <v>42565.26646990741</v>
      </c>
      <c r="F2888" s="19">
        <f>IFERROR(__xludf.DUMMYFUNCTION("IFERROR(TO_DATE(E2888), """")"),42565.26646990741)</f>
        <v>42565.26647</v>
      </c>
      <c r="G2888" s="20">
        <f t="shared" si="1"/>
        <v>6</v>
      </c>
      <c r="H2888" s="18" t="s">
        <v>34</v>
      </c>
      <c r="I2888" s="19" t="str">
        <f>IFERROR(__xludf.DUMMYFUNCTION("IFERROR(TO_DATE(H2888), """")"),"NA")</f>
        <v>NA</v>
      </c>
      <c r="J2888" s="19" t="s">
        <v>11</v>
      </c>
      <c r="K2888" s="22">
        <f t="shared" si="2"/>
        <v>1</v>
      </c>
    </row>
    <row r="2889">
      <c r="A2889" s="18">
        <v>5621.0</v>
      </c>
      <c r="B2889" s="18" t="s">
        <v>32</v>
      </c>
      <c r="C2889" s="18">
        <v>17.0</v>
      </c>
      <c r="D2889" s="18" t="s">
        <v>33</v>
      </c>
      <c r="E2889" s="27">
        <v>42566.27012731481</v>
      </c>
      <c r="F2889" s="19">
        <f>IFERROR(__xludf.DUMMYFUNCTION("IFERROR(TO_DATE(E2889), """")"),42566.27012731481)</f>
        <v>42566.27013</v>
      </c>
      <c r="G2889" s="20">
        <f t="shared" si="1"/>
        <v>6</v>
      </c>
      <c r="H2889" s="18" t="s">
        <v>34</v>
      </c>
      <c r="I2889" s="19" t="str">
        <f>IFERROR(__xludf.DUMMYFUNCTION("IFERROR(TO_DATE(H2889), """")"),"NA")</f>
        <v>NA</v>
      </c>
      <c r="J2889" s="19" t="s">
        <v>11</v>
      </c>
      <c r="K2889" s="22">
        <f t="shared" si="2"/>
        <v>1</v>
      </c>
    </row>
    <row r="2890">
      <c r="A2890" s="18">
        <v>5696.0</v>
      </c>
      <c r="B2890" s="18" t="s">
        <v>32</v>
      </c>
      <c r="C2890" s="18">
        <v>17.0</v>
      </c>
      <c r="D2890" s="18" t="s">
        <v>33</v>
      </c>
      <c r="E2890" s="27">
        <v>42566.314097222225</v>
      </c>
      <c r="F2890" s="19">
        <f>IFERROR(__xludf.DUMMYFUNCTION("IFERROR(TO_DATE(E2890), """")"),42566.314097222225)</f>
        <v>42566.3141</v>
      </c>
      <c r="G2890" s="20">
        <f t="shared" si="1"/>
        <v>7</v>
      </c>
      <c r="H2890" s="18" t="s">
        <v>34</v>
      </c>
      <c r="I2890" s="19" t="str">
        <f>IFERROR(__xludf.DUMMYFUNCTION("IFERROR(TO_DATE(H2890), """")"),"NA")</f>
        <v>NA</v>
      </c>
      <c r="J2890" s="19" t="s">
        <v>11</v>
      </c>
      <c r="K2890" s="22">
        <f t="shared" si="2"/>
        <v>1</v>
      </c>
    </row>
    <row r="2891">
      <c r="A2891" s="18">
        <v>5662.0</v>
      </c>
      <c r="B2891" s="18" t="s">
        <v>32</v>
      </c>
      <c r="C2891" s="18">
        <v>18.0</v>
      </c>
      <c r="D2891" s="18" t="s">
        <v>33</v>
      </c>
      <c r="E2891" s="27">
        <v>42566.295127314814</v>
      </c>
      <c r="F2891" s="19">
        <f>IFERROR(__xludf.DUMMYFUNCTION("IFERROR(TO_DATE(E2891), """")"),42566.295127314814)</f>
        <v>42566.29513</v>
      </c>
      <c r="G2891" s="20">
        <f t="shared" si="1"/>
        <v>7</v>
      </c>
      <c r="H2891" s="18" t="s">
        <v>34</v>
      </c>
      <c r="I2891" s="19" t="str">
        <f>IFERROR(__xludf.DUMMYFUNCTION("IFERROR(TO_DATE(H2891), """")"),"NA")</f>
        <v>NA</v>
      </c>
      <c r="J2891" s="19" t="s">
        <v>11</v>
      </c>
      <c r="K2891" s="22">
        <f t="shared" si="2"/>
        <v>1</v>
      </c>
    </row>
    <row r="2892">
      <c r="A2892" s="18">
        <v>1894.0</v>
      </c>
      <c r="B2892" s="18" t="s">
        <v>30</v>
      </c>
      <c r="C2892" s="18">
        <v>19.0</v>
      </c>
      <c r="D2892" s="18" t="s">
        <v>33</v>
      </c>
      <c r="E2892" s="26">
        <v>42563.42986111111</v>
      </c>
      <c r="F2892" s="19">
        <f>IFERROR(__xludf.DUMMYFUNCTION("IFERROR(TO_DATE(E2892), """")"),42563.42986111111)</f>
        <v>42563.42986</v>
      </c>
      <c r="G2892" s="20">
        <f t="shared" si="1"/>
        <v>10</v>
      </c>
      <c r="H2892" s="18" t="s">
        <v>34</v>
      </c>
      <c r="I2892" s="19" t="str">
        <f>IFERROR(__xludf.DUMMYFUNCTION("IFERROR(TO_DATE(H2892), """")"),"NA")</f>
        <v>NA</v>
      </c>
      <c r="J2892" s="19" t="s">
        <v>14</v>
      </c>
      <c r="K2892" s="22">
        <f t="shared" si="2"/>
        <v>1</v>
      </c>
    </row>
    <row r="2893">
      <c r="A2893" s="18">
        <v>2854.0</v>
      </c>
      <c r="B2893" s="18" t="s">
        <v>32</v>
      </c>
      <c r="C2893" s="18">
        <v>19.0</v>
      </c>
      <c r="D2893" s="18" t="s">
        <v>33</v>
      </c>
      <c r="E2893" s="27">
        <v>42564.234351851854</v>
      </c>
      <c r="F2893" s="19">
        <f>IFERROR(__xludf.DUMMYFUNCTION("IFERROR(TO_DATE(E2893), """")"),42564.234351851854)</f>
        <v>42564.23435</v>
      </c>
      <c r="G2893" s="20">
        <f t="shared" si="1"/>
        <v>5</v>
      </c>
      <c r="H2893" s="18" t="s">
        <v>34</v>
      </c>
      <c r="I2893" s="19" t="str">
        <f>IFERROR(__xludf.DUMMYFUNCTION("IFERROR(TO_DATE(H2893), """")"),"NA")</f>
        <v>NA</v>
      </c>
      <c r="J2893" s="19" t="s">
        <v>11</v>
      </c>
      <c r="K2893" s="22">
        <f t="shared" si="2"/>
        <v>1</v>
      </c>
    </row>
    <row r="2894">
      <c r="A2894" s="18">
        <v>4968.0</v>
      </c>
      <c r="B2894" s="18" t="s">
        <v>32</v>
      </c>
      <c r="C2894" s="18">
        <v>19.0</v>
      </c>
      <c r="D2894" s="18" t="s">
        <v>33</v>
      </c>
      <c r="E2894" s="27">
        <v>42565.778287037036</v>
      </c>
      <c r="F2894" s="19">
        <f>IFERROR(__xludf.DUMMYFUNCTION("IFERROR(TO_DATE(E2894), """")"),42565.778287037036)</f>
        <v>42565.77829</v>
      </c>
      <c r="G2894" s="20">
        <f t="shared" si="1"/>
        <v>18</v>
      </c>
      <c r="H2894" s="18" t="s">
        <v>34</v>
      </c>
      <c r="I2894" s="19" t="str">
        <f>IFERROR(__xludf.DUMMYFUNCTION("IFERROR(TO_DATE(H2894), """")"),"NA")</f>
        <v>NA</v>
      </c>
      <c r="J2894" s="19" t="s">
        <v>12</v>
      </c>
      <c r="K2894" s="22">
        <f t="shared" si="2"/>
        <v>1</v>
      </c>
    </row>
    <row r="2895">
      <c r="A2895" s="18">
        <v>352.0</v>
      </c>
      <c r="B2895" s="18" t="s">
        <v>32</v>
      </c>
      <c r="C2895" s="18">
        <v>20.0</v>
      </c>
      <c r="D2895" s="18" t="s">
        <v>33</v>
      </c>
      <c r="E2895" s="26">
        <v>42562.32916666667</v>
      </c>
      <c r="F2895" s="19">
        <f>IFERROR(__xludf.DUMMYFUNCTION("IFERROR(TO_DATE(E2895), """")"),42562.32916666667)</f>
        <v>42562.32917</v>
      </c>
      <c r="G2895" s="20">
        <f t="shared" si="1"/>
        <v>7</v>
      </c>
      <c r="H2895" s="18" t="s">
        <v>34</v>
      </c>
      <c r="I2895" s="19" t="str">
        <f>IFERROR(__xludf.DUMMYFUNCTION("IFERROR(TO_DATE(H2895), """")"),"NA")</f>
        <v>NA</v>
      </c>
      <c r="J2895" s="19" t="s">
        <v>11</v>
      </c>
      <c r="K2895" s="22">
        <f t="shared" si="2"/>
        <v>1</v>
      </c>
    </row>
    <row r="2896">
      <c r="A2896" s="18">
        <v>1841.0</v>
      </c>
      <c r="B2896" s="18" t="s">
        <v>32</v>
      </c>
      <c r="C2896" s="18">
        <v>20.0</v>
      </c>
      <c r="D2896" s="18" t="s">
        <v>33</v>
      </c>
      <c r="E2896" s="26">
        <v>42563.40347222222</v>
      </c>
      <c r="F2896" s="19">
        <f>IFERROR(__xludf.DUMMYFUNCTION("IFERROR(TO_DATE(E2896), """")"),42563.40347222222)</f>
        <v>42563.40347</v>
      </c>
      <c r="G2896" s="20">
        <f t="shared" si="1"/>
        <v>9</v>
      </c>
      <c r="H2896" s="18" t="s">
        <v>34</v>
      </c>
      <c r="I2896" s="19" t="str">
        <f>IFERROR(__xludf.DUMMYFUNCTION("IFERROR(TO_DATE(H2896), """")"),"NA")</f>
        <v>NA</v>
      </c>
      <c r="J2896" s="19" t="s">
        <v>14</v>
      </c>
      <c r="K2896" s="22">
        <f t="shared" si="2"/>
        <v>1</v>
      </c>
    </row>
    <row r="2897">
      <c r="A2897" s="18">
        <v>1885.0</v>
      </c>
      <c r="B2897" s="18" t="s">
        <v>32</v>
      </c>
      <c r="C2897" s="18">
        <v>20.0</v>
      </c>
      <c r="D2897" s="18" t="s">
        <v>33</v>
      </c>
      <c r="E2897" s="26">
        <v>42563.419444444444</v>
      </c>
      <c r="F2897" s="19">
        <f>IFERROR(__xludf.DUMMYFUNCTION("IFERROR(TO_DATE(E2897), """")"),42563.419444444444)</f>
        <v>42563.41944</v>
      </c>
      <c r="G2897" s="20">
        <f t="shared" si="1"/>
        <v>10</v>
      </c>
      <c r="H2897" s="18" t="s">
        <v>34</v>
      </c>
      <c r="I2897" s="19" t="str">
        <f>IFERROR(__xludf.DUMMYFUNCTION("IFERROR(TO_DATE(H2897), """")"),"NA")</f>
        <v>NA</v>
      </c>
      <c r="J2897" s="19" t="s">
        <v>14</v>
      </c>
      <c r="K2897" s="22">
        <f t="shared" si="2"/>
        <v>1</v>
      </c>
    </row>
    <row r="2898">
      <c r="A2898" s="18">
        <v>3170.0</v>
      </c>
      <c r="B2898" s="18" t="s">
        <v>32</v>
      </c>
      <c r="C2898" s="18">
        <v>20.0</v>
      </c>
      <c r="D2898" s="18" t="s">
        <v>33</v>
      </c>
      <c r="E2898" s="27">
        <v>42564.381898148145</v>
      </c>
      <c r="F2898" s="19">
        <f>IFERROR(__xludf.DUMMYFUNCTION("IFERROR(TO_DATE(E2898), """")"),42564.381898148145)</f>
        <v>42564.3819</v>
      </c>
      <c r="G2898" s="20">
        <f t="shared" si="1"/>
        <v>9</v>
      </c>
      <c r="H2898" s="18" t="s">
        <v>34</v>
      </c>
      <c r="I2898" s="19" t="str">
        <f>IFERROR(__xludf.DUMMYFUNCTION("IFERROR(TO_DATE(H2898), """")"),"NA")</f>
        <v>NA</v>
      </c>
      <c r="J2898" s="19" t="s">
        <v>14</v>
      </c>
      <c r="K2898" s="22">
        <f t="shared" si="2"/>
        <v>1</v>
      </c>
    </row>
    <row r="2899">
      <c r="A2899" s="18">
        <v>4586.0</v>
      </c>
      <c r="B2899" s="18" t="s">
        <v>32</v>
      </c>
      <c r="C2899" s="18">
        <v>20.0</v>
      </c>
      <c r="D2899" s="18" t="s">
        <v>33</v>
      </c>
      <c r="E2899" s="27">
        <v>42565.423425925925</v>
      </c>
      <c r="F2899" s="19">
        <f>IFERROR(__xludf.DUMMYFUNCTION("IFERROR(TO_DATE(E2899), """")"),42565.423425925925)</f>
        <v>42565.42343</v>
      </c>
      <c r="G2899" s="20">
        <f t="shared" si="1"/>
        <v>10</v>
      </c>
      <c r="H2899" s="18" t="s">
        <v>34</v>
      </c>
      <c r="I2899" s="19" t="str">
        <f>IFERROR(__xludf.DUMMYFUNCTION("IFERROR(TO_DATE(H2899), """")"),"NA")</f>
        <v>NA</v>
      </c>
      <c r="J2899" s="19" t="s">
        <v>14</v>
      </c>
      <c r="K2899" s="22">
        <f t="shared" si="2"/>
        <v>1</v>
      </c>
    </row>
    <row r="2900">
      <c r="A2900" s="18">
        <v>5208.0</v>
      </c>
      <c r="B2900" s="18" t="s">
        <v>30</v>
      </c>
      <c r="C2900" s="18">
        <v>20.0</v>
      </c>
      <c r="D2900" s="18" t="s">
        <v>33</v>
      </c>
      <c r="E2900" s="27">
        <v>42565.8721875</v>
      </c>
      <c r="F2900" s="19">
        <f>IFERROR(__xludf.DUMMYFUNCTION("IFERROR(TO_DATE(E2900), """")"),42565.8721875)</f>
        <v>42565.87219</v>
      </c>
      <c r="G2900" s="20">
        <f t="shared" si="1"/>
        <v>20</v>
      </c>
      <c r="H2900" s="18" t="s">
        <v>34</v>
      </c>
      <c r="I2900" s="19" t="str">
        <f>IFERROR(__xludf.DUMMYFUNCTION("IFERROR(TO_DATE(H2900), """")"),"NA")</f>
        <v>NA</v>
      </c>
      <c r="J2900" s="19" t="s">
        <v>13</v>
      </c>
      <c r="K2900" s="22">
        <f t="shared" si="2"/>
        <v>1</v>
      </c>
    </row>
    <row r="2901">
      <c r="A2901" s="18">
        <v>5472.0</v>
      </c>
      <c r="B2901" s="18" t="s">
        <v>32</v>
      </c>
      <c r="C2901" s="18">
        <v>20.0</v>
      </c>
      <c r="D2901" s="18" t="s">
        <v>33</v>
      </c>
      <c r="E2901" s="27">
        <v>42566.20113425926</v>
      </c>
      <c r="F2901" s="19">
        <f>IFERROR(__xludf.DUMMYFUNCTION("IFERROR(TO_DATE(E2901), """")"),42566.20113425926)</f>
        <v>42566.20113</v>
      </c>
      <c r="G2901" s="20">
        <f t="shared" si="1"/>
        <v>4</v>
      </c>
      <c r="H2901" s="18" t="s">
        <v>34</v>
      </c>
      <c r="I2901" s="19" t="str">
        <f>IFERROR(__xludf.DUMMYFUNCTION("IFERROR(TO_DATE(H2901), """")"),"NA")</f>
        <v>NA</v>
      </c>
      <c r="J2901" s="19" t="s">
        <v>11</v>
      </c>
      <c r="K2901" s="22">
        <f t="shared" si="2"/>
        <v>1</v>
      </c>
    </row>
    <row r="2902">
      <c r="A2902" s="18">
        <v>96.0</v>
      </c>
      <c r="B2902" s="18" t="s">
        <v>32</v>
      </c>
      <c r="C2902" s="18">
        <v>21.0</v>
      </c>
      <c r="D2902" s="18" t="s">
        <v>33</v>
      </c>
      <c r="E2902" s="26">
        <v>42562.20694444444</v>
      </c>
      <c r="F2902" s="19">
        <f>IFERROR(__xludf.DUMMYFUNCTION("IFERROR(TO_DATE(E2902), """")"),42562.20694444444)</f>
        <v>42562.20694</v>
      </c>
      <c r="G2902" s="20">
        <f t="shared" si="1"/>
        <v>4</v>
      </c>
      <c r="H2902" s="18" t="s">
        <v>34</v>
      </c>
      <c r="I2902" s="19" t="str">
        <f>IFERROR(__xludf.DUMMYFUNCTION("IFERROR(TO_DATE(H2902), """")"),"NA")</f>
        <v>NA</v>
      </c>
      <c r="J2902" s="19" t="s">
        <v>11</v>
      </c>
      <c r="K2902" s="22">
        <f t="shared" si="2"/>
        <v>1</v>
      </c>
    </row>
    <row r="2903">
      <c r="A2903" s="18">
        <v>132.0</v>
      </c>
      <c r="B2903" s="18" t="s">
        <v>32</v>
      </c>
      <c r="C2903" s="18">
        <v>21.0</v>
      </c>
      <c r="D2903" s="18" t="s">
        <v>33</v>
      </c>
      <c r="E2903" s="26">
        <v>42562.21875</v>
      </c>
      <c r="F2903" s="19">
        <f>IFERROR(__xludf.DUMMYFUNCTION("IFERROR(TO_DATE(E2903), """")"),42562.21875)</f>
        <v>42562.21875</v>
      </c>
      <c r="G2903" s="20">
        <f t="shared" si="1"/>
        <v>5</v>
      </c>
      <c r="H2903" s="18" t="s">
        <v>34</v>
      </c>
      <c r="I2903" s="19" t="str">
        <f>IFERROR(__xludf.DUMMYFUNCTION("IFERROR(TO_DATE(H2903), """")"),"NA")</f>
        <v>NA</v>
      </c>
      <c r="J2903" s="19" t="s">
        <v>11</v>
      </c>
      <c r="K2903" s="22">
        <f t="shared" si="2"/>
        <v>1</v>
      </c>
    </row>
    <row r="2904">
      <c r="A2904" s="18">
        <v>2899.0</v>
      </c>
      <c r="B2904" s="18" t="s">
        <v>32</v>
      </c>
      <c r="C2904" s="18">
        <v>21.0</v>
      </c>
      <c r="D2904" s="18" t="s">
        <v>33</v>
      </c>
      <c r="E2904" s="27">
        <v>42564.24996527778</v>
      </c>
      <c r="F2904" s="19">
        <f>IFERROR(__xludf.DUMMYFUNCTION("IFERROR(TO_DATE(E2904), """")"),42564.24996527778)</f>
        <v>42564.24997</v>
      </c>
      <c r="G2904" s="20">
        <f t="shared" si="1"/>
        <v>5</v>
      </c>
      <c r="H2904" s="18" t="s">
        <v>34</v>
      </c>
      <c r="I2904" s="19" t="str">
        <f>IFERROR(__xludf.DUMMYFUNCTION("IFERROR(TO_DATE(H2904), """")"),"NA")</f>
        <v>NA</v>
      </c>
      <c r="J2904" s="19" t="s">
        <v>11</v>
      </c>
      <c r="K2904" s="22">
        <f t="shared" si="2"/>
        <v>1</v>
      </c>
    </row>
    <row r="2905">
      <c r="A2905" s="18">
        <v>3166.0</v>
      </c>
      <c r="B2905" s="18" t="s">
        <v>32</v>
      </c>
      <c r="C2905" s="18">
        <v>21.0</v>
      </c>
      <c r="D2905" s="18" t="s">
        <v>33</v>
      </c>
      <c r="E2905" s="27">
        <v>42564.38134259259</v>
      </c>
      <c r="F2905" s="19">
        <f>IFERROR(__xludf.DUMMYFUNCTION("IFERROR(TO_DATE(E2905), """")"),42564.38134259259)</f>
        <v>42564.38134</v>
      </c>
      <c r="G2905" s="20">
        <f t="shared" si="1"/>
        <v>9</v>
      </c>
      <c r="H2905" s="18" t="s">
        <v>34</v>
      </c>
      <c r="I2905" s="19" t="str">
        <f>IFERROR(__xludf.DUMMYFUNCTION("IFERROR(TO_DATE(H2905), """")"),"NA")</f>
        <v>NA</v>
      </c>
      <c r="J2905" s="19" t="s">
        <v>14</v>
      </c>
      <c r="K2905" s="22">
        <f t="shared" si="2"/>
        <v>1</v>
      </c>
    </row>
    <row r="2906">
      <c r="A2906" s="18">
        <v>232.0</v>
      </c>
      <c r="B2906" s="18" t="s">
        <v>32</v>
      </c>
      <c r="C2906" s="18">
        <v>22.0</v>
      </c>
      <c r="D2906" s="18" t="s">
        <v>33</v>
      </c>
      <c r="E2906" s="26">
        <v>42562.268055555556</v>
      </c>
      <c r="F2906" s="19">
        <f>IFERROR(__xludf.DUMMYFUNCTION("IFERROR(TO_DATE(E2906), """")"),42562.268055555556)</f>
        <v>42562.26806</v>
      </c>
      <c r="G2906" s="20">
        <f t="shared" si="1"/>
        <v>6</v>
      </c>
      <c r="H2906" s="18" t="s">
        <v>34</v>
      </c>
      <c r="I2906" s="19" t="str">
        <f>IFERROR(__xludf.DUMMYFUNCTION("IFERROR(TO_DATE(H2906), """")"),"NA")</f>
        <v>NA</v>
      </c>
      <c r="J2906" s="19" t="s">
        <v>11</v>
      </c>
      <c r="K2906" s="22">
        <f t="shared" si="2"/>
        <v>1</v>
      </c>
    </row>
    <row r="2907">
      <c r="A2907" s="18">
        <v>275.0</v>
      </c>
      <c r="B2907" s="18" t="s">
        <v>32</v>
      </c>
      <c r="C2907" s="18">
        <v>22.0</v>
      </c>
      <c r="D2907" s="18" t="s">
        <v>33</v>
      </c>
      <c r="E2907" s="26">
        <v>42562.291666666664</v>
      </c>
      <c r="F2907" s="19">
        <f>IFERROR(__xludf.DUMMYFUNCTION("IFERROR(TO_DATE(E2907), """")"),42562.291666666664)</f>
        <v>42562.29167</v>
      </c>
      <c r="G2907" s="20">
        <f t="shared" si="1"/>
        <v>7</v>
      </c>
      <c r="H2907" s="18" t="s">
        <v>34</v>
      </c>
      <c r="I2907" s="19" t="str">
        <f>IFERROR(__xludf.DUMMYFUNCTION("IFERROR(TO_DATE(H2907), """")"),"NA")</f>
        <v>NA</v>
      </c>
      <c r="J2907" s="19" t="s">
        <v>11</v>
      </c>
      <c r="K2907" s="22">
        <f t="shared" si="2"/>
        <v>1</v>
      </c>
    </row>
    <row r="2908">
      <c r="A2908" s="18">
        <v>554.0</v>
      </c>
      <c r="B2908" s="18" t="s">
        <v>32</v>
      </c>
      <c r="C2908" s="18">
        <v>22.0</v>
      </c>
      <c r="D2908" s="18" t="s">
        <v>33</v>
      </c>
      <c r="E2908" s="26">
        <v>42562.42569444444</v>
      </c>
      <c r="F2908" s="19">
        <f>IFERROR(__xludf.DUMMYFUNCTION("IFERROR(TO_DATE(E2908), """")"),42562.42569444444)</f>
        <v>42562.42569</v>
      </c>
      <c r="G2908" s="20">
        <f t="shared" si="1"/>
        <v>10</v>
      </c>
      <c r="H2908" s="18" t="s">
        <v>34</v>
      </c>
      <c r="I2908" s="19" t="str">
        <f>IFERROR(__xludf.DUMMYFUNCTION("IFERROR(TO_DATE(H2908), """")"),"NA")</f>
        <v>NA</v>
      </c>
      <c r="J2908" s="19" t="s">
        <v>14</v>
      </c>
      <c r="K2908" s="22">
        <f t="shared" si="2"/>
        <v>1</v>
      </c>
    </row>
    <row r="2909">
      <c r="A2909" s="18">
        <v>4326.0</v>
      </c>
      <c r="B2909" s="18" t="s">
        <v>32</v>
      </c>
      <c r="C2909" s="18">
        <v>22.0</v>
      </c>
      <c r="D2909" s="18" t="s">
        <v>33</v>
      </c>
      <c r="E2909" s="27">
        <v>42565.29789351852</v>
      </c>
      <c r="F2909" s="19">
        <f>IFERROR(__xludf.DUMMYFUNCTION("IFERROR(TO_DATE(E2909), """")"),42565.29789351852)</f>
        <v>42565.29789</v>
      </c>
      <c r="G2909" s="20">
        <f t="shared" si="1"/>
        <v>7</v>
      </c>
      <c r="H2909" s="18" t="s">
        <v>34</v>
      </c>
      <c r="I2909" s="19" t="str">
        <f>IFERROR(__xludf.DUMMYFUNCTION("IFERROR(TO_DATE(H2909), """")"),"NA")</f>
        <v>NA</v>
      </c>
      <c r="J2909" s="19" t="s">
        <v>11</v>
      </c>
      <c r="K2909" s="22">
        <f t="shared" si="2"/>
        <v>1</v>
      </c>
    </row>
    <row r="2910">
      <c r="A2910" s="18">
        <v>5723.0</v>
      </c>
      <c r="B2910" s="18" t="s">
        <v>32</v>
      </c>
      <c r="C2910" s="18">
        <v>22.0</v>
      </c>
      <c r="D2910" s="18" t="s">
        <v>33</v>
      </c>
      <c r="E2910" s="27">
        <v>42566.322743055556</v>
      </c>
      <c r="F2910" s="19">
        <f>IFERROR(__xludf.DUMMYFUNCTION("IFERROR(TO_DATE(E2910), """")"),42566.322743055556)</f>
        <v>42566.32274</v>
      </c>
      <c r="G2910" s="20">
        <f t="shared" si="1"/>
        <v>7</v>
      </c>
      <c r="H2910" s="18" t="s">
        <v>34</v>
      </c>
      <c r="I2910" s="19" t="str">
        <f>IFERROR(__xludf.DUMMYFUNCTION("IFERROR(TO_DATE(H2910), """")"),"NA")</f>
        <v>NA</v>
      </c>
      <c r="J2910" s="19" t="s">
        <v>11</v>
      </c>
      <c r="K2910" s="22">
        <f t="shared" si="2"/>
        <v>1</v>
      </c>
    </row>
    <row r="2911">
      <c r="A2911" s="18">
        <v>1462.0</v>
      </c>
      <c r="B2911" s="18" t="s">
        <v>30</v>
      </c>
      <c r="C2911" s="18">
        <v>23.0</v>
      </c>
      <c r="D2911" s="18" t="s">
        <v>33</v>
      </c>
      <c r="E2911" s="26">
        <v>42563.209027777775</v>
      </c>
      <c r="F2911" s="19">
        <f>IFERROR(__xludf.DUMMYFUNCTION("IFERROR(TO_DATE(E2911), """")"),42563.209027777775)</f>
        <v>42563.20903</v>
      </c>
      <c r="G2911" s="20">
        <f t="shared" si="1"/>
        <v>5</v>
      </c>
      <c r="H2911" s="18" t="s">
        <v>34</v>
      </c>
      <c r="I2911" s="19" t="str">
        <f>IFERROR(__xludf.DUMMYFUNCTION("IFERROR(TO_DATE(H2911), """")"),"NA")</f>
        <v>NA</v>
      </c>
      <c r="J2911" s="19" t="s">
        <v>11</v>
      </c>
      <c r="K2911" s="22">
        <f t="shared" si="2"/>
        <v>1</v>
      </c>
    </row>
    <row r="2912">
      <c r="A2912" s="18">
        <v>196.0</v>
      </c>
      <c r="B2912" s="18" t="s">
        <v>30</v>
      </c>
      <c r="C2912" s="18">
        <v>24.0</v>
      </c>
      <c r="D2912" s="18" t="s">
        <v>33</v>
      </c>
      <c r="E2912" s="26">
        <v>42562.25486111111</v>
      </c>
      <c r="F2912" s="19">
        <f>IFERROR(__xludf.DUMMYFUNCTION("IFERROR(TO_DATE(E2912), """")"),42562.25486111111)</f>
        <v>42562.25486</v>
      </c>
      <c r="G2912" s="20">
        <f t="shared" si="1"/>
        <v>6</v>
      </c>
      <c r="H2912" s="18" t="s">
        <v>34</v>
      </c>
      <c r="I2912" s="19" t="str">
        <f>IFERROR(__xludf.DUMMYFUNCTION("IFERROR(TO_DATE(H2912), """")"),"NA")</f>
        <v>NA</v>
      </c>
      <c r="J2912" s="19" t="s">
        <v>11</v>
      </c>
      <c r="K2912" s="22">
        <f t="shared" si="2"/>
        <v>1</v>
      </c>
    </row>
    <row r="2913">
      <c r="A2913" s="18">
        <v>236.0</v>
      </c>
      <c r="B2913" s="18" t="s">
        <v>32</v>
      </c>
      <c r="C2913" s="18">
        <v>24.0</v>
      </c>
      <c r="D2913" s="18" t="s">
        <v>33</v>
      </c>
      <c r="E2913" s="26">
        <v>42562.27222222222</v>
      </c>
      <c r="F2913" s="19">
        <f>IFERROR(__xludf.DUMMYFUNCTION("IFERROR(TO_DATE(E2913), """")"),42562.27222222222)</f>
        <v>42562.27222</v>
      </c>
      <c r="G2913" s="20">
        <f t="shared" si="1"/>
        <v>6</v>
      </c>
      <c r="H2913" s="18" t="s">
        <v>34</v>
      </c>
      <c r="I2913" s="19" t="str">
        <f>IFERROR(__xludf.DUMMYFUNCTION("IFERROR(TO_DATE(H2913), """")"),"NA")</f>
        <v>NA</v>
      </c>
      <c r="J2913" s="19" t="s">
        <v>11</v>
      </c>
      <c r="K2913" s="22">
        <f t="shared" si="2"/>
        <v>1</v>
      </c>
    </row>
    <row r="2914">
      <c r="A2914" s="18">
        <v>1502.0</v>
      </c>
      <c r="B2914" s="18" t="s">
        <v>32</v>
      </c>
      <c r="C2914" s="18">
        <v>24.0</v>
      </c>
      <c r="D2914" s="18" t="s">
        <v>33</v>
      </c>
      <c r="E2914" s="26">
        <v>42563.23402777778</v>
      </c>
      <c r="F2914" s="19">
        <f>IFERROR(__xludf.DUMMYFUNCTION("IFERROR(TO_DATE(E2914), """")"),42563.23402777778)</f>
        <v>42563.23403</v>
      </c>
      <c r="G2914" s="20">
        <f t="shared" si="1"/>
        <v>5</v>
      </c>
      <c r="H2914" s="18" t="s">
        <v>34</v>
      </c>
      <c r="I2914" s="19" t="str">
        <f>IFERROR(__xludf.DUMMYFUNCTION("IFERROR(TO_DATE(H2914), """")"),"NA")</f>
        <v>NA</v>
      </c>
      <c r="J2914" s="19" t="s">
        <v>11</v>
      </c>
      <c r="K2914" s="22">
        <f t="shared" si="2"/>
        <v>1</v>
      </c>
    </row>
    <row r="2915">
      <c r="A2915" s="18">
        <v>1615.0</v>
      </c>
      <c r="B2915" s="18" t="s">
        <v>32</v>
      </c>
      <c r="C2915" s="18">
        <v>24.0</v>
      </c>
      <c r="D2915" s="18" t="s">
        <v>33</v>
      </c>
      <c r="E2915" s="26">
        <v>42563.28611111111</v>
      </c>
      <c r="F2915" s="19">
        <f>IFERROR(__xludf.DUMMYFUNCTION("IFERROR(TO_DATE(E2915), """")"),42563.28611111111)</f>
        <v>42563.28611</v>
      </c>
      <c r="G2915" s="20">
        <f t="shared" si="1"/>
        <v>6</v>
      </c>
      <c r="H2915" s="18" t="s">
        <v>34</v>
      </c>
      <c r="I2915" s="19" t="str">
        <f>IFERROR(__xludf.DUMMYFUNCTION("IFERROR(TO_DATE(H2915), """")"),"NA")</f>
        <v>NA</v>
      </c>
      <c r="J2915" s="19" t="s">
        <v>11</v>
      </c>
      <c r="K2915" s="22">
        <f t="shared" si="2"/>
        <v>1</v>
      </c>
    </row>
    <row r="2916">
      <c r="A2916" s="18">
        <v>3079.0</v>
      </c>
      <c r="B2916" s="18" t="s">
        <v>32</v>
      </c>
      <c r="C2916" s="18">
        <v>24.0</v>
      </c>
      <c r="D2916" s="18" t="s">
        <v>33</v>
      </c>
      <c r="E2916" s="27">
        <v>42564.34247685185</v>
      </c>
      <c r="F2916" s="19">
        <f>IFERROR(__xludf.DUMMYFUNCTION("IFERROR(TO_DATE(E2916), """")"),42564.34247685185)</f>
        <v>42564.34248</v>
      </c>
      <c r="G2916" s="20">
        <f t="shared" si="1"/>
        <v>8</v>
      </c>
      <c r="H2916" s="18" t="s">
        <v>34</v>
      </c>
      <c r="I2916" s="19" t="str">
        <f>IFERROR(__xludf.DUMMYFUNCTION("IFERROR(TO_DATE(H2916), """")"),"NA")</f>
        <v>NA</v>
      </c>
      <c r="J2916" s="19" t="s">
        <v>14</v>
      </c>
      <c r="K2916" s="22">
        <f t="shared" si="2"/>
        <v>1</v>
      </c>
    </row>
    <row r="2917">
      <c r="A2917" s="18">
        <v>6249.0</v>
      </c>
      <c r="B2917" s="18" t="s">
        <v>30</v>
      </c>
      <c r="C2917" s="18">
        <v>24.0</v>
      </c>
      <c r="D2917" s="18" t="s">
        <v>33</v>
      </c>
      <c r="E2917" s="27">
        <v>42566.74690972222</v>
      </c>
      <c r="F2917" s="19">
        <f>IFERROR(__xludf.DUMMYFUNCTION("IFERROR(TO_DATE(E2917), """")"),42566.74690972222)</f>
        <v>42566.74691</v>
      </c>
      <c r="G2917" s="20">
        <f t="shared" si="1"/>
        <v>17</v>
      </c>
      <c r="H2917" s="18" t="s">
        <v>34</v>
      </c>
      <c r="I2917" s="19" t="str">
        <f>IFERROR(__xludf.DUMMYFUNCTION("IFERROR(TO_DATE(H2917), """")"),"NA")</f>
        <v>NA</v>
      </c>
      <c r="J2917" s="19" t="s">
        <v>12</v>
      </c>
      <c r="K2917" s="22">
        <f t="shared" si="2"/>
        <v>1</v>
      </c>
    </row>
    <row r="2918">
      <c r="A2918" s="18">
        <v>1794.0</v>
      </c>
      <c r="B2918" s="18" t="s">
        <v>32</v>
      </c>
      <c r="C2918" s="18">
        <v>25.0</v>
      </c>
      <c r="D2918" s="18" t="s">
        <v>33</v>
      </c>
      <c r="E2918" s="26">
        <v>42563.37708333333</v>
      </c>
      <c r="F2918" s="19">
        <f>IFERROR(__xludf.DUMMYFUNCTION("IFERROR(TO_DATE(E2918), """")"),42563.37708333333)</f>
        <v>42563.37708</v>
      </c>
      <c r="G2918" s="20">
        <f t="shared" si="1"/>
        <v>9</v>
      </c>
      <c r="H2918" s="18" t="s">
        <v>34</v>
      </c>
      <c r="I2918" s="19" t="str">
        <f>IFERROR(__xludf.DUMMYFUNCTION("IFERROR(TO_DATE(H2918), """")"),"NA")</f>
        <v>NA</v>
      </c>
      <c r="J2918" s="19" t="s">
        <v>14</v>
      </c>
      <c r="K2918" s="22">
        <f t="shared" si="2"/>
        <v>1</v>
      </c>
    </row>
    <row r="2919">
      <c r="A2919" s="18">
        <v>4546.0</v>
      </c>
      <c r="B2919" s="18" t="s">
        <v>32</v>
      </c>
      <c r="C2919" s="18">
        <v>25.0</v>
      </c>
      <c r="D2919" s="18" t="s">
        <v>33</v>
      </c>
      <c r="E2919" s="27">
        <v>42565.39886574074</v>
      </c>
      <c r="F2919" s="19">
        <f>IFERROR(__xludf.DUMMYFUNCTION("IFERROR(TO_DATE(E2919), """")"),42565.39886574074)</f>
        <v>42565.39887</v>
      </c>
      <c r="G2919" s="20">
        <f t="shared" si="1"/>
        <v>9</v>
      </c>
      <c r="H2919" s="18" t="s">
        <v>34</v>
      </c>
      <c r="I2919" s="19" t="str">
        <f>IFERROR(__xludf.DUMMYFUNCTION("IFERROR(TO_DATE(H2919), """")"),"NA")</f>
        <v>NA</v>
      </c>
      <c r="J2919" s="19" t="s">
        <v>14</v>
      </c>
      <c r="K2919" s="22">
        <f t="shared" si="2"/>
        <v>1</v>
      </c>
    </row>
    <row r="2920">
      <c r="A2920" s="18">
        <v>2913.0</v>
      </c>
      <c r="B2920" s="18" t="s">
        <v>32</v>
      </c>
      <c r="C2920" s="18">
        <v>26.0</v>
      </c>
      <c r="D2920" s="18" t="s">
        <v>33</v>
      </c>
      <c r="E2920" s="27">
        <v>42564.26081018519</v>
      </c>
      <c r="F2920" s="19">
        <f>IFERROR(__xludf.DUMMYFUNCTION("IFERROR(TO_DATE(E2920), """")"),42564.26081018519)</f>
        <v>42564.26081</v>
      </c>
      <c r="G2920" s="20">
        <f t="shared" si="1"/>
        <v>6</v>
      </c>
      <c r="H2920" s="18" t="s">
        <v>34</v>
      </c>
      <c r="I2920" s="19" t="str">
        <f>IFERROR(__xludf.DUMMYFUNCTION("IFERROR(TO_DATE(H2920), """")"),"NA")</f>
        <v>NA</v>
      </c>
      <c r="J2920" s="19" t="s">
        <v>11</v>
      </c>
      <c r="K2920" s="22">
        <f t="shared" si="2"/>
        <v>1</v>
      </c>
    </row>
    <row r="2921">
      <c r="A2921" s="18">
        <v>276.0</v>
      </c>
      <c r="B2921" s="18" t="s">
        <v>32</v>
      </c>
      <c r="C2921" s="18">
        <v>27.0</v>
      </c>
      <c r="D2921" s="18" t="s">
        <v>33</v>
      </c>
      <c r="E2921" s="26">
        <v>42562.28611111111</v>
      </c>
      <c r="F2921" s="19">
        <f>IFERROR(__xludf.DUMMYFUNCTION("IFERROR(TO_DATE(E2921), """")"),42562.28611111111)</f>
        <v>42562.28611</v>
      </c>
      <c r="G2921" s="20">
        <f t="shared" si="1"/>
        <v>6</v>
      </c>
      <c r="H2921" s="18" t="s">
        <v>34</v>
      </c>
      <c r="I2921" s="19" t="str">
        <f>IFERROR(__xludf.DUMMYFUNCTION("IFERROR(TO_DATE(H2921), """")"),"NA")</f>
        <v>NA</v>
      </c>
      <c r="J2921" s="19" t="s">
        <v>11</v>
      </c>
      <c r="K2921" s="22">
        <f t="shared" si="2"/>
        <v>1</v>
      </c>
    </row>
    <row r="2922">
      <c r="A2922" s="18">
        <v>1613.0</v>
      </c>
      <c r="B2922" s="18" t="s">
        <v>32</v>
      </c>
      <c r="C2922" s="18">
        <v>27.0</v>
      </c>
      <c r="D2922" s="18" t="s">
        <v>33</v>
      </c>
      <c r="E2922" s="26">
        <v>42563.282638888886</v>
      </c>
      <c r="F2922" s="19">
        <f>IFERROR(__xludf.DUMMYFUNCTION("IFERROR(TO_DATE(E2922), """")"),42563.282638888886)</f>
        <v>42563.28264</v>
      </c>
      <c r="G2922" s="20">
        <f t="shared" si="1"/>
        <v>6</v>
      </c>
      <c r="H2922" s="18" t="s">
        <v>34</v>
      </c>
      <c r="I2922" s="19" t="str">
        <f>IFERROR(__xludf.DUMMYFUNCTION("IFERROR(TO_DATE(H2922), """")"),"NA")</f>
        <v>NA</v>
      </c>
      <c r="J2922" s="19" t="s">
        <v>11</v>
      </c>
      <c r="K2922" s="22">
        <f t="shared" si="2"/>
        <v>1</v>
      </c>
    </row>
    <row r="2923">
      <c r="A2923" s="18">
        <v>3150.0</v>
      </c>
      <c r="B2923" s="18" t="s">
        <v>32</v>
      </c>
      <c r="C2923" s="18">
        <v>27.0</v>
      </c>
      <c r="D2923" s="18" t="s">
        <v>33</v>
      </c>
      <c r="E2923" s="27">
        <v>42564.37483796296</v>
      </c>
      <c r="F2923" s="19">
        <f>IFERROR(__xludf.DUMMYFUNCTION("IFERROR(TO_DATE(E2923), """")"),42564.37483796296)</f>
        <v>42564.37484</v>
      </c>
      <c r="G2923" s="20">
        <f t="shared" si="1"/>
        <v>8</v>
      </c>
      <c r="H2923" s="18" t="s">
        <v>34</v>
      </c>
      <c r="I2923" s="19" t="str">
        <f>IFERROR(__xludf.DUMMYFUNCTION("IFERROR(TO_DATE(H2923), """")"),"NA")</f>
        <v>NA</v>
      </c>
      <c r="J2923" s="19" t="s">
        <v>14</v>
      </c>
      <c r="K2923" s="22">
        <f t="shared" si="2"/>
        <v>1</v>
      </c>
    </row>
    <row r="2924">
      <c r="A2924" s="18">
        <v>3217.0</v>
      </c>
      <c r="B2924" s="18" t="s">
        <v>32</v>
      </c>
      <c r="C2924" s="18">
        <v>27.0</v>
      </c>
      <c r="D2924" s="18" t="s">
        <v>33</v>
      </c>
      <c r="E2924" s="27">
        <v>42564.40834490741</v>
      </c>
      <c r="F2924" s="19">
        <f>IFERROR(__xludf.DUMMYFUNCTION("IFERROR(TO_DATE(E2924), """")"),42564.40834490741)</f>
        <v>42564.40834</v>
      </c>
      <c r="G2924" s="20">
        <f t="shared" si="1"/>
        <v>9</v>
      </c>
      <c r="H2924" s="18" t="s">
        <v>34</v>
      </c>
      <c r="I2924" s="19" t="str">
        <f>IFERROR(__xludf.DUMMYFUNCTION("IFERROR(TO_DATE(H2924), """")"),"NA")</f>
        <v>NA</v>
      </c>
      <c r="J2924" s="19" t="s">
        <v>14</v>
      </c>
      <c r="K2924" s="22">
        <f t="shared" si="2"/>
        <v>1</v>
      </c>
    </row>
    <row r="2925">
      <c r="A2925" s="18">
        <v>4523.0</v>
      </c>
      <c r="B2925" s="18" t="s">
        <v>32</v>
      </c>
      <c r="C2925" s="18">
        <v>27.0</v>
      </c>
      <c r="D2925" s="18" t="s">
        <v>33</v>
      </c>
      <c r="E2925" s="27">
        <v>42565.39041666667</v>
      </c>
      <c r="F2925" s="19">
        <f>IFERROR(__xludf.DUMMYFUNCTION("IFERROR(TO_DATE(E2925), """")"),42565.39041666667)</f>
        <v>42565.39042</v>
      </c>
      <c r="G2925" s="20">
        <f t="shared" si="1"/>
        <v>9</v>
      </c>
      <c r="H2925" s="18" t="s">
        <v>34</v>
      </c>
      <c r="I2925" s="19" t="str">
        <f>IFERROR(__xludf.DUMMYFUNCTION("IFERROR(TO_DATE(H2925), """")"),"NA")</f>
        <v>NA</v>
      </c>
      <c r="J2925" s="19" t="s">
        <v>14</v>
      </c>
      <c r="K2925" s="22">
        <f t="shared" si="2"/>
        <v>1</v>
      </c>
    </row>
    <row r="2926">
      <c r="A2926" s="18">
        <v>4593.0</v>
      </c>
      <c r="B2926" s="18" t="s">
        <v>32</v>
      </c>
      <c r="C2926" s="18">
        <v>27.0</v>
      </c>
      <c r="D2926" s="18" t="s">
        <v>33</v>
      </c>
      <c r="E2926" s="27">
        <v>42565.42344907407</v>
      </c>
      <c r="F2926" s="19">
        <f>IFERROR(__xludf.DUMMYFUNCTION("IFERROR(TO_DATE(E2926), """")"),42565.42344907407)</f>
        <v>42565.42345</v>
      </c>
      <c r="G2926" s="20">
        <f t="shared" si="1"/>
        <v>10</v>
      </c>
      <c r="H2926" s="18" t="s">
        <v>34</v>
      </c>
      <c r="I2926" s="19" t="str">
        <f>IFERROR(__xludf.DUMMYFUNCTION("IFERROR(TO_DATE(H2926), """")"),"NA")</f>
        <v>NA</v>
      </c>
      <c r="J2926" s="19" t="s">
        <v>14</v>
      </c>
      <c r="K2926" s="22">
        <f t="shared" si="2"/>
        <v>1</v>
      </c>
    </row>
    <row r="2927">
      <c r="A2927" s="18">
        <v>5476.0</v>
      </c>
      <c r="B2927" s="18" t="s">
        <v>30</v>
      </c>
      <c r="C2927" s="18">
        <v>27.0</v>
      </c>
      <c r="D2927" s="18" t="s">
        <v>33</v>
      </c>
      <c r="E2927" s="27">
        <v>42566.198541666665</v>
      </c>
      <c r="F2927" s="19">
        <f>IFERROR(__xludf.DUMMYFUNCTION("IFERROR(TO_DATE(E2927), """")"),42566.198541666665)</f>
        <v>42566.19854</v>
      </c>
      <c r="G2927" s="20">
        <f t="shared" si="1"/>
        <v>4</v>
      </c>
      <c r="H2927" s="18" t="s">
        <v>34</v>
      </c>
      <c r="I2927" s="19" t="str">
        <f>IFERROR(__xludf.DUMMYFUNCTION("IFERROR(TO_DATE(H2927), """")"),"NA")</f>
        <v>NA</v>
      </c>
      <c r="J2927" s="19" t="s">
        <v>11</v>
      </c>
      <c r="K2927" s="22">
        <f t="shared" si="2"/>
        <v>1</v>
      </c>
    </row>
    <row r="2928">
      <c r="A2928" s="18">
        <v>5477.0</v>
      </c>
      <c r="B2928" s="18" t="s">
        <v>32</v>
      </c>
      <c r="C2928" s="18">
        <v>27.0</v>
      </c>
      <c r="D2928" s="18" t="s">
        <v>33</v>
      </c>
      <c r="E2928" s="27">
        <v>42566.200590277775</v>
      </c>
      <c r="F2928" s="19">
        <f>IFERROR(__xludf.DUMMYFUNCTION("IFERROR(TO_DATE(E2928), """")"),42566.200590277775)</f>
        <v>42566.20059</v>
      </c>
      <c r="G2928" s="20">
        <f t="shared" si="1"/>
        <v>4</v>
      </c>
      <c r="H2928" s="18" t="s">
        <v>34</v>
      </c>
      <c r="I2928" s="19" t="str">
        <f>IFERROR(__xludf.DUMMYFUNCTION("IFERROR(TO_DATE(H2928), """")"),"NA")</f>
        <v>NA</v>
      </c>
      <c r="J2928" s="19" t="s">
        <v>11</v>
      </c>
      <c r="K2928" s="22">
        <f t="shared" si="2"/>
        <v>1</v>
      </c>
    </row>
    <row r="2929">
      <c r="A2929" s="18">
        <v>5846.0</v>
      </c>
      <c r="B2929" s="18" t="s">
        <v>32</v>
      </c>
      <c r="C2929" s="18">
        <v>27.0</v>
      </c>
      <c r="D2929" s="18" t="s">
        <v>33</v>
      </c>
      <c r="E2929" s="27">
        <v>42566.37866898148</v>
      </c>
      <c r="F2929" s="19">
        <f>IFERROR(__xludf.DUMMYFUNCTION("IFERROR(TO_DATE(E2929), """")"),42566.37866898148)</f>
        <v>42566.37867</v>
      </c>
      <c r="G2929" s="20">
        <f t="shared" si="1"/>
        <v>9</v>
      </c>
      <c r="H2929" s="18" t="s">
        <v>34</v>
      </c>
      <c r="I2929" s="19" t="str">
        <f>IFERROR(__xludf.DUMMYFUNCTION("IFERROR(TO_DATE(H2929), """")"),"NA")</f>
        <v>NA</v>
      </c>
      <c r="J2929" s="19" t="s">
        <v>14</v>
      </c>
      <c r="K2929" s="22">
        <f t="shared" si="2"/>
        <v>1</v>
      </c>
    </row>
    <row r="2930">
      <c r="A2930" s="18">
        <v>1539.0</v>
      </c>
      <c r="B2930" s="18" t="s">
        <v>32</v>
      </c>
      <c r="C2930" s="18">
        <v>28.0</v>
      </c>
      <c r="D2930" s="18" t="s">
        <v>33</v>
      </c>
      <c r="E2930" s="26">
        <v>42563.25277777778</v>
      </c>
      <c r="F2930" s="19">
        <f>IFERROR(__xludf.DUMMYFUNCTION("IFERROR(TO_DATE(E2930), """")"),42563.25277777778)</f>
        <v>42563.25278</v>
      </c>
      <c r="G2930" s="20">
        <f t="shared" si="1"/>
        <v>6</v>
      </c>
      <c r="H2930" s="18" t="s">
        <v>34</v>
      </c>
      <c r="I2930" s="19" t="str">
        <f>IFERROR(__xludf.DUMMYFUNCTION("IFERROR(TO_DATE(H2930), """")"),"NA")</f>
        <v>NA</v>
      </c>
      <c r="J2930" s="19" t="s">
        <v>11</v>
      </c>
      <c r="K2930" s="22">
        <f t="shared" si="2"/>
        <v>1</v>
      </c>
    </row>
    <row r="2931">
      <c r="A2931" s="18">
        <v>1770.0</v>
      </c>
      <c r="B2931" s="18" t="s">
        <v>32</v>
      </c>
      <c r="C2931" s="18">
        <v>28.0</v>
      </c>
      <c r="D2931" s="18" t="s">
        <v>33</v>
      </c>
      <c r="E2931" s="26">
        <v>42563.368055555555</v>
      </c>
      <c r="F2931" s="19">
        <f>IFERROR(__xludf.DUMMYFUNCTION("IFERROR(TO_DATE(E2931), """")"),42563.368055555555)</f>
        <v>42563.36806</v>
      </c>
      <c r="G2931" s="20">
        <f t="shared" si="1"/>
        <v>8</v>
      </c>
      <c r="H2931" s="18" t="s">
        <v>34</v>
      </c>
      <c r="I2931" s="19" t="str">
        <f>IFERROR(__xludf.DUMMYFUNCTION("IFERROR(TO_DATE(H2931), """")"),"NA")</f>
        <v>NA</v>
      </c>
      <c r="J2931" s="19" t="s">
        <v>14</v>
      </c>
      <c r="K2931" s="22">
        <f t="shared" si="2"/>
        <v>1</v>
      </c>
    </row>
    <row r="2932">
      <c r="A2932" s="18">
        <v>1921.0</v>
      </c>
      <c r="B2932" s="18" t="s">
        <v>32</v>
      </c>
      <c r="C2932" s="18">
        <v>28.0</v>
      </c>
      <c r="D2932" s="18" t="s">
        <v>33</v>
      </c>
      <c r="E2932" s="26">
        <v>42563.45694444444</v>
      </c>
      <c r="F2932" s="19">
        <f>IFERROR(__xludf.DUMMYFUNCTION("IFERROR(TO_DATE(E2932), """")"),42563.45694444444)</f>
        <v>42563.45694</v>
      </c>
      <c r="G2932" s="20">
        <f t="shared" si="1"/>
        <v>10</v>
      </c>
      <c r="H2932" s="18" t="s">
        <v>34</v>
      </c>
      <c r="I2932" s="19" t="str">
        <f>IFERROR(__xludf.DUMMYFUNCTION("IFERROR(TO_DATE(H2932), """")"),"NA")</f>
        <v>NA</v>
      </c>
      <c r="J2932" s="19" t="s">
        <v>14</v>
      </c>
      <c r="K2932" s="22">
        <f t="shared" si="2"/>
        <v>1</v>
      </c>
    </row>
    <row r="2933">
      <c r="A2933" s="18">
        <v>3073.0</v>
      </c>
      <c r="B2933" s="18" t="s">
        <v>32</v>
      </c>
      <c r="C2933" s="18">
        <v>28.0</v>
      </c>
      <c r="D2933" s="18" t="s">
        <v>33</v>
      </c>
      <c r="E2933" s="27">
        <v>42564.33403935185</v>
      </c>
      <c r="F2933" s="19">
        <f>IFERROR(__xludf.DUMMYFUNCTION("IFERROR(TO_DATE(E2933), """")"),42564.33403935185)</f>
        <v>42564.33404</v>
      </c>
      <c r="G2933" s="20">
        <f t="shared" si="1"/>
        <v>8</v>
      </c>
      <c r="H2933" s="18" t="s">
        <v>34</v>
      </c>
      <c r="I2933" s="19" t="str">
        <f>IFERROR(__xludf.DUMMYFUNCTION("IFERROR(TO_DATE(H2933), """")"),"NA")</f>
        <v>NA</v>
      </c>
      <c r="J2933" s="19" t="s">
        <v>14</v>
      </c>
      <c r="K2933" s="22">
        <f t="shared" si="2"/>
        <v>1</v>
      </c>
    </row>
    <row r="2934">
      <c r="A2934" s="18">
        <v>4795.0</v>
      </c>
      <c r="B2934" s="18" t="s">
        <v>30</v>
      </c>
      <c r="C2934" s="18">
        <v>28.0</v>
      </c>
      <c r="D2934" s="18" t="s">
        <v>33</v>
      </c>
      <c r="E2934" s="27">
        <v>42565.70517361111</v>
      </c>
      <c r="F2934" s="19">
        <f>IFERROR(__xludf.DUMMYFUNCTION("IFERROR(TO_DATE(E2934), """")"),42565.70517361111)</f>
        <v>42565.70517</v>
      </c>
      <c r="G2934" s="20">
        <f t="shared" si="1"/>
        <v>16</v>
      </c>
      <c r="H2934" s="18" t="s">
        <v>34</v>
      </c>
      <c r="I2934" s="19" t="str">
        <f>IFERROR(__xludf.DUMMYFUNCTION("IFERROR(TO_DATE(H2934), """")"),"NA")</f>
        <v>NA</v>
      </c>
      <c r="J2934" s="19" t="s">
        <v>12</v>
      </c>
      <c r="K2934" s="22">
        <f t="shared" si="2"/>
        <v>1</v>
      </c>
    </row>
    <row r="2935">
      <c r="A2935" s="18">
        <v>2079.0</v>
      </c>
      <c r="B2935" s="18" t="s">
        <v>30</v>
      </c>
      <c r="C2935" s="18">
        <v>29.0</v>
      </c>
      <c r="D2935" s="18" t="s">
        <v>33</v>
      </c>
      <c r="E2935" s="26">
        <v>42563.654861111114</v>
      </c>
      <c r="F2935" s="19">
        <f>IFERROR(__xludf.DUMMYFUNCTION("IFERROR(TO_DATE(E2935), """")"),42563.654861111114)</f>
        <v>42563.65486</v>
      </c>
      <c r="G2935" s="20">
        <f t="shared" si="1"/>
        <v>15</v>
      </c>
      <c r="H2935" s="18" t="s">
        <v>34</v>
      </c>
      <c r="I2935" s="19" t="str">
        <f>IFERROR(__xludf.DUMMYFUNCTION("IFERROR(TO_DATE(H2935), """")"),"NA")</f>
        <v>NA</v>
      </c>
      <c r="J2935" s="19" t="s">
        <v>10</v>
      </c>
      <c r="K2935" s="22">
        <f t="shared" si="2"/>
        <v>1</v>
      </c>
    </row>
    <row r="2936">
      <c r="A2936" s="18">
        <v>3179.0</v>
      </c>
      <c r="B2936" s="18" t="s">
        <v>32</v>
      </c>
      <c r="C2936" s="18">
        <v>29.0</v>
      </c>
      <c r="D2936" s="18" t="s">
        <v>33</v>
      </c>
      <c r="E2936" s="27">
        <v>42564.38616898148</v>
      </c>
      <c r="F2936" s="19">
        <f>IFERROR(__xludf.DUMMYFUNCTION("IFERROR(TO_DATE(E2936), """")"),42564.38616898148)</f>
        <v>42564.38617</v>
      </c>
      <c r="G2936" s="20">
        <f t="shared" si="1"/>
        <v>9</v>
      </c>
      <c r="H2936" s="18" t="s">
        <v>34</v>
      </c>
      <c r="I2936" s="19" t="str">
        <f>IFERROR(__xludf.DUMMYFUNCTION("IFERROR(TO_DATE(H2936), """")"),"NA")</f>
        <v>NA</v>
      </c>
      <c r="J2936" s="19" t="s">
        <v>14</v>
      </c>
      <c r="K2936" s="22">
        <f t="shared" si="2"/>
        <v>1</v>
      </c>
    </row>
    <row r="2937">
      <c r="A2937" s="18">
        <v>5872.0</v>
      </c>
      <c r="B2937" s="18" t="s">
        <v>32</v>
      </c>
      <c r="C2937" s="18">
        <v>29.0</v>
      </c>
      <c r="D2937" s="18" t="s">
        <v>33</v>
      </c>
      <c r="E2937" s="27">
        <v>42566.38914351852</v>
      </c>
      <c r="F2937" s="19">
        <f>IFERROR(__xludf.DUMMYFUNCTION("IFERROR(TO_DATE(E2937), """")"),42566.38914351852)</f>
        <v>42566.38914</v>
      </c>
      <c r="G2937" s="20">
        <f t="shared" si="1"/>
        <v>9</v>
      </c>
      <c r="H2937" s="18" t="s">
        <v>34</v>
      </c>
      <c r="I2937" s="19" t="str">
        <f>IFERROR(__xludf.DUMMYFUNCTION("IFERROR(TO_DATE(H2937), """")"),"NA")</f>
        <v>NA</v>
      </c>
      <c r="J2937" s="19" t="s">
        <v>14</v>
      </c>
      <c r="K2937" s="22">
        <f t="shared" si="2"/>
        <v>1</v>
      </c>
    </row>
    <row r="2938">
      <c r="A2938" s="18">
        <v>218.0</v>
      </c>
      <c r="B2938" s="18" t="s">
        <v>32</v>
      </c>
      <c r="C2938" s="18">
        <v>30.0</v>
      </c>
      <c r="D2938" s="18" t="s">
        <v>33</v>
      </c>
      <c r="E2938" s="26">
        <v>42562.259722222225</v>
      </c>
      <c r="F2938" s="19">
        <f>IFERROR(__xludf.DUMMYFUNCTION("IFERROR(TO_DATE(E2938), """")"),42562.259722222225)</f>
        <v>42562.25972</v>
      </c>
      <c r="G2938" s="20">
        <f t="shared" si="1"/>
        <v>6</v>
      </c>
      <c r="H2938" s="18" t="s">
        <v>34</v>
      </c>
      <c r="I2938" s="19" t="str">
        <f>IFERROR(__xludf.DUMMYFUNCTION("IFERROR(TO_DATE(H2938), """")"),"NA")</f>
        <v>NA</v>
      </c>
      <c r="J2938" s="19" t="s">
        <v>11</v>
      </c>
      <c r="K2938" s="22">
        <f t="shared" si="2"/>
        <v>1</v>
      </c>
    </row>
    <row r="2939">
      <c r="A2939" s="18">
        <v>840.0</v>
      </c>
      <c r="B2939" s="18" t="s">
        <v>30</v>
      </c>
      <c r="C2939" s="18">
        <v>30.0</v>
      </c>
      <c r="D2939" s="18" t="s">
        <v>33</v>
      </c>
      <c r="E2939" s="26">
        <v>42562.736805555556</v>
      </c>
      <c r="F2939" s="19">
        <f>IFERROR(__xludf.DUMMYFUNCTION("IFERROR(TO_DATE(E2939), """")"),42562.736805555556)</f>
        <v>42562.73681</v>
      </c>
      <c r="G2939" s="20">
        <f t="shared" si="1"/>
        <v>17</v>
      </c>
      <c r="H2939" s="18" t="s">
        <v>34</v>
      </c>
      <c r="I2939" s="19" t="str">
        <f>IFERROR(__xludf.DUMMYFUNCTION("IFERROR(TO_DATE(H2939), """")"),"NA")</f>
        <v>NA</v>
      </c>
      <c r="J2939" s="19" t="s">
        <v>12</v>
      </c>
      <c r="K2939" s="22">
        <f t="shared" si="2"/>
        <v>1</v>
      </c>
    </row>
    <row r="2940">
      <c r="A2940" s="18">
        <v>1642.0</v>
      </c>
      <c r="B2940" s="18" t="s">
        <v>32</v>
      </c>
      <c r="C2940" s="18">
        <v>30.0</v>
      </c>
      <c r="D2940" s="18" t="s">
        <v>33</v>
      </c>
      <c r="E2940" s="26">
        <v>42563.30347222222</v>
      </c>
      <c r="F2940" s="19">
        <f>IFERROR(__xludf.DUMMYFUNCTION("IFERROR(TO_DATE(E2940), """")"),42563.30347222222)</f>
        <v>42563.30347</v>
      </c>
      <c r="G2940" s="20">
        <f t="shared" si="1"/>
        <v>7</v>
      </c>
      <c r="H2940" s="18" t="s">
        <v>34</v>
      </c>
      <c r="I2940" s="19" t="str">
        <f>IFERROR(__xludf.DUMMYFUNCTION("IFERROR(TO_DATE(H2940), """")"),"NA")</f>
        <v>NA</v>
      </c>
      <c r="J2940" s="19" t="s">
        <v>11</v>
      </c>
      <c r="K2940" s="22">
        <f t="shared" si="2"/>
        <v>1</v>
      </c>
    </row>
    <row r="2941">
      <c r="A2941" s="18">
        <v>3307.0</v>
      </c>
      <c r="B2941" s="18" t="s">
        <v>32</v>
      </c>
      <c r="C2941" s="18">
        <v>30.0</v>
      </c>
      <c r="D2941" s="18" t="s">
        <v>33</v>
      </c>
      <c r="E2941" s="27">
        <v>42564.501967592594</v>
      </c>
      <c r="F2941" s="19">
        <f>IFERROR(__xludf.DUMMYFUNCTION("IFERROR(TO_DATE(E2941), """")"),42564.501967592594)</f>
        <v>42564.50197</v>
      </c>
      <c r="G2941" s="20">
        <f t="shared" si="1"/>
        <v>12</v>
      </c>
      <c r="H2941" s="18" t="s">
        <v>34</v>
      </c>
      <c r="I2941" s="19" t="str">
        <f>IFERROR(__xludf.DUMMYFUNCTION("IFERROR(TO_DATE(H2941), """")"),"NA")</f>
        <v>NA</v>
      </c>
      <c r="J2941" s="19" t="s">
        <v>10</v>
      </c>
      <c r="K2941" s="22">
        <f t="shared" si="2"/>
        <v>1</v>
      </c>
    </row>
    <row r="2942">
      <c r="A2942" s="18">
        <v>1475.0</v>
      </c>
      <c r="B2942" s="18" t="s">
        <v>32</v>
      </c>
      <c r="C2942" s="18">
        <v>31.0</v>
      </c>
      <c r="D2942" s="18" t="s">
        <v>33</v>
      </c>
      <c r="E2942" s="26">
        <v>42563.21666666667</v>
      </c>
      <c r="F2942" s="19">
        <f>IFERROR(__xludf.DUMMYFUNCTION("IFERROR(TO_DATE(E2942), """")"),42563.21666666667)</f>
        <v>42563.21667</v>
      </c>
      <c r="G2942" s="20">
        <f t="shared" si="1"/>
        <v>5</v>
      </c>
      <c r="H2942" s="18" t="s">
        <v>34</v>
      </c>
      <c r="I2942" s="19" t="str">
        <f>IFERROR(__xludf.DUMMYFUNCTION("IFERROR(TO_DATE(H2942), """")"),"NA")</f>
        <v>NA</v>
      </c>
      <c r="J2942" s="19" t="s">
        <v>11</v>
      </c>
      <c r="K2942" s="22">
        <f t="shared" si="2"/>
        <v>1</v>
      </c>
    </row>
    <row r="2943">
      <c r="A2943" s="18">
        <v>2179.0</v>
      </c>
      <c r="B2943" s="18" t="s">
        <v>30</v>
      </c>
      <c r="C2943" s="18">
        <v>31.0</v>
      </c>
      <c r="D2943" s="18" t="s">
        <v>33</v>
      </c>
      <c r="E2943" s="26">
        <v>42563.73333333333</v>
      </c>
      <c r="F2943" s="19">
        <f>IFERROR(__xludf.DUMMYFUNCTION("IFERROR(TO_DATE(E2943), """")"),42563.73333333333)</f>
        <v>42563.73333</v>
      </c>
      <c r="G2943" s="20">
        <f t="shared" si="1"/>
        <v>17</v>
      </c>
      <c r="H2943" s="18" t="s">
        <v>34</v>
      </c>
      <c r="I2943" s="19" t="str">
        <f>IFERROR(__xludf.DUMMYFUNCTION("IFERROR(TO_DATE(H2943), """")"),"NA")</f>
        <v>NA</v>
      </c>
      <c r="J2943" s="19" t="s">
        <v>12</v>
      </c>
      <c r="K2943" s="22">
        <f t="shared" si="2"/>
        <v>1</v>
      </c>
    </row>
    <row r="2944">
      <c r="A2944" s="18">
        <v>3080.0</v>
      </c>
      <c r="B2944" s="18" t="s">
        <v>32</v>
      </c>
      <c r="C2944" s="18">
        <v>31.0</v>
      </c>
      <c r="D2944" s="18" t="s">
        <v>33</v>
      </c>
      <c r="E2944" s="27">
        <v>42564.34112268518</v>
      </c>
      <c r="F2944" s="19">
        <f>IFERROR(__xludf.DUMMYFUNCTION("IFERROR(TO_DATE(E2944), """")"),42564.34112268518)</f>
        <v>42564.34112</v>
      </c>
      <c r="G2944" s="20">
        <f t="shared" si="1"/>
        <v>8</v>
      </c>
      <c r="H2944" s="18" t="s">
        <v>34</v>
      </c>
      <c r="I2944" s="19" t="str">
        <f>IFERROR(__xludf.DUMMYFUNCTION("IFERROR(TO_DATE(H2944), """")"),"NA")</f>
        <v>NA</v>
      </c>
      <c r="J2944" s="19" t="s">
        <v>14</v>
      </c>
      <c r="K2944" s="22">
        <f t="shared" si="2"/>
        <v>1</v>
      </c>
    </row>
    <row r="2945">
      <c r="A2945" s="18">
        <v>3771.0</v>
      </c>
      <c r="B2945" s="18" t="s">
        <v>30</v>
      </c>
      <c r="C2945" s="18">
        <v>31.0</v>
      </c>
      <c r="D2945" s="18" t="s">
        <v>33</v>
      </c>
      <c r="E2945" s="27">
        <v>42564.86258101852</v>
      </c>
      <c r="F2945" s="19">
        <f>IFERROR(__xludf.DUMMYFUNCTION("IFERROR(TO_DATE(E2945), """")"),42564.86258101852)</f>
        <v>42564.86258</v>
      </c>
      <c r="G2945" s="20">
        <f t="shared" si="1"/>
        <v>20</v>
      </c>
      <c r="H2945" s="18" t="s">
        <v>34</v>
      </c>
      <c r="I2945" s="19" t="str">
        <f>IFERROR(__xludf.DUMMYFUNCTION("IFERROR(TO_DATE(H2945), """")"),"NA")</f>
        <v>NA</v>
      </c>
      <c r="J2945" s="19" t="s">
        <v>13</v>
      </c>
      <c r="K2945" s="22">
        <f t="shared" si="2"/>
        <v>1</v>
      </c>
    </row>
    <row r="2946">
      <c r="A2946" s="18">
        <v>5847.0</v>
      </c>
      <c r="B2946" s="18" t="s">
        <v>30</v>
      </c>
      <c r="C2946" s="18">
        <v>31.0</v>
      </c>
      <c r="D2946" s="18" t="s">
        <v>33</v>
      </c>
      <c r="E2946" s="27">
        <v>42566.378912037035</v>
      </c>
      <c r="F2946" s="19">
        <f>IFERROR(__xludf.DUMMYFUNCTION("IFERROR(TO_DATE(E2946), """")"),42566.378912037035)</f>
        <v>42566.37891</v>
      </c>
      <c r="G2946" s="20">
        <f t="shared" si="1"/>
        <v>9</v>
      </c>
      <c r="H2946" s="18" t="s">
        <v>34</v>
      </c>
      <c r="I2946" s="19" t="str">
        <f>IFERROR(__xludf.DUMMYFUNCTION("IFERROR(TO_DATE(H2946), """")"),"NA")</f>
        <v>NA</v>
      </c>
      <c r="J2946" s="19" t="s">
        <v>14</v>
      </c>
      <c r="K2946" s="22">
        <f t="shared" si="2"/>
        <v>1</v>
      </c>
    </row>
    <row r="2947">
      <c r="A2947" s="18">
        <v>5875.0</v>
      </c>
      <c r="B2947" s="18" t="s">
        <v>32</v>
      </c>
      <c r="C2947" s="18">
        <v>31.0</v>
      </c>
      <c r="D2947" s="18" t="s">
        <v>33</v>
      </c>
      <c r="E2947" s="27">
        <v>42566.39065972222</v>
      </c>
      <c r="F2947" s="19">
        <f>IFERROR(__xludf.DUMMYFUNCTION("IFERROR(TO_DATE(E2947), """")"),42566.39065972222)</f>
        <v>42566.39066</v>
      </c>
      <c r="G2947" s="20">
        <f t="shared" si="1"/>
        <v>9</v>
      </c>
      <c r="H2947" s="18" t="s">
        <v>34</v>
      </c>
      <c r="I2947" s="19" t="str">
        <f>IFERROR(__xludf.DUMMYFUNCTION("IFERROR(TO_DATE(H2947), """")"),"NA")</f>
        <v>NA</v>
      </c>
      <c r="J2947" s="19" t="s">
        <v>14</v>
      </c>
      <c r="K2947" s="22">
        <f t="shared" si="2"/>
        <v>1</v>
      </c>
    </row>
    <row r="2948">
      <c r="A2948" s="18">
        <v>400.0</v>
      </c>
      <c r="B2948" s="18" t="s">
        <v>32</v>
      </c>
      <c r="C2948" s="18">
        <v>32.0</v>
      </c>
      <c r="D2948" s="18" t="s">
        <v>33</v>
      </c>
      <c r="E2948" s="26">
        <v>42562.353472222225</v>
      </c>
      <c r="F2948" s="19">
        <f>IFERROR(__xludf.DUMMYFUNCTION("IFERROR(TO_DATE(E2948), """")"),42562.353472222225)</f>
        <v>42562.35347</v>
      </c>
      <c r="G2948" s="20">
        <f t="shared" si="1"/>
        <v>8</v>
      </c>
      <c r="H2948" s="18" t="s">
        <v>34</v>
      </c>
      <c r="I2948" s="19" t="str">
        <f>IFERROR(__xludf.DUMMYFUNCTION("IFERROR(TO_DATE(H2948), """")"),"NA")</f>
        <v>NA</v>
      </c>
      <c r="J2948" s="19" t="s">
        <v>14</v>
      </c>
      <c r="K2948" s="22">
        <f t="shared" si="2"/>
        <v>1</v>
      </c>
    </row>
    <row r="2949">
      <c r="A2949" s="18">
        <v>2146.0</v>
      </c>
      <c r="B2949" s="18" t="s">
        <v>30</v>
      </c>
      <c r="C2949" s="18">
        <v>32.0</v>
      </c>
      <c r="D2949" s="18" t="s">
        <v>33</v>
      </c>
      <c r="E2949" s="26">
        <v>42563.722916666666</v>
      </c>
      <c r="F2949" s="19">
        <f>IFERROR(__xludf.DUMMYFUNCTION("IFERROR(TO_DATE(E2949), """")"),42563.722916666666)</f>
        <v>42563.72292</v>
      </c>
      <c r="G2949" s="20">
        <f t="shared" si="1"/>
        <v>17</v>
      </c>
      <c r="H2949" s="18" t="s">
        <v>34</v>
      </c>
      <c r="I2949" s="19" t="str">
        <f>IFERROR(__xludf.DUMMYFUNCTION("IFERROR(TO_DATE(H2949), """")"),"NA")</f>
        <v>NA</v>
      </c>
      <c r="J2949" s="19" t="s">
        <v>12</v>
      </c>
      <c r="K2949" s="22">
        <f t="shared" si="2"/>
        <v>1</v>
      </c>
    </row>
    <row r="2950">
      <c r="A2950" s="18">
        <v>2942.0</v>
      </c>
      <c r="B2950" s="18" t="s">
        <v>32</v>
      </c>
      <c r="C2950" s="18">
        <v>32.0</v>
      </c>
      <c r="D2950" s="18" t="s">
        <v>33</v>
      </c>
      <c r="E2950" s="27">
        <v>42564.276030092595</v>
      </c>
      <c r="F2950" s="19">
        <f>IFERROR(__xludf.DUMMYFUNCTION("IFERROR(TO_DATE(E2950), """")"),42564.276030092595)</f>
        <v>42564.27603</v>
      </c>
      <c r="G2950" s="20">
        <f t="shared" si="1"/>
        <v>6</v>
      </c>
      <c r="H2950" s="18" t="s">
        <v>34</v>
      </c>
      <c r="I2950" s="19" t="str">
        <f>IFERROR(__xludf.DUMMYFUNCTION("IFERROR(TO_DATE(H2950), """")"),"NA")</f>
        <v>NA</v>
      </c>
      <c r="J2950" s="19" t="s">
        <v>11</v>
      </c>
      <c r="K2950" s="22">
        <f t="shared" si="2"/>
        <v>1</v>
      </c>
    </row>
    <row r="2951">
      <c r="A2951" s="18">
        <v>4418.0</v>
      </c>
      <c r="B2951" s="18" t="s">
        <v>32</v>
      </c>
      <c r="C2951" s="18">
        <v>32.0</v>
      </c>
      <c r="D2951" s="18" t="s">
        <v>33</v>
      </c>
      <c r="E2951" s="27">
        <v>42565.346180555556</v>
      </c>
      <c r="F2951" s="19">
        <f>IFERROR(__xludf.DUMMYFUNCTION("IFERROR(TO_DATE(E2951), """")"),42565.346180555556)</f>
        <v>42565.34618</v>
      </c>
      <c r="G2951" s="20">
        <f t="shared" si="1"/>
        <v>8</v>
      </c>
      <c r="H2951" s="18" t="s">
        <v>34</v>
      </c>
      <c r="I2951" s="19" t="str">
        <f>IFERROR(__xludf.DUMMYFUNCTION("IFERROR(TO_DATE(H2951), """")"),"NA")</f>
        <v>NA</v>
      </c>
      <c r="J2951" s="19" t="s">
        <v>14</v>
      </c>
      <c r="K2951" s="22">
        <f t="shared" si="2"/>
        <v>1</v>
      </c>
    </row>
    <row r="2952">
      <c r="A2952" s="18">
        <v>2305.0</v>
      </c>
      <c r="B2952" s="18" t="s">
        <v>32</v>
      </c>
      <c r="C2952" s="18">
        <v>33.0</v>
      </c>
      <c r="D2952" s="18" t="s">
        <v>33</v>
      </c>
      <c r="E2952" s="26">
        <v>42563.78888888889</v>
      </c>
      <c r="F2952" s="19">
        <f>IFERROR(__xludf.DUMMYFUNCTION("IFERROR(TO_DATE(E2952), """")"),42563.78888888889)</f>
        <v>42563.78889</v>
      </c>
      <c r="G2952" s="20">
        <f t="shared" si="1"/>
        <v>18</v>
      </c>
      <c r="H2952" s="18" t="s">
        <v>34</v>
      </c>
      <c r="I2952" s="19" t="str">
        <f>IFERROR(__xludf.DUMMYFUNCTION("IFERROR(TO_DATE(H2952), """")"),"NA")</f>
        <v>NA</v>
      </c>
      <c r="J2952" s="19" t="s">
        <v>12</v>
      </c>
      <c r="K2952" s="22">
        <f t="shared" si="2"/>
        <v>1</v>
      </c>
    </row>
    <row r="2953">
      <c r="A2953" s="18">
        <v>5637.0</v>
      </c>
      <c r="B2953" s="18" t="s">
        <v>32</v>
      </c>
      <c r="C2953" s="18">
        <v>33.0</v>
      </c>
      <c r="D2953" s="18" t="s">
        <v>33</v>
      </c>
      <c r="E2953" s="27">
        <v>42566.280694444446</v>
      </c>
      <c r="F2953" s="19">
        <f>IFERROR(__xludf.DUMMYFUNCTION("IFERROR(TO_DATE(E2953), """")"),42566.280694444446)</f>
        <v>42566.28069</v>
      </c>
      <c r="G2953" s="20">
        <f t="shared" si="1"/>
        <v>6</v>
      </c>
      <c r="H2953" s="18" t="s">
        <v>34</v>
      </c>
      <c r="I2953" s="19" t="str">
        <f>IFERROR(__xludf.DUMMYFUNCTION("IFERROR(TO_DATE(H2953), """")"),"NA")</f>
        <v>NA</v>
      </c>
      <c r="J2953" s="19" t="s">
        <v>11</v>
      </c>
      <c r="K2953" s="22">
        <f t="shared" si="2"/>
        <v>1</v>
      </c>
    </row>
    <row r="2954">
      <c r="A2954" s="18">
        <v>5838.0</v>
      </c>
      <c r="B2954" s="18" t="s">
        <v>32</v>
      </c>
      <c r="C2954" s="18">
        <v>33.0</v>
      </c>
      <c r="D2954" s="18" t="s">
        <v>33</v>
      </c>
      <c r="E2954" s="27">
        <v>42566.3768287037</v>
      </c>
      <c r="F2954" s="19">
        <f>IFERROR(__xludf.DUMMYFUNCTION("IFERROR(TO_DATE(E2954), """")"),42566.3768287037)</f>
        <v>42566.37683</v>
      </c>
      <c r="G2954" s="20">
        <f t="shared" si="1"/>
        <v>9</v>
      </c>
      <c r="H2954" s="18" t="s">
        <v>34</v>
      </c>
      <c r="I2954" s="19" t="str">
        <f>IFERROR(__xludf.DUMMYFUNCTION("IFERROR(TO_DATE(H2954), """")"),"NA")</f>
        <v>NA</v>
      </c>
      <c r="J2954" s="19" t="s">
        <v>14</v>
      </c>
      <c r="K2954" s="22">
        <f t="shared" si="2"/>
        <v>1</v>
      </c>
    </row>
    <row r="2955">
      <c r="A2955" s="18">
        <v>457.0</v>
      </c>
      <c r="B2955" s="18" t="s">
        <v>32</v>
      </c>
      <c r="C2955" s="18">
        <v>34.0</v>
      </c>
      <c r="D2955" s="18" t="s">
        <v>33</v>
      </c>
      <c r="E2955" s="26">
        <v>42562.38680555556</v>
      </c>
      <c r="F2955" s="19">
        <f>IFERROR(__xludf.DUMMYFUNCTION("IFERROR(TO_DATE(E2955), """")"),42562.38680555556)</f>
        <v>42562.38681</v>
      </c>
      <c r="G2955" s="20">
        <f t="shared" si="1"/>
        <v>9</v>
      </c>
      <c r="H2955" s="18" t="s">
        <v>34</v>
      </c>
      <c r="I2955" s="19" t="str">
        <f>IFERROR(__xludf.DUMMYFUNCTION("IFERROR(TO_DATE(H2955), """")"),"NA")</f>
        <v>NA</v>
      </c>
      <c r="J2955" s="19" t="s">
        <v>14</v>
      </c>
      <c r="K2955" s="22">
        <f t="shared" si="2"/>
        <v>1</v>
      </c>
    </row>
    <row r="2956">
      <c r="A2956" s="18">
        <v>511.0</v>
      </c>
      <c r="B2956" s="18" t="s">
        <v>32</v>
      </c>
      <c r="C2956" s="18">
        <v>34.0</v>
      </c>
      <c r="D2956" s="18" t="s">
        <v>33</v>
      </c>
      <c r="E2956" s="26">
        <v>42562.40277777778</v>
      </c>
      <c r="F2956" s="19">
        <f>IFERROR(__xludf.DUMMYFUNCTION("IFERROR(TO_DATE(E2956), """")"),42562.40277777778)</f>
        <v>42562.40278</v>
      </c>
      <c r="G2956" s="20">
        <f t="shared" si="1"/>
        <v>9</v>
      </c>
      <c r="H2956" s="18" t="s">
        <v>34</v>
      </c>
      <c r="I2956" s="19" t="str">
        <f>IFERROR(__xludf.DUMMYFUNCTION("IFERROR(TO_DATE(H2956), """")"),"NA")</f>
        <v>NA</v>
      </c>
      <c r="J2956" s="19" t="s">
        <v>14</v>
      </c>
      <c r="K2956" s="22">
        <f t="shared" si="2"/>
        <v>1</v>
      </c>
    </row>
    <row r="2957">
      <c r="A2957" s="18">
        <v>4146.0</v>
      </c>
      <c r="B2957" s="18" t="s">
        <v>32</v>
      </c>
      <c r="C2957" s="18">
        <v>34.0</v>
      </c>
      <c r="D2957" s="18" t="s">
        <v>33</v>
      </c>
      <c r="E2957" s="27">
        <v>42565.2030787037</v>
      </c>
      <c r="F2957" s="19">
        <f>IFERROR(__xludf.DUMMYFUNCTION("IFERROR(TO_DATE(E2957), """")"),42565.2030787037)</f>
        <v>42565.20308</v>
      </c>
      <c r="G2957" s="20">
        <f t="shared" si="1"/>
        <v>4</v>
      </c>
      <c r="H2957" s="18" t="s">
        <v>34</v>
      </c>
      <c r="I2957" s="19" t="str">
        <f>IFERROR(__xludf.DUMMYFUNCTION("IFERROR(TO_DATE(H2957), """")"),"NA")</f>
        <v>NA</v>
      </c>
      <c r="J2957" s="19" t="s">
        <v>11</v>
      </c>
      <c r="K2957" s="22">
        <f t="shared" si="2"/>
        <v>1</v>
      </c>
    </row>
    <row r="2958">
      <c r="A2958" s="18">
        <v>4242.0</v>
      </c>
      <c r="B2958" s="18" t="s">
        <v>32</v>
      </c>
      <c r="C2958" s="18">
        <v>34.0</v>
      </c>
      <c r="D2958" s="18" t="s">
        <v>33</v>
      </c>
      <c r="E2958" s="27">
        <v>42565.25226851852</v>
      </c>
      <c r="F2958" s="19">
        <f>IFERROR(__xludf.DUMMYFUNCTION("IFERROR(TO_DATE(E2958), """")"),42565.25226851852)</f>
        <v>42565.25227</v>
      </c>
      <c r="G2958" s="20">
        <f t="shared" si="1"/>
        <v>6</v>
      </c>
      <c r="H2958" s="18" t="s">
        <v>34</v>
      </c>
      <c r="I2958" s="19" t="str">
        <f>IFERROR(__xludf.DUMMYFUNCTION("IFERROR(TO_DATE(H2958), """")"),"NA")</f>
        <v>NA</v>
      </c>
      <c r="J2958" s="19" t="s">
        <v>11</v>
      </c>
      <c r="K2958" s="22">
        <f t="shared" si="2"/>
        <v>1</v>
      </c>
    </row>
    <row r="2959">
      <c r="A2959" s="18">
        <v>4470.0</v>
      </c>
      <c r="B2959" s="18" t="s">
        <v>32</v>
      </c>
      <c r="C2959" s="18">
        <v>34.0</v>
      </c>
      <c r="D2959" s="18" t="s">
        <v>33</v>
      </c>
      <c r="E2959" s="27">
        <v>42565.366111111114</v>
      </c>
      <c r="F2959" s="19">
        <f>IFERROR(__xludf.DUMMYFUNCTION("IFERROR(TO_DATE(E2959), """")"),42565.366111111114)</f>
        <v>42565.36611</v>
      </c>
      <c r="G2959" s="20">
        <f t="shared" si="1"/>
        <v>8</v>
      </c>
      <c r="H2959" s="18" t="s">
        <v>34</v>
      </c>
      <c r="I2959" s="19" t="str">
        <f>IFERROR(__xludf.DUMMYFUNCTION("IFERROR(TO_DATE(H2959), """")"),"NA")</f>
        <v>NA</v>
      </c>
      <c r="J2959" s="19" t="s">
        <v>14</v>
      </c>
      <c r="K2959" s="22">
        <f t="shared" si="2"/>
        <v>1</v>
      </c>
    </row>
    <row r="2960">
      <c r="A2960" s="18">
        <v>2530.0</v>
      </c>
      <c r="B2960" s="18" t="s">
        <v>32</v>
      </c>
      <c r="C2960" s="18">
        <v>35.0</v>
      </c>
      <c r="D2960" s="18" t="s">
        <v>33</v>
      </c>
      <c r="E2960" s="26">
        <v>42563.87986111111</v>
      </c>
      <c r="F2960" s="19">
        <f>IFERROR(__xludf.DUMMYFUNCTION("IFERROR(TO_DATE(E2960), """")"),42563.87986111111)</f>
        <v>42563.87986</v>
      </c>
      <c r="G2960" s="20">
        <f t="shared" si="1"/>
        <v>21</v>
      </c>
      <c r="H2960" s="18" t="s">
        <v>34</v>
      </c>
      <c r="I2960" s="19" t="str">
        <f>IFERROR(__xludf.DUMMYFUNCTION("IFERROR(TO_DATE(H2960), """")"),"NA")</f>
        <v>NA</v>
      </c>
      <c r="J2960" s="19" t="s">
        <v>13</v>
      </c>
      <c r="K2960" s="22">
        <f t="shared" si="2"/>
        <v>1</v>
      </c>
    </row>
    <row r="2961">
      <c r="A2961" s="18">
        <v>2596.0</v>
      </c>
      <c r="B2961" s="18" t="s">
        <v>32</v>
      </c>
      <c r="C2961" s="18">
        <v>35.0</v>
      </c>
      <c r="D2961" s="18" t="s">
        <v>33</v>
      </c>
      <c r="E2961" s="26">
        <v>42563.91180555556</v>
      </c>
      <c r="F2961" s="19">
        <f>IFERROR(__xludf.DUMMYFUNCTION("IFERROR(TO_DATE(E2961), """")"),42563.91180555556)</f>
        <v>42563.91181</v>
      </c>
      <c r="G2961" s="20">
        <f t="shared" si="1"/>
        <v>21</v>
      </c>
      <c r="H2961" s="18" t="s">
        <v>34</v>
      </c>
      <c r="I2961" s="19" t="str">
        <f>IFERROR(__xludf.DUMMYFUNCTION("IFERROR(TO_DATE(H2961), """")"),"NA")</f>
        <v>NA</v>
      </c>
      <c r="J2961" s="19" t="s">
        <v>13</v>
      </c>
      <c r="K2961" s="22">
        <f t="shared" si="2"/>
        <v>1</v>
      </c>
    </row>
    <row r="2962">
      <c r="A2962" s="18">
        <v>5754.0</v>
      </c>
      <c r="B2962" s="18" t="s">
        <v>32</v>
      </c>
      <c r="C2962" s="18">
        <v>35.0</v>
      </c>
      <c r="D2962" s="18" t="s">
        <v>33</v>
      </c>
      <c r="E2962" s="27">
        <v>42566.33697916667</v>
      </c>
      <c r="F2962" s="19">
        <f>IFERROR(__xludf.DUMMYFUNCTION("IFERROR(TO_DATE(E2962), """")"),42566.33697916667)</f>
        <v>42566.33698</v>
      </c>
      <c r="G2962" s="20">
        <f t="shared" si="1"/>
        <v>8</v>
      </c>
      <c r="H2962" s="18" t="s">
        <v>34</v>
      </c>
      <c r="I2962" s="19" t="str">
        <f>IFERROR(__xludf.DUMMYFUNCTION("IFERROR(TO_DATE(H2962), """")"),"NA")</f>
        <v>NA</v>
      </c>
      <c r="J2962" s="19" t="s">
        <v>14</v>
      </c>
      <c r="K2962" s="22">
        <f t="shared" si="2"/>
        <v>1</v>
      </c>
    </row>
    <row r="2963">
      <c r="A2963" s="18">
        <v>200.0</v>
      </c>
      <c r="B2963" s="18" t="s">
        <v>32</v>
      </c>
      <c r="C2963" s="18">
        <v>36.0</v>
      </c>
      <c r="D2963" s="18" t="s">
        <v>33</v>
      </c>
      <c r="E2963" s="26">
        <v>42562.256944444445</v>
      </c>
      <c r="F2963" s="19">
        <f>IFERROR(__xludf.DUMMYFUNCTION("IFERROR(TO_DATE(E2963), """")"),42562.256944444445)</f>
        <v>42562.25694</v>
      </c>
      <c r="G2963" s="20">
        <f t="shared" si="1"/>
        <v>6</v>
      </c>
      <c r="H2963" s="18" t="s">
        <v>34</v>
      </c>
      <c r="I2963" s="19" t="str">
        <f>IFERROR(__xludf.DUMMYFUNCTION("IFERROR(TO_DATE(H2963), """")"),"NA")</f>
        <v>NA</v>
      </c>
      <c r="J2963" s="19" t="s">
        <v>11</v>
      </c>
      <c r="K2963" s="22">
        <f t="shared" si="2"/>
        <v>1</v>
      </c>
    </row>
    <row r="2964">
      <c r="A2964" s="18">
        <v>1531.0</v>
      </c>
      <c r="B2964" s="18" t="s">
        <v>32</v>
      </c>
      <c r="C2964" s="18">
        <v>36.0</v>
      </c>
      <c r="D2964" s="18" t="s">
        <v>33</v>
      </c>
      <c r="E2964" s="26">
        <v>42563.245833333334</v>
      </c>
      <c r="F2964" s="19">
        <f>IFERROR(__xludf.DUMMYFUNCTION("IFERROR(TO_DATE(E2964), """")"),42563.245833333334)</f>
        <v>42563.24583</v>
      </c>
      <c r="G2964" s="20">
        <f t="shared" si="1"/>
        <v>5</v>
      </c>
      <c r="H2964" s="18" t="s">
        <v>34</v>
      </c>
      <c r="I2964" s="19" t="str">
        <f>IFERROR(__xludf.DUMMYFUNCTION("IFERROR(TO_DATE(H2964), """")"),"NA")</f>
        <v>NA</v>
      </c>
      <c r="J2964" s="19" t="s">
        <v>11</v>
      </c>
      <c r="K2964" s="22">
        <f t="shared" si="2"/>
        <v>1</v>
      </c>
    </row>
    <row r="2965">
      <c r="A2965" s="18">
        <v>5715.0</v>
      </c>
      <c r="B2965" s="18" t="s">
        <v>32</v>
      </c>
      <c r="C2965" s="18">
        <v>36.0</v>
      </c>
      <c r="D2965" s="18" t="s">
        <v>33</v>
      </c>
      <c r="E2965" s="27">
        <v>42566.321018518516</v>
      </c>
      <c r="F2965" s="19">
        <f>IFERROR(__xludf.DUMMYFUNCTION("IFERROR(TO_DATE(E2965), """")"),42566.321018518516)</f>
        <v>42566.32102</v>
      </c>
      <c r="G2965" s="20">
        <f t="shared" si="1"/>
        <v>7</v>
      </c>
      <c r="H2965" s="18" t="s">
        <v>34</v>
      </c>
      <c r="I2965" s="19" t="str">
        <f>IFERROR(__xludf.DUMMYFUNCTION("IFERROR(TO_DATE(H2965), """")"),"NA")</f>
        <v>NA</v>
      </c>
      <c r="J2965" s="19" t="s">
        <v>11</v>
      </c>
      <c r="K2965" s="22">
        <f t="shared" si="2"/>
        <v>1</v>
      </c>
    </row>
    <row r="2966">
      <c r="A2966" s="18">
        <v>3130.0</v>
      </c>
      <c r="B2966" s="18" t="s">
        <v>32</v>
      </c>
      <c r="C2966" s="18">
        <v>37.0</v>
      </c>
      <c r="D2966" s="18" t="s">
        <v>33</v>
      </c>
      <c r="E2966" s="27">
        <v>42564.36331018519</v>
      </c>
      <c r="F2966" s="19">
        <f>IFERROR(__xludf.DUMMYFUNCTION("IFERROR(TO_DATE(E2966), """")"),42564.36331018519)</f>
        <v>42564.36331</v>
      </c>
      <c r="G2966" s="20">
        <f t="shared" si="1"/>
        <v>8</v>
      </c>
      <c r="H2966" s="18" t="s">
        <v>34</v>
      </c>
      <c r="I2966" s="19" t="str">
        <f>IFERROR(__xludf.DUMMYFUNCTION("IFERROR(TO_DATE(H2966), """")"),"NA")</f>
        <v>NA</v>
      </c>
      <c r="J2966" s="19" t="s">
        <v>14</v>
      </c>
      <c r="K2966" s="22">
        <f t="shared" si="2"/>
        <v>1</v>
      </c>
    </row>
    <row r="2967">
      <c r="A2967" s="18">
        <v>4133.0</v>
      </c>
      <c r="B2967" s="18" t="s">
        <v>32</v>
      </c>
      <c r="C2967" s="18">
        <v>37.0</v>
      </c>
      <c r="D2967" s="18" t="s">
        <v>33</v>
      </c>
      <c r="E2967" s="27">
        <v>42565.19857638889</v>
      </c>
      <c r="F2967" s="19">
        <f>IFERROR(__xludf.DUMMYFUNCTION("IFERROR(TO_DATE(E2967), """")"),42565.19857638889)</f>
        <v>42565.19858</v>
      </c>
      <c r="G2967" s="20">
        <f t="shared" si="1"/>
        <v>4</v>
      </c>
      <c r="H2967" s="18" t="s">
        <v>34</v>
      </c>
      <c r="I2967" s="19" t="str">
        <f>IFERROR(__xludf.DUMMYFUNCTION("IFERROR(TO_DATE(H2967), """")"),"NA")</f>
        <v>NA</v>
      </c>
      <c r="J2967" s="19" t="s">
        <v>11</v>
      </c>
      <c r="K2967" s="22">
        <f t="shared" si="2"/>
        <v>1</v>
      </c>
    </row>
    <row r="2968">
      <c r="A2968" s="18">
        <v>4419.0</v>
      </c>
      <c r="B2968" s="18" t="s">
        <v>32</v>
      </c>
      <c r="C2968" s="18">
        <v>37.0</v>
      </c>
      <c r="D2968" s="18" t="s">
        <v>33</v>
      </c>
      <c r="E2968" s="27">
        <v>42565.345300925925</v>
      </c>
      <c r="F2968" s="19">
        <f>IFERROR(__xludf.DUMMYFUNCTION("IFERROR(TO_DATE(E2968), """")"),42565.345300925925)</f>
        <v>42565.3453</v>
      </c>
      <c r="G2968" s="20">
        <f t="shared" si="1"/>
        <v>8</v>
      </c>
      <c r="H2968" s="18" t="s">
        <v>34</v>
      </c>
      <c r="I2968" s="19" t="str">
        <f>IFERROR(__xludf.DUMMYFUNCTION("IFERROR(TO_DATE(H2968), """")"),"NA")</f>
        <v>NA</v>
      </c>
      <c r="J2968" s="19" t="s">
        <v>14</v>
      </c>
      <c r="K2968" s="22">
        <f t="shared" si="2"/>
        <v>1</v>
      </c>
    </row>
    <row r="2969">
      <c r="A2969" s="18">
        <v>4547.0</v>
      </c>
      <c r="B2969" s="18" t="s">
        <v>32</v>
      </c>
      <c r="C2969" s="18">
        <v>37.0</v>
      </c>
      <c r="D2969" s="18" t="s">
        <v>33</v>
      </c>
      <c r="E2969" s="27">
        <v>42565.40269675926</v>
      </c>
      <c r="F2969" s="19">
        <f>IFERROR(__xludf.DUMMYFUNCTION("IFERROR(TO_DATE(E2969), """")"),42565.40269675926)</f>
        <v>42565.4027</v>
      </c>
      <c r="G2969" s="20">
        <f t="shared" si="1"/>
        <v>9</v>
      </c>
      <c r="H2969" s="18" t="s">
        <v>34</v>
      </c>
      <c r="I2969" s="19" t="str">
        <f>IFERROR(__xludf.DUMMYFUNCTION("IFERROR(TO_DATE(H2969), """")"),"NA")</f>
        <v>NA</v>
      </c>
      <c r="J2969" s="19" t="s">
        <v>14</v>
      </c>
      <c r="K2969" s="22">
        <f t="shared" si="2"/>
        <v>1</v>
      </c>
    </row>
    <row r="2970">
      <c r="A2970" s="18">
        <v>5613.0</v>
      </c>
      <c r="B2970" s="18" t="s">
        <v>32</v>
      </c>
      <c r="C2970" s="18">
        <v>37.0</v>
      </c>
      <c r="D2970" s="18" t="s">
        <v>33</v>
      </c>
      <c r="E2970" s="27">
        <v>42566.26219907407</v>
      </c>
      <c r="F2970" s="19">
        <f>IFERROR(__xludf.DUMMYFUNCTION("IFERROR(TO_DATE(E2970), """")"),42566.26219907407)</f>
        <v>42566.2622</v>
      </c>
      <c r="G2970" s="20">
        <f t="shared" si="1"/>
        <v>6</v>
      </c>
      <c r="H2970" s="18" t="s">
        <v>34</v>
      </c>
      <c r="I2970" s="19" t="str">
        <f>IFERROR(__xludf.DUMMYFUNCTION("IFERROR(TO_DATE(H2970), """")"),"NA")</f>
        <v>NA</v>
      </c>
      <c r="J2970" s="19" t="s">
        <v>11</v>
      </c>
      <c r="K2970" s="22">
        <f t="shared" si="2"/>
        <v>1</v>
      </c>
    </row>
    <row r="2971">
      <c r="A2971" s="18">
        <v>572.0</v>
      </c>
      <c r="B2971" s="18" t="s">
        <v>30</v>
      </c>
      <c r="C2971" s="18">
        <v>38.0</v>
      </c>
      <c r="D2971" s="18" t="s">
        <v>33</v>
      </c>
      <c r="E2971" s="26">
        <v>42562.45</v>
      </c>
      <c r="F2971" s="19">
        <f>IFERROR(__xludf.DUMMYFUNCTION("IFERROR(TO_DATE(E2971), """")"),42562.45)</f>
        <v>42562.45</v>
      </c>
      <c r="G2971" s="20">
        <f t="shared" si="1"/>
        <v>10</v>
      </c>
      <c r="H2971" s="18" t="s">
        <v>34</v>
      </c>
      <c r="I2971" s="19" t="str">
        <f>IFERROR(__xludf.DUMMYFUNCTION("IFERROR(TO_DATE(H2971), """")"),"NA")</f>
        <v>NA</v>
      </c>
      <c r="J2971" s="19" t="s">
        <v>14</v>
      </c>
      <c r="K2971" s="22">
        <f t="shared" si="2"/>
        <v>1</v>
      </c>
    </row>
    <row r="2972">
      <c r="A2972" s="18">
        <v>1566.0</v>
      </c>
      <c r="B2972" s="18" t="s">
        <v>32</v>
      </c>
      <c r="C2972" s="18">
        <v>38.0</v>
      </c>
      <c r="D2972" s="18" t="s">
        <v>33</v>
      </c>
      <c r="E2972" s="26">
        <v>42563.26527777778</v>
      </c>
      <c r="F2972" s="19">
        <f>IFERROR(__xludf.DUMMYFUNCTION("IFERROR(TO_DATE(E2972), """")"),42563.26527777778)</f>
        <v>42563.26528</v>
      </c>
      <c r="G2972" s="20">
        <f t="shared" si="1"/>
        <v>6</v>
      </c>
      <c r="H2972" s="18" t="s">
        <v>34</v>
      </c>
      <c r="I2972" s="19" t="str">
        <f>IFERROR(__xludf.DUMMYFUNCTION("IFERROR(TO_DATE(H2972), """")"),"NA")</f>
        <v>NA</v>
      </c>
      <c r="J2972" s="19" t="s">
        <v>11</v>
      </c>
      <c r="K2972" s="22">
        <f t="shared" si="2"/>
        <v>1</v>
      </c>
    </row>
    <row r="2973">
      <c r="A2973" s="18">
        <v>2266.0</v>
      </c>
      <c r="B2973" s="18" t="s">
        <v>30</v>
      </c>
      <c r="C2973" s="18">
        <v>38.0</v>
      </c>
      <c r="D2973" s="18" t="s">
        <v>33</v>
      </c>
      <c r="E2973" s="26">
        <v>42563.77291666667</v>
      </c>
      <c r="F2973" s="19">
        <f>IFERROR(__xludf.DUMMYFUNCTION("IFERROR(TO_DATE(E2973), """")"),42563.77291666667)</f>
        <v>42563.77292</v>
      </c>
      <c r="G2973" s="20">
        <f t="shared" si="1"/>
        <v>18</v>
      </c>
      <c r="H2973" s="18" t="s">
        <v>34</v>
      </c>
      <c r="I2973" s="19" t="str">
        <f>IFERROR(__xludf.DUMMYFUNCTION("IFERROR(TO_DATE(H2973), """")"),"NA")</f>
        <v>NA</v>
      </c>
      <c r="J2973" s="19" t="s">
        <v>12</v>
      </c>
      <c r="K2973" s="22">
        <f t="shared" si="2"/>
        <v>1</v>
      </c>
    </row>
    <row r="2974">
      <c r="A2974" s="18">
        <v>4390.0</v>
      </c>
      <c r="B2974" s="18" t="s">
        <v>32</v>
      </c>
      <c r="C2974" s="18">
        <v>38.0</v>
      </c>
      <c r="D2974" s="18" t="s">
        <v>33</v>
      </c>
      <c r="E2974" s="27">
        <v>42565.33421296296</v>
      </c>
      <c r="F2974" s="19">
        <f>IFERROR(__xludf.DUMMYFUNCTION("IFERROR(TO_DATE(E2974), """")"),42565.33421296296)</f>
        <v>42565.33421</v>
      </c>
      <c r="G2974" s="20">
        <f t="shared" si="1"/>
        <v>8</v>
      </c>
      <c r="H2974" s="18" t="s">
        <v>34</v>
      </c>
      <c r="I2974" s="19" t="str">
        <f>IFERROR(__xludf.DUMMYFUNCTION("IFERROR(TO_DATE(H2974), """")"),"NA")</f>
        <v>NA</v>
      </c>
      <c r="J2974" s="19" t="s">
        <v>14</v>
      </c>
      <c r="K2974" s="22">
        <f t="shared" si="2"/>
        <v>1</v>
      </c>
    </row>
    <row r="2975">
      <c r="A2975" s="18">
        <v>4545.0</v>
      </c>
      <c r="B2975" s="18" t="s">
        <v>32</v>
      </c>
      <c r="C2975" s="18">
        <v>38.0</v>
      </c>
      <c r="D2975" s="18" t="s">
        <v>33</v>
      </c>
      <c r="E2975" s="27">
        <v>42565.40526620371</v>
      </c>
      <c r="F2975" s="19">
        <f>IFERROR(__xludf.DUMMYFUNCTION("IFERROR(TO_DATE(E2975), """")"),42565.40526620371)</f>
        <v>42565.40527</v>
      </c>
      <c r="G2975" s="20">
        <f t="shared" si="1"/>
        <v>9</v>
      </c>
      <c r="H2975" s="18" t="s">
        <v>34</v>
      </c>
      <c r="I2975" s="19" t="str">
        <f>IFERROR(__xludf.DUMMYFUNCTION("IFERROR(TO_DATE(H2975), """")"),"NA")</f>
        <v>NA</v>
      </c>
      <c r="J2975" s="19" t="s">
        <v>14</v>
      </c>
      <c r="K2975" s="22">
        <f t="shared" si="2"/>
        <v>1</v>
      </c>
    </row>
    <row r="2976">
      <c r="A2976" s="18">
        <v>4572.0</v>
      </c>
      <c r="B2976" s="18" t="s">
        <v>32</v>
      </c>
      <c r="C2976" s="18">
        <v>38.0</v>
      </c>
      <c r="D2976" s="18" t="s">
        <v>33</v>
      </c>
      <c r="E2976" s="27">
        <v>42565.41148148148</v>
      </c>
      <c r="F2976" s="19">
        <f>IFERROR(__xludf.DUMMYFUNCTION("IFERROR(TO_DATE(E2976), """")"),42565.41148148148)</f>
        <v>42565.41148</v>
      </c>
      <c r="G2976" s="20">
        <f t="shared" si="1"/>
        <v>9</v>
      </c>
      <c r="H2976" s="18" t="s">
        <v>34</v>
      </c>
      <c r="I2976" s="19" t="str">
        <f>IFERROR(__xludf.DUMMYFUNCTION("IFERROR(TO_DATE(H2976), """")"),"NA")</f>
        <v>NA</v>
      </c>
      <c r="J2976" s="19" t="s">
        <v>14</v>
      </c>
      <c r="K2976" s="22">
        <f t="shared" si="2"/>
        <v>1</v>
      </c>
    </row>
    <row r="2977">
      <c r="A2977" s="18">
        <v>1649.0</v>
      </c>
      <c r="B2977" s="18" t="s">
        <v>32</v>
      </c>
      <c r="C2977" s="18">
        <v>39.0</v>
      </c>
      <c r="D2977" s="18" t="s">
        <v>33</v>
      </c>
      <c r="E2977" s="26">
        <v>42563.308333333334</v>
      </c>
      <c r="F2977" s="19">
        <f>IFERROR(__xludf.DUMMYFUNCTION("IFERROR(TO_DATE(E2977), """")"),42563.308333333334)</f>
        <v>42563.30833</v>
      </c>
      <c r="G2977" s="20">
        <f t="shared" si="1"/>
        <v>7</v>
      </c>
      <c r="H2977" s="18" t="s">
        <v>34</v>
      </c>
      <c r="I2977" s="19" t="str">
        <f>IFERROR(__xludf.DUMMYFUNCTION("IFERROR(TO_DATE(H2977), """")"),"NA")</f>
        <v>NA</v>
      </c>
      <c r="J2977" s="19" t="s">
        <v>11</v>
      </c>
      <c r="K2977" s="22">
        <f t="shared" si="2"/>
        <v>1</v>
      </c>
    </row>
    <row r="2978">
      <c r="A2978" s="18">
        <v>3008.0</v>
      </c>
      <c r="B2978" s="18" t="s">
        <v>32</v>
      </c>
      <c r="C2978" s="18">
        <v>39.0</v>
      </c>
      <c r="D2978" s="18" t="s">
        <v>33</v>
      </c>
      <c r="E2978" s="27">
        <v>42564.307650462964</v>
      </c>
      <c r="F2978" s="19">
        <f>IFERROR(__xludf.DUMMYFUNCTION("IFERROR(TO_DATE(E2978), """")"),42564.307650462964)</f>
        <v>42564.30765</v>
      </c>
      <c r="G2978" s="20">
        <f t="shared" si="1"/>
        <v>7</v>
      </c>
      <c r="H2978" s="18" t="s">
        <v>34</v>
      </c>
      <c r="I2978" s="19" t="str">
        <f>IFERROR(__xludf.DUMMYFUNCTION("IFERROR(TO_DATE(H2978), """")"),"NA")</f>
        <v>NA</v>
      </c>
      <c r="J2978" s="19" t="s">
        <v>11</v>
      </c>
      <c r="K2978" s="22">
        <f t="shared" si="2"/>
        <v>1</v>
      </c>
    </row>
    <row r="2979">
      <c r="A2979" s="18">
        <v>4480.0</v>
      </c>
      <c r="B2979" s="18" t="s">
        <v>32</v>
      </c>
      <c r="C2979" s="18">
        <v>39.0</v>
      </c>
      <c r="D2979" s="18" t="s">
        <v>33</v>
      </c>
      <c r="E2979" s="27">
        <v>42565.3656712963</v>
      </c>
      <c r="F2979" s="19">
        <f>IFERROR(__xludf.DUMMYFUNCTION("IFERROR(TO_DATE(E2979), """")"),42565.3656712963)</f>
        <v>42565.36567</v>
      </c>
      <c r="G2979" s="20">
        <f t="shared" si="1"/>
        <v>8</v>
      </c>
      <c r="H2979" s="18" t="s">
        <v>34</v>
      </c>
      <c r="I2979" s="19" t="str">
        <f>IFERROR(__xludf.DUMMYFUNCTION("IFERROR(TO_DATE(H2979), """")"),"NA")</f>
        <v>NA</v>
      </c>
      <c r="J2979" s="19" t="s">
        <v>14</v>
      </c>
      <c r="K2979" s="22">
        <f t="shared" si="2"/>
        <v>1</v>
      </c>
    </row>
    <row r="2980">
      <c r="A2980" s="18">
        <v>5713.0</v>
      </c>
      <c r="B2980" s="18" t="s">
        <v>32</v>
      </c>
      <c r="C2980" s="18">
        <v>39.0</v>
      </c>
      <c r="D2980" s="18" t="s">
        <v>33</v>
      </c>
      <c r="E2980" s="27">
        <v>42566.32184027778</v>
      </c>
      <c r="F2980" s="19">
        <f>IFERROR(__xludf.DUMMYFUNCTION("IFERROR(TO_DATE(E2980), """")"),42566.32184027778)</f>
        <v>42566.32184</v>
      </c>
      <c r="G2980" s="20">
        <f t="shared" si="1"/>
        <v>7</v>
      </c>
      <c r="H2980" s="18" t="s">
        <v>34</v>
      </c>
      <c r="I2980" s="19" t="str">
        <f>IFERROR(__xludf.DUMMYFUNCTION("IFERROR(TO_DATE(H2980), """")"),"NA")</f>
        <v>NA</v>
      </c>
      <c r="J2980" s="19" t="s">
        <v>11</v>
      </c>
      <c r="K2980" s="22">
        <f t="shared" si="2"/>
        <v>1</v>
      </c>
    </row>
    <row r="2981">
      <c r="A2981" s="18">
        <v>5866.0</v>
      </c>
      <c r="B2981" s="18" t="s">
        <v>32</v>
      </c>
      <c r="C2981" s="18">
        <v>39.0</v>
      </c>
      <c r="D2981" s="18" t="s">
        <v>33</v>
      </c>
      <c r="E2981" s="27">
        <v>42566.388240740744</v>
      </c>
      <c r="F2981" s="19">
        <f>IFERROR(__xludf.DUMMYFUNCTION("IFERROR(TO_DATE(E2981), """")"),42566.388240740744)</f>
        <v>42566.38824</v>
      </c>
      <c r="G2981" s="20">
        <f t="shared" si="1"/>
        <v>9</v>
      </c>
      <c r="H2981" s="18" t="s">
        <v>34</v>
      </c>
      <c r="I2981" s="19" t="str">
        <f>IFERROR(__xludf.DUMMYFUNCTION("IFERROR(TO_DATE(H2981), """")"),"NA")</f>
        <v>NA</v>
      </c>
      <c r="J2981" s="19" t="s">
        <v>14</v>
      </c>
      <c r="K2981" s="22">
        <f t="shared" si="2"/>
        <v>1</v>
      </c>
    </row>
    <row r="2982">
      <c r="A2982" s="18">
        <v>5945.0</v>
      </c>
      <c r="B2982" s="18" t="s">
        <v>30</v>
      </c>
      <c r="C2982" s="18">
        <v>39.0</v>
      </c>
      <c r="D2982" s="18" t="s">
        <v>33</v>
      </c>
      <c r="E2982" s="27">
        <v>42566.43609953704</v>
      </c>
      <c r="F2982" s="19">
        <f>IFERROR(__xludf.DUMMYFUNCTION("IFERROR(TO_DATE(E2982), """")"),42566.43609953704)</f>
        <v>42566.4361</v>
      </c>
      <c r="G2982" s="20">
        <f t="shared" si="1"/>
        <v>10</v>
      </c>
      <c r="H2982" s="18" t="s">
        <v>34</v>
      </c>
      <c r="I2982" s="19" t="str">
        <f>IFERROR(__xludf.DUMMYFUNCTION("IFERROR(TO_DATE(H2982), """")"),"NA")</f>
        <v>NA</v>
      </c>
      <c r="J2982" s="19" t="s">
        <v>14</v>
      </c>
      <c r="K2982" s="22">
        <f t="shared" si="2"/>
        <v>1</v>
      </c>
    </row>
    <row r="2983">
      <c r="A2983" s="18">
        <v>126.0</v>
      </c>
      <c r="B2983" s="18" t="s">
        <v>32</v>
      </c>
      <c r="C2983" s="18">
        <v>40.0</v>
      </c>
      <c r="D2983" s="18" t="s">
        <v>33</v>
      </c>
      <c r="E2983" s="26">
        <v>42562.211805555555</v>
      </c>
      <c r="F2983" s="19">
        <f>IFERROR(__xludf.DUMMYFUNCTION("IFERROR(TO_DATE(E2983), """")"),42562.211805555555)</f>
        <v>42562.21181</v>
      </c>
      <c r="G2983" s="20">
        <f t="shared" si="1"/>
        <v>5</v>
      </c>
      <c r="H2983" s="18" t="s">
        <v>34</v>
      </c>
      <c r="I2983" s="19" t="str">
        <f>IFERROR(__xludf.DUMMYFUNCTION("IFERROR(TO_DATE(H2983), """")"),"NA")</f>
        <v>NA</v>
      </c>
      <c r="J2983" s="19" t="s">
        <v>11</v>
      </c>
      <c r="K2983" s="22">
        <f t="shared" si="2"/>
        <v>1</v>
      </c>
    </row>
    <row r="2984">
      <c r="A2984" s="18">
        <v>436.0</v>
      </c>
      <c r="B2984" s="18" t="s">
        <v>32</v>
      </c>
      <c r="C2984" s="18">
        <v>40.0</v>
      </c>
      <c r="D2984" s="18" t="s">
        <v>33</v>
      </c>
      <c r="E2984" s="26">
        <v>42562.37152777778</v>
      </c>
      <c r="F2984" s="19">
        <f>IFERROR(__xludf.DUMMYFUNCTION("IFERROR(TO_DATE(E2984), """")"),42562.37152777778)</f>
        <v>42562.37153</v>
      </c>
      <c r="G2984" s="20">
        <f t="shared" si="1"/>
        <v>8</v>
      </c>
      <c r="H2984" s="18" t="s">
        <v>34</v>
      </c>
      <c r="I2984" s="19" t="str">
        <f>IFERROR(__xludf.DUMMYFUNCTION("IFERROR(TO_DATE(H2984), """")"),"NA")</f>
        <v>NA</v>
      </c>
      <c r="J2984" s="19" t="s">
        <v>14</v>
      </c>
      <c r="K2984" s="22">
        <f t="shared" si="2"/>
        <v>1</v>
      </c>
    </row>
    <row r="2985">
      <c r="A2985" s="18">
        <v>1620.0</v>
      </c>
      <c r="B2985" s="18" t="s">
        <v>32</v>
      </c>
      <c r="C2985" s="18">
        <v>40.0</v>
      </c>
      <c r="D2985" s="18" t="s">
        <v>33</v>
      </c>
      <c r="E2985" s="26">
        <v>42563.288194444445</v>
      </c>
      <c r="F2985" s="19">
        <f>IFERROR(__xludf.DUMMYFUNCTION("IFERROR(TO_DATE(E2985), """")"),42563.288194444445)</f>
        <v>42563.28819</v>
      </c>
      <c r="G2985" s="20">
        <f t="shared" si="1"/>
        <v>6</v>
      </c>
      <c r="H2985" s="18" t="s">
        <v>34</v>
      </c>
      <c r="I2985" s="19" t="str">
        <f>IFERROR(__xludf.DUMMYFUNCTION("IFERROR(TO_DATE(H2985), """")"),"NA")</f>
        <v>NA</v>
      </c>
      <c r="J2985" s="19" t="s">
        <v>11</v>
      </c>
      <c r="K2985" s="22">
        <f t="shared" si="2"/>
        <v>1</v>
      </c>
    </row>
    <row r="2986">
      <c r="A2986" s="18">
        <v>2206.0</v>
      </c>
      <c r="B2986" s="18" t="s">
        <v>32</v>
      </c>
      <c r="C2986" s="18">
        <v>40.0</v>
      </c>
      <c r="D2986" s="18" t="s">
        <v>33</v>
      </c>
      <c r="E2986" s="26">
        <v>42563.74652777778</v>
      </c>
      <c r="F2986" s="19">
        <f>IFERROR(__xludf.DUMMYFUNCTION("IFERROR(TO_DATE(E2986), """")"),42563.74652777778)</f>
        <v>42563.74653</v>
      </c>
      <c r="G2986" s="20">
        <f t="shared" si="1"/>
        <v>17</v>
      </c>
      <c r="H2986" s="18" t="s">
        <v>34</v>
      </c>
      <c r="I2986" s="19" t="str">
        <f>IFERROR(__xludf.DUMMYFUNCTION("IFERROR(TO_DATE(H2986), """")"),"NA")</f>
        <v>NA</v>
      </c>
      <c r="J2986" s="19" t="s">
        <v>12</v>
      </c>
      <c r="K2986" s="22">
        <f t="shared" si="2"/>
        <v>1</v>
      </c>
    </row>
    <row r="2987">
      <c r="A2987" s="18">
        <v>3221.0</v>
      </c>
      <c r="B2987" s="18" t="s">
        <v>32</v>
      </c>
      <c r="C2987" s="18">
        <v>40.0</v>
      </c>
      <c r="D2987" s="18" t="s">
        <v>33</v>
      </c>
      <c r="E2987" s="27">
        <v>42564.413356481484</v>
      </c>
      <c r="F2987" s="19">
        <f>IFERROR(__xludf.DUMMYFUNCTION("IFERROR(TO_DATE(E2987), """")"),42564.413356481484)</f>
        <v>42564.41336</v>
      </c>
      <c r="G2987" s="20">
        <f t="shared" si="1"/>
        <v>9</v>
      </c>
      <c r="H2987" s="18" t="s">
        <v>34</v>
      </c>
      <c r="I2987" s="19" t="str">
        <f>IFERROR(__xludf.DUMMYFUNCTION("IFERROR(TO_DATE(H2987), """")"),"NA")</f>
        <v>NA</v>
      </c>
      <c r="J2987" s="19" t="s">
        <v>14</v>
      </c>
      <c r="K2987" s="22">
        <f t="shared" si="2"/>
        <v>1</v>
      </c>
    </row>
    <row r="2988">
      <c r="A2988" s="18">
        <v>5583.0</v>
      </c>
      <c r="B2988" s="18" t="s">
        <v>32</v>
      </c>
      <c r="C2988" s="18">
        <v>40.0</v>
      </c>
      <c r="D2988" s="18" t="s">
        <v>33</v>
      </c>
      <c r="E2988" s="27">
        <v>42566.24878472222</v>
      </c>
      <c r="F2988" s="19">
        <f>IFERROR(__xludf.DUMMYFUNCTION("IFERROR(TO_DATE(E2988), """")"),42566.24878472222)</f>
        <v>42566.24878</v>
      </c>
      <c r="G2988" s="20">
        <f t="shared" si="1"/>
        <v>5</v>
      </c>
      <c r="H2988" s="18" t="s">
        <v>34</v>
      </c>
      <c r="I2988" s="19" t="str">
        <f>IFERROR(__xludf.DUMMYFUNCTION("IFERROR(TO_DATE(H2988), """")"),"NA")</f>
        <v>NA</v>
      </c>
      <c r="J2988" s="19" t="s">
        <v>11</v>
      </c>
      <c r="K2988" s="22">
        <f t="shared" si="2"/>
        <v>1</v>
      </c>
    </row>
    <row r="2989">
      <c r="A2989" s="18">
        <v>2131.0</v>
      </c>
      <c r="B2989" s="18" t="s">
        <v>32</v>
      </c>
      <c r="C2989" s="18">
        <v>41.0</v>
      </c>
      <c r="D2989" s="18" t="s">
        <v>33</v>
      </c>
      <c r="E2989" s="26">
        <v>42563.71111111111</v>
      </c>
      <c r="F2989" s="19">
        <f>IFERROR(__xludf.DUMMYFUNCTION("IFERROR(TO_DATE(E2989), """")"),42563.71111111111)</f>
        <v>42563.71111</v>
      </c>
      <c r="G2989" s="20">
        <f t="shared" si="1"/>
        <v>17</v>
      </c>
      <c r="H2989" s="18" t="s">
        <v>34</v>
      </c>
      <c r="I2989" s="19" t="str">
        <f>IFERROR(__xludf.DUMMYFUNCTION("IFERROR(TO_DATE(H2989), """")"),"NA")</f>
        <v>NA</v>
      </c>
      <c r="J2989" s="19" t="s">
        <v>12</v>
      </c>
      <c r="K2989" s="22">
        <f t="shared" si="2"/>
        <v>1</v>
      </c>
    </row>
    <row r="2990">
      <c r="A2990" s="18">
        <v>401.0</v>
      </c>
      <c r="B2990" s="18" t="s">
        <v>32</v>
      </c>
      <c r="C2990" s="18">
        <v>43.0</v>
      </c>
      <c r="D2990" s="18" t="s">
        <v>33</v>
      </c>
      <c r="E2990" s="26">
        <v>42562.35208333333</v>
      </c>
      <c r="F2990" s="19">
        <f>IFERROR(__xludf.DUMMYFUNCTION("IFERROR(TO_DATE(E2990), """")"),42562.35208333333)</f>
        <v>42562.35208</v>
      </c>
      <c r="G2990" s="20">
        <f t="shared" si="1"/>
        <v>8</v>
      </c>
      <c r="H2990" s="18" t="s">
        <v>34</v>
      </c>
      <c r="I2990" s="19" t="str">
        <f>IFERROR(__xludf.DUMMYFUNCTION("IFERROR(TO_DATE(H2990), """")"),"NA")</f>
        <v>NA</v>
      </c>
      <c r="J2990" s="19" t="s">
        <v>14</v>
      </c>
      <c r="K2990" s="22">
        <f t="shared" si="2"/>
        <v>1</v>
      </c>
    </row>
    <row r="2991">
      <c r="A2991" s="18">
        <v>461.0</v>
      </c>
      <c r="B2991" s="18" t="s">
        <v>32</v>
      </c>
      <c r="C2991" s="18">
        <v>43.0</v>
      </c>
      <c r="D2991" s="18" t="s">
        <v>33</v>
      </c>
      <c r="E2991" s="26">
        <v>42562.385416666664</v>
      </c>
      <c r="F2991" s="19">
        <f>IFERROR(__xludf.DUMMYFUNCTION("IFERROR(TO_DATE(E2991), """")"),42562.385416666664)</f>
        <v>42562.38542</v>
      </c>
      <c r="G2991" s="20">
        <f t="shared" si="1"/>
        <v>9</v>
      </c>
      <c r="H2991" s="18" t="s">
        <v>34</v>
      </c>
      <c r="I2991" s="19" t="str">
        <f>IFERROR(__xludf.DUMMYFUNCTION("IFERROR(TO_DATE(H2991), """")"),"NA")</f>
        <v>NA</v>
      </c>
      <c r="J2991" s="19" t="s">
        <v>14</v>
      </c>
      <c r="K2991" s="22">
        <f t="shared" si="2"/>
        <v>1</v>
      </c>
    </row>
    <row r="2992">
      <c r="A2992" s="18">
        <v>2946.0</v>
      </c>
      <c r="B2992" s="18" t="s">
        <v>32</v>
      </c>
      <c r="C2992" s="18">
        <v>43.0</v>
      </c>
      <c r="D2992" s="18" t="s">
        <v>33</v>
      </c>
      <c r="E2992" s="27">
        <v>42564.27416666667</v>
      </c>
      <c r="F2992" s="19">
        <f>IFERROR(__xludf.DUMMYFUNCTION("IFERROR(TO_DATE(E2992), """")"),42564.27416666667)</f>
        <v>42564.27417</v>
      </c>
      <c r="G2992" s="20">
        <f t="shared" si="1"/>
        <v>6</v>
      </c>
      <c r="H2992" s="18" t="s">
        <v>34</v>
      </c>
      <c r="I2992" s="19" t="str">
        <f>IFERROR(__xludf.DUMMYFUNCTION("IFERROR(TO_DATE(H2992), """")"),"NA")</f>
        <v>NA</v>
      </c>
      <c r="J2992" s="19" t="s">
        <v>11</v>
      </c>
      <c r="K2992" s="22">
        <f t="shared" si="2"/>
        <v>1</v>
      </c>
    </row>
    <row r="2993">
      <c r="A2993" s="18">
        <v>289.0</v>
      </c>
      <c r="B2993" s="18" t="s">
        <v>32</v>
      </c>
      <c r="C2993" s="18">
        <v>44.0</v>
      </c>
      <c r="D2993" s="18" t="s">
        <v>33</v>
      </c>
      <c r="E2993" s="26">
        <v>42562.29791666667</v>
      </c>
      <c r="F2993" s="19">
        <f>IFERROR(__xludf.DUMMYFUNCTION("IFERROR(TO_DATE(E2993), """")"),42562.29791666667)</f>
        <v>42562.29792</v>
      </c>
      <c r="G2993" s="20">
        <f t="shared" si="1"/>
        <v>7</v>
      </c>
      <c r="H2993" s="18" t="s">
        <v>34</v>
      </c>
      <c r="I2993" s="19" t="str">
        <f>IFERROR(__xludf.DUMMYFUNCTION("IFERROR(TO_DATE(H2993), """")"),"NA")</f>
        <v>NA</v>
      </c>
      <c r="J2993" s="19" t="s">
        <v>11</v>
      </c>
      <c r="K2993" s="22">
        <f t="shared" si="2"/>
        <v>1</v>
      </c>
    </row>
    <row r="2994">
      <c r="A2994" s="18">
        <v>1303.0</v>
      </c>
      <c r="B2994" s="18" t="s">
        <v>32</v>
      </c>
      <c r="C2994" s="18">
        <v>44.0</v>
      </c>
      <c r="D2994" s="18" t="s">
        <v>33</v>
      </c>
      <c r="E2994" s="26">
        <v>42562.93541666667</v>
      </c>
      <c r="F2994" s="19">
        <f>IFERROR(__xludf.DUMMYFUNCTION("IFERROR(TO_DATE(E2994), """")"),42562.93541666667)</f>
        <v>42562.93542</v>
      </c>
      <c r="G2994" s="20">
        <f t="shared" si="1"/>
        <v>22</v>
      </c>
      <c r="H2994" s="18" t="s">
        <v>34</v>
      </c>
      <c r="I2994" s="19" t="str">
        <f>IFERROR(__xludf.DUMMYFUNCTION("IFERROR(TO_DATE(H2994), """")"),"NA")</f>
        <v>NA</v>
      </c>
      <c r="J2994" s="19" t="s">
        <v>13</v>
      </c>
      <c r="K2994" s="22">
        <f t="shared" si="2"/>
        <v>1</v>
      </c>
    </row>
    <row r="2995">
      <c r="A2995" s="18">
        <v>1817.0</v>
      </c>
      <c r="B2995" s="18" t="s">
        <v>32</v>
      </c>
      <c r="C2995" s="18">
        <v>44.0</v>
      </c>
      <c r="D2995" s="18" t="s">
        <v>33</v>
      </c>
      <c r="E2995" s="26">
        <v>42563.39513888889</v>
      </c>
      <c r="F2995" s="19">
        <f>IFERROR(__xludf.DUMMYFUNCTION("IFERROR(TO_DATE(E2995), """")"),42563.39513888889)</f>
        <v>42563.39514</v>
      </c>
      <c r="G2995" s="20">
        <f t="shared" si="1"/>
        <v>9</v>
      </c>
      <c r="H2995" s="18" t="s">
        <v>34</v>
      </c>
      <c r="I2995" s="19" t="str">
        <f>IFERROR(__xludf.DUMMYFUNCTION("IFERROR(TO_DATE(H2995), """")"),"NA")</f>
        <v>NA</v>
      </c>
      <c r="J2995" s="19" t="s">
        <v>14</v>
      </c>
      <c r="K2995" s="22">
        <f t="shared" si="2"/>
        <v>1</v>
      </c>
    </row>
    <row r="2996">
      <c r="A2996" s="18">
        <v>2970.0</v>
      </c>
      <c r="B2996" s="18" t="s">
        <v>32</v>
      </c>
      <c r="C2996" s="18">
        <v>44.0</v>
      </c>
      <c r="D2996" s="18" t="s">
        <v>33</v>
      </c>
      <c r="E2996" s="27">
        <v>42564.28902777778</v>
      </c>
      <c r="F2996" s="19">
        <f>IFERROR(__xludf.DUMMYFUNCTION("IFERROR(TO_DATE(E2996), """")"),42564.28902777778)</f>
        <v>42564.28903</v>
      </c>
      <c r="G2996" s="20">
        <f t="shared" si="1"/>
        <v>6</v>
      </c>
      <c r="H2996" s="18" t="s">
        <v>34</v>
      </c>
      <c r="I2996" s="19" t="str">
        <f>IFERROR(__xludf.DUMMYFUNCTION("IFERROR(TO_DATE(H2996), """")"),"NA")</f>
        <v>NA</v>
      </c>
      <c r="J2996" s="19" t="s">
        <v>11</v>
      </c>
      <c r="K2996" s="22">
        <f t="shared" si="2"/>
        <v>1</v>
      </c>
    </row>
    <row r="2997">
      <c r="A2997" s="18">
        <v>4519.0</v>
      </c>
      <c r="B2997" s="18" t="s">
        <v>32</v>
      </c>
      <c r="C2997" s="18">
        <v>44.0</v>
      </c>
      <c r="D2997" s="18" t="s">
        <v>33</v>
      </c>
      <c r="E2997" s="27">
        <v>42565.39098379629</v>
      </c>
      <c r="F2997" s="19">
        <f>IFERROR(__xludf.DUMMYFUNCTION("IFERROR(TO_DATE(E2997), """")"),42565.39098379629)</f>
        <v>42565.39098</v>
      </c>
      <c r="G2997" s="20">
        <f t="shared" si="1"/>
        <v>9</v>
      </c>
      <c r="H2997" s="18" t="s">
        <v>34</v>
      </c>
      <c r="I2997" s="19" t="str">
        <f>IFERROR(__xludf.DUMMYFUNCTION("IFERROR(TO_DATE(H2997), """")"),"NA")</f>
        <v>NA</v>
      </c>
      <c r="J2997" s="19" t="s">
        <v>14</v>
      </c>
      <c r="K2997" s="22">
        <f t="shared" si="2"/>
        <v>1</v>
      </c>
    </row>
    <row r="2998">
      <c r="A2998" s="18">
        <v>5830.0</v>
      </c>
      <c r="B2998" s="18" t="s">
        <v>32</v>
      </c>
      <c r="C2998" s="18">
        <v>44.0</v>
      </c>
      <c r="D2998" s="18" t="s">
        <v>33</v>
      </c>
      <c r="E2998" s="27">
        <v>42566.371886574074</v>
      </c>
      <c r="F2998" s="19">
        <f>IFERROR(__xludf.DUMMYFUNCTION("IFERROR(TO_DATE(E2998), """")"),42566.371886574074)</f>
        <v>42566.37189</v>
      </c>
      <c r="G2998" s="20">
        <f t="shared" si="1"/>
        <v>8</v>
      </c>
      <c r="H2998" s="18" t="s">
        <v>34</v>
      </c>
      <c r="I2998" s="19" t="str">
        <f>IFERROR(__xludf.DUMMYFUNCTION("IFERROR(TO_DATE(H2998), """")"),"NA")</f>
        <v>NA</v>
      </c>
      <c r="J2998" s="19" t="s">
        <v>14</v>
      </c>
      <c r="K2998" s="22">
        <f t="shared" si="2"/>
        <v>1</v>
      </c>
    </row>
    <row r="2999">
      <c r="A2999" s="18">
        <v>5880.0</v>
      </c>
      <c r="B2999" s="18" t="s">
        <v>32</v>
      </c>
      <c r="C2999" s="18">
        <v>44.0</v>
      </c>
      <c r="D2999" s="18" t="s">
        <v>33</v>
      </c>
      <c r="E2999" s="27">
        <v>42566.401967592596</v>
      </c>
      <c r="F2999" s="19">
        <f>IFERROR(__xludf.DUMMYFUNCTION("IFERROR(TO_DATE(E2999), """")"),42566.401967592596)</f>
        <v>42566.40197</v>
      </c>
      <c r="G2999" s="20">
        <f t="shared" si="1"/>
        <v>9</v>
      </c>
      <c r="H2999" s="18" t="s">
        <v>34</v>
      </c>
      <c r="I2999" s="19" t="str">
        <f>IFERROR(__xludf.DUMMYFUNCTION("IFERROR(TO_DATE(H2999), """")"),"NA")</f>
        <v>NA</v>
      </c>
      <c r="J2999" s="19" t="s">
        <v>14</v>
      </c>
      <c r="K2999" s="22">
        <f t="shared" si="2"/>
        <v>1</v>
      </c>
    </row>
    <row r="3000">
      <c r="A3000" s="18">
        <v>1520.0</v>
      </c>
      <c r="B3000" s="18" t="s">
        <v>32</v>
      </c>
      <c r="C3000" s="18">
        <v>45.0</v>
      </c>
      <c r="D3000" s="18" t="s">
        <v>33</v>
      </c>
      <c r="E3000" s="26">
        <v>42563.2375</v>
      </c>
      <c r="F3000" s="19">
        <f>IFERROR(__xludf.DUMMYFUNCTION("IFERROR(TO_DATE(E3000), """")"),42563.2375)</f>
        <v>42563.2375</v>
      </c>
      <c r="G3000" s="20">
        <f t="shared" si="1"/>
        <v>5</v>
      </c>
      <c r="H3000" s="18" t="s">
        <v>34</v>
      </c>
      <c r="I3000" s="19" t="str">
        <f>IFERROR(__xludf.DUMMYFUNCTION("IFERROR(TO_DATE(H3000), """")"),"NA")</f>
        <v>NA</v>
      </c>
      <c r="J3000" s="19" t="s">
        <v>11</v>
      </c>
      <c r="K3000" s="22">
        <f t="shared" si="2"/>
        <v>1</v>
      </c>
    </row>
    <row r="3001">
      <c r="A3001" s="18">
        <v>1789.0</v>
      </c>
      <c r="B3001" s="18" t="s">
        <v>32</v>
      </c>
      <c r="C3001" s="18">
        <v>45.0</v>
      </c>
      <c r="D3001" s="18" t="s">
        <v>33</v>
      </c>
      <c r="E3001" s="26">
        <v>42563.381944444445</v>
      </c>
      <c r="F3001" s="19">
        <f>IFERROR(__xludf.DUMMYFUNCTION("IFERROR(TO_DATE(E3001), """")"),42563.381944444445)</f>
        <v>42563.38194</v>
      </c>
      <c r="G3001" s="20">
        <f t="shared" si="1"/>
        <v>9</v>
      </c>
      <c r="H3001" s="18" t="s">
        <v>34</v>
      </c>
      <c r="I3001" s="19" t="str">
        <f>IFERROR(__xludf.DUMMYFUNCTION("IFERROR(TO_DATE(H3001), """")"),"NA")</f>
        <v>NA</v>
      </c>
      <c r="J3001" s="19" t="s">
        <v>14</v>
      </c>
      <c r="K3001" s="22">
        <f t="shared" si="2"/>
        <v>1</v>
      </c>
    </row>
    <row r="3002">
      <c r="A3002" s="18">
        <v>2484.0</v>
      </c>
      <c r="B3002" s="18" t="s">
        <v>30</v>
      </c>
      <c r="C3002" s="18">
        <v>45.0</v>
      </c>
      <c r="D3002" s="18" t="s">
        <v>33</v>
      </c>
      <c r="E3002" s="26">
        <v>42563.861805555556</v>
      </c>
      <c r="F3002" s="19">
        <f>IFERROR(__xludf.DUMMYFUNCTION("IFERROR(TO_DATE(E3002), """")"),42563.861805555556)</f>
        <v>42563.86181</v>
      </c>
      <c r="G3002" s="20">
        <f t="shared" si="1"/>
        <v>20</v>
      </c>
      <c r="H3002" s="18" t="s">
        <v>34</v>
      </c>
      <c r="I3002" s="19" t="str">
        <f>IFERROR(__xludf.DUMMYFUNCTION("IFERROR(TO_DATE(H3002), """")"),"NA")</f>
        <v>NA</v>
      </c>
      <c r="J3002" s="19" t="s">
        <v>13</v>
      </c>
      <c r="K3002" s="22">
        <f t="shared" si="2"/>
        <v>1</v>
      </c>
    </row>
    <row r="3003">
      <c r="A3003" s="18">
        <v>4312.0</v>
      </c>
      <c r="B3003" s="18" t="s">
        <v>32</v>
      </c>
      <c r="C3003" s="18">
        <v>45.0</v>
      </c>
      <c r="D3003" s="18" t="s">
        <v>33</v>
      </c>
      <c r="E3003" s="27">
        <v>42565.28413194444</v>
      </c>
      <c r="F3003" s="19">
        <f>IFERROR(__xludf.DUMMYFUNCTION("IFERROR(TO_DATE(E3003), """")"),42565.28413194444)</f>
        <v>42565.28413</v>
      </c>
      <c r="G3003" s="20">
        <f t="shared" si="1"/>
        <v>6</v>
      </c>
      <c r="H3003" s="18" t="s">
        <v>34</v>
      </c>
      <c r="I3003" s="19" t="str">
        <f>IFERROR(__xludf.DUMMYFUNCTION("IFERROR(TO_DATE(H3003), """")"),"NA")</f>
        <v>NA</v>
      </c>
      <c r="J3003" s="19" t="s">
        <v>11</v>
      </c>
      <c r="K3003" s="22">
        <f t="shared" si="2"/>
        <v>1</v>
      </c>
    </row>
    <row r="3004">
      <c r="A3004" s="18">
        <v>4363.0</v>
      </c>
      <c r="B3004" s="18" t="s">
        <v>32</v>
      </c>
      <c r="C3004" s="18">
        <v>45.0</v>
      </c>
      <c r="D3004" s="18" t="s">
        <v>33</v>
      </c>
      <c r="E3004" s="27">
        <v>42565.31207175926</v>
      </c>
      <c r="F3004" s="19">
        <f>IFERROR(__xludf.DUMMYFUNCTION("IFERROR(TO_DATE(E3004), """")"),42565.31207175926)</f>
        <v>42565.31207</v>
      </c>
      <c r="G3004" s="20">
        <f t="shared" si="1"/>
        <v>7</v>
      </c>
      <c r="H3004" s="18" t="s">
        <v>34</v>
      </c>
      <c r="I3004" s="19" t="str">
        <f>IFERROR(__xludf.DUMMYFUNCTION("IFERROR(TO_DATE(H3004), """")"),"NA")</f>
        <v>NA</v>
      </c>
      <c r="J3004" s="19" t="s">
        <v>11</v>
      </c>
      <c r="K3004" s="22">
        <f t="shared" si="2"/>
        <v>1</v>
      </c>
    </row>
    <row r="3005">
      <c r="A3005" s="18">
        <v>5716.0</v>
      </c>
      <c r="B3005" s="18" t="s">
        <v>32</v>
      </c>
      <c r="C3005" s="18">
        <v>45.0</v>
      </c>
      <c r="D3005" s="18" t="s">
        <v>33</v>
      </c>
      <c r="E3005" s="27">
        <v>42566.31736111111</v>
      </c>
      <c r="F3005" s="19">
        <f>IFERROR(__xludf.DUMMYFUNCTION("IFERROR(TO_DATE(E3005), """")"),42566.31736111111)</f>
        <v>42566.31736</v>
      </c>
      <c r="G3005" s="20">
        <f t="shared" si="1"/>
        <v>7</v>
      </c>
      <c r="H3005" s="18" t="s">
        <v>34</v>
      </c>
      <c r="I3005" s="19" t="str">
        <f>IFERROR(__xludf.DUMMYFUNCTION("IFERROR(TO_DATE(H3005), """")"),"NA")</f>
        <v>NA</v>
      </c>
      <c r="J3005" s="19" t="s">
        <v>11</v>
      </c>
      <c r="K3005" s="22">
        <f t="shared" si="2"/>
        <v>1</v>
      </c>
    </row>
    <row r="3006">
      <c r="A3006" s="18">
        <v>5775.0</v>
      </c>
      <c r="B3006" s="18" t="s">
        <v>32</v>
      </c>
      <c r="C3006" s="18">
        <v>45.0</v>
      </c>
      <c r="D3006" s="18" t="s">
        <v>33</v>
      </c>
      <c r="E3006" s="27">
        <v>42566.350011574075</v>
      </c>
      <c r="F3006" s="19">
        <f>IFERROR(__xludf.DUMMYFUNCTION("IFERROR(TO_DATE(E3006), """")"),42566.350011574075)</f>
        <v>42566.35001</v>
      </c>
      <c r="G3006" s="20">
        <f t="shared" si="1"/>
        <v>8</v>
      </c>
      <c r="H3006" s="18" t="s">
        <v>34</v>
      </c>
      <c r="I3006" s="19" t="str">
        <f>IFERROR(__xludf.DUMMYFUNCTION("IFERROR(TO_DATE(H3006), """")"),"NA")</f>
        <v>NA</v>
      </c>
      <c r="J3006" s="19" t="s">
        <v>14</v>
      </c>
      <c r="K3006" s="22">
        <f t="shared" si="2"/>
        <v>1</v>
      </c>
    </row>
    <row r="3007">
      <c r="A3007" s="18">
        <v>424.0</v>
      </c>
      <c r="B3007" s="18" t="s">
        <v>32</v>
      </c>
      <c r="C3007" s="18">
        <v>46.0</v>
      </c>
      <c r="D3007" s="18" t="s">
        <v>33</v>
      </c>
      <c r="E3007" s="26">
        <v>42562.36597222222</v>
      </c>
      <c r="F3007" s="19">
        <f>IFERROR(__xludf.DUMMYFUNCTION("IFERROR(TO_DATE(E3007), """")"),42562.36597222222)</f>
        <v>42562.36597</v>
      </c>
      <c r="G3007" s="20">
        <f t="shared" si="1"/>
        <v>8</v>
      </c>
      <c r="H3007" s="18" t="s">
        <v>34</v>
      </c>
      <c r="I3007" s="19" t="str">
        <f>IFERROR(__xludf.DUMMYFUNCTION("IFERROR(TO_DATE(H3007), """")"),"NA")</f>
        <v>NA</v>
      </c>
      <c r="J3007" s="19" t="s">
        <v>14</v>
      </c>
      <c r="K3007" s="22">
        <f t="shared" si="2"/>
        <v>1</v>
      </c>
    </row>
    <row r="3008">
      <c r="A3008" s="18">
        <v>377.0</v>
      </c>
      <c r="B3008" s="18" t="s">
        <v>32</v>
      </c>
      <c r="C3008" s="18">
        <v>47.0</v>
      </c>
      <c r="D3008" s="18" t="s">
        <v>33</v>
      </c>
      <c r="E3008" s="26">
        <v>42562.34097222222</v>
      </c>
      <c r="F3008" s="19">
        <f>IFERROR(__xludf.DUMMYFUNCTION("IFERROR(TO_DATE(E3008), """")"),42562.34097222222)</f>
        <v>42562.34097</v>
      </c>
      <c r="G3008" s="20">
        <f t="shared" si="1"/>
        <v>8</v>
      </c>
      <c r="H3008" s="18" t="s">
        <v>34</v>
      </c>
      <c r="I3008" s="19" t="str">
        <f>IFERROR(__xludf.DUMMYFUNCTION("IFERROR(TO_DATE(H3008), """")"),"NA")</f>
        <v>NA</v>
      </c>
      <c r="J3008" s="19" t="s">
        <v>14</v>
      </c>
      <c r="K3008" s="22">
        <f t="shared" si="2"/>
        <v>1</v>
      </c>
    </row>
    <row r="3009">
      <c r="A3009" s="18">
        <v>454.0</v>
      </c>
      <c r="B3009" s="18" t="s">
        <v>32</v>
      </c>
      <c r="C3009" s="18">
        <v>47.0</v>
      </c>
      <c r="D3009" s="18" t="s">
        <v>33</v>
      </c>
      <c r="E3009" s="26">
        <v>42562.381944444445</v>
      </c>
      <c r="F3009" s="19">
        <f>IFERROR(__xludf.DUMMYFUNCTION("IFERROR(TO_DATE(E3009), """")"),42562.381944444445)</f>
        <v>42562.38194</v>
      </c>
      <c r="G3009" s="20">
        <f t="shared" si="1"/>
        <v>9</v>
      </c>
      <c r="H3009" s="18" t="s">
        <v>34</v>
      </c>
      <c r="I3009" s="19" t="str">
        <f>IFERROR(__xludf.DUMMYFUNCTION("IFERROR(TO_DATE(H3009), """")"),"NA")</f>
        <v>NA</v>
      </c>
      <c r="J3009" s="19" t="s">
        <v>14</v>
      </c>
      <c r="K3009" s="22">
        <f t="shared" si="2"/>
        <v>1</v>
      </c>
    </row>
    <row r="3010">
      <c r="A3010" s="18">
        <v>1603.0</v>
      </c>
      <c r="B3010" s="18" t="s">
        <v>32</v>
      </c>
      <c r="C3010" s="18">
        <v>47.0</v>
      </c>
      <c r="D3010" s="18" t="s">
        <v>33</v>
      </c>
      <c r="E3010" s="26">
        <v>42563.27847222222</v>
      </c>
      <c r="F3010" s="19">
        <f>IFERROR(__xludf.DUMMYFUNCTION("IFERROR(TO_DATE(E3010), """")"),42563.27847222222)</f>
        <v>42563.27847</v>
      </c>
      <c r="G3010" s="20">
        <f t="shared" si="1"/>
        <v>6</v>
      </c>
      <c r="H3010" s="18" t="s">
        <v>34</v>
      </c>
      <c r="I3010" s="19" t="str">
        <f>IFERROR(__xludf.DUMMYFUNCTION("IFERROR(TO_DATE(H3010), """")"),"NA")</f>
        <v>NA</v>
      </c>
      <c r="J3010" s="19" t="s">
        <v>11</v>
      </c>
      <c r="K3010" s="22">
        <f t="shared" si="2"/>
        <v>1</v>
      </c>
    </row>
    <row r="3011">
      <c r="A3011" s="18">
        <v>5300.0</v>
      </c>
      <c r="B3011" s="18" t="s">
        <v>30</v>
      </c>
      <c r="C3011" s="18">
        <v>47.0</v>
      </c>
      <c r="D3011" s="18" t="s">
        <v>33</v>
      </c>
      <c r="E3011" s="27">
        <v>42565.91137731481</v>
      </c>
      <c r="F3011" s="19">
        <f>IFERROR(__xludf.DUMMYFUNCTION("IFERROR(TO_DATE(E3011), """")"),42565.91137731481)</f>
        <v>42565.91138</v>
      </c>
      <c r="G3011" s="20">
        <f t="shared" si="1"/>
        <v>21</v>
      </c>
      <c r="H3011" s="18" t="s">
        <v>34</v>
      </c>
      <c r="I3011" s="19" t="str">
        <f>IFERROR(__xludf.DUMMYFUNCTION("IFERROR(TO_DATE(H3011), """")"),"NA")</f>
        <v>NA</v>
      </c>
      <c r="J3011" s="19" t="s">
        <v>13</v>
      </c>
      <c r="K3011" s="22">
        <f t="shared" si="2"/>
        <v>1</v>
      </c>
    </row>
    <row r="3012">
      <c r="A3012" s="18">
        <v>6560.0</v>
      </c>
      <c r="B3012" s="18" t="s">
        <v>32</v>
      </c>
      <c r="C3012" s="18">
        <v>47.0</v>
      </c>
      <c r="D3012" s="18" t="s">
        <v>33</v>
      </c>
      <c r="E3012" s="27">
        <v>42566.87850694444</v>
      </c>
      <c r="F3012" s="19">
        <f>IFERROR(__xludf.DUMMYFUNCTION("IFERROR(TO_DATE(E3012), """")"),42566.87850694444)</f>
        <v>42566.87851</v>
      </c>
      <c r="G3012" s="20">
        <f t="shared" si="1"/>
        <v>21</v>
      </c>
      <c r="H3012" s="18" t="s">
        <v>34</v>
      </c>
      <c r="I3012" s="19" t="str">
        <f>IFERROR(__xludf.DUMMYFUNCTION("IFERROR(TO_DATE(H3012), """")"),"NA")</f>
        <v>NA</v>
      </c>
      <c r="J3012" s="19" t="s">
        <v>13</v>
      </c>
      <c r="K3012" s="22">
        <f t="shared" si="2"/>
        <v>1</v>
      </c>
    </row>
    <row r="3013">
      <c r="A3013" s="18">
        <v>2526.0</v>
      </c>
      <c r="B3013" s="18" t="s">
        <v>30</v>
      </c>
      <c r="C3013" s="18">
        <v>48.0</v>
      </c>
      <c r="D3013" s="18" t="s">
        <v>33</v>
      </c>
      <c r="E3013" s="26">
        <v>42563.879166666666</v>
      </c>
      <c r="F3013" s="19">
        <f>IFERROR(__xludf.DUMMYFUNCTION("IFERROR(TO_DATE(E3013), """")"),42563.879166666666)</f>
        <v>42563.87917</v>
      </c>
      <c r="G3013" s="20">
        <f t="shared" si="1"/>
        <v>21</v>
      </c>
      <c r="H3013" s="18" t="s">
        <v>34</v>
      </c>
      <c r="I3013" s="19" t="str">
        <f>IFERROR(__xludf.DUMMYFUNCTION("IFERROR(TO_DATE(H3013), """")"),"NA")</f>
        <v>NA</v>
      </c>
      <c r="J3013" s="19" t="s">
        <v>13</v>
      </c>
      <c r="K3013" s="22">
        <f t="shared" si="2"/>
        <v>1</v>
      </c>
    </row>
    <row r="3014">
      <c r="A3014" s="18">
        <v>2926.0</v>
      </c>
      <c r="B3014" s="18" t="s">
        <v>32</v>
      </c>
      <c r="C3014" s="18">
        <v>48.0</v>
      </c>
      <c r="D3014" s="18" t="s">
        <v>33</v>
      </c>
      <c r="E3014" s="27">
        <v>42564.26918981481</v>
      </c>
      <c r="F3014" s="19">
        <f>IFERROR(__xludf.DUMMYFUNCTION("IFERROR(TO_DATE(E3014), """")"),42564.26918981481)</f>
        <v>42564.26919</v>
      </c>
      <c r="G3014" s="20">
        <f t="shared" si="1"/>
        <v>6</v>
      </c>
      <c r="H3014" s="18" t="s">
        <v>34</v>
      </c>
      <c r="I3014" s="19" t="str">
        <f>IFERROR(__xludf.DUMMYFUNCTION("IFERROR(TO_DATE(H3014), """")"),"NA")</f>
        <v>NA</v>
      </c>
      <c r="J3014" s="19" t="s">
        <v>11</v>
      </c>
      <c r="K3014" s="22">
        <f t="shared" si="2"/>
        <v>1</v>
      </c>
    </row>
    <row r="3015">
      <c r="A3015" s="18">
        <v>141.0</v>
      </c>
      <c r="B3015" s="18" t="s">
        <v>32</v>
      </c>
      <c r="C3015" s="18">
        <v>49.0</v>
      </c>
      <c r="D3015" s="18" t="s">
        <v>33</v>
      </c>
      <c r="E3015" s="26">
        <v>42562.22222222222</v>
      </c>
      <c r="F3015" s="19">
        <f>IFERROR(__xludf.DUMMYFUNCTION("IFERROR(TO_DATE(E3015), """")"),42562.22222222222)</f>
        <v>42562.22222</v>
      </c>
      <c r="G3015" s="20">
        <f t="shared" si="1"/>
        <v>5</v>
      </c>
      <c r="H3015" s="18" t="s">
        <v>34</v>
      </c>
      <c r="I3015" s="19" t="str">
        <f>IFERROR(__xludf.DUMMYFUNCTION("IFERROR(TO_DATE(H3015), """")"),"NA")</f>
        <v>NA</v>
      </c>
      <c r="J3015" s="19" t="s">
        <v>11</v>
      </c>
      <c r="K3015" s="22">
        <f t="shared" si="2"/>
        <v>1</v>
      </c>
    </row>
    <row r="3016">
      <c r="A3016" s="18">
        <v>491.0</v>
      </c>
      <c r="B3016" s="18" t="s">
        <v>32</v>
      </c>
      <c r="C3016" s="18">
        <v>49.0</v>
      </c>
      <c r="D3016" s="18" t="s">
        <v>33</v>
      </c>
      <c r="E3016" s="26">
        <v>42562.39513888889</v>
      </c>
      <c r="F3016" s="19">
        <f>IFERROR(__xludf.DUMMYFUNCTION("IFERROR(TO_DATE(E3016), """")"),42562.39513888889)</f>
        <v>42562.39514</v>
      </c>
      <c r="G3016" s="20">
        <f t="shared" si="1"/>
        <v>9</v>
      </c>
      <c r="H3016" s="18" t="s">
        <v>34</v>
      </c>
      <c r="I3016" s="19" t="str">
        <f>IFERROR(__xludf.DUMMYFUNCTION("IFERROR(TO_DATE(H3016), """")"),"NA")</f>
        <v>NA</v>
      </c>
      <c r="J3016" s="19" t="s">
        <v>14</v>
      </c>
      <c r="K3016" s="22">
        <f t="shared" si="2"/>
        <v>1</v>
      </c>
    </row>
    <row r="3017">
      <c r="A3017" s="18">
        <v>1875.0</v>
      </c>
      <c r="B3017" s="18" t="s">
        <v>32</v>
      </c>
      <c r="C3017" s="18">
        <v>49.0</v>
      </c>
      <c r="D3017" s="18" t="s">
        <v>33</v>
      </c>
      <c r="E3017" s="26">
        <v>42563.41805555556</v>
      </c>
      <c r="F3017" s="19">
        <f>IFERROR(__xludf.DUMMYFUNCTION("IFERROR(TO_DATE(E3017), """")"),42563.41805555556)</f>
        <v>42563.41806</v>
      </c>
      <c r="G3017" s="20">
        <f t="shared" si="1"/>
        <v>10</v>
      </c>
      <c r="H3017" s="18" t="s">
        <v>34</v>
      </c>
      <c r="I3017" s="19" t="str">
        <f>IFERROR(__xludf.DUMMYFUNCTION("IFERROR(TO_DATE(H3017), """")"),"NA")</f>
        <v>NA</v>
      </c>
      <c r="J3017" s="19" t="s">
        <v>14</v>
      </c>
      <c r="K3017" s="22">
        <f t="shared" si="2"/>
        <v>1</v>
      </c>
    </row>
    <row r="3018">
      <c r="A3018" s="18">
        <v>4906.0</v>
      </c>
      <c r="B3018" s="18" t="s">
        <v>32</v>
      </c>
      <c r="C3018" s="18">
        <v>49.0</v>
      </c>
      <c r="D3018" s="18" t="s">
        <v>33</v>
      </c>
      <c r="E3018" s="27">
        <v>42565.75236111111</v>
      </c>
      <c r="F3018" s="19">
        <f>IFERROR(__xludf.DUMMYFUNCTION("IFERROR(TO_DATE(E3018), """")"),42565.75236111111)</f>
        <v>42565.75236</v>
      </c>
      <c r="G3018" s="20">
        <f t="shared" si="1"/>
        <v>18</v>
      </c>
      <c r="H3018" s="18" t="s">
        <v>34</v>
      </c>
      <c r="I3018" s="19" t="str">
        <f>IFERROR(__xludf.DUMMYFUNCTION("IFERROR(TO_DATE(H3018), """")"),"NA")</f>
        <v>NA</v>
      </c>
      <c r="J3018" s="19" t="s">
        <v>12</v>
      </c>
      <c r="K3018" s="22">
        <f t="shared" si="2"/>
        <v>1</v>
      </c>
    </row>
    <row r="3019">
      <c r="A3019" s="18">
        <v>209.0</v>
      </c>
      <c r="B3019" s="18" t="s">
        <v>32</v>
      </c>
      <c r="C3019" s="18">
        <v>50.0</v>
      </c>
      <c r="D3019" s="18" t="s">
        <v>33</v>
      </c>
      <c r="E3019" s="26">
        <v>42562.25763888889</v>
      </c>
      <c r="F3019" s="19">
        <f>IFERROR(__xludf.DUMMYFUNCTION("IFERROR(TO_DATE(E3019), """")"),42562.25763888889)</f>
        <v>42562.25764</v>
      </c>
      <c r="G3019" s="20">
        <f t="shared" si="1"/>
        <v>6</v>
      </c>
      <c r="H3019" s="18" t="s">
        <v>34</v>
      </c>
      <c r="I3019" s="19" t="str">
        <f>IFERROR(__xludf.DUMMYFUNCTION("IFERROR(TO_DATE(H3019), """")"),"NA")</f>
        <v>NA</v>
      </c>
      <c r="J3019" s="19" t="s">
        <v>11</v>
      </c>
      <c r="K3019" s="22">
        <f t="shared" si="2"/>
        <v>1</v>
      </c>
    </row>
    <row r="3020">
      <c r="A3020" s="18">
        <v>278.0</v>
      </c>
      <c r="B3020" s="18" t="s">
        <v>32</v>
      </c>
      <c r="C3020" s="18">
        <v>50.0</v>
      </c>
      <c r="D3020" s="18" t="s">
        <v>33</v>
      </c>
      <c r="E3020" s="26">
        <v>42562.288194444445</v>
      </c>
      <c r="F3020" s="19">
        <f>IFERROR(__xludf.DUMMYFUNCTION("IFERROR(TO_DATE(E3020), """")"),42562.288194444445)</f>
        <v>42562.28819</v>
      </c>
      <c r="G3020" s="20">
        <f t="shared" si="1"/>
        <v>6</v>
      </c>
      <c r="H3020" s="18" t="s">
        <v>34</v>
      </c>
      <c r="I3020" s="19" t="str">
        <f>IFERROR(__xludf.DUMMYFUNCTION("IFERROR(TO_DATE(H3020), """")"),"NA")</f>
        <v>NA</v>
      </c>
      <c r="J3020" s="19" t="s">
        <v>11</v>
      </c>
      <c r="K3020" s="22">
        <f t="shared" si="2"/>
        <v>1</v>
      </c>
    </row>
    <row r="3021">
      <c r="A3021" s="18">
        <v>1381.0</v>
      </c>
      <c r="B3021" s="18" t="s">
        <v>32</v>
      </c>
      <c r="C3021" s="18">
        <v>50.0</v>
      </c>
      <c r="D3021" s="18" t="s">
        <v>33</v>
      </c>
      <c r="E3021" s="26">
        <v>42563.04652777778</v>
      </c>
      <c r="F3021" s="19">
        <f>IFERROR(__xludf.DUMMYFUNCTION("IFERROR(TO_DATE(E3021), """")"),42563.04652777778)</f>
        <v>42563.04653</v>
      </c>
      <c r="G3021" s="20">
        <f t="shared" si="1"/>
        <v>1</v>
      </c>
      <c r="H3021" s="18" t="s">
        <v>34</v>
      </c>
      <c r="I3021" s="19" t="str">
        <f>IFERROR(__xludf.DUMMYFUNCTION("IFERROR(TO_DATE(H3021), """")"),"NA")</f>
        <v>NA</v>
      </c>
      <c r="J3021" s="19" t="s">
        <v>15</v>
      </c>
      <c r="K3021" s="22">
        <f t="shared" si="2"/>
        <v>1</v>
      </c>
    </row>
    <row r="3022">
      <c r="A3022" s="18">
        <v>5473.0</v>
      </c>
      <c r="B3022" s="18" t="s">
        <v>32</v>
      </c>
      <c r="C3022" s="18">
        <v>50.0</v>
      </c>
      <c r="D3022" s="18" t="s">
        <v>33</v>
      </c>
      <c r="E3022" s="27">
        <v>42566.197222222225</v>
      </c>
      <c r="F3022" s="19">
        <f>IFERROR(__xludf.DUMMYFUNCTION("IFERROR(TO_DATE(E3022), """")"),42566.197222222225)</f>
        <v>42566.19722</v>
      </c>
      <c r="G3022" s="20">
        <f t="shared" si="1"/>
        <v>4</v>
      </c>
      <c r="H3022" s="18" t="s">
        <v>34</v>
      </c>
      <c r="I3022" s="19" t="str">
        <f>IFERROR(__xludf.DUMMYFUNCTION("IFERROR(TO_DATE(H3022), """")"),"NA")</f>
        <v>NA</v>
      </c>
      <c r="J3022" s="19" t="s">
        <v>11</v>
      </c>
      <c r="K3022" s="22">
        <f t="shared" si="2"/>
        <v>1</v>
      </c>
    </row>
    <row r="3023">
      <c r="A3023" s="18">
        <v>5479.0</v>
      </c>
      <c r="B3023" s="18" t="s">
        <v>32</v>
      </c>
      <c r="C3023" s="18">
        <v>50.0</v>
      </c>
      <c r="D3023" s="18" t="s">
        <v>33</v>
      </c>
      <c r="E3023" s="27">
        <v>42566.201875</v>
      </c>
      <c r="F3023" s="19">
        <f>IFERROR(__xludf.DUMMYFUNCTION("IFERROR(TO_DATE(E3023), """")"),42566.201875)</f>
        <v>42566.20188</v>
      </c>
      <c r="G3023" s="20">
        <f t="shared" si="1"/>
        <v>4</v>
      </c>
      <c r="H3023" s="18" t="s">
        <v>34</v>
      </c>
      <c r="I3023" s="19" t="str">
        <f>IFERROR(__xludf.DUMMYFUNCTION("IFERROR(TO_DATE(H3023), """")"),"NA")</f>
        <v>NA</v>
      </c>
      <c r="J3023" s="19" t="s">
        <v>11</v>
      </c>
      <c r="K3023" s="22">
        <f t="shared" si="2"/>
        <v>1</v>
      </c>
    </row>
    <row r="3024">
      <c r="A3024" s="18">
        <v>6228.0</v>
      </c>
      <c r="B3024" s="18" t="s">
        <v>32</v>
      </c>
      <c r="C3024" s="18">
        <v>50.0</v>
      </c>
      <c r="D3024" s="18" t="s">
        <v>33</v>
      </c>
      <c r="E3024" s="27">
        <v>42566.73851851852</v>
      </c>
      <c r="F3024" s="19">
        <f>IFERROR(__xludf.DUMMYFUNCTION("IFERROR(TO_DATE(E3024), """")"),42566.73851851852)</f>
        <v>42566.73852</v>
      </c>
      <c r="G3024" s="20">
        <f t="shared" si="1"/>
        <v>17</v>
      </c>
      <c r="H3024" s="18" t="s">
        <v>34</v>
      </c>
      <c r="I3024" s="19" t="str">
        <f>IFERROR(__xludf.DUMMYFUNCTION("IFERROR(TO_DATE(H3024), """")"),"NA")</f>
        <v>NA</v>
      </c>
      <c r="J3024" s="19" t="s">
        <v>12</v>
      </c>
      <c r="K3024" s="22">
        <f t="shared" si="2"/>
        <v>1</v>
      </c>
    </row>
    <row r="3025">
      <c r="A3025" s="18">
        <v>2940.0</v>
      </c>
      <c r="B3025" s="18" t="s">
        <v>32</v>
      </c>
      <c r="C3025" s="18">
        <v>51.0</v>
      </c>
      <c r="D3025" s="18" t="s">
        <v>33</v>
      </c>
      <c r="E3025" s="27">
        <v>42564.27454861111</v>
      </c>
      <c r="F3025" s="19">
        <f>IFERROR(__xludf.DUMMYFUNCTION("IFERROR(TO_DATE(E3025), """")"),42564.27454861111)</f>
        <v>42564.27455</v>
      </c>
      <c r="G3025" s="20">
        <f t="shared" si="1"/>
        <v>6</v>
      </c>
      <c r="H3025" s="18" t="s">
        <v>34</v>
      </c>
      <c r="I3025" s="19" t="str">
        <f>IFERROR(__xludf.DUMMYFUNCTION("IFERROR(TO_DATE(H3025), """")"),"NA")</f>
        <v>NA</v>
      </c>
      <c r="J3025" s="19" t="s">
        <v>11</v>
      </c>
      <c r="K3025" s="22">
        <f t="shared" si="2"/>
        <v>1</v>
      </c>
    </row>
    <row r="3026">
      <c r="A3026" s="18">
        <v>5780.0</v>
      </c>
      <c r="B3026" s="18" t="s">
        <v>32</v>
      </c>
      <c r="C3026" s="18">
        <v>51.0</v>
      </c>
      <c r="D3026" s="18" t="s">
        <v>33</v>
      </c>
      <c r="E3026" s="27">
        <v>42566.35351851852</v>
      </c>
      <c r="F3026" s="19">
        <f>IFERROR(__xludf.DUMMYFUNCTION("IFERROR(TO_DATE(E3026), """")"),42566.35351851852)</f>
        <v>42566.35352</v>
      </c>
      <c r="G3026" s="20">
        <f t="shared" si="1"/>
        <v>8</v>
      </c>
      <c r="H3026" s="18" t="s">
        <v>34</v>
      </c>
      <c r="I3026" s="19" t="str">
        <f>IFERROR(__xludf.DUMMYFUNCTION("IFERROR(TO_DATE(H3026), """")"),"NA")</f>
        <v>NA</v>
      </c>
      <c r="J3026" s="19" t="s">
        <v>14</v>
      </c>
      <c r="K3026" s="22">
        <f t="shared" si="2"/>
        <v>1</v>
      </c>
    </row>
    <row r="3027">
      <c r="A3027" s="18">
        <v>1781.0</v>
      </c>
      <c r="B3027" s="18" t="s">
        <v>32</v>
      </c>
      <c r="C3027" s="18">
        <v>52.0</v>
      </c>
      <c r="D3027" s="18" t="s">
        <v>33</v>
      </c>
      <c r="E3027" s="26">
        <v>42563.37569444445</v>
      </c>
      <c r="F3027" s="19">
        <f>IFERROR(__xludf.DUMMYFUNCTION("IFERROR(TO_DATE(E3027), """")"),42563.37569444445)</f>
        <v>42563.37569</v>
      </c>
      <c r="G3027" s="20">
        <f t="shared" si="1"/>
        <v>9</v>
      </c>
      <c r="H3027" s="18" t="s">
        <v>34</v>
      </c>
      <c r="I3027" s="19" t="str">
        <f>IFERROR(__xludf.DUMMYFUNCTION("IFERROR(TO_DATE(H3027), """")"),"NA")</f>
        <v>NA</v>
      </c>
      <c r="J3027" s="19" t="s">
        <v>14</v>
      </c>
      <c r="K3027" s="22">
        <f t="shared" si="2"/>
        <v>1</v>
      </c>
    </row>
    <row r="3028">
      <c r="A3028" s="18">
        <v>1787.0</v>
      </c>
      <c r="B3028" s="18" t="s">
        <v>32</v>
      </c>
      <c r="C3028" s="18">
        <v>52.0</v>
      </c>
      <c r="D3028" s="18" t="s">
        <v>33</v>
      </c>
      <c r="E3028" s="26">
        <v>42563.38055555556</v>
      </c>
      <c r="F3028" s="19">
        <f>IFERROR(__xludf.DUMMYFUNCTION("IFERROR(TO_DATE(E3028), """")"),42563.38055555556)</f>
        <v>42563.38056</v>
      </c>
      <c r="G3028" s="20">
        <f t="shared" si="1"/>
        <v>9</v>
      </c>
      <c r="H3028" s="18" t="s">
        <v>34</v>
      </c>
      <c r="I3028" s="19" t="str">
        <f>IFERROR(__xludf.DUMMYFUNCTION("IFERROR(TO_DATE(H3028), """")"),"NA")</f>
        <v>NA</v>
      </c>
      <c r="J3028" s="19" t="s">
        <v>14</v>
      </c>
      <c r="K3028" s="22">
        <f t="shared" si="2"/>
        <v>1</v>
      </c>
    </row>
    <row r="3029">
      <c r="A3029" s="18">
        <v>2423.0</v>
      </c>
      <c r="B3029" s="18" t="s">
        <v>30</v>
      </c>
      <c r="C3029" s="18">
        <v>52.0</v>
      </c>
      <c r="D3029" s="18" t="s">
        <v>33</v>
      </c>
      <c r="E3029" s="26">
        <v>42563.836805555555</v>
      </c>
      <c r="F3029" s="19">
        <f>IFERROR(__xludf.DUMMYFUNCTION("IFERROR(TO_DATE(E3029), """")"),42563.836805555555)</f>
        <v>42563.83681</v>
      </c>
      <c r="G3029" s="20">
        <f t="shared" si="1"/>
        <v>20</v>
      </c>
      <c r="H3029" s="18" t="s">
        <v>34</v>
      </c>
      <c r="I3029" s="19" t="str">
        <f>IFERROR(__xludf.DUMMYFUNCTION("IFERROR(TO_DATE(H3029), """")"),"NA")</f>
        <v>NA</v>
      </c>
      <c r="J3029" s="19" t="s">
        <v>13</v>
      </c>
      <c r="K3029" s="22">
        <f t="shared" si="2"/>
        <v>1</v>
      </c>
    </row>
    <row r="3030">
      <c r="A3030" s="18">
        <v>4148.0</v>
      </c>
      <c r="B3030" s="18" t="s">
        <v>32</v>
      </c>
      <c r="C3030" s="18">
        <v>52.0</v>
      </c>
      <c r="D3030" s="18" t="s">
        <v>33</v>
      </c>
      <c r="E3030" s="27">
        <v>42565.20650462963</v>
      </c>
      <c r="F3030" s="19">
        <f>IFERROR(__xludf.DUMMYFUNCTION("IFERROR(TO_DATE(E3030), """")"),42565.20650462963)</f>
        <v>42565.2065</v>
      </c>
      <c r="G3030" s="20">
        <f t="shared" si="1"/>
        <v>4</v>
      </c>
      <c r="H3030" s="18" t="s">
        <v>34</v>
      </c>
      <c r="I3030" s="19" t="str">
        <f>IFERROR(__xludf.DUMMYFUNCTION("IFERROR(TO_DATE(H3030), """")"),"NA")</f>
        <v>NA</v>
      </c>
      <c r="J3030" s="19" t="s">
        <v>11</v>
      </c>
      <c r="K3030" s="22">
        <f t="shared" si="2"/>
        <v>1</v>
      </c>
    </row>
    <row r="3031">
      <c r="A3031" s="18">
        <v>411.0</v>
      </c>
      <c r="B3031" s="18" t="s">
        <v>32</v>
      </c>
      <c r="C3031" s="18">
        <v>53.0</v>
      </c>
      <c r="D3031" s="18" t="s">
        <v>33</v>
      </c>
      <c r="E3031" s="26">
        <v>42562.35902777778</v>
      </c>
      <c r="F3031" s="19">
        <f>IFERROR(__xludf.DUMMYFUNCTION("IFERROR(TO_DATE(E3031), """")"),42562.35902777778)</f>
        <v>42562.35903</v>
      </c>
      <c r="G3031" s="20">
        <f t="shared" si="1"/>
        <v>8</v>
      </c>
      <c r="H3031" s="18" t="s">
        <v>34</v>
      </c>
      <c r="I3031" s="19" t="str">
        <f>IFERROR(__xludf.DUMMYFUNCTION("IFERROR(TO_DATE(H3031), """")"),"NA")</f>
        <v>NA</v>
      </c>
      <c r="J3031" s="19" t="s">
        <v>14</v>
      </c>
      <c r="K3031" s="22">
        <f t="shared" si="2"/>
        <v>1</v>
      </c>
    </row>
    <row r="3032">
      <c r="A3032" s="18">
        <v>3727.0</v>
      </c>
      <c r="B3032" s="18" t="s">
        <v>30</v>
      </c>
      <c r="C3032" s="18">
        <v>53.0</v>
      </c>
      <c r="D3032" s="18" t="s">
        <v>33</v>
      </c>
      <c r="E3032" s="27">
        <v>42564.837060185186</v>
      </c>
      <c r="F3032" s="19">
        <f>IFERROR(__xludf.DUMMYFUNCTION("IFERROR(TO_DATE(E3032), """")"),42564.837060185186)</f>
        <v>42564.83706</v>
      </c>
      <c r="G3032" s="20">
        <f t="shared" si="1"/>
        <v>20</v>
      </c>
      <c r="H3032" s="18" t="s">
        <v>34</v>
      </c>
      <c r="I3032" s="19" t="str">
        <f>IFERROR(__xludf.DUMMYFUNCTION("IFERROR(TO_DATE(H3032), """")"),"NA")</f>
        <v>NA</v>
      </c>
      <c r="J3032" s="19" t="s">
        <v>13</v>
      </c>
      <c r="K3032" s="22">
        <f t="shared" si="2"/>
        <v>1</v>
      </c>
    </row>
    <row r="3033">
      <c r="A3033" s="18">
        <v>4847.0</v>
      </c>
      <c r="B3033" s="18" t="s">
        <v>32</v>
      </c>
      <c r="C3033" s="18">
        <v>53.0</v>
      </c>
      <c r="D3033" s="18" t="s">
        <v>33</v>
      </c>
      <c r="E3033" s="27">
        <v>42565.73458333333</v>
      </c>
      <c r="F3033" s="19">
        <f>IFERROR(__xludf.DUMMYFUNCTION("IFERROR(TO_DATE(E3033), """")"),42565.73458333333)</f>
        <v>42565.73458</v>
      </c>
      <c r="G3033" s="20">
        <f t="shared" si="1"/>
        <v>17</v>
      </c>
      <c r="H3033" s="18" t="s">
        <v>34</v>
      </c>
      <c r="I3033" s="19" t="str">
        <f>IFERROR(__xludf.DUMMYFUNCTION("IFERROR(TO_DATE(H3033), """")"),"NA")</f>
        <v>NA</v>
      </c>
      <c r="J3033" s="19" t="s">
        <v>12</v>
      </c>
      <c r="K3033" s="22">
        <f t="shared" si="2"/>
        <v>1</v>
      </c>
    </row>
    <row r="3034">
      <c r="A3034" s="18">
        <v>216.0</v>
      </c>
      <c r="B3034" s="18" t="s">
        <v>32</v>
      </c>
      <c r="C3034" s="18">
        <v>54.0</v>
      </c>
      <c r="D3034" s="18" t="s">
        <v>33</v>
      </c>
      <c r="E3034" s="26">
        <v>42562.25902777778</v>
      </c>
      <c r="F3034" s="19">
        <f>IFERROR(__xludf.DUMMYFUNCTION("IFERROR(TO_DATE(E3034), """")"),42562.25902777778)</f>
        <v>42562.25903</v>
      </c>
      <c r="G3034" s="20">
        <f t="shared" si="1"/>
        <v>6</v>
      </c>
      <c r="H3034" s="18" t="s">
        <v>34</v>
      </c>
      <c r="I3034" s="19" t="str">
        <f>IFERROR(__xludf.DUMMYFUNCTION("IFERROR(TO_DATE(H3034), """")"),"NA")</f>
        <v>NA</v>
      </c>
      <c r="J3034" s="19" t="s">
        <v>11</v>
      </c>
      <c r="K3034" s="22">
        <f t="shared" si="2"/>
        <v>1</v>
      </c>
    </row>
    <row r="3035">
      <c r="A3035" s="18">
        <v>1898.0</v>
      </c>
      <c r="B3035" s="18" t="s">
        <v>32</v>
      </c>
      <c r="C3035" s="18">
        <v>54.0</v>
      </c>
      <c r="D3035" s="18" t="s">
        <v>33</v>
      </c>
      <c r="E3035" s="26">
        <v>42563.43541666667</v>
      </c>
      <c r="F3035" s="19">
        <f>IFERROR(__xludf.DUMMYFUNCTION("IFERROR(TO_DATE(E3035), """")"),42563.43541666667)</f>
        <v>42563.43542</v>
      </c>
      <c r="G3035" s="20">
        <f t="shared" si="1"/>
        <v>10</v>
      </c>
      <c r="H3035" s="18" t="s">
        <v>34</v>
      </c>
      <c r="I3035" s="19" t="str">
        <f>IFERROR(__xludf.DUMMYFUNCTION("IFERROR(TO_DATE(H3035), """")"),"NA")</f>
        <v>NA</v>
      </c>
      <c r="J3035" s="19" t="s">
        <v>14</v>
      </c>
      <c r="K3035" s="22">
        <f t="shared" si="2"/>
        <v>1</v>
      </c>
    </row>
    <row r="3036">
      <c r="A3036" s="18">
        <v>2077.0</v>
      </c>
      <c r="B3036" s="18" t="s">
        <v>32</v>
      </c>
      <c r="C3036" s="18">
        <v>54.0</v>
      </c>
      <c r="D3036" s="18" t="s">
        <v>33</v>
      </c>
      <c r="E3036" s="26">
        <v>42563.65277777778</v>
      </c>
      <c r="F3036" s="19">
        <f>IFERROR(__xludf.DUMMYFUNCTION("IFERROR(TO_DATE(E3036), """")"),42563.65277777778)</f>
        <v>42563.65278</v>
      </c>
      <c r="G3036" s="20">
        <f t="shared" si="1"/>
        <v>15</v>
      </c>
      <c r="H3036" s="18" t="s">
        <v>34</v>
      </c>
      <c r="I3036" s="19" t="str">
        <f>IFERROR(__xludf.DUMMYFUNCTION("IFERROR(TO_DATE(H3036), """")"),"NA")</f>
        <v>NA</v>
      </c>
      <c r="J3036" s="19" t="s">
        <v>10</v>
      </c>
      <c r="K3036" s="22">
        <f t="shared" si="2"/>
        <v>1</v>
      </c>
    </row>
    <row r="3037">
      <c r="A3037" s="18">
        <v>2486.0</v>
      </c>
      <c r="B3037" s="18" t="s">
        <v>30</v>
      </c>
      <c r="C3037" s="18">
        <v>54.0</v>
      </c>
      <c r="D3037" s="18" t="s">
        <v>33</v>
      </c>
      <c r="E3037" s="26">
        <v>42563.868055555555</v>
      </c>
      <c r="F3037" s="19">
        <f>IFERROR(__xludf.DUMMYFUNCTION("IFERROR(TO_DATE(E3037), """")"),42563.868055555555)</f>
        <v>42563.86806</v>
      </c>
      <c r="G3037" s="20">
        <f t="shared" si="1"/>
        <v>20</v>
      </c>
      <c r="H3037" s="18" t="s">
        <v>34</v>
      </c>
      <c r="I3037" s="19" t="str">
        <f>IFERROR(__xludf.DUMMYFUNCTION("IFERROR(TO_DATE(H3037), """")"),"NA")</f>
        <v>NA</v>
      </c>
      <c r="J3037" s="19" t="s">
        <v>13</v>
      </c>
      <c r="K3037" s="22">
        <f t="shared" si="2"/>
        <v>1</v>
      </c>
    </row>
    <row r="3038">
      <c r="A3038" s="18">
        <v>2809.0</v>
      </c>
      <c r="B3038" s="18" t="s">
        <v>32</v>
      </c>
      <c r="C3038" s="18">
        <v>54.0</v>
      </c>
      <c r="D3038" s="18" t="s">
        <v>33</v>
      </c>
      <c r="E3038" s="27">
        <v>42564.21194444445</v>
      </c>
      <c r="F3038" s="19">
        <f>IFERROR(__xludf.DUMMYFUNCTION("IFERROR(TO_DATE(E3038), """")"),42564.21194444445)</f>
        <v>42564.21194</v>
      </c>
      <c r="G3038" s="20">
        <f t="shared" si="1"/>
        <v>5</v>
      </c>
      <c r="H3038" s="18" t="s">
        <v>34</v>
      </c>
      <c r="I3038" s="19" t="str">
        <f>IFERROR(__xludf.DUMMYFUNCTION("IFERROR(TO_DATE(H3038), """")"),"NA")</f>
        <v>NA</v>
      </c>
      <c r="J3038" s="19" t="s">
        <v>11</v>
      </c>
      <c r="K3038" s="22">
        <f t="shared" si="2"/>
        <v>1</v>
      </c>
    </row>
    <row r="3039">
      <c r="A3039" s="18">
        <v>2900.0</v>
      </c>
      <c r="B3039" s="18" t="s">
        <v>32</v>
      </c>
      <c r="C3039" s="18">
        <v>54.0</v>
      </c>
      <c r="D3039" s="18" t="s">
        <v>33</v>
      </c>
      <c r="E3039" s="27">
        <v>42564.25133101852</v>
      </c>
      <c r="F3039" s="19">
        <f>IFERROR(__xludf.DUMMYFUNCTION("IFERROR(TO_DATE(E3039), """")"),42564.25133101852)</f>
        <v>42564.25133</v>
      </c>
      <c r="G3039" s="20">
        <f t="shared" si="1"/>
        <v>6</v>
      </c>
      <c r="H3039" s="18" t="s">
        <v>34</v>
      </c>
      <c r="I3039" s="19" t="str">
        <f>IFERROR(__xludf.DUMMYFUNCTION("IFERROR(TO_DATE(H3039), """")"),"NA")</f>
        <v>NA</v>
      </c>
      <c r="J3039" s="19" t="s">
        <v>11</v>
      </c>
      <c r="K3039" s="22">
        <f t="shared" si="2"/>
        <v>1</v>
      </c>
    </row>
    <row r="3040">
      <c r="A3040" s="18">
        <v>3022.0</v>
      </c>
      <c r="B3040" s="18" t="s">
        <v>32</v>
      </c>
      <c r="C3040" s="18">
        <v>54.0</v>
      </c>
      <c r="D3040" s="18" t="s">
        <v>33</v>
      </c>
      <c r="E3040" s="27">
        <v>42564.31543981482</v>
      </c>
      <c r="F3040" s="19">
        <f>IFERROR(__xludf.DUMMYFUNCTION("IFERROR(TO_DATE(E3040), """")"),42564.31543981482)</f>
        <v>42564.31544</v>
      </c>
      <c r="G3040" s="20">
        <f t="shared" si="1"/>
        <v>7</v>
      </c>
      <c r="H3040" s="18" t="s">
        <v>34</v>
      </c>
      <c r="I3040" s="19" t="str">
        <f>IFERROR(__xludf.DUMMYFUNCTION("IFERROR(TO_DATE(H3040), """")"),"NA")</f>
        <v>NA</v>
      </c>
      <c r="J3040" s="19" t="s">
        <v>11</v>
      </c>
      <c r="K3040" s="22">
        <f t="shared" si="2"/>
        <v>1</v>
      </c>
    </row>
    <row r="3041">
      <c r="A3041" s="18">
        <v>3211.0</v>
      </c>
      <c r="B3041" s="18" t="s">
        <v>32</v>
      </c>
      <c r="C3041" s="18">
        <v>54.0</v>
      </c>
      <c r="D3041" s="18" t="s">
        <v>33</v>
      </c>
      <c r="E3041" s="27">
        <v>42564.40872685185</v>
      </c>
      <c r="F3041" s="19">
        <f>IFERROR(__xludf.DUMMYFUNCTION("IFERROR(TO_DATE(E3041), """")"),42564.40872685185)</f>
        <v>42564.40873</v>
      </c>
      <c r="G3041" s="20">
        <f t="shared" si="1"/>
        <v>9</v>
      </c>
      <c r="H3041" s="18" t="s">
        <v>34</v>
      </c>
      <c r="I3041" s="19" t="str">
        <f>IFERROR(__xludf.DUMMYFUNCTION("IFERROR(TO_DATE(H3041), """")"),"NA")</f>
        <v>NA</v>
      </c>
      <c r="J3041" s="19" t="s">
        <v>14</v>
      </c>
      <c r="K3041" s="22">
        <f t="shared" si="2"/>
        <v>1</v>
      </c>
    </row>
    <row r="3042">
      <c r="A3042" s="18">
        <v>4356.0</v>
      </c>
      <c r="B3042" s="18" t="s">
        <v>32</v>
      </c>
      <c r="C3042" s="18">
        <v>54.0</v>
      </c>
      <c r="D3042" s="18" t="s">
        <v>33</v>
      </c>
      <c r="E3042" s="27">
        <v>42565.30805555556</v>
      </c>
      <c r="F3042" s="19">
        <f>IFERROR(__xludf.DUMMYFUNCTION("IFERROR(TO_DATE(E3042), """")"),42565.30805555556)</f>
        <v>42565.30806</v>
      </c>
      <c r="G3042" s="20">
        <f t="shared" si="1"/>
        <v>7</v>
      </c>
      <c r="H3042" s="18" t="s">
        <v>34</v>
      </c>
      <c r="I3042" s="19" t="str">
        <f>IFERROR(__xludf.DUMMYFUNCTION("IFERROR(TO_DATE(H3042), """")"),"NA")</f>
        <v>NA</v>
      </c>
      <c r="J3042" s="19" t="s">
        <v>11</v>
      </c>
      <c r="K3042" s="22">
        <f t="shared" si="2"/>
        <v>1</v>
      </c>
    </row>
    <row r="3043">
      <c r="A3043" s="18">
        <v>6208.0</v>
      </c>
      <c r="B3043" s="18" t="s">
        <v>32</v>
      </c>
      <c r="C3043" s="18">
        <v>54.0</v>
      </c>
      <c r="D3043" s="18" t="s">
        <v>33</v>
      </c>
      <c r="E3043" s="27">
        <v>42566.72721064815</v>
      </c>
      <c r="F3043" s="19">
        <f>IFERROR(__xludf.DUMMYFUNCTION("IFERROR(TO_DATE(E3043), """")"),42566.72721064815)</f>
        <v>42566.72721</v>
      </c>
      <c r="G3043" s="20">
        <f t="shared" si="1"/>
        <v>17</v>
      </c>
      <c r="H3043" s="18" t="s">
        <v>34</v>
      </c>
      <c r="I3043" s="19" t="str">
        <f>IFERROR(__xludf.DUMMYFUNCTION("IFERROR(TO_DATE(H3043), """")"),"NA")</f>
        <v>NA</v>
      </c>
      <c r="J3043" s="19" t="s">
        <v>12</v>
      </c>
      <c r="K3043" s="22">
        <f t="shared" si="2"/>
        <v>1</v>
      </c>
    </row>
    <row r="3044">
      <c r="A3044" s="18">
        <v>6571.0</v>
      </c>
      <c r="B3044" s="18" t="s">
        <v>32</v>
      </c>
      <c r="C3044" s="18">
        <v>54.0</v>
      </c>
      <c r="D3044" s="18" t="s">
        <v>33</v>
      </c>
      <c r="E3044" s="27">
        <v>42566.88664351852</v>
      </c>
      <c r="F3044" s="19">
        <f>IFERROR(__xludf.DUMMYFUNCTION("IFERROR(TO_DATE(E3044), """")"),42566.88664351852)</f>
        <v>42566.88664</v>
      </c>
      <c r="G3044" s="20">
        <f t="shared" si="1"/>
        <v>21</v>
      </c>
      <c r="H3044" s="18" t="s">
        <v>34</v>
      </c>
      <c r="I3044" s="19" t="str">
        <f>IFERROR(__xludf.DUMMYFUNCTION("IFERROR(TO_DATE(H3044), """")"),"NA")</f>
        <v>NA</v>
      </c>
      <c r="J3044" s="19" t="s">
        <v>13</v>
      </c>
      <c r="K3044" s="22">
        <f t="shared" si="2"/>
        <v>1</v>
      </c>
    </row>
    <row r="3045">
      <c r="A3045" s="18">
        <v>237.0</v>
      </c>
      <c r="B3045" s="18" t="s">
        <v>32</v>
      </c>
      <c r="C3045" s="18">
        <v>56.0</v>
      </c>
      <c r="D3045" s="18" t="s">
        <v>33</v>
      </c>
      <c r="E3045" s="26">
        <v>42562.27013888889</v>
      </c>
      <c r="F3045" s="19">
        <f>IFERROR(__xludf.DUMMYFUNCTION("IFERROR(TO_DATE(E3045), """")"),42562.27013888889)</f>
        <v>42562.27014</v>
      </c>
      <c r="G3045" s="20">
        <f t="shared" si="1"/>
        <v>6</v>
      </c>
      <c r="H3045" s="18" t="s">
        <v>34</v>
      </c>
      <c r="I3045" s="19" t="str">
        <f>IFERROR(__xludf.DUMMYFUNCTION("IFERROR(TO_DATE(H3045), """")"),"NA")</f>
        <v>NA</v>
      </c>
      <c r="J3045" s="19" t="s">
        <v>11</v>
      </c>
      <c r="K3045" s="22">
        <f t="shared" si="2"/>
        <v>1</v>
      </c>
    </row>
    <row r="3046">
      <c r="A3046" s="18">
        <v>4328.0</v>
      </c>
      <c r="B3046" s="18" t="s">
        <v>32</v>
      </c>
      <c r="C3046" s="18">
        <v>56.0</v>
      </c>
      <c r="D3046" s="18" t="s">
        <v>33</v>
      </c>
      <c r="E3046" s="27">
        <v>42565.297060185185</v>
      </c>
      <c r="F3046" s="19">
        <f>IFERROR(__xludf.DUMMYFUNCTION("IFERROR(TO_DATE(E3046), """")"),42565.297060185185)</f>
        <v>42565.29706</v>
      </c>
      <c r="G3046" s="20">
        <f t="shared" si="1"/>
        <v>7</v>
      </c>
      <c r="H3046" s="18" t="s">
        <v>34</v>
      </c>
      <c r="I3046" s="19" t="str">
        <f>IFERROR(__xludf.DUMMYFUNCTION("IFERROR(TO_DATE(H3046), """")"),"NA")</f>
        <v>NA</v>
      </c>
      <c r="J3046" s="19" t="s">
        <v>11</v>
      </c>
      <c r="K3046" s="22">
        <f t="shared" si="2"/>
        <v>1</v>
      </c>
    </row>
    <row r="3047">
      <c r="A3047" s="18">
        <v>4757.0</v>
      </c>
      <c r="B3047" s="18" t="s">
        <v>30</v>
      </c>
      <c r="C3047" s="18">
        <v>56.0</v>
      </c>
      <c r="D3047" s="18" t="s">
        <v>33</v>
      </c>
      <c r="E3047" s="27">
        <v>42565.645902777775</v>
      </c>
      <c r="F3047" s="19">
        <f>IFERROR(__xludf.DUMMYFUNCTION("IFERROR(TO_DATE(E3047), """")"),42565.645902777775)</f>
        <v>42565.6459</v>
      </c>
      <c r="G3047" s="20">
        <f t="shared" si="1"/>
        <v>15</v>
      </c>
      <c r="H3047" s="18" t="s">
        <v>34</v>
      </c>
      <c r="I3047" s="19" t="str">
        <f>IFERROR(__xludf.DUMMYFUNCTION("IFERROR(TO_DATE(H3047), """")"),"NA")</f>
        <v>NA</v>
      </c>
      <c r="J3047" s="19" t="s">
        <v>10</v>
      </c>
      <c r="K3047" s="22">
        <f t="shared" si="2"/>
        <v>1</v>
      </c>
    </row>
    <row r="3048">
      <c r="A3048" s="18">
        <v>323.0</v>
      </c>
      <c r="B3048" s="18" t="s">
        <v>32</v>
      </c>
      <c r="C3048" s="18">
        <v>57.0</v>
      </c>
      <c r="D3048" s="18" t="s">
        <v>33</v>
      </c>
      <c r="E3048" s="26">
        <v>42562.316666666666</v>
      </c>
      <c r="F3048" s="19">
        <f>IFERROR(__xludf.DUMMYFUNCTION("IFERROR(TO_DATE(E3048), """")"),42562.316666666666)</f>
        <v>42562.31667</v>
      </c>
      <c r="G3048" s="20">
        <f t="shared" si="1"/>
        <v>7</v>
      </c>
      <c r="H3048" s="18" t="s">
        <v>34</v>
      </c>
      <c r="I3048" s="19" t="str">
        <f>IFERROR(__xludf.DUMMYFUNCTION("IFERROR(TO_DATE(H3048), """")"),"NA")</f>
        <v>NA</v>
      </c>
      <c r="J3048" s="19" t="s">
        <v>11</v>
      </c>
      <c r="K3048" s="22">
        <f t="shared" si="2"/>
        <v>1</v>
      </c>
    </row>
    <row r="3049">
      <c r="A3049" s="18">
        <v>421.0</v>
      </c>
      <c r="B3049" s="18" t="s">
        <v>32</v>
      </c>
      <c r="C3049" s="18">
        <v>57.0</v>
      </c>
      <c r="D3049" s="18" t="s">
        <v>33</v>
      </c>
      <c r="E3049" s="26">
        <v>42562.36319444444</v>
      </c>
      <c r="F3049" s="19">
        <f>IFERROR(__xludf.DUMMYFUNCTION("IFERROR(TO_DATE(E3049), """")"),42562.36319444444)</f>
        <v>42562.36319</v>
      </c>
      <c r="G3049" s="20">
        <f t="shared" si="1"/>
        <v>8</v>
      </c>
      <c r="H3049" s="18" t="s">
        <v>34</v>
      </c>
      <c r="I3049" s="19" t="str">
        <f>IFERROR(__xludf.DUMMYFUNCTION("IFERROR(TO_DATE(H3049), """")"),"NA")</f>
        <v>NA</v>
      </c>
      <c r="J3049" s="19" t="s">
        <v>14</v>
      </c>
      <c r="K3049" s="22">
        <f t="shared" si="2"/>
        <v>1</v>
      </c>
    </row>
    <row r="3050">
      <c r="A3050" s="18">
        <v>1458.0</v>
      </c>
      <c r="B3050" s="18" t="s">
        <v>32</v>
      </c>
      <c r="C3050" s="18">
        <v>57.0</v>
      </c>
      <c r="D3050" s="18" t="s">
        <v>33</v>
      </c>
      <c r="E3050" s="26">
        <v>42563.20277777778</v>
      </c>
      <c r="F3050" s="19">
        <f>IFERROR(__xludf.DUMMYFUNCTION("IFERROR(TO_DATE(E3050), """")"),42563.20277777778)</f>
        <v>42563.20278</v>
      </c>
      <c r="G3050" s="20">
        <f t="shared" si="1"/>
        <v>4</v>
      </c>
      <c r="H3050" s="18" t="s">
        <v>34</v>
      </c>
      <c r="I3050" s="19" t="str">
        <f>IFERROR(__xludf.DUMMYFUNCTION("IFERROR(TO_DATE(H3050), """")"),"NA")</f>
        <v>NA</v>
      </c>
      <c r="J3050" s="19" t="s">
        <v>11</v>
      </c>
      <c r="K3050" s="22">
        <f t="shared" si="2"/>
        <v>1</v>
      </c>
    </row>
    <row r="3051">
      <c r="A3051" s="18">
        <v>3920.0</v>
      </c>
      <c r="B3051" s="18" t="s">
        <v>32</v>
      </c>
      <c r="C3051" s="18">
        <v>57.0</v>
      </c>
      <c r="D3051" s="18" t="s">
        <v>33</v>
      </c>
      <c r="E3051" s="27">
        <v>42564.92836805555</v>
      </c>
      <c r="F3051" s="19">
        <f>IFERROR(__xludf.DUMMYFUNCTION("IFERROR(TO_DATE(E3051), """")"),42564.92836805555)</f>
        <v>42564.92837</v>
      </c>
      <c r="G3051" s="20">
        <f t="shared" si="1"/>
        <v>22</v>
      </c>
      <c r="H3051" s="18" t="s">
        <v>34</v>
      </c>
      <c r="I3051" s="19" t="str">
        <f>IFERROR(__xludf.DUMMYFUNCTION("IFERROR(TO_DATE(H3051), """")"),"NA")</f>
        <v>NA</v>
      </c>
      <c r="J3051" s="19" t="s">
        <v>13</v>
      </c>
      <c r="K3051" s="22">
        <f t="shared" si="2"/>
        <v>1</v>
      </c>
    </row>
    <row r="3052">
      <c r="A3052" s="18">
        <v>4401.0</v>
      </c>
      <c r="B3052" s="18" t="s">
        <v>32</v>
      </c>
      <c r="C3052" s="18">
        <v>57.0</v>
      </c>
      <c r="D3052" s="18" t="s">
        <v>33</v>
      </c>
      <c r="E3052" s="27">
        <v>42565.335868055554</v>
      </c>
      <c r="F3052" s="19">
        <f>IFERROR(__xludf.DUMMYFUNCTION("IFERROR(TO_DATE(E3052), """")"),42565.335868055554)</f>
        <v>42565.33587</v>
      </c>
      <c r="G3052" s="20">
        <f t="shared" si="1"/>
        <v>8</v>
      </c>
      <c r="H3052" s="18" t="s">
        <v>34</v>
      </c>
      <c r="I3052" s="19" t="str">
        <f>IFERROR(__xludf.DUMMYFUNCTION("IFERROR(TO_DATE(H3052), """")"),"NA")</f>
        <v>NA</v>
      </c>
      <c r="J3052" s="19" t="s">
        <v>14</v>
      </c>
      <c r="K3052" s="22">
        <f t="shared" si="2"/>
        <v>1</v>
      </c>
    </row>
    <row r="3053">
      <c r="A3053" s="18">
        <v>1034.0</v>
      </c>
      <c r="B3053" s="18" t="s">
        <v>30</v>
      </c>
      <c r="C3053" s="18">
        <v>58.0</v>
      </c>
      <c r="D3053" s="18" t="s">
        <v>33</v>
      </c>
      <c r="E3053" s="26">
        <v>42562.81041666667</v>
      </c>
      <c r="F3053" s="19">
        <f>IFERROR(__xludf.DUMMYFUNCTION("IFERROR(TO_DATE(E3053), """")"),42562.81041666667)</f>
        <v>42562.81042</v>
      </c>
      <c r="G3053" s="20">
        <f t="shared" si="1"/>
        <v>19</v>
      </c>
      <c r="H3053" s="18" t="s">
        <v>34</v>
      </c>
      <c r="I3053" s="19" t="str">
        <f>IFERROR(__xludf.DUMMYFUNCTION("IFERROR(TO_DATE(H3053), """")"),"NA")</f>
        <v>NA</v>
      </c>
      <c r="J3053" s="19" t="s">
        <v>12</v>
      </c>
      <c r="K3053" s="22">
        <f t="shared" si="2"/>
        <v>1</v>
      </c>
    </row>
    <row r="3054">
      <c r="A3054" s="18">
        <v>1543.0</v>
      </c>
      <c r="B3054" s="18" t="s">
        <v>32</v>
      </c>
      <c r="C3054" s="18">
        <v>58.0</v>
      </c>
      <c r="D3054" s="18" t="s">
        <v>33</v>
      </c>
      <c r="E3054" s="26">
        <v>42563.251388888886</v>
      </c>
      <c r="F3054" s="19">
        <f>IFERROR(__xludf.DUMMYFUNCTION("IFERROR(TO_DATE(E3054), """")"),42563.251388888886)</f>
        <v>42563.25139</v>
      </c>
      <c r="G3054" s="20">
        <f t="shared" si="1"/>
        <v>6</v>
      </c>
      <c r="H3054" s="18" t="s">
        <v>34</v>
      </c>
      <c r="I3054" s="19" t="str">
        <f>IFERROR(__xludf.DUMMYFUNCTION("IFERROR(TO_DATE(H3054), """")"),"NA")</f>
        <v>NA</v>
      </c>
      <c r="J3054" s="19" t="s">
        <v>11</v>
      </c>
      <c r="K3054" s="22">
        <f t="shared" si="2"/>
        <v>1</v>
      </c>
    </row>
    <row r="3055">
      <c r="A3055" s="18">
        <v>2909.0</v>
      </c>
      <c r="B3055" s="18" t="s">
        <v>32</v>
      </c>
      <c r="C3055" s="18">
        <v>58.0</v>
      </c>
      <c r="D3055" s="18" t="s">
        <v>33</v>
      </c>
      <c r="E3055" s="27">
        <v>42564.257627314815</v>
      </c>
      <c r="F3055" s="19">
        <f>IFERROR(__xludf.DUMMYFUNCTION("IFERROR(TO_DATE(E3055), """")"),42564.257627314815)</f>
        <v>42564.25763</v>
      </c>
      <c r="G3055" s="20">
        <f t="shared" si="1"/>
        <v>6</v>
      </c>
      <c r="H3055" s="18" t="s">
        <v>34</v>
      </c>
      <c r="I3055" s="19" t="str">
        <f>IFERROR(__xludf.DUMMYFUNCTION("IFERROR(TO_DATE(H3055), """")"),"NA")</f>
        <v>NA</v>
      </c>
      <c r="J3055" s="19" t="s">
        <v>11</v>
      </c>
      <c r="K3055" s="22">
        <f t="shared" si="2"/>
        <v>1</v>
      </c>
    </row>
    <row r="3056">
      <c r="A3056" s="18">
        <v>3015.0</v>
      </c>
      <c r="B3056" s="18" t="s">
        <v>32</v>
      </c>
      <c r="C3056" s="18">
        <v>58.0</v>
      </c>
      <c r="D3056" s="18" t="s">
        <v>33</v>
      </c>
      <c r="E3056" s="27">
        <v>42564.31528935185</v>
      </c>
      <c r="F3056" s="19">
        <f>IFERROR(__xludf.DUMMYFUNCTION("IFERROR(TO_DATE(E3056), """")"),42564.31528935185)</f>
        <v>42564.31529</v>
      </c>
      <c r="G3056" s="20">
        <f t="shared" si="1"/>
        <v>7</v>
      </c>
      <c r="H3056" s="18" t="s">
        <v>34</v>
      </c>
      <c r="I3056" s="19" t="str">
        <f>IFERROR(__xludf.DUMMYFUNCTION("IFERROR(TO_DATE(H3056), """")"),"NA")</f>
        <v>NA</v>
      </c>
      <c r="J3056" s="19" t="s">
        <v>11</v>
      </c>
      <c r="K3056" s="22">
        <f t="shared" si="2"/>
        <v>1</v>
      </c>
    </row>
    <row r="3057">
      <c r="A3057" s="18">
        <v>4165.0</v>
      </c>
      <c r="B3057" s="18" t="s">
        <v>32</v>
      </c>
      <c r="C3057" s="18">
        <v>58.0</v>
      </c>
      <c r="D3057" s="18" t="s">
        <v>33</v>
      </c>
      <c r="E3057" s="27">
        <v>42565.21356481482</v>
      </c>
      <c r="F3057" s="19">
        <f>IFERROR(__xludf.DUMMYFUNCTION("IFERROR(TO_DATE(E3057), """")"),42565.21356481482)</f>
        <v>42565.21356</v>
      </c>
      <c r="G3057" s="20">
        <f t="shared" si="1"/>
        <v>5</v>
      </c>
      <c r="H3057" s="18" t="s">
        <v>34</v>
      </c>
      <c r="I3057" s="19" t="str">
        <f>IFERROR(__xludf.DUMMYFUNCTION("IFERROR(TO_DATE(H3057), """")"),"NA")</f>
        <v>NA</v>
      </c>
      <c r="J3057" s="19" t="s">
        <v>11</v>
      </c>
      <c r="K3057" s="22">
        <f t="shared" si="2"/>
        <v>1</v>
      </c>
    </row>
    <row r="3058">
      <c r="A3058" s="18">
        <v>5410.0</v>
      </c>
      <c r="B3058" s="18" t="s">
        <v>32</v>
      </c>
      <c r="C3058" s="18">
        <v>58.0</v>
      </c>
      <c r="D3058" s="18" t="s">
        <v>33</v>
      </c>
      <c r="E3058" s="27">
        <v>42566.07341435185</v>
      </c>
      <c r="F3058" s="19">
        <f>IFERROR(__xludf.DUMMYFUNCTION("IFERROR(TO_DATE(E3058), """")"),42566.07341435185)</f>
        <v>42566.07341</v>
      </c>
      <c r="G3058" s="20">
        <f t="shared" si="1"/>
        <v>1</v>
      </c>
      <c r="H3058" s="18" t="s">
        <v>34</v>
      </c>
      <c r="I3058" s="19" t="str">
        <f>IFERROR(__xludf.DUMMYFUNCTION("IFERROR(TO_DATE(H3058), """")"),"NA")</f>
        <v>NA</v>
      </c>
      <c r="J3058" s="19" t="s">
        <v>15</v>
      </c>
      <c r="K3058" s="22">
        <f t="shared" si="2"/>
        <v>1</v>
      </c>
    </row>
    <row r="3059">
      <c r="A3059" s="18">
        <v>328.0</v>
      </c>
      <c r="B3059" s="18" t="s">
        <v>32</v>
      </c>
      <c r="C3059" s="18">
        <v>59.0</v>
      </c>
      <c r="D3059" s="18" t="s">
        <v>33</v>
      </c>
      <c r="E3059" s="26">
        <v>42562.31458333333</v>
      </c>
      <c r="F3059" s="19">
        <f>IFERROR(__xludf.DUMMYFUNCTION("IFERROR(TO_DATE(E3059), """")"),42562.31458333333)</f>
        <v>42562.31458</v>
      </c>
      <c r="G3059" s="20">
        <f t="shared" si="1"/>
        <v>7</v>
      </c>
      <c r="H3059" s="18" t="s">
        <v>34</v>
      </c>
      <c r="I3059" s="19" t="str">
        <f>IFERROR(__xludf.DUMMYFUNCTION("IFERROR(TO_DATE(H3059), """")"),"NA")</f>
        <v>NA</v>
      </c>
      <c r="J3059" s="19" t="s">
        <v>11</v>
      </c>
      <c r="K3059" s="22">
        <f t="shared" si="2"/>
        <v>1</v>
      </c>
    </row>
    <row r="3060">
      <c r="A3060" s="18">
        <v>580.0</v>
      </c>
      <c r="B3060" s="18" t="s">
        <v>32</v>
      </c>
      <c r="C3060" s="18">
        <v>59.0</v>
      </c>
      <c r="D3060" s="18" t="s">
        <v>33</v>
      </c>
      <c r="E3060" s="26">
        <v>42562.45763888889</v>
      </c>
      <c r="F3060" s="19">
        <f>IFERROR(__xludf.DUMMYFUNCTION("IFERROR(TO_DATE(E3060), """")"),42562.45763888889)</f>
        <v>42562.45764</v>
      </c>
      <c r="G3060" s="20">
        <f t="shared" si="1"/>
        <v>10</v>
      </c>
      <c r="H3060" s="18" t="s">
        <v>34</v>
      </c>
      <c r="I3060" s="19" t="str">
        <f>IFERROR(__xludf.DUMMYFUNCTION("IFERROR(TO_DATE(H3060), """")"),"NA")</f>
        <v>NA</v>
      </c>
      <c r="J3060" s="19" t="s">
        <v>14</v>
      </c>
      <c r="K3060" s="22">
        <f t="shared" si="2"/>
        <v>1</v>
      </c>
    </row>
    <row r="3061">
      <c r="A3061" s="18">
        <v>4357.0</v>
      </c>
      <c r="B3061" s="18" t="s">
        <v>32</v>
      </c>
      <c r="C3061" s="18">
        <v>59.0</v>
      </c>
      <c r="D3061" s="18" t="s">
        <v>33</v>
      </c>
      <c r="E3061" s="27">
        <v>42565.31359953704</v>
      </c>
      <c r="F3061" s="19">
        <f>IFERROR(__xludf.DUMMYFUNCTION("IFERROR(TO_DATE(E3061), """")"),42565.31359953704)</f>
        <v>42565.3136</v>
      </c>
      <c r="G3061" s="20">
        <f t="shared" si="1"/>
        <v>7</v>
      </c>
      <c r="H3061" s="18" t="s">
        <v>34</v>
      </c>
      <c r="I3061" s="19" t="str">
        <f>IFERROR(__xludf.DUMMYFUNCTION("IFERROR(TO_DATE(H3061), """")"),"NA")</f>
        <v>NA</v>
      </c>
      <c r="J3061" s="19" t="s">
        <v>11</v>
      </c>
      <c r="K3061" s="22">
        <f t="shared" si="2"/>
        <v>1</v>
      </c>
    </row>
    <row r="3062">
      <c r="A3062" s="18">
        <v>4560.0</v>
      </c>
      <c r="B3062" s="18" t="s">
        <v>32</v>
      </c>
      <c r="C3062" s="18">
        <v>59.0</v>
      </c>
      <c r="D3062" s="18" t="s">
        <v>33</v>
      </c>
      <c r="E3062" s="27">
        <v>42565.40875</v>
      </c>
      <c r="F3062" s="19">
        <f>IFERROR(__xludf.DUMMYFUNCTION("IFERROR(TO_DATE(E3062), """")"),42565.40875)</f>
        <v>42565.40875</v>
      </c>
      <c r="G3062" s="20">
        <f t="shared" si="1"/>
        <v>9</v>
      </c>
      <c r="H3062" s="18" t="s">
        <v>34</v>
      </c>
      <c r="I3062" s="19" t="str">
        <f>IFERROR(__xludf.DUMMYFUNCTION("IFERROR(TO_DATE(H3062), """")"),"NA")</f>
        <v>NA</v>
      </c>
      <c r="J3062" s="19" t="s">
        <v>14</v>
      </c>
      <c r="K3062" s="22">
        <f t="shared" si="2"/>
        <v>1</v>
      </c>
    </row>
    <row r="3063">
      <c r="A3063" s="18">
        <v>5647.0</v>
      </c>
      <c r="B3063" s="18" t="s">
        <v>32</v>
      </c>
      <c r="C3063" s="18">
        <v>59.0</v>
      </c>
      <c r="D3063" s="18" t="s">
        <v>33</v>
      </c>
      <c r="E3063" s="27">
        <v>42566.285532407404</v>
      </c>
      <c r="F3063" s="19">
        <f>IFERROR(__xludf.DUMMYFUNCTION("IFERROR(TO_DATE(E3063), """")"),42566.285532407404)</f>
        <v>42566.28553</v>
      </c>
      <c r="G3063" s="20">
        <f t="shared" si="1"/>
        <v>6</v>
      </c>
      <c r="H3063" s="18" t="s">
        <v>34</v>
      </c>
      <c r="I3063" s="19" t="str">
        <f>IFERROR(__xludf.DUMMYFUNCTION("IFERROR(TO_DATE(H3063), """")"),"NA")</f>
        <v>NA</v>
      </c>
      <c r="J3063" s="19" t="s">
        <v>11</v>
      </c>
      <c r="K3063" s="22">
        <f t="shared" si="2"/>
        <v>1</v>
      </c>
    </row>
    <row r="3064">
      <c r="A3064" s="18">
        <v>5704.0</v>
      </c>
      <c r="B3064" s="18" t="s">
        <v>32</v>
      </c>
      <c r="C3064" s="18">
        <v>59.0</v>
      </c>
      <c r="D3064" s="18" t="s">
        <v>33</v>
      </c>
      <c r="E3064" s="27">
        <v>42566.31518518519</v>
      </c>
      <c r="F3064" s="19">
        <f>IFERROR(__xludf.DUMMYFUNCTION("IFERROR(TO_DATE(E3064), """")"),42566.31518518519)</f>
        <v>42566.31519</v>
      </c>
      <c r="G3064" s="20">
        <f t="shared" si="1"/>
        <v>7</v>
      </c>
      <c r="H3064" s="18" t="s">
        <v>34</v>
      </c>
      <c r="I3064" s="19" t="str">
        <f>IFERROR(__xludf.DUMMYFUNCTION("IFERROR(TO_DATE(H3064), """")"),"NA")</f>
        <v>NA</v>
      </c>
      <c r="J3064" s="19" t="s">
        <v>11</v>
      </c>
      <c r="K3064" s="22">
        <f t="shared" si="2"/>
        <v>1</v>
      </c>
    </row>
    <row r="3065">
      <c r="A3065" s="18">
        <v>2855.0</v>
      </c>
      <c r="B3065" s="18" t="s">
        <v>32</v>
      </c>
      <c r="C3065" s="18">
        <v>60.0</v>
      </c>
      <c r="D3065" s="18" t="s">
        <v>33</v>
      </c>
      <c r="E3065" s="27">
        <v>42564.23318287037</v>
      </c>
      <c r="F3065" s="19">
        <f>IFERROR(__xludf.DUMMYFUNCTION("IFERROR(TO_DATE(E3065), """")"),42564.23318287037)</f>
        <v>42564.23318</v>
      </c>
      <c r="G3065" s="20">
        <f t="shared" si="1"/>
        <v>5</v>
      </c>
      <c r="H3065" s="18" t="s">
        <v>34</v>
      </c>
      <c r="I3065" s="19" t="str">
        <f>IFERROR(__xludf.DUMMYFUNCTION("IFERROR(TO_DATE(H3065), """")"),"NA")</f>
        <v>NA</v>
      </c>
      <c r="J3065" s="19" t="s">
        <v>11</v>
      </c>
      <c r="K3065" s="22">
        <f t="shared" si="2"/>
        <v>1</v>
      </c>
    </row>
    <row r="3066">
      <c r="A3066" s="18">
        <v>5565.0</v>
      </c>
      <c r="B3066" s="18" t="s">
        <v>32</v>
      </c>
      <c r="C3066" s="18">
        <v>60.0</v>
      </c>
      <c r="D3066" s="18" t="s">
        <v>33</v>
      </c>
      <c r="E3066" s="27">
        <v>42566.23978009259</v>
      </c>
      <c r="F3066" s="19">
        <f>IFERROR(__xludf.DUMMYFUNCTION("IFERROR(TO_DATE(E3066), """")"),42566.23978009259)</f>
        <v>42566.23978</v>
      </c>
      <c r="G3066" s="20">
        <f t="shared" si="1"/>
        <v>5</v>
      </c>
      <c r="H3066" s="18" t="s">
        <v>34</v>
      </c>
      <c r="I3066" s="19" t="str">
        <f>IFERROR(__xludf.DUMMYFUNCTION("IFERROR(TO_DATE(H3066), """")"),"NA")</f>
        <v>NA</v>
      </c>
      <c r="J3066" s="19" t="s">
        <v>11</v>
      </c>
      <c r="K3066" s="22">
        <f t="shared" si="2"/>
        <v>1</v>
      </c>
    </row>
    <row r="3067">
      <c r="A3067" s="18">
        <v>235.0</v>
      </c>
      <c r="B3067" s="18" t="s">
        <v>32</v>
      </c>
      <c r="C3067" s="18">
        <v>61.0</v>
      </c>
      <c r="D3067" s="18" t="s">
        <v>33</v>
      </c>
      <c r="E3067" s="26">
        <v>42562.26527777778</v>
      </c>
      <c r="F3067" s="19">
        <f>IFERROR(__xludf.DUMMYFUNCTION("IFERROR(TO_DATE(E3067), """")"),42562.26527777778)</f>
        <v>42562.26528</v>
      </c>
      <c r="G3067" s="20">
        <f t="shared" si="1"/>
        <v>6</v>
      </c>
      <c r="H3067" s="18" t="s">
        <v>34</v>
      </c>
      <c r="I3067" s="19" t="str">
        <f>IFERROR(__xludf.DUMMYFUNCTION("IFERROR(TO_DATE(H3067), """")"),"NA")</f>
        <v>NA</v>
      </c>
      <c r="J3067" s="19" t="s">
        <v>11</v>
      </c>
      <c r="K3067" s="22">
        <f t="shared" si="2"/>
        <v>1</v>
      </c>
    </row>
    <row r="3068">
      <c r="A3068" s="18">
        <v>2109.0</v>
      </c>
      <c r="B3068" s="18" t="s">
        <v>30</v>
      </c>
      <c r="C3068" s="18">
        <v>61.0</v>
      </c>
      <c r="D3068" s="18" t="s">
        <v>33</v>
      </c>
      <c r="E3068" s="26">
        <v>42563.680555555555</v>
      </c>
      <c r="F3068" s="19">
        <f>IFERROR(__xludf.DUMMYFUNCTION("IFERROR(TO_DATE(E3068), """")"),42563.680555555555)</f>
        <v>42563.68056</v>
      </c>
      <c r="G3068" s="20">
        <f t="shared" si="1"/>
        <v>16</v>
      </c>
      <c r="H3068" s="18" t="s">
        <v>34</v>
      </c>
      <c r="I3068" s="19" t="str">
        <f>IFERROR(__xludf.DUMMYFUNCTION("IFERROR(TO_DATE(H3068), """")"),"NA")</f>
        <v>NA</v>
      </c>
      <c r="J3068" s="19" t="s">
        <v>12</v>
      </c>
      <c r="K3068" s="22">
        <f t="shared" si="2"/>
        <v>1</v>
      </c>
    </row>
    <row r="3069">
      <c r="A3069" s="18">
        <v>4230.0</v>
      </c>
      <c r="B3069" s="18" t="s">
        <v>32</v>
      </c>
      <c r="C3069" s="18">
        <v>61.0</v>
      </c>
      <c r="D3069" s="18" t="s">
        <v>33</v>
      </c>
      <c r="E3069" s="27">
        <v>42565.24317129629</v>
      </c>
      <c r="F3069" s="19">
        <f>IFERROR(__xludf.DUMMYFUNCTION("IFERROR(TO_DATE(E3069), """")"),42565.24317129629)</f>
        <v>42565.24317</v>
      </c>
      <c r="G3069" s="20">
        <f t="shared" si="1"/>
        <v>5</v>
      </c>
      <c r="H3069" s="18" t="s">
        <v>34</v>
      </c>
      <c r="I3069" s="19" t="str">
        <f>IFERROR(__xludf.DUMMYFUNCTION("IFERROR(TO_DATE(H3069), """")"),"NA")</f>
        <v>NA</v>
      </c>
      <c r="J3069" s="19" t="s">
        <v>11</v>
      </c>
      <c r="K3069" s="22">
        <f t="shared" si="2"/>
        <v>1</v>
      </c>
    </row>
    <row r="3070">
      <c r="A3070" s="18">
        <v>111.0</v>
      </c>
      <c r="B3070" s="18" t="s">
        <v>32</v>
      </c>
      <c r="C3070" s="18">
        <v>62.0</v>
      </c>
      <c r="D3070" s="18" t="s">
        <v>33</v>
      </c>
      <c r="E3070" s="26">
        <v>42562.2125</v>
      </c>
      <c r="F3070" s="19">
        <f>IFERROR(__xludf.DUMMYFUNCTION("IFERROR(TO_DATE(E3070), """")"),42562.2125)</f>
        <v>42562.2125</v>
      </c>
      <c r="G3070" s="20">
        <f t="shared" si="1"/>
        <v>5</v>
      </c>
      <c r="H3070" s="18" t="s">
        <v>34</v>
      </c>
      <c r="I3070" s="19" t="str">
        <f>IFERROR(__xludf.DUMMYFUNCTION("IFERROR(TO_DATE(H3070), """")"),"NA")</f>
        <v>NA</v>
      </c>
      <c r="J3070" s="19" t="s">
        <v>11</v>
      </c>
      <c r="K3070" s="22">
        <f t="shared" si="2"/>
        <v>1</v>
      </c>
    </row>
    <row r="3071">
      <c r="A3071" s="18">
        <v>168.0</v>
      </c>
      <c r="B3071" s="18" t="s">
        <v>32</v>
      </c>
      <c r="C3071" s="18">
        <v>62.0</v>
      </c>
      <c r="D3071" s="18" t="s">
        <v>33</v>
      </c>
      <c r="E3071" s="26">
        <v>42562.23402777778</v>
      </c>
      <c r="F3071" s="19">
        <f>IFERROR(__xludf.DUMMYFUNCTION("IFERROR(TO_DATE(E3071), """")"),42562.23402777778)</f>
        <v>42562.23403</v>
      </c>
      <c r="G3071" s="20">
        <f t="shared" si="1"/>
        <v>5</v>
      </c>
      <c r="H3071" s="18" t="s">
        <v>34</v>
      </c>
      <c r="I3071" s="19" t="str">
        <f>IFERROR(__xludf.DUMMYFUNCTION("IFERROR(TO_DATE(H3071), """")"),"NA")</f>
        <v>NA</v>
      </c>
      <c r="J3071" s="19" t="s">
        <v>11</v>
      </c>
      <c r="K3071" s="22">
        <f t="shared" si="2"/>
        <v>1</v>
      </c>
    </row>
    <row r="3072">
      <c r="A3072" s="18">
        <v>187.0</v>
      </c>
      <c r="B3072" s="18" t="s">
        <v>32</v>
      </c>
      <c r="C3072" s="18">
        <v>62.0</v>
      </c>
      <c r="D3072" s="18" t="s">
        <v>33</v>
      </c>
      <c r="E3072" s="26">
        <v>42562.24791666667</v>
      </c>
      <c r="F3072" s="19">
        <f>IFERROR(__xludf.DUMMYFUNCTION("IFERROR(TO_DATE(E3072), """")"),42562.24791666667)</f>
        <v>42562.24792</v>
      </c>
      <c r="G3072" s="20">
        <f t="shared" si="1"/>
        <v>5</v>
      </c>
      <c r="H3072" s="18" t="s">
        <v>34</v>
      </c>
      <c r="I3072" s="19" t="str">
        <f>IFERROR(__xludf.DUMMYFUNCTION("IFERROR(TO_DATE(H3072), """")"),"NA")</f>
        <v>NA</v>
      </c>
      <c r="J3072" s="19" t="s">
        <v>11</v>
      </c>
      <c r="K3072" s="22">
        <f t="shared" si="2"/>
        <v>1</v>
      </c>
    </row>
    <row r="3073">
      <c r="A3073" s="18">
        <v>1492.0</v>
      </c>
      <c r="B3073" s="18" t="s">
        <v>32</v>
      </c>
      <c r="C3073" s="18">
        <v>62.0</v>
      </c>
      <c r="D3073" s="18" t="s">
        <v>33</v>
      </c>
      <c r="E3073" s="26">
        <v>42563.229166666664</v>
      </c>
      <c r="F3073" s="19">
        <f>IFERROR(__xludf.DUMMYFUNCTION("IFERROR(TO_DATE(E3073), """")"),42563.229166666664)</f>
        <v>42563.22917</v>
      </c>
      <c r="G3073" s="20">
        <f t="shared" si="1"/>
        <v>5</v>
      </c>
      <c r="H3073" s="18" t="s">
        <v>34</v>
      </c>
      <c r="I3073" s="19" t="str">
        <f>IFERROR(__xludf.DUMMYFUNCTION("IFERROR(TO_DATE(H3073), """")"),"NA")</f>
        <v>NA</v>
      </c>
      <c r="J3073" s="19" t="s">
        <v>11</v>
      </c>
      <c r="K3073" s="22">
        <f t="shared" si="2"/>
        <v>1</v>
      </c>
    </row>
    <row r="3074">
      <c r="A3074" s="18">
        <v>2992.0</v>
      </c>
      <c r="B3074" s="18" t="s">
        <v>32</v>
      </c>
      <c r="C3074" s="18">
        <v>62.0</v>
      </c>
      <c r="D3074" s="18" t="s">
        <v>33</v>
      </c>
      <c r="E3074" s="27">
        <v>42564.29982638889</v>
      </c>
      <c r="F3074" s="19">
        <f>IFERROR(__xludf.DUMMYFUNCTION("IFERROR(TO_DATE(E3074), """")"),42564.29982638889)</f>
        <v>42564.29983</v>
      </c>
      <c r="G3074" s="20">
        <f t="shared" si="1"/>
        <v>7</v>
      </c>
      <c r="H3074" s="18" t="s">
        <v>34</v>
      </c>
      <c r="I3074" s="19" t="str">
        <f>IFERROR(__xludf.DUMMYFUNCTION("IFERROR(TO_DATE(H3074), """")"),"NA")</f>
        <v>NA</v>
      </c>
      <c r="J3074" s="19" t="s">
        <v>11</v>
      </c>
      <c r="K3074" s="22">
        <f t="shared" si="2"/>
        <v>1</v>
      </c>
    </row>
    <row r="3075">
      <c r="A3075" s="18">
        <v>3433.0</v>
      </c>
      <c r="B3075" s="18" t="s">
        <v>30</v>
      </c>
      <c r="C3075" s="18">
        <v>62.0</v>
      </c>
      <c r="D3075" s="18" t="s">
        <v>33</v>
      </c>
      <c r="E3075" s="27">
        <v>42564.66768518519</v>
      </c>
      <c r="F3075" s="19">
        <f>IFERROR(__xludf.DUMMYFUNCTION("IFERROR(TO_DATE(E3075), """")"),42564.66768518519)</f>
        <v>42564.66769</v>
      </c>
      <c r="G3075" s="20">
        <f t="shared" si="1"/>
        <v>16</v>
      </c>
      <c r="H3075" s="18" t="s">
        <v>34</v>
      </c>
      <c r="I3075" s="19" t="str">
        <f>IFERROR(__xludf.DUMMYFUNCTION("IFERROR(TO_DATE(H3075), """")"),"NA")</f>
        <v>NA</v>
      </c>
      <c r="J3075" s="19" t="s">
        <v>12</v>
      </c>
      <c r="K3075" s="22">
        <f t="shared" si="2"/>
        <v>1</v>
      </c>
    </row>
    <row r="3076">
      <c r="A3076" s="18">
        <v>5536.0</v>
      </c>
      <c r="B3076" s="18" t="s">
        <v>32</v>
      </c>
      <c r="C3076" s="18">
        <v>62.0</v>
      </c>
      <c r="D3076" s="18" t="s">
        <v>33</v>
      </c>
      <c r="E3076" s="27">
        <v>42566.23002314815</v>
      </c>
      <c r="F3076" s="19">
        <f>IFERROR(__xludf.DUMMYFUNCTION("IFERROR(TO_DATE(E3076), """")"),42566.23002314815)</f>
        <v>42566.23002</v>
      </c>
      <c r="G3076" s="20">
        <f t="shared" si="1"/>
        <v>5</v>
      </c>
      <c r="H3076" s="18" t="s">
        <v>34</v>
      </c>
      <c r="I3076" s="19" t="str">
        <f>IFERROR(__xludf.DUMMYFUNCTION("IFERROR(TO_DATE(H3076), """")"),"NA")</f>
        <v>NA</v>
      </c>
      <c r="J3076" s="19" t="s">
        <v>11</v>
      </c>
      <c r="K3076" s="22">
        <f t="shared" si="2"/>
        <v>1</v>
      </c>
    </row>
    <row r="3077">
      <c r="A3077" s="18">
        <v>474.0</v>
      </c>
      <c r="B3077" s="18" t="s">
        <v>32</v>
      </c>
      <c r="C3077" s="18">
        <v>63.0</v>
      </c>
      <c r="D3077" s="18" t="s">
        <v>33</v>
      </c>
      <c r="E3077" s="26">
        <v>42562.39166666667</v>
      </c>
      <c r="F3077" s="19">
        <f>IFERROR(__xludf.DUMMYFUNCTION("IFERROR(TO_DATE(E3077), """")"),42562.39166666667)</f>
        <v>42562.39167</v>
      </c>
      <c r="G3077" s="20">
        <f t="shared" si="1"/>
        <v>9</v>
      </c>
      <c r="H3077" s="18" t="s">
        <v>34</v>
      </c>
      <c r="I3077" s="19" t="str">
        <f>IFERROR(__xludf.DUMMYFUNCTION("IFERROR(TO_DATE(H3077), """")"),"NA")</f>
        <v>NA</v>
      </c>
      <c r="J3077" s="19" t="s">
        <v>14</v>
      </c>
      <c r="K3077" s="22">
        <f t="shared" si="2"/>
        <v>1</v>
      </c>
    </row>
    <row r="3078">
      <c r="A3078" s="18">
        <v>1722.0</v>
      </c>
      <c r="B3078" s="18" t="s">
        <v>32</v>
      </c>
      <c r="C3078" s="18">
        <v>63.0</v>
      </c>
      <c r="D3078" s="18" t="s">
        <v>33</v>
      </c>
      <c r="E3078" s="26">
        <v>42563.345138888886</v>
      </c>
      <c r="F3078" s="19">
        <f>IFERROR(__xludf.DUMMYFUNCTION("IFERROR(TO_DATE(E3078), """")"),42563.345138888886)</f>
        <v>42563.34514</v>
      </c>
      <c r="G3078" s="20">
        <f t="shared" si="1"/>
        <v>8</v>
      </c>
      <c r="H3078" s="18" t="s">
        <v>34</v>
      </c>
      <c r="I3078" s="19" t="str">
        <f>IFERROR(__xludf.DUMMYFUNCTION("IFERROR(TO_DATE(H3078), """")"),"NA")</f>
        <v>NA</v>
      </c>
      <c r="J3078" s="19" t="s">
        <v>14</v>
      </c>
      <c r="K3078" s="22">
        <f t="shared" si="2"/>
        <v>1</v>
      </c>
    </row>
    <row r="3079">
      <c r="A3079" s="18">
        <v>2978.0</v>
      </c>
      <c r="B3079" s="18" t="s">
        <v>32</v>
      </c>
      <c r="C3079" s="18">
        <v>63.0</v>
      </c>
      <c r="D3079" s="18" t="s">
        <v>33</v>
      </c>
      <c r="E3079" s="27">
        <v>42564.2881712963</v>
      </c>
      <c r="F3079" s="19">
        <f>IFERROR(__xludf.DUMMYFUNCTION("IFERROR(TO_DATE(E3079), """")"),42564.2881712963)</f>
        <v>42564.28817</v>
      </c>
      <c r="G3079" s="20">
        <f t="shared" si="1"/>
        <v>6</v>
      </c>
      <c r="H3079" s="18" t="s">
        <v>34</v>
      </c>
      <c r="I3079" s="19" t="str">
        <f>IFERROR(__xludf.DUMMYFUNCTION("IFERROR(TO_DATE(H3079), """")"),"NA")</f>
        <v>NA</v>
      </c>
      <c r="J3079" s="19" t="s">
        <v>11</v>
      </c>
      <c r="K3079" s="22">
        <f t="shared" si="2"/>
        <v>1</v>
      </c>
    </row>
    <row r="3080">
      <c r="A3080" s="18">
        <v>2983.0</v>
      </c>
      <c r="B3080" s="18" t="s">
        <v>32</v>
      </c>
      <c r="C3080" s="18">
        <v>63.0</v>
      </c>
      <c r="D3080" s="18" t="s">
        <v>33</v>
      </c>
      <c r="E3080" s="27">
        <v>42564.297638888886</v>
      </c>
      <c r="F3080" s="19">
        <f>IFERROR(__xludf.DUMMYFUNCTION("IFERROR(TO_DATE(E3080), """")"),42564.297638888886)</f>
        <v>42564.29764</v>
      </c>
      <c r="G3080" s="20">
        <f t="shared" si="1"/>
        <v>7</v>
      </c>
      <c r="H3080" s="18" t="s">
        <v>34</v>
      </c>
      <c r="I3080" s="19" t="str">
        <f>IFERROR(__xludf.DUMMYFUNCTION("IFERROR(TO_DATE(H3080), """")"),"NA")</f>
        <v>NA</v>
      </c>
      <c r="J3080" s="19" t="s">
        <v>11</v>
      </c>
      <c r="K3080" s="22">
        <f t="shared" si="2"/>
        <v>1</v>
      </c>
    </row>
    <row r="3081">
      <c r="A3081" s="18">
        <v>3866.0</v>
      </c>
      <c r="B3081" s="18" t="s">
        <v>30</v>
      </c>
      <c r="C3081" s="18">
        <v>63.0</v>
      </c>
      <c r="D3081" s="18" t="s">
        <v>33</v>
      </c>
      <c r="E3081" s="27">
        <v>42564.90341435185</v>
      </c>
      <c r="F3081" s="19">
        <f>IFERROR(__xludf.DUMMYFUNCTION("IFERROR(TO_DATE(E3081), """")"),42564.90341435185)</f>
        <v>42564.90341</v>
      </c>
      <c r="G3081" s="20">
        <f t="shared" si="1"/>
        <v>21</v>
      </c>
      <c r="H3081" s="18" t="s">
        <v>34</v>
      </c>
      <c r="I3081" s="19" t="str">
        <f>IFERROR(__xludf.DUMMYFUNCTION("IFERROR(TO_DATE(H3081), """")"),"NA")</f>
        <v>NA</v>
      </c>
      <c r="J3081" s="19" t="s">
        <v>13</v>
      </c>
      <c r="K3081" s="22">
        <f t="shared" si="2"/>
        <v>1</v>
      </c>
    </row>
    <row r="3082">
      <c r="A3082" s="18">
        <v>4491.0</v>
      </c>
      <c r="B3082" s="18" t="s">
        <v>32</v>
      </c>
      <c r="C3082" s="18">
        <v>63.0</v>
      </c>
      <c r="D3082" s="18" t="s">
        <v>33</v>
      </c>
      <c r="E3082" s="27">
        <v>42565.372465277775</v>
      </c>
      <c r="F3082" s="19">
        <f>IFERROR(__xludf.DUMMYFUNCTION("IFERROR(TO_DATE(E3082), """")"),42565.372465277775)</f>
        <v>42565.37247</v>
      </c>
      <c r="G3082" s="20">
        <f t="shared" si="1"/>
        <v>8</v>
      </c>
      <c r="H3082" s="18" t="s">
        <v>34</v>
      </c>
      <c r="I3082" s="19" t="str">
        <f>IFERROR(__xludf.DUMMYFUNCTION("IFERROR(TO_DATE(H3082), """")"),"NA")</f>
        <v>NA</v>
      </c>
      <c r="J3082" s="19" t="s">
        <v>14</v>
      </c>
      <c r="K3082" s="22">
        <f t="shared" si="2"/>
        <v>1</v>
      </c>
    </row>
    <row r="3083">
      <c r="A3083" s="18">
        <v>4603.0</v>
      </c>
      <c r="B3083" s="18" t="s">
        <v>30</v>
      </c>
      <c r="C3083" s="18">
        <v>63.0</v>
      </c>
      <c r="D3083" s="18" t="s">
        <v>33</v>
      </c>
      <c r="E3083" s="27">
        <v>42565.43246527778</v>
      </c>
      <c r="F3083" s="19">
        <f>IFERROR(__xludf.DUMMYFUNCTION("IFERROR(TO_DATE(E3083), """")"),42565.43246527778)</f>
        <v>42565.43247</v>
      </c>
      <c r="G3083" s="20">
        <f t="shared" si="1"/>
        <v>10</v>
      </c>
      <c r="H3083" s="18" t="s">
        <v>34</v>
      </c>
      <c r="I3083" s="19" t="str">
        <f>IFERROR(__xludf.DUMMYFUNCTION("IFERROR(TO_DATE(H3083), """")"),"NA")</f>
        <v>NA</v>
      </c>
      <c r="J3083" s="19" t="s">
        <v>14</v>
      </c>
      <c r="K3083" s="22">
        <f t="shared" si="2"/>
        <v>1</v>
      </c>
    </row>
    <row r="3084">
      <c r="A3084" s="18">
        <v>1325.0</v>
      </c>
      <c r="B3084" s="18" t="s">
        <v>32</v>
      </c>
      <c r="C3084" s="18">
        <v>64.0</v>
      </c>
      <c r="D3084" s="18" t="s">
        <v>33</v>
      </c>
      <c r="E3084" s="26">
        <v>42562.9625</v>
      </c>
      <c r="F3084" s="19">
        <f>IFERROR(__xludf.DUMMYFUNCTION("IFERROR(TO_DATE(E3084), """")"),42562.9625)</f>
        <v>42562.9625</v>
      </c>
      <c r="G3084" s="20">
        <f t="shared" si="1"/>
        <v>23</v>
      </c>
      <c r="H3084" s="18" t="s">
        <v>34</v>
      </c>
      <c r="I3084" s="19" t="str">
        <f>IFERROR(__xludf.DUMMYFUNCTION("IFERROR(TO_DATE(H3084), """")"),"NA")</f>
        <v>NA</v>
      </c>
      <c r="J3084" s="19" t="s">
        <v>13</v>
      </c>
      <c r="K3084" s="22">
        <f t="shared" si="2"/>
        <v>1</v>
      </c>
    </row>
    <row r="3085">
      <c r="A3085" s="18">
        <v>3450.0</v>
      </c>
      <c r="B3085" s="18" t="s">
        <v>30</v>
      </c>
      <c r="C3085" s="18">
        <v>64.0</v>
      </c>
      <c r="D3085" s="18" t="s">
        <v>33</v>
      </c>
      <c r="E3085" s="27">
        <v>42564.70086805556</v>
      </c>
      <c r="F3085" s="19">
        <f>IFERROR(__xludf.DUMMYFUNCTION("IFERROR(TO_DATE(E3085), """")"),42564.70086805556)</f>
        <v>42564.70087</v>
      </c>
      <c r="G3085" s="20">
        <f t="shared" si="1"/>
        <v>16</v>
      </c>
      <c r="H3085" s="18" t="s">
        <v>34</v>
      </c>
      <c r="I3085" s="19" t="str">
        <f>IFERROR(__xludf.DUMMYFUNCTION("IFERROR(TO_DATE(H3085), """")"),"NA")</f>
        <v>NA</v>
      </c>
      <c r="J3085" s="19" t="s">
        <v>12</v>
      </c>
      <c r="K3085" s="22">
        <f t="shared" si="2"/>
        <v>1</v>
      </c>
    </row>
    <row r="3086">
      <c r="A3086" s="18">
        <v>4329.0</v>
      </c>
      <c r="B3086" s="18" t="s">
        <v>32</v>
      </c>
      <c r="C3086" s="18">
        <v>64.0</v>
      </c>
      <c r="D3086" s="18" t="s">
        <v>33</v>
      </c>
      <c r="E3086" s="27">
        <v>42565.297685185185</v>
      </c>
      <c r="F3086" s="19">
        <f>IFERROR(__xludf.DUMMYFUNCTION("IFERROR(TO_DATE(E3086), """")"),42565.297685185185)</f>
        <v>42565.29769</v>
      </c>
      <c r="G3086" s="20">
        <f t="shared" si="1"/>
        <v>7</v>
      </c>
      <c r="H3086" s="18" t="s">
        <v>34</v>
      </c>
      <c r="I3086" s="19" t="str">
        <f>IFERROR(__xludf.DUMMYFUNCTION("IFERROR(TO_DATE(H3086), """")"),"NA")</f>
        <v>NA</v>
      </c>
      <c r="J3086" s="19" t="s">
        <v>11</v>
      </c>
      <c r="K3086" s="22">
        <f t="shared" si="2"/>
        <v>1</v>
      </c>
    </row>
    <row r="3087">
      <c r="A3087" s="18">
        <v>1723.0</v>
      </c>
      <c r="B3087" s="18" t="s">
        <v>32</v>
      </c>
      <c r="C3087" s="18">
        <v>65.0</v>
      </c>
      <c r="D3087" s="18" t="s">
        <v>33</v>
      </c>
      <c r="E3087" s="26">
        <v>42563.34583333333</v>
      </c>
      <c r="F3087" s="19">
        <f>IFERROR(__xludf.DUMMYFUNCTION("IFERROR(TO_DATE(E3087), """")"),42563.34583333333)</f>
        <v>42563.34583</v>
      </c>
      <c r="G3087" s="20">
        <f t="shared" si="1"/>
        <v>8</v>
      </c>
      <c r="H3087" s="18" t="s">
        <v>34</v>
      </c>
      <c r="I3087" s="19" t="str">
        <f>IFERROR(__xludf.DUMMYFUNCTION("IFERROR(TO_DATE(H3087), """")"),"NA")</f>
        <v>NA</v>
      </c>
      <c r="J3087" s="19" t="s">
        <v>14</v>
      </c>
      <c r="K3087" s="22">
        <f t="shared" si="2"/>
        <v>1</v>
      </c>
    </row>
    <row r="3088">
      <c r="A3088" s="18">
        <v>3261.0</v>
      </c>
      <c r="B3088" s="18" t="s">
        <v>30</v>
      </c>
      <c r="C3088" s="18">
        <v>65.0</v>
      </c>
      <c r="D3088" s="18" t="s">
        <v>33</v>
      </c>
      <c r="E3088" s="27">
        <v>42564.43096064815</v>
      </c>
      <c r="F3088" s="19">
        <f>IFERROR(__xludf.DUMMYFUNCTION("IFERROR(TO_DATE(E3088), """")"),42564.43096064815)</f>
        <v>42564.43096</v>
      </c>
      <c r="G3088" s="20">
        <f t="shared" si="1"/>
        <v>10</v>
      </c>
      <c r="H3088" s="18" t="s">
        <v>34</v>
      </c>
      <c r="I3088" s="19" t="str">
        <f>IFERROR(__xludf.DUMMYFUNCTION("IFERROR(TO_DATE(H3088), """")"),"NA")</f>
        <v>NA</v>
      </c>
      <c r="J3088" s="19" t="s">
        <v>14</v>
      </c>
      <c r="K3088" s="22">
        <f t="shared" si="2"/>
        <v>1</v>
      </c>
    </row>
    <row r="3089">
      <c r="A3089" s="18">
        <v>3309.0</v>
      </c>
      <c r="B3089" s="18" t="s">
        <v>32</v>
      </c>
      <c r="C3089" s="18">
        <v>65.0</v>
      </c>
      <c r="D3089" s="18" t="s">
        <v>33</v>
      </c>
      <c r="E3089" s="27">
        <v>42564.499548611115</v>
      </c>
      <c r="F3089" s="19">
        <f>IFERROR(__xludf.DUMMYFUNCTION("IFERROR(TO_DATE(E3089), """")"),42564.499548611115)</f>
        <v>42564.49955</v>
      </c>
      <c r="G3089" s="20">
        <f t="shared" si="1"/>
        <v>11</v>
      </c>
      <c r="H3089" s="18" t="s">
        <v>34</v>
      </c>
      <c r="I3089" s="19" t="str">
        <f>IFERROR(__xludf.DUMMYFUNCTION("IFERROR(TO_DATE(H3089), """")"),"NA")</f>
        <v>NA</v>
      </c>
      <c r="J3089" s="19" t="s">
        <v>14</v>
      </c>
      <c r="K3089" s="22">
        <f t="shared" si="2"/>
        <v>1</v>
      </c>
    </row>
    <row r="3090">
      <c r="A3090" s="18">
        <v>3666.0</v>
      </c>
      <c r="B3090" s="18" t="s">
        <v>32</v>
      </c>
      <c r="C3090" s="18">
        <v>65.0</v>
      </c>
      <c r="D3090" s="18" t="s">
        <v>33</v>
      </c>
      <c r="E3090" s="27">
        <v>42564.80936342593</v>
      </c>
      <c r="F3090" s="19">
        <f>IFERROR(__xludf.DUMMYFUNCTION("IFERROR(TO_DATE(E3090), """")"),42564.80936342593)</f>
        <v>42564.80936</v>
      </c>
      <c r="G3090" s="20">
        <f t="shared" si="1"/>
        <v>19</v>
      </c>
      <c r="H3090" s="18" t="s">
        <v>34</v>
      </c>
      <c r="I3090" s="19" t="str">
        <f>IFERROR(__xludf.DUMMYFUNCTION("IFERROR(TO_DATE(H3090), """")"),"NA")</f>
        <v>NA</v>
      </c>
      <c r="J3090" s="19" t="s">
        <v>12</v>
      </c>
      <c r="K3090" s="22">
        <f t="shared" si="2"/>
        <v>1</v>
      </c>
    </row>
    <row r="3091">
      <c r="A3091" s="18">
        <v>6129.0</v>
      </c>
      <c r="B3091" s="18" t="s">
        <v>30</v>
      </c>
      <c r="C3091" s="18">
        <v>65.0</v>
      </c>
      <c r="D3091" s="18" t="s">
        <v>33</v>
      </c>
      <c r="E3091" s="27">
        <v>42566.650196759256</v>
      </c>
      <c r="F3091" s="19">
        <f>IFERROR(__xludf.DUMMYFUNCTION("IFERROR(TO_DATE(E3091), """")"),42566.650196759256)</f>
        <v>42566.6502</v>
      </c>
      <c r="G3091" s="20">
        <f t="shared" si="1"/>
        <v>15</v>
      </c>
      <c r="H3091" s="18" t="s">
        <v>34</v>
      </c>
      <c r="I3091" s="19" t="str">
        <f>IFERROR(__xludf.DUMMYFUNCTION("IFERROR(TO_DATE(H3091), """")"),"NA")</f>
        <v>NA</v>
      </c>
      <c r="J3091" s="19" t="s">
        <v>10</v>
      </c>
      <c r="K3091" s="22">
        <f t="shared" si="2"/>
        <v>1</v>
      </c>
    </row>
    <row r="3092">
      <c r="A3092" s="18">
        <v>1513.0</v>
      </c>
      <c r="B3092" s="18" t="s">
        <v>32</v>
      </c>
      <c r="C3092" s="18">
        <v>66.0</v>
      </c>
      <c r="D3092" s="18" t="s">
        <v>33</v>
      </c>
      <c r="E3092" s="26">
        <v>42563.23888888889</v>
      </c>
      <c r="F3092" s="19">
        <f>IFERROR(__xludf.DUMMYFUNCTION("IFERROR(TO_DATE(E3092), """")"),42563.23888888889)</f>
        <v>42563.23889</v>
      </c>
      <c r="G3092" s="20">
        <f t="shared" si="1"/>
        <v>5</v>
      </c>
      <c r="H3092" s="18" t="s">
        <v>34</v>
      </c>
      <c r="I3092" s="19" t="str">
        <f>IFERROR(__xludf.DUMMYFUNCTION("IFERROR(TO_DATE(H3092), """")"),"NA")</f>
        <v>NA</v>
      </c>
      <c r="J3092" s="19" t="s">
        <v>11</v>
      </c>
      <c r="K3092" s="22">
        <f t="shared" si="2"/>
        <v>1</v>
      </c>
    </row>
    <row r="3093">
      <c r="A3093" s="18">
        <v>2011.0</v>
      </c>
      <c r="B3093" s="18" t="s">
        <v>32</v>
      </c>
      <c r="C3093" s="18">
        <v>66.0</v>
      </c>
      <c r="D3093" s="18" t="s">
        <v>33</v>
      </c>
      <c r="E3093" s="26">
        <v>42563.5625</v>
      </c>
      <c r="F3093" s="19">
        <f>IFERROR(__xludf.DUMMYFUNCTION("IFERROR(TO_DATE(E3093), """")"),42563.5625)</f>
        <v>42563.5625</v>
      </c>
      <c r="G3093" s="20">
        <f t="shared" si="1"/>
        <v>13</v>
      </c>
      <c r="H3093" s="18" t="s">
        <v>34</v>
      </c>
      <c r="I3093" s="19" t="str">
        <f>IFERROR(__xludf.DUMMYFUNCTION("IFERROR(TO_DATE(H3093), """")"),"NA")</f>
        <v>NA</v>
      </c>
      <c r="J3093" s="19" t="s">
        <v>10</v>
      </c>
      <c r="K3093" s="22">
        <f t="shared" si="2"/>
        <v>1</v>
      </c>
    </row>
    <row r="3094">
      <c r="A3094" s="18">
        <v>2931.0</v>
      </c>
      <c r="B3094" s="18" t="s">
        <v>32</v>
      </c>
      <c r="C3094" s="18">
        <v>66.0</v>
      </c>
      <c r="D3094" s="18" t="s">
        <v>33</v>
      </c>
      <c r="E3094" s="27">
        <v>42564.2715625</v>
      </c>
      <c r="F3094" s="19">
        <f>IFERROR(__xludf.DUMMYFUNCTION("IFERROR(TO_DATE(E3094), """")"),42564.2715625)</f>
        <v>42564.27156</v>
      </c>
      <c r="G3094" s="20">
        <f t="shared" si="1"/>
        <v>6</v>
      </c>
      <c r="H3094" s="18" t="s">
        <v>34</v>
      </c>
      <c r="I3094" s="19" t="str">
        <f>IFERROR(__xludf.DUMMYFUNCTION("IFERROR(TO_DATE(H3094), """")"),"NA")</f>
        <v>NA</v>
      </c>
      <c r="J3094" s="19" t="s">
        <v>11</v>
      </c>
      <c r="K3094" s="22">
        <f t="shared" si="2"/>
        <v>1</v>
      </c>
    </row>
    <row r="3095">
      <c r="A3095" s="18">
        <v>6397.0</v>
      </c>
      <c r="B3095" s="18" t="s">
        <v>32</v>
      </c>
      <c r="C3095" s="18">
        <v>66.0</v>
      </c>
      <c r="D3095" s="18" t="s">
        <v>33</v>
      </c>
      <c r="E3095" s="27">
        <v>42566.812002314815</v>
      </c>
      <c r="F3095" s="19">
        <f>IFERROR(__xludf.DUMMYFUNCTION("IFERROR(TO_DATE(E3095), """")"),42566.812002314815)</f>
        <v>42566.812</v>
      </c>
      <c r="G3095" s="20">
        <f t="shared" si="1"/>
        <v>19</v>
      </c>
      <c r="H3095" s="18" t="s">
        <v>34</v>
      </c>
      <c r="I3095" s="19" t="str">
        <f>IFERROR(__xludf.DUMMYFUNCTION("IFERROR(TO_DATE(H3095), """")"),"NA")</f>
        <v>NA</v>
      </c>
      <c r="J3095" s="19" t="s">
        <v>12</v>
      </c>
      <c r="K3095" s="22">
        <f t="shared" si="2"/>
        <v>1</v>
      </c>
    </row>
    <row r="3096">
      <c r="A3096" s="18">
        <v>176.0</v>
      </c>
      <c r="B3096" s="18" t="s">
        <v>32</v>
      </c>
      <c r="C3096" s="18">
        <v>67.0</v>
      </c>
      <c r="D3096" s="18" t="s">
        <v>33</v>
      </c>
      <c r="E3096" s="26">
        <v>42562.2375</v>
      </c>
      <c r="F3096" s="19">
        <f>IFERROR(__xludf.DUMMYFUNCTION("IFERROR(TO_DATE(E3096), """")"),42562.2375)</f>
        <v>42562.2375</v>
      </c>
      <c r="G3096" s="20">
        <f t="shared" si="1"/>
        <v>5</v>
      </c>
      <c r="H3096" s="18" t="s">
        <v>34</v>
      </c>
      <c r="I3096" s="19" t="str">
        <f>IFERROR(__xludf.DUMMYFUNCTION("IFERROR(TO_DATE(H3096), """")"),"NA")</f>
        <v>NA</v>
      </c>
      <c r="J3096" s="19" t="s">
        <v>11</v>
      </c>
      <c r="K3096" s="22">
        <f t="shared" si="2"/>
        <v>1</v>
      </c>
    </row>
    <row r="3097">
      <c r="A3097" s="18">
        <v>3180.0</v>
      </c>
      <c r="B3097" s="18" t="s">
        <v>32</v>
      </c>
      <c r="C3097" s="18">
        <v>67.0</v>
      </c>
      <c r="D3097" s="18" t="s">
        <v>33</v>
      </c>
      <c r="E3097" s="27">
        <v>42564.39152777778</v>
      </c>
      <c r="F3097" s="19">
        <f>IFERROR(__xludf.DUMMYFUNCTION("IFERROR(TO_DATE(E3097), """")"),42564.39152777778)</f>
        <v>42564.39153</v>
      </c>
      <c r="G3097" s="20">
        <f t="shared" si="1"/>
        <v>9</v>
      </c>
      <c r="H3097" s="18" t="s">
        <v>34</v>
      </c>
      <c r="I3097" s="19" t="str">
        <f>IFERROR(__xludf.DUMMYFUNCTION("IFERROR(TO_DATE(H3097), """")"),"NA")</f>
        <v>NA</v>
      </c>
      <c r="J3097" s="19" t="s">
        <v>14</v>
      </c>
      <c r="K3097" s="22">
        <f t="shared" si="2"/>
        <v>1</v>
      </c>
    </row>
    <row r="3098">
      <c r="A3098" s="18">
        <v>3238.0</v>
      </c>
      <c r="B3098" s="18" t="s">
        <v>32</v>
      </c>
      <c r="C3098" s="18">
        <v>67.0</v>
      </c>
      <c r="D3098" s="18" t="s">
        <v>33</v>
      </c>
      <c r="E3098" s="27">
        <v>42564.419652777775</v>
      </c>
      <c r="F3098" s="19">
        <f>IFERROR(__xludf.DUMMYFUNCTION("IFERROR(TO_DATE(E3098), """")"),42564.419652777775)</f>
        <v>42564.41965</v>
      </c>
      <c r="G3098" s="20">
        <f t="shared" si="1"/>
        <v>10</v>
      </c>
      <c r="H3098" s="18" t="s">
        <v>34</v>
      </c>
      <c r="I3098" s="19" t="str">
        <f>IFERROR(__xludf.DUMMYFUNCTION("IFERROR(TO_DATE(H3098), """")"),"NA")</f>
        <v>NA</v>
      </c>
      <c r="J3098" s="19" t="s">
        <v>14</v>
      </c>
      <c r="K3098" s="22">
        <f t="shared" si="2"/>
        <v>1</v>
      </c>
    </row>
    <row r="3099">
      <c r="A3099" s="18">
        <v>4360.0</v>
      </c>
      <c r="B3099" s="18" t="s">
        <v>32</v>
      </c>
      <c r="C3099" s="18">
        <v>67.0</v>
      </c>
      <c r="D3099" s="18" t="s">
        <v>33</v>
      </c>
      <c r="E3099" s="27">
        <v>42565.31284722222</v>
      </c>
      <c r="F3099" s="19">
        <f>IFERROR(__xludf.DUMMYFUNCTION("IFERROR(TO_DATE(E3099), """")"),42565.31284722222)</f>
        <v>42565.31285</v>
      </c>
      <c r="G3099" s="20">
        <f t="shared" si="1"/>
        <v>7</v>
      </c>
      <c r="H3099" s="18" t="s">
        <v>34</v>
      </c>
      <c r="I3099" s="19" t="str">
        <f>IFERROR(__xludf.DUMMYFUNCTION("IFERROR(TO_DATE(H3099), """")"),"NA")</f>
        <v>NA</v>
      </c>
      <c r="J3099" s="19" t="s">
        <v>11</v>
      </c>
      <c r="K3099" s="22">
        <f t="shared" si="2"/>
        <v>1</v>
      </c>
    </row>
    <row r="3100">
      <c r="A3100" s="18">
        <v>6717.0</v>
      </c>
      <c r="B3100" s="18" t="s">
        <v>32</v>
      </c>
      <c r="C3100" s="18">
        <v>67.0</v>
      </c>
      <c r="D3100" s="18" t="s">
        <v>33</v>
      </c>
      <c r="E3100" s="27">
        <v>42566.96690972222</v>
      </c>
      <c r="F3100" s="19">
        <f>IFERROR(__xludf.DUMMYFUNCTION("IFERROR(TO_DATE(E3100), """")"),42566.96690972222)</f>
        <v>42566.96691</v>
      </c>
      <c r="G3100" s="20">
        <f t="shared" si="1"/>
        <v>23</v>
      </c>
      <c r="H3100" s="18" t="s">
        <v>34</v>
      </c>
      <c r="I3100" s="19" t="str">
        <f>IFERROR(__xludf.DUMMYFUNCTION("IFERROR(TO_DATE(H3100), """")"),"NA")</f>
        <v>NA</v>
      </c>
      <c r="J3100" s="19" t="s">
        <v>13</v>
      </c>
      <c r="K3100" s="22">
        <f t="shared" si="2"/>
        <v>1</v>
      </c>
    </row>
    <row r="3101">
      <c r="A3101" s="18">
        <v>386.0</v>
      </c>
      <c r="B3101" s="18" t="s">
        <v>32</v>
      </c>
      <c r="C3101" s="18">
        <v>68.0</v>
      </c>
      <c r="D3101" s="18" t="s">
        <v>33</v>
      </c>
      <c r="E3101" s="26">
        <v>42562.353472222225</v>
      </c>
      <c r="F3101" s="19">
        <f>IFERROR(__xludf.DUMMYFUNCTION("IFERROR(TO_DATE(E3101), """")"),42562.353472222225)</f>
        <v>42562.35347</v>
      </c>
      <c r="G3101" s="20">
        <f t="shared" si="1"/>
        <v>8</v>
      </c>
      <c r="H3101" s="18" t="s">
        <v>34</v>
      </c>
      <c r="I3101" s="19" t="str">
        <f>IFERROR(__xludf.DUMMYFUNCTION("IFERROR(TO_DATE(H3101), """")"),"NA")</f>
        <v>NA</v>
      </c>
      <c r="J3101" s="19" t="s">
        <v>14</v>
      </c>
      <c r="K3101" s="22">
        <f t="shared" si="2"/>
        <v>1</v>
      </c>
    </row>
    <row r="3102">
      <c r="A3102" s="18">
        <v>528.0</v>
      </c>
      <c r="B3102" s="18" t="s">
        <v>32</v>
      </c>
      <c r="C3102" s="18">
        <v>68.0</v>
      </c>
      <c r="D3102" s="18" t="s">
        <v>33</v>
      </c>
      <c r="E3102" s="26">
        <v>42562.40972222222</v>
      </c>
      <c r="F3102" s="19">
        <f>IFERROR(__xludf.DUMMYFUNCTION("IFERROR(TO_DATE(E3102), """")"),42562.40972222222)</f>
        <v>42562.40972</v>
      </c>
      <c r="G3102" s="20">
        <f t="shared" si="1"/>
        <v>9</v>
      </c>
      <c r="H3102" s="18" t="s">
        <v>34</v>
      </c>
      <c r="I3102" s="19" t="str">
        <f>IFERROR(__xludf.DUMMYFUNCTION("IFERROR(TO_DATE(H3102), """")"),"NA")</f>
        <v>NA</v>
      </c>
      <c r="J3102" s="19" t="s">
        <v>14</v>
      </c>
      <c r="K3102" s="22">
        <f t="shared" si="2"/>
        <v>1</v>
      </c>
    </row>
    <row r="3103">
      <c r="A3103" s="18">
        <v>2556.0</v>
      </c>
      <c r="B3103" s="18" t="s">
        <v>30</v>
      </c>
      <c r="C3103" s="18">
        <v>68.0</v>
      </c>
      <c r="D3103" s="18" t="s">
        <v>33</v>
      </c>
      <c r="E3103" s="26">
        <v>42563.89166666667</v>
      </c>
      <c r="F3103" s="19">
        <f>IFERROR(__xludf.DUMMYFUNCTION("IFERROR(TO_DATE(E3103), """")"),42563.89166666667)</f>
        <v>42563.89167</v>
      </c>
      <c r="G3103" s="20">
        <f t="shared" si="1"/>
        <v>21</v>
      </c>
      <c r="H3103" s="18" t="s">
        <v>34</v>
      </c>
      <c r="I3103" s="19" t="str">
        <f>IFERROR(__xludf.DUMMYFUNCTION("IFERROR(TO_DATE(H3103), """")"),"NA")</f>
        <v>NA</v>
      </c>
      <c r="J3103" s="19" t="s">
        <v>13</v>
      </c>
      <c r="K3103" s="22">
        <f t="shared" si="2"/>
        <v>1</v>
      </c>
    </row>
    <row r="3104">
      <c r="A3104" s="18">
        <v>3286.0</v>
      </c>
      <c r="B3104" s="18" t="s">
        <v>32</v>
      </c>
      <c r="C3104" s="18">
        <v>68.0</v>
      </c>
      <c r="D3104" s="18" t="s">
        <v>33</v>
      </c>
      <c r="E3104" s="27">
        <v>42564.46581018518</v>
      </c>
      <c r="F3104" s="19">
        <f>IFERROR(__xludf.DUMMYFUNCTION("IFERROR(TO_DATE(E3104), """")"),42564.46581018518)</f>
        <v>42564.46581</v>
      </c>
      <c r="G3104" s="20">
        <f t="shared" si="1"/>
        <v>11</v>
      </c>
      <c r="H3104" s="18" t="s">
        <v>34</v>
      </c>
      <c r="I3104" s="19" t="str">
        <f>IFERROR(__xludf.DUMMYFUNCTION("IFERROR(TO_DATE(H3104), """")"),"NA")</f>
        <v>NA</v>
      </c>
      <c r="J3104" s="19" t="s">
        <v>14</v>
      </c>
      <c r="K3104" s="22">
        <f t="shared" si="2"/>
        <v>1</v>
      </c>
    </row>
    <row r="3105">
      <c r="A3105" s="18">
        <v>5805.0</v>
      </c>
      <c r="B3105" s="18" t="s">
        <v>32</v>
      </c>
      <c r="C3105" s="18">
        <v>68.0</v>
      </c>
      <c r="D3105" s="18" t="s">
        <v>33</v>
      </c>
      <c r="E3105" s="27">
        <v>42566.35890046296</v>
      </c>
      <c r="F3105" s="19">
        <f>IFERROR(__xludf.DUMMYFUNCTION("IFERROR(TO_DATE(E3105), """")"),42566.35890046296)</f>
        <v>42566.3589</v>
      </c>
      <c r="G3105" s="20">
        <f t="shared" si="1"/>
        <v>8</v>
      </c>
      <c r="H3105" s="18" t="s">
        <v>34</v>
      </c>
      <c r="I3105" s="19" t="str">
        <f>IFERROR(__xludf.DUMMYFUNCTION("IFERROR(TO_DATE(H3105), """")"),"NA")</f>
        <v>NA</v>
      </c>
      <c r="J3105" s="19" t="s">
        <v>14</v>
      </c>
      <c r="K3105" s="22">
        <f t="shared" si="2"/>
        <v>1</v>
      </c>
    </row>
    <row r="3106">
      <c r="A3106" s="18">
        <v>5911.0</v>
      </c>
      <c r="B3106" s="18" t="s">
        <v>32</v>
      </c>
      <c r="C3106" s="18">
        <v>68.0</v>
      </c>
      <c r="D3106" s="18" t="s">
        <v>33</v>
      </c>
      <c r="E3106" s="27">
        <v>42566.41244212963</v>
      </c>
      <c r="F3106" s="19">
        <f>IFERROR(__xludf.DUMMYFUNCTION("IFERROR(TO_DATE(E3106), """")"),42566.41244212963)</f>
        <v>42566.41244</v>
      </c>
      <c r="G3106" s="20">
        <f t="shared" si="1"/>
        <v>9</v>
      </c>
      <c r="H3106" s="18" t="s">
        <v>34</v>
      </c>
      <c r="I3106" s="19" t="str">
        <f>IFERROR(__xludf.DUMMYFUNCTION("IFERROR(TO_DATE(H3106), """")"),"NA")</f>
        <v>NA</v>
      </c>
      <c r="J3106" s="19" t="s">
        <v>14</v>
      </c>
      <c r="K3106" s="22">
        <f t="shared" si="2"/>
        <v>1</v>
      </c>
    </row>
    <row r="3107">
      <c r="A3107" s="18">
        <v>245.0</v>
      </c>
      <c r="B3107" s="18" t="s">
        <v>32</v>
      </c>
      <c r="C3107" s="18">
        <v>69.0</v>
      </c>
      <c r="D3107" s="18" t="s">
        <v>33</v>
      </c>
      <c r="E3107" s="26">
        <v>42562.27291666667</v>
      </c>
      <c r="F3107" s="19">
        <f>IFERROR(__xludf.DUMMYFUNCTION("IFERROR(TO_DATE(E3107), """")"),42562.27291666667)</f>
        <v>42562.27292</v>
      </c>
      <c r="G3107" s="20">
        <f t="shared" si="1"/>
        <v>6</v>
      </c>
      <c r="H3107" s="18" t="s">
        <v>34</v>
      </c>
      <c r="I3107" s="19" t="str">
        <f>IFERROR(__xludf.DUMMYFUNCTION("IFERROR(TO_DATE(H3107), """")"),"NA")</f>
        <v>NA</v>
      </c>
      <c r="J3107" s="19" t="s">
        <v>11</v>
      </c>
      <c r="K3107" s="22">
        <f t="shared" si="2"/>
        <v>1</v>
      </c>
    </row>
    <row r="3108">
      <c r="A3108" s="18">
        <v>1532.0</v>
      </c>
      <c r="B3108" s="18" t="s">
        <v>32</v>
      </c>
      <c r="C3108" s="18">
        <v>69.0</v>
      </c>
      <c r="D3108" s="18" t="s">
        <v>33</v>
      </c>
      <c r="E3108" s="26">
        <v>42563.245833333334</v>
      </c>
      <c r="F3108" s="19">
        <f>IFERROR(__xludf.DUMMYFUNCTION("IFERROR(TO_DATE(E3108), """")"),42563.245833333334)</f>
        <v>42563.24583</v>
      </c>
      <c r="G3108" s="20">
        <f t="shared" si="1"/>
        <v>5</v>
      </c>
      <c r="H3108" s="18" t="s">
        <v>34</v>
      </c>
      <c r="I3108" s="19" t="str">
        <f>IFERROR(__xludf.DUMMYFUNCTION("IFERROR(TO_DATE(H3108), """")"),"NA")</f>
        <v>NA</v>
      </c>
      <c r="J3108" s="19" t="s">
        <v>11</v>
      </c>
      <c r="K3108" s="22">
        <f t="shared" si="2"/>
        <v>1</v>
      </c>
    </row>
    <row r="3109">
      <c r="A3109" s="18">
        <v>3161.0</v>
      </c>
      <c r="B3109" s="18" t="s">
        <v>32</v>
      </c>
      <c r="C3109" s="18">
        <v>69.0</v>
      </c>
      <c r="D3109" s="18" t="s">
        <v>33</v>
      </c>
      <c r="E3109" s="27">
        <v>42564.37913194444</v>
      </c>
      <c r="F3109" s="19">
        <f>IFERROR(__xludf.DUMMYFUNCTION("IFERROR(TO_DATE(E3109), """")"),42564.37913194444)</f>
        <v>42564.37913</v>
      </c>
      <c r="G3109" s="20">
        <f t="shared" si="1"/>
        <v>9</v>
      </c>
      <c r="H3109" s="18" t="s">
        <v>34</v>
      </c>
      <c r="I3109" s="19" t="str">
        <f>IFERROR(__xludf.DUMMYFUNCTION("IFERROR(TO_DATE(H3109), """")"),"NA")</f>
        <v>NA</v>
      </c>
      <c r="J3109" s="19" t="s">
        <v>14</v>
      </c>
      <c r="K3109" s="22">
        <f t="shared" si="2"/>
        <v>1</v>
      </c>
    </row>
    <row r="3110">
      <c r="A3110" s="18">
        <v>3523.0</v>
      </c>
      <c r="B3110" s="18" t="s">
        <v>30</v>
      </c>
      <c r="C3110" s="18">
        <v>69.0</v>
      </c>
      <c r="D3110" s="18" t="s">
        <v>33</v>
      </c>
      <c r="E3110" s="27">
        <v>42564.74150462963</v>
      </c>
      <c r="F3110" s="19">
        <f>IFERROR(__xludf.DUMMYFUNCTION("IFERROR(TO_DATE(E3110), """")"),42564.74150462963)</f>
        <v>42564.7415</v>
      </c>
      <c r="G3110" s="20">
        <f t="shared" si="1"/>
        <v>17</v>
      </c>
      <c r="H3110" s="18" t="s">
        <v>34</v>
      </c>
      <c r="I3110" s="19" t="str">
        <f>IFERROR(__xludf.DUMMYFUNCTION("IFERROR(TO_DATE(H3110), """")"),"NA")</f>
        <v>NA</v>
      </c>
      <c r="J3110" s="19" t="s">
        <v>12</v>
      </c>
      <c r="K3110" s="22">
        <f t="shared" si="2"/>
        <v>1</v>
      </c>
    </row>
    <row r="3111">
      <c r="A3111" s="18">
        <v>4278.0</v>
      </c>
      <c r="B3111" s="18" t="s">
        <v>32</v>
      </c>
      <c r="C3111" s="18">
        <v>69.0</v>
      </c>
      <c r="D3111" s="18" t="s">
        <v>33</v>
      </c>
      <c r="E3111" s="27">
        <v>42565.268171296295</v>
      </c>
      <c r="F3111" s="19">
        <f>IFERROR(__xludf.DUMMYFUNCTION("IFERROR(TO_DATE(E3111), """")"),42565.268171296295)</f>
        <v>42565.26817</v>
      </c>
      <c r="G3111" s="20">
        <f t="shared" si="1"/>
        <v>6</v>
      </c>
      <c r="H3111" s="18" t="s">
        <v>34</v>
      </c>
      <c r="I3111" s="19" t="str">
        <f>IFERROR(__xludf.DUMMYFUNCTION("IFERROR(TO_DATE(H3111), """")"),"NA")</f>
        <v>NA</v>
      </c>
      <c r="J3111" s="19" t="s">
        <v>11</v>
      </c>
      <c r="K3111" s="22">
        <f t="shared" si="2"/>
        <v>1</v>
      </c>
    </row>
    <row r="3112">
      <c r="A3112" s="18">
        <v>5835.0</v>
      </c>
      <c r="B3112" s="18" t="s">
        <v>32</v>
      </c>
      <c r="C3112" s="18">
        <v>69.0</v>
      </c>
      <c r="D3112" s="18" t="s">
        <v>33</v>
      </c>
      <c r="E3112" s="27">
        <v>42566.37070601852</v>
      </c>
      <c r="F3112" s="19">
        <f>IFERROR(__xludf.DUMMYFUNCTION("IFERROR(TO_DATE(E3112), """")"),42566.37070601852)</f>
        <v>42566.37071</v>
      </c>
      <c r="G3112" s="20">
        <f t="shared" si="1"/>
        <v>8</v>
      </c>
      <c r="H3112" s="18" t="s">
        <v>34</v>
      </c>
      <c r="I3112" s="19" t="str">
        <f>IFERROR(__xludf.DUMMYFUNCTION("IFERROR(TO_DATE(H3112), """")"),"NA")</f>
        <v>NA</v>
      </c>
      <c r="J3112" s="19" t="s">
        <v>14</v>
      </c>
      <c r="K3112" s="22">
        <f t="shared" si="2"/>
        <v>1</v>
      </c>
    </row>
    <row r="3113">
      <c r="A3113" s="18">
        <v>99.0</v>
      </c>
      <c r="B3113" s="18" t="s">
        <v>32</v>
      </c>
      <c r="C3113" s="18">
        <v>70.0</v>
      </c>
      <c r="D3113" s="18" t="s">
        <v>33</v>
      </c>
      <c r="E3113" s="26">
        <v>42562.208333333336</v>
      </c>
      <c r="F3113" s="19">
        <f>IFERROR(__xludf.DUMMYFUNCTION("IFERROR(TO_DATE(E3113), """")"),42562.208333333336)</f>
        <v>42562.20833</v>
      </c>
      <c r="G3113" s="20">
        <f t="shared" si="1"/>
        <v>5</v>
      </c>
      <c r="H3113" s="18" t="s">
        <v>34</v>
      </c>
      <c r="I3113" s="19" t="str">
        <f>IFERROR(__xludf.DUMMYFUNCTION("IFERROR(TO_DATE(H3113), """")"),"NA")</f>
        <v>NA</v>
      </c>
      <c r="J3113" s="19" t="s">
        <v>11</v>
      </c>
      <c r="K3113" s="22">
        <f t="shared" si="2"/>
        <v>1</v>
      </c>
    </row>
    <row r="3114">
      <c r="A3114" s="18">
        <v>162.0</v>
      </c>
      <c r="B3114" s="18" t="s">
        <v>32</v>
      </c>
      <c r="C3114" s="18">
        <v>70.0</v>
      </c>
      <c r="D3114" s="18" t="s">
        <v>33</v>
      </c>
      <c r="E3114" s="26">
        <v>42562.231944444444</v>
      </c>
      <c r="F3114" s="19">
        <f>IFERROR(__xludf.DUMMYFUNCTION("IFERROR(TO_DATE(E3114), """")"),42562.231944444444)</f>
        <v>42562.23194</v>
      </c>
      <c r="G3114" s="20">
        <f t="shared" si="1"/>
        <v>5</v>
      </c>
      <c r="H3114" s="18" t="s">
        <v>34</v>
      </c>
      <c r="I3114" s="19" t="str">
        <f>IFERROR(__xludf.DUMMYFUNCTION("IFERROR(TO_DATE(H3114), """")"),"NA")</f>
        <v>NA</v>
      </c>
      <c r="J3114" s="19" t="s">
        <v>11</v>
      </c>
      <c r="K3114" s="22">
        <f t="shared" si="2"/>
        <v>1</v>
      </c>
    </row>
    <row r="3115">
      <c r="A3115" s="18">
        <v>307.0</v>
      </c>
      <c r="B3115" s="18" t="s">
        <v>32</v>
      </c>
      <c r="C3115" s="18">
        <v>70.0</v>
      </c>
      <c r="D3115" s="18" t="s">
        <v>33</v>
      </c>
      <c r="E3115" s="26">
        <v>42562.305555555555</v>
      </c>
      <c r="F3115" s="19">
        <f>IFERROR(__xludf.DUMMYFUNCTION("IFERROR(TO_DATE(E3115), """")"),42562.305555555555)</f>
        <v>42562.30556</v>
      </c>
      <c r="G3115" s="20">
        <f t="shared" si="1"/>
        <v>7</v>
      </c>
      <c r="H3115" s="18" t="s">
        <v>34</v>
      </c>
      <c r="I3115" s="19" t="str">
        <f>IFERROR(__xludf.DUMMYFUNCTION("IFERROR(TO_DATE(H3115), """")"),"NA")</f>
        <v>NA</v>
      </c>
      <c r="J3115" s="19" t="s">
        <v>11</v>
      </c>
      <c r="K3115" s="22">
        <f t="shared" si="2"/>
        <v>1</v>
      </c>
    </row>
    <row r="3116">
      <c r="A3116" s="18">
        <v>1767.0</v>
      </c>
      <c r="B3116" s="18" t="s">
        <v>32</v>
      </c>
      <c r="C3116" s="18">
        <v>70.0</v>
      </c>
      <c r="D3116" s="18" t="s">
        <v>33</v>
      </c>
      <c r="E3116" s="26">
        <v>42563.365277777775</v>
      </c>
      <c r="F3116" s="19">
        <f>IFERROR(__xludf.DUMMYFUNCTION("IFERROR(TO_DATE(E3116), """")"),42563.365277777775)</f>
        <v>42563.36528</v>
      </c>
      <c r="G3116" s="20">
        <f t="shared" si="1"/>
        <v>8</v>
      </c>
      <c r="H3116" s="18" t="s">
        <v>34</v>
      </c>
      <c r="I3116" s="19" t="str">
        <f>IFERROR(__xludf.DUMMYFUNCTION("IFERROR(TO_DATE(H3116), """")"),"NA")</f>
        <v>NA</v>
      </c>
      <c r="J3116" s="19" t="s">
        <v>14</v>
      </c>
      <c r="K3116" s="22">
        <f t="shared" si="2"/>
        <v>1</v>
      </c>
    </row>
    <row r="3117">
      <c r="A3117" s="18">
        <v>5502.0</v>
      </c>
      <c r="B3117" s="18" t="s">
        <v>32</v>
      </c>
      <c r="C3117" s="18">
        <v>70.0</v>
      </c>
      <c r="D3117" s="18" t="s">
        <v>33</v>
      </c>
      <c r="E3117" s="27">
        <v>42566.21071759259</v>
      </c>
      <c r="F3117" s="19">
        <f>IFERROR(__xludf.DUMMYFUNCTION("IFERROR(TO_DATE(E3117), """")"),42566.21071759259)</f>
        <v>42566.21072</v>
      </c>
      <c r="G3117" s="20">
        <f t="shared" si="1"/>
        <v>5</v>
      </c>
      <c r="H3117" s="18" t="s">
        <v>34</v>
      </c>
      <c r="I3117" s="19" t="str">
        <f>IFERROR(__xludf.DUMMYFUNCTION("IFERROR(TO_DATE(H3117), """")"),"NA")</f>
        <v>NA</v>
      </c>
      <c r="J3117" s="19" t="s">
        <v>11</v>
      </c>
      <c r="K3117" s="22">
        <f t="shared" si="2"/>
        <v>1</v>
      </c>
    </row>
    <row r="3118">
      <c r="A3118" s="18">
        <v>5644.0</v>
      </c>
      <c r="B3118" s="18" t="s">
        <v>32</v>
      </c>
      <c r="C3118" s="18">
        <v>70.0</v>
      </c>
      <c r="D3118" s="18" t="s">
        <v>33</v>
      </c>
      <c r="E3118" s="27">
        <v>42566.28511574074</v>
      </c>
      <c r="F3118" s="19">
        <f>IFERROR(__xludf.DUMMYFUNCTION("IFERROR(TO_DATE(E3118), """")"),42566.28511574074)</f>
        <v>42566.28512</v>
      </c>
      <c r="G3118" s="20">
        <f t="shared" si="1"/>
        <v>6</v>
      </c>
      <c r="H3118" s="18" t="s">
        <v>34</v>
      </c>
      <c r="I3118" s="19" t="str">
        <f>IFERROR(__xludf.DUMMYFUNCTION("IFERROR(TO_DATE(H3118), """")"),"NA")</f>
        <v>NA</v>
      </c>
      <c r="J3118" s="19" t="s">
        <v>11</v>
      </c>
      <c r="K3118" s="22">
        <f t="shared" si="2"/>
        <v>1</v>
      </c>
    </row>
    <row r="3119">
      <c r="A3119" s="18">
        <v>5736.0</v>
      </c>
      <c r="B3119" s="18" t="s">
        <v>32</v>
      </c>
      <c r="C3119" s="18">
        <v>70.0</v>
      </c>
      <c r="D3119" s="18" t="s">
        <v>33</v>
      </c>
      <c r="E3119" s="27">
        <v>42566.326886574076</v>
      </c>
      <c r="F3119" s="19">
        <f>IFERROR(__xludf.DUMMYFUNCTION("IFERROR(TO_DATE(E3119), """")"),42566.326886574076)</f>
        <v>42566.32689</v>
      </c>
      <c r="G3119" s="20">
        <f t="shared" si="1"/>
        <v>7</v>
      </c>
      <c r="H3119" s="18" t="s">
        <v>34</v>
      </c>
      <c r="I3119" s="19" t="str">
        <f>IFERROR(__xludf.DUMMYFUNCTION("IFERROR(TO_DATE(H3119), """")"),"NA")</f>
        <v>NA</v>
      </c>
      <c r="J3119" s="19" t="s">
        <v>11</v>
      </c>
      <c r="K3119" s="22">
        <f t="shared" si="2"/>
        <v>1</v>
      </c>
    </row>
    <row r="3120">
      <c r="A3120" s="18">
        <v>3808.0</v>
      </c>
      <c r="B3120" s="18" t="s">
        <v>30</v>
      </c>
      <c r="C3120" s="18">
        <v>71.0</v>
      </c>
      <c r="D3120" s="18" t="s">
        <v>33</v>
      </c>
      <c r="E3120" s="27">
        <v>42564.874074074076</v>
      </c>
      <c r="F3120" s="19">
        <f>IFERROR(__xludf.DUMMYFUNCTION("IFERROR(TO_DATE(E3120), """")"),42564.874074074076)</f>
        <v>42564.87407</v>
      </c>
      <c r="G3120" s="20">
        <f t="shared" si="1"/>
        <v>20</v>
      </c>
      <c r="H3120" s="18" t="s">
        <v>34</v>
      </c>
      <c r="I3120" s="19" t="str">
        <f>IFERROR(__xludf.DUMMYFUNCTION("IFERROR(TO_DATE(H3120), """")"),"NA")</f>
        <v>NA</v>
      </c>
      <c r="J3120" s="19" t="s">
        <v>13</v>
      </c>
      <c r="K3120" s="22">
        <f t="shared" si="2"/>
        <v>1</v>
      </c>
    </row>
    <row r="3121">
      <c r="A3121" s="18">
        <v>5831.0</v>
      </c>
      <c r="B3121" s="18" t="s">
        <v>32</v>
      </c>
      <c r="C3121" s="18">
        <v>71.0</v>
      </c>
      <c r="D3121" s="18" t="s">
        <v>33</v>
      </c>
      <c r="E3121" s="27">
        <v>42566.37226851852</v>
      </c>
      <c r="F3121" s="19">
        <f>IFERROR(__xludf.DUMMYFUNCTION("IFERROR(TO_DATE(E3121), """")"),42566.37226851852)</f>
        <v>42566.37227</v>
      </c>
      <c r="G3121" s="20">
        <f t="shared" si="1"/>
        <v>8</v>
      </c>
      <c r="H3121" s="18" t="s">
        <v>34</v>
      </c>
      <c r="I3121" s="19" t="str">
        <f>IFERROR(__xludf.DUMMYFUNCTION("IFERROR(TO_DATE(H3121), """")"),"NA")</f>
        <v>NA</v>
      </c>
      <c r="J3121" s="19" t="s">
        <v>14</v>
      </c>
      <c r="K3121" s="22">
        <f t="shared" si="2"/>
        <v>1</v>
      </c>
    </row>
    <row r="3122">
      <c r="A3122" s="18">
        <v>5980.0</v>
      </c>
      <c r="B3122" s="18" t="s">
        <v>32</v>
      </c>
      <c r="C3122" s="18">
        <v>71.0</v>
      </c>
      <c r="D3122" s="18" t="s">
        <v>33</v>
      </c>
      <c r="E3122" s="27">
        <v>42566.48608796296</v>
      </c>
      <c r="F3122" s="19">
        <f>IFERROR(__xludf.DUMMYFUNCTION("IFERROR(TO_DATE(E3122), """")"),42566.48608796296)</f>
        <v>42566.48609</v>
      </c>
      <c r="G3122" s="20">
        <f t="shared" si="1"/>
        <v>11</v>
      </c>
      <c r="H3122" s="18" t="s">
        <v>34</v>
      </c>
      <c r="I3122" s="19" t="str">
        <f>IFERROR(__xludf.DUMMYFUNCTION("IFERROR(TO_DATE(H3122), """")"),"NA")</f>
        <v>NA</v>
      </c>
      <c r="J3122" s="19" t="s">
        <v>14</v>
      </c>
      <c r="K3122" s="22">
        <f t="shared" si="2"/>
        <v>1</v>
      </c>
    </row>
    <row r="3123">
      <c r="A3123" s="18">
        <v>353.0</v>
      </c>
      <c r="B3123" s="18" t="s">
        <v>32</v>
      </c>
      <c r="C3123" s="18">
        <v>72.0</v>
      </c>
      <c r="D3123" s="18" t="s">
        <v>33</v>
      </c>
      <c r="E3123" s="26">
        <v>42562.32986111111</v>
      </c>
      <c r="F3123" s="19">
        <f>IFERROR(__xludf.DUMMYFUNCTION("IFERROR(TO_DATE(E3123), """")"),42562.32986111111)</f>
        <v>42562.32986</v>
      </c>
      <c r="G3123" s="20">
        <f t="shared" si="1"/>
        <v>7</v>
      </c>
      <c r="H3123" s="18" t="s">
        <v>34</v>
      </c>
      <c r="I3123" s="19" t="str">
        <f>IFERROR(__xludf.DUMMYFUNCTION("IFERROR(TO_DATE(H3123), """")"),"NA")</f>
        <v>NA</v>
      </c>
      <c r="J3123" s="19" t="s">
        <v>11</v>
      </c>
      <c r="K3123" s="22">
        <f t="shared" si="2"/>
        <v>1</v>
      </c>
    </row>
    <row r="3124">
      <c r="A3124" s="18">
        <v>397.0</v>
      </c>
      <c r="B3124" s="18" t="s">
        <v>32</v>
      </c>
      <c r="C3124" s="18">
        <v>72.0</v>
      </c>
      <c r="D3124" s="18" t="s">
        <v>33</v>
      </c>
      <c r="E3124" s="26">
        <v>42562.34930555556</v>
      </c>
      <c r="F3124" s="19">
        <f>IFERROR(__xludf.DUMMYFUNCTION("IFERROR(TO_DATE(E3124), """")"),42562.34930555556)</f>
        <v>42562.34931</v>
      </c>
      <c r="G3124" s="20">
        <f t="shared" si="1"/>
        <v>8</v>
      </c>
      <c r="H3124" s="18" t="s">
        <v>34</v>
      </c>
      <c r="I3124" s="19" t="str">
        <f>IFERROR(__xludf.DUMMYFUNCTION("IFERROR(TO_DATE(H3124), """")"),"NA")</f>
        <v>NA</v>
      </c>
      <c r="J3124" s="19" t="s">
        <v>14</v>
      </c>
      <c r="K3124" s="22">
        <f t="shared" si="2"/>
        <v>1</v>
      </c>
    </row>
    <row r="3125">
      <c r="A3125" s="18">
        <v>1843.0</v>
      </c>
      <c r="B3125" s="18" t="s">
        <v>32</v>
      </c>
      <c r="C3125" s="18">
        <v>72.0</v>
      </c>
      <c r="D3125" s="18" t="s">
        <v>33</v>
      </c>
      <c r="E3125" s="26">
        <v>42563.402083333334</v>
      </c>
      <c r="F3125" s="19">
        <f>IFERROR(__xludf.DUMMYFUNCTION("IFERROR(TO_DATE(E3125), """")"),42563.402083333334)</f>
        <v>42563.40208</v>
      </c>
      <c r="G3125" s="20">
        <f t="shared" si="1"/>
        <v>9</v>
      </c>
      <c r="H3125" s="18" t="s">
        <v>34</v>
      </c>
      <c r="I3125" s="19" t="str">
        <f>IFERROR(__xludf.DUMMYFUNCTION("IFERROR(TO_DATE(H3125), """")"),"NA")</f>
        <v>NA</v>
      </c>
      <c r="J3125" s="19" t="s">
        <v>14</v>
      </c>
      <c r="K3125" s="22">
        <f t="shared" si="2"/>
        <v>1</v>
      </c>
    </row>
    <row r="3126">
      <c r="A3126" s="18">
        <v>2019.0</v>
      </c>
      <c r="B3126" s="18" t="s">
        <v>32</v>
      </c>
      <c r="C3126" s="18">
        <v>72.0</v>
      </c>
      <c r="D3126" s="18" t="s">
        <v>33</v>
      </c>
      <c r="E3126" s="26">
        <v>42563.57361111111</v>
      </c>
      <c r="F3126" s="19">
        <f>IFERROR(__xludf.DUMMYFUNCTION("IFERROR(TO_DATE(E3126), """")"),42563.57361111111)</f>
        <v>42563.57361</v>
      </c>
      <c r="G3126" s="20">
        <f t="shared" si="1"/>
        <v>13</v>
      </c>
      <c r="H3126" s="18" t="s">
        <v>34</v>
      </c>
      <c r="I3126" s="19" t="str">
        <f>IFERROR(__xludf.DUMMYFUNCTION("IFERROR(TO_DATE(H3126), """")"),"NA")</f>
        <v>NA</v>
      </c>
      <c r="J3126" s="19" t="s">
        <v>10</v>
      </c>
      <c r="K3126" s="22">
        <f t="shared" si="2"/>
        <v>1</v>
      </c>
    </row>
    <row r="3127">
      <c r="A3127" s="18">
        <v>1732.0</v>
      </c>
      <c r="B3127" s="18" t="s">
        <v>32</v>
      </c>
      <c r="C3127" s="18">
        <v>73.0</v>
      </c>
      <c r="D3127" s="18" t="s">
        <v>33</v>
      </c>
      <c r="E3127" s="26">
        <v>42563.34652777778</v>
      </c>
      <c r="F3127" s="19">
        <f>IFERROR(__xludf.DUMMYFUNCTION("IFERROR(TO_DATE(E3127), """")"),42563.34652777778)</f>
        <v>42563.34653</v>
      </c>
      <c r="G3127" s="20">
        <f t="shared" si="1"/>
        <v>8</v>
      </c>
      <c r="H3127" s="18" t="s">
        <v>34</v>
      </c>
      <c r="I3127" s="19" t="str">
        <f>IFERROR(__xludf.DUMMYFUNCTION("IFERROR(TO_DATE(H3127), """")"),"NA")</f>
        <v>NA</v>
      </c>
      <c r="J3127" s="19" t="s">
        <v>14</v>
      </c>
      <c r="K3127" s="22">
        <f t="shared" si="2"/>
        <v>1</v>
      </c>
    </row>
    <row r="3128">
      <c r="A3128" s="18">
        <v>1984.0</v>
      </c>
      <c r="B3128" s="18" t="s">
        <v>32</v>
      </c>
      <c r="C3128" s="18">
        <v>73.0</v>
      </c>
      <c r="D3128" s="18" t="s">
        <v>33</v>
      </c>
      <c r="E3128" s="26">
        <v>42563.520833333336</v>
      </c>
      <c r="F3128" s="19">
        <f>IFERROR(__xludf.DUMMYFUNCTION("IFERROR(TO_DATE(E3128), """")"),42563.520833333336)</f>
        <v>42563.52083</v>
      </c>
      <c r="G3128" s="20">
        <f t="shared" si="1"/>
        <v>12</v>
      </c>
      <c r="H3128" s="18" t="s">
        <v>34</v>
      </c>
      <c r="I3128" s="19" t="str">
        <f>IFERROR(__xludf.DUMMYFUNCTION("IFERROR(TO_DATE(H3128), """")"),"NA")</f>
        <v>NA</v>
      </c>
      <c r="J3128" s="19" t="s">
        <v>10</v>
      </c>
      <c r="K3128" s="22">
        <f t="shared" si="2"/>
        <v>1</v>
      </c>
    </row>
    <row r="3129">
      <c r="A3129" s="18">
        <v>5886.0</v>
      </c>
      <c r="B3129" s="18" t="s">
        <v>32</v>
      </c>
      <c r="C3129" s="18">
        <v>73.0</v>
      </c>
      <c r="D3129" s="18" t="s">
        <v>33</v>
      </c>
      <c r="E3129" s="27">
        <v>42566.397997685184</v>
      </c>
      <c r="F3129" s="19">
        <f>IFERROR(__xludf.DUMMYFUNCTION("IFERROR(TO_DATE(E3129), """")"),42566.397997685184)</f>
        <v>42566.398</v>
      </c>
      <c r="G3129" s="20">
        <f t="shared" si="1"/>
        <v>9</v>
      </c>
      <c r="H3129" s="18" t="s">
        <v>34</v>
      </c>
      <c r="I3129" s="19" t="str">
        <f>IFERROR(__xludf.DUMMYFUNCTION("IFERROR(TO_DATE(H3129), """")"),"NA")</f>
        <v>NA</v>
      </c>
      <c r="J3129" s="19" t="s">
        <v>14</v>
      </c>
      <c r="K3129" s="22">
        <f t="shared" si="2"/>
        <v>1</v>
      </c>
    </row>
    <row r="3130">
      <c r="A3130" s="18">
        <v>6098.0</v>
      </c>
      <c r="B3130" s="18" t="s">
        <v>30</v>
      </c>
      <c r="C3130" s="18">
        <v>73.0</v>
      </c>
      <c r="D3130" s="18" t="s">
        <v>33</v>
      </c>
      <c r="E3130" s="27">
        <v>42566.6112037037</v>
      </c>
      <c r="F3130" s="19">
        <f>IFERROR(__xludf.DUMMYFUNCTION("IFERROR(TO_DATE(E3130), """")"),42566.6112037037)</f>
        <v>42566.6112</v>
      </c>
      <c r="G3130" s="20">
        <f t="shared" si="1"/>
        <v>14</v>
      </c>
      <c r="H3130" s="18" t="s">
        <v>34</v>
      </c>
      <c r="I3130" s="19" t="str">
        <f>IFERROR(__xludf.DUMMYFUNCTION("IFERROR(TO_DATE(H3130), """")"),"NA")</f>
        <v>NA</v>
      </c>
      <c r="J3130" s="19" t="s">
        <v>10</v>
      </c>
      <c r="K3130" s="22">
        <f t="shared" si="2"/>
        <v>1</v>
      </c>
    </row>
    <row r="3131">
      <c r="A3131" s="18">
        <v>2048.0</v>
      </c>
      <c r="B3131" s="18" t="s">
        <v>30</v>
      </c>
      <c r="C3131" s="18">
        <v>74.0</v>
      </c>
      <c r="D3131" s="18" t="s">
        <v>33</v>
      </c>
      <c r="E3131" s="26">
        <v>42563.61111111111</v>
      </c>
      <c r="F3131" s="19">
        <f>IFERROR(__xludf.DUMMYFUNCTION("IFERROR(TO_DATE(E3131), """")"),42563.61111111111)</f>
        <v>42563.61111</v>
      </c>
      <c r="G3131" s="20">
        <f t="shared" si="1"/>
        <v>14</v>
      </c>
      <c r="H3131" s="18" t="s">
        <v>34</v>
      </c>
      <c r="I3131" s="19" t="str">
        <f>IFERROR(__xludf.DUMMYFUNCTION("IFERROR(TO_DATE(H3131), """")"),"NA")</f>
        <v>NA</v>
      </c>
      <c r="J3131" s="19" t="s">
        <v>10</v>
      </c>
      <c r="K3131" s="22">
        <f t="shared" si="2"/>
        <v>1</v>
      </c>
    </row>
    <row r="3132">
      <c r="A3132" s="18">
        <v>2844.0</v>
      </c>
      <c r="B3132" s="18" t="s">
        <v>30</v>
      </c>
      <c r="C3132" s="18">
        <v>74.0</v>
      </c>
      <c r="D3132" s="18" t="s">
        <v>33</v>
      </c>
      <c r="E3132" s="27">
        <v>42564.22791666666</v>
      </c>
      <c r="F3132" s="19">
        <f>IFERROR(__xludf.DUMMYFUNCTION("IFERROR(TO_DATE(E3132), """")"),42564.22791666666)</f>
        <v>42564.22792</v>
      </c>
      <c r="G3132" s="20">
        <f t="shared" si="1"/>
        <v>5</v>
      </c>
      <c r="H3132" s="18" t="s">
        <v>34</v>
      </c>
      <c r="I3132" s="19" t="str">
        <f>IFERROR(__xludf.DUMMYFUNCTION("IFERROR(TO_DATE(H3132), """")"),"NA")</f>
        <v>NA</v>
      </c>
      <c r="J3132" s="19" t="s">
        <v>11</v>
      </c>
      <c r="K3132" s="22">
        <f t="shared" si="2"/>
        <v>1</v>
      </c>
    </row>
    <row r="3133">
      <c r="A3133" s="18">
        <v>1426.0</v>
      </c>
      <c r="B3133" s="18" t="s">
        <v>32</v>
      </c>
      <c r="C3133" s="18">
        <v>76.0</v>
      </c>
      <c r="D3133" s="18" t="s">
        <v>33</v>
      </c>
      <c r="E3133" s="26">
        <v>42563.183333333334</v>
      </c>
      <c r="F3133" s="19">
        <f>IFERROR(__xludf.DUMMYFUNCTION("IFERROR(TO_DATE(E3133), """")"),42563.183333333334)</f>
        <v>42563.18333</v>
      </c>
      <c r="G3133" s="20">
        <f t="shared" si="1"/>
        <v>4</v>
      </c>
      <c r="H3133" s="18" t="s">
        <v>34</v>
      </c>
      <c r="I3133" s="19" t="str">
        <f>IFERROR(__xludf.DUMMYFUNCTION("IFERROR(TO_DATE(H3133), """")"),"NA")</f>
        <v>NA</v>
      </c>
      <c r="J3133" s="19" t="s">
        <v>11</v>
      </c>
      <c r="K3133" s="22">
        <f t="shared" si="2"/>
        <v>1</v>
      </c>
    </row>
    <row r="3134">
      <c r="A3134" s="18">
        <v>2969.0</v>
      </c>
      <c r="B3134" s="18" t="s">
        <v>32</v>
      </c>
      <c r="C3134" s="18">
        <v>76.0</v>
      </c>
      <c r="D3134" s="18" t="s">
        <v>33</v>
      </c>
      <c r="E3134" s="27">
        <v>42564.28622685185</v>
      </c>
      <c r="F3134" s="19">
        <f>IFERROR(__xludf.DUMMYFUNCTION("IFERROR(TO_DATE(E3134), """")"),42564.28622685185)</f>
        <v>42564.28623</v>
      </c>
      <c r="G3134" s="20">
        <f t="shared" si="1"/>
        <v>6</v>
      </c>
      <c r="H3134" s="18" t="s">
        <v>34</v>
      </c>
      <c r="I3134" s="19" t="str">
        <f>IFERROR(__xludf.DUMMYFUNCTION("IFERROR(TO_DATE(H3134), """")"),"NA")</f>
        <v>NA</v>
      </c>
      <c r="J3134" s="19" t="s">
        <v>11</v>
      </c>
      <c r="K3134" s="22">
        <f t="shared" si="2"/>
        <v>1</v>
      </c>
    </row>
    <row r="3135">
      <c r="A3135" s="18">
        <v>5584.0</v>
      </c>
      <c r="B3135" s="18" t="s">
        <v>32</v>
      </c>
      <c r="C3135" s="18">
        <v>76.0</v>
      </c>
      <c r="D3135" s="18" t="s">
        <v>33</v>
      </c>
      <c r="E3135" s="27">
        <v>42566.24576388889</v>
      </c>
      <c r="F3135" s="19">
        <f>IFERROR(__xludf.DUMMYFUNCTION("IFERROR(TO_DATE(E3135), """")"),42566.24576388889)</f>
        <v>42566.24576</v>
      </c>
      <c r="G3135" s="20">
        <f t="shared" si="1"/>
        <v>5</v>
      </c>
      <c r="H3135" s="18" t="s">
        <v>34</v>
      </c>
      <c r="I3135" s="19" t="str">
        <f>IFERROR(__xludf.DUMMYFUNCTION("IFERROR(TO_DATE(H3135), """")"),"NA")</f>
        <v>NA</v>
      </c>
      <c r="J3135" s="19" t="s">
        <v>11</v>
      </c>
      <c r="K3135" s="22">
        <f t="shared" si="2"/>
        <v>1</v>
      </c>
    </row>
    <row r="3136">
      <c r="A3136" s="18">
        <v>1704.0</v>
      </c>
      <c r="B3136" s="18" t="s">
        <v>32</v>
      </c>
      <c r="C3136" s="18">
        <v>77.0</v>
      </c>
      <c r="D3136" s="18" t="s">
        <v>33</v>
      </c>
      <c r="E3136" s="26">
        <v>42563.33263888889</v>
      </c>
      <c r="F3136" s="19">
        <f>IFERROR(__xludf.DUMMYFUNCTION("IFERROR(TO_DATE(E3136), """")"),42563.33263888889)</f>
        <v>42563.33264</v>
      </c>
      <c r="G3136" s="20">
        <f t="shared" si="1"/>
        <v>7</v>
      </c>
      <c r="H3136" s="18" t="s">
        <v>34</v>
      </c>
      <c r="I3136" s="19" t="str">
        <f>IFERROR(__xludf.DUMMYFUNCTION("IFERROR(TO_DATE(H3136), """")"),"NA")</f>
        <v>NA</v>
      </c>
      <c r="J3136" s="19" t="s">
        <v>11</v>
      </c>
      <c r="K3136" s="22">
        <f t="shared" si="2"/>
        <v>1</v>
      </c>
    </row>
    <row r="3137">
      <c r="A3137" s="18">
        <v>3399.0</v>
      </c>
      <c r="B3137" s="18" t="s">
        <v>32</v>
      </c>
      <c r="C3137" s="18">
        <v>77.0</v>
      </c>
      <c r="D3137" s="18" t="s">
        <v>33</v>
      </c>
      <c r="E3137" s="27">
        <v>42564.62881944444</v>
      </c>
      <c r="F3137" s="19">
        <f>IFERROR(__xludf.DUMMYFUNCTION("IFERROR(TO_DATE(E3137), """")"),42564.62881944444)</f>
        <v>42564.62882</v>
      </c>
      <c r="G3137" s="20">
        <f t="shared" si="1"/>
        <v>15</v>
      </c>
      <c r="H3137" s="18" t="s">
        <v>34</v>
      </c>
      <c r="I3137" s="19" t="str">
        <f>IFERROR(__xludf.DUMMYFUNCTION("IFERROR(TO_DATE(H3137), """")"),"NA")</f>
        <v>NA</v>
      </c>
      <c r="J3137" s="19" t="s">
        <v>10</v>
      </c>
      <c r="K3137" s="22">
        <f t="shared" si="2"/>
        <v>1</v>
      </c>
    </row>
    <row r="3138">
      <c r="A3138" s="18">
        <v>4298.0</v>
      </c>
      <c r="B3138" s="18" t="s">
        <v>32</v>
      </c>
      <c r="C3138" s="18">
        <v>77.0</v>
      </c>
      <c r="D3138" s="18" t="s">
        <v>33</v>
      </c>
      <c r="E3138" s="27">
        <v>42565.27811342593</v>
      </c>
      <c r="F3138" s="19">
        <f>IFERROR(__xludf.DUMMYFUNCTION("IFERROR(TO_DATE(E3138), """")"),42565.27811342593)</f>
        <v>42565.27811</v>
      </c>
      <c r="G3138" s="20">
        <f t="shared" si="1"/>
        <v>6</v>
      </c>
      <c r="H3138" s="18" t="s">
        <v>34</v>
      </c>
      <c r="I3138" s="19" t="str">
        <f>IFERROR(__xludf.DUMMYFUNCTION("IFERROR(TO_DATE(H3138), """")"),"NA")</f>
        <v>NA</v>
      </c>
      <c r="J3138" s="19" t="s">
        <v>11</v>
      </c>
      <c r="K3138" s="22">
        <f t="shared" si="2"/>
        <v>1</v>
      </c>
    </row>
    <row r="3139">
      <c r="A3139" s="18">
        <v>4019.0</v>
      </c>
      <c r="B3139" s="18" t="s">
        <v>32</v>
      </c>
      <c r="C3139" s="18">
        <v>78.0</v>
      </c>
      <c r="D3139" s="18" t="s">
        <v>33</v>
      </c>
      <c r="E3139" s="27">
        <v>42564.00027777778</v>
      </c>
      <c r="F3139" s="19">
        <f>IFERROR(__xludf.DUMMYFUNCTION("IFERROR(TO_DATE(E3139), """")"),42564.00027777778)</f>
        <v>42564.00028</v>
      </c>
      <c r="G3139" s="20">
        <f t="shared" si="1"/>
        <v>0</v>
      </c>
      <c r="H3139" s="18" t="s">
        <v>34</v>
      </c>
      <c r="I3139" s="19" t="str">
        <f>IFERROR(__xludf.DUMMYFUNCTION("IFERROR(TO_DATE(H3139), """")"),"NA")</f>
        <v>NA</v>
      </c>
      <c r="J3139" s="19" t="s">
        <v>15</v>
      </c>
      <c r="K3139" s="22">
        <f t="shared" si="2"/>
        <v>1</v>
      </c>
    </row>
    <row r="3140">
      <c r="A3140" s="18">
        <v>3197.0</v>
      </c>
      <c r="B3140" s="18" t="s">
        <v>32</v>
      </c>
      <c r="C3140" s="18">
        <v>78.0</v>
      </c>
      <c r="D3140" s="18" t="s">
        <v>33</v>
      </c>
      <c r="E3140" s="27">
        <v>42564.40615740741</v>
      </c>
      <c r="F3140" s="19">
        <f>IFERROR(__xludf.DUMMYFUNCTION("IFERROR(TO_DATE(E3140), """")"),42564.40615740741)</f>
        <v>42564.40616</v>
      </c>
      <c r="G3140" s="20">
        <f t="shared" si="1"/>
        <v>9</v>
      </c>
      <c r="H3140" s="18" t="s">
        <v>34</v>
      </c>
      <c r="I3140" s="19" t="str">
        <f>IFERROR(__xludf.DUMMYFUNCTION("IFERROR(TO_DATE(H3140), """")"),"NA")</f>
        <v>NA</v>
      </c>
      <c r="J3140" s="19" t="s">
        <v>14</v>
      </c>
      <c r="K3140" s="22">
        <f t="shared" si="2"/>
        <v>1</v>
      </c>
    </row>
    <row r="3141">
      <c r="A3141" s="18">
        <v>4166.0</v>
      </c>
      <c r="B3141" s="18" t="s">
        <v>32</v>
      </c>
      <c r="C3141" s="18">
        <v>78.0</v>
      </c>
      <c r="D3141" s="18" t="s">
        <v>33</v>
      </c>
      <c r="E3141" s="27">
        <v>42565.21575231481</v>
      </c>
      <c r="F3141" s="19">
        <f>IFERROR(__xludf.DUMMYFUNCTION("IFERROR(TO_DATE(E3141), """")"),42565.21575231481)</f>
        <v>42565.21575</v>
      </c>
      <c r="G3141" s="20">
        <f t="shared" si="1"/>
        <v>5</v>
      </c>
      <c r="H3141" s="18" t="s">
        <v>34</v>
      </c>
      <c r="I3141" s="19" t="str">
        <f>IFERROR(__xludf.DUMMYFUNCTION("IFERROR(TO_DATE(H3141), """")"),"NA")</f>
        <v>NA</v>
      </c>
      <c r="J3141" s="19" t="s">
        <v>11</v>
      </c>
      <c r="K3141" s="22">
        <f t="shared" si="2"/>
        <v>1</v>
      </c>
    </row>
    <row r="3142">
      <c r="A3142" s="18">
        <v>4238.0</v>
      </c>
      <c r="B3142" s="18" t="s">
        <v>32</v>
      </c>
      <c r="C3142" s="18">
        <v>78.0</v>
      </c>
      <c r="D3142" s="18" t="s">
        <v>33</v>
      </c>
      <c r="E3142" s="27">
        <v>42565.24630787037</v>
      </c>
      <c r="F3142" s="19">
        <f>IFERROR(__xludf.DUMMYFUNCTION("IFERROR(TO_DATE(E3142), """")"),42565.24630787037)</f>
        <v>42565.24631</v>
      </c>
      <c r="G3142" s="20">
        <f t="shared" si="1"/>
        <v>5</v>
      </c>
      <c r="H3142" s="18" t="s">
        <v>34</v>
      </c>
      <c r="I3142" s="19" t="str">
        <f>IFERROR(__xludf.DUMMYFUNCTION("IFERROR(TO_DATE(H3142), """")"),"NA")</f>
        <v>NA</v>
      </c>
      <c r="J3142" s="19" t="s">
        <v>11</v>
      </c>
      <c r="K3142" s="22">
        <f t="shared" si="2"/>
        <v>1</v>
      </c>
    </row>
    <row r="3143">
      <c r="A3143" s="18">
        <v>5894.0</v>
      </c>
      <c r="B3143" s="18" t="s">
        <v>32</v>
      </c>
      <c r="C3143" s="18">
        <v>78.0</v>
      </c>
      <c r="D3143" s="18" t="s">
        <v>33</v>
      </c>
      <c r="E3143" s="27">
        <v>42566.40710648148</v>
      </c>
      <c r="F3143" s="19">
        <f>IFERROR(__xludf.DUMMYFUNCTION("IFERROR(TO_DATE(E3143), """")"),42566.40710648148)</f>
        <v>42566.40711</v>
      </c>
      <c r="G3143" s="20">
        <f t="shared" si="1"/>
        <v>9</v>
      </c>
      <c r="H3143" s="18" t="s">
        <v>34</v>
      </c>
      <c r="I3143" s="19" t="str">
        <f>IFERROR(__xludf.DUMMYFUNCTION("IFERROR(TO_DATE(H3143), """")"),"NA")</f>
        <v>NA</v>
      </c>
      <c r="J3143" s="19" t="s">
        <v>14</v>
      </c>
      <c r="K3143" s="22">
        <f t="shared" si="2"/>
        <v>1</v>
      </c>
    </row>
    <row r="3144">
      <c r="A3144" s="18">
        <v>6647.0</v>
      </c>
      <c r="B3144" s="18" t="s">
        <v>32</v>
      </c>
      <c r="C3144" s="18">
        <v>78.0</v>
      </c>
      <c r="D3144" s="18" t="s">
        <v>33</v>
      </c>
      <c r="E3144" s="27">
        <v>42566.918078703704</v>
      </c>
      <c r="F3144" s="19">
        <f>IFERROR(__xludf.DUMMYFUNCTION("IFERROR(TO_DATE(E3144), """")"),42566.918078703704)</f>
        <v>42566.91808</v>
      </c>
      <c r="G3144" s="20">
        <f t="shared" si="1"/>
        <v>22</v>
      </c>
      <c r="H3144" s="18" t="s">
        <v>34</v>
      </c>
      <c r="I3144" s="19" t="str">
        <f>IFERROR(__xludf.DUMMYFUNCTION("IFERROR(TO_DATE(H3144), """")"),"NA")</f>
        <v>NA</v>
      </c>
      <c r="J3144" s="19" t="s">
        <v>13</v>
      </c>
      <c r="K3144" s="22">
        <f t="shared" si="2"/>
        <v>1</v>
      </c>
    </row>
    <row r="3145">
      <c r="A3145" s="18">
        <v>210.0</v>
      </c>
      <c r="B3145" s="18" t="s">
        <v>32</v>
      </c>
      <c r="C3145" s="18">
        <v>79.0</v>
      </c>
      <c r="D3145" s="18" t="s">
        <v>33</v>
      </c>
      <c r="E3145" s="26">
        <v>42562.25833333333</v>
      </c>
      <c r="F3145" s="19">
        <f>IFERROR(__xludf.DUMMYFUNCTION("IFERROR(TO_DATE(E3145), """")"),42562.25833333333)</f>
        <v>42562.25833</v>
      </c>
      <c r="G3145" s="20">
        <f t="shared" si="1"/>
        <v>6</v>
      </c>
      <c r="H3145" s="18" t="s">
        <v>34</v>
      </c>
      <c r="I3145" s="19" t="str">
        <f>IFERROR(__xludf.DUMMYFUNCTION("IFERROR(TO_DATE(H3145), """")"),"NA")</f>
        <v>NA</v>
      </c>
      <c r="J3145" s="19" t="s">
        <v>11</v>
      </c>
      <c r="K3145" s="22">
        <f t="shared" si="2"/>
        <v>1</v>
      </c>
    </row>
    <row r="3146">
      <c r="A3146" s="18">
        <v>403.0</v>
      </c>
      <c r="B3146" s="18" t="s">
        <v>32</v>
      </c>
      <c r="C3146" s="18">
        <v>79.0</v>
      </c>
      <c r="D3146" s="18" t="s">
        <v>33</v>
      </c>
      <c r="E3146" s="26">
        <v>42562.35763888889</v>
      </c>
      <c r="F3146" s="19">
        <f>IFERROR(__xludf.DUMMYFUNCTION("IFERROR(TO_DATE(E3146), """")"),42562.35763888889)</f>
        <v>42562.35764</v>
      </c>
      <c r="G3146" s="20">
        <f t="shared" si="1"/>
        <v>8</v>
      </c>
      <c r="H3146" s="18" t="s">
        <v>34</v>
      </c>
      <c r="I3146" s="19" t="str">
        <f>IFERROR(__xludf.DUMMYFUNCTION("IFERROR(TO_DATE(H3146), """")"),"NA")</f>
        <v>NA</v>
      </c>
      <c r="J3146" s="19" t="s">
        <v>14</v>
      </c>
      <c r="K3146" s="22">
        <f t="shared" si="2"/>
        <v>1</v>
      </c>
    </row>
    <row r="3147">
      <c r="A3147" s="18">
        <v>568.0</v>
      </c>
      <c r="B3147" s="18" t="s">
        <v>30</v>
      </c>
      <c r="C3147" s="18">
        <v>79.0</v>
      </c>
      <c r="D3147" s="18" t="s">
        <v>33</v>
      </c>
      <c r="E3147" s="26">
        <v>42562.43263888889</v>
      </c>
      <c r="F3147" s="19">
        <f>IFERROR(__xludf.DUMMYFUNCTION("IFERROR(TO_DATE(E3147), """")"),42562.43263888889)</f>
        <v>42562.43264</v>
      </c>
      <c r="G3147" s="20">
        <f t="shared" si="1"/>
        <v>10</v>
      </c>
      <c r="H3147" s="18" t="s">
        <v>34</v>
      </c>
      <c r="I3147" s="19" t="str">
        <f>IFERROR(__xludf.DUMMYFUNCTION("IFERROR(TO_DATE(H3147), """")"),"NA")</f>
        <v>NA</v>
      </c>
      <c r="J3147" s="19" t="s">
        <v>14</v>
      </c>
      <c r="K3147" s="22">
        <f t="shared" si="2"/>
        <v>1</v>
      </c>
    </row>
    <row r="3148">
      <c r="A3148" s="18">
        <v>856.0</v>
      </c>
      <c r="B3148" s="18" t="s">
        <v>32</v>
      </c>
      <c r="C3148" s="18">
        <v>79.0</v>
      </c>
      <c r="D3148" s="18" t="s">
        <v>33</v>
      </c>
      <c r="E3148" s="26">
        <v>42562.74097222222</v>
      </c>
      <c r="F3148" s="19">
        <f>IFERROR(__xludf.DUMMYFUNCTION("IFERROR(TO_DATE(E3148), """")"),42562.74097222222)</f>
        <v>42562.74097</v>
      </c>
      <c r="G3148" s="20">
        <f t="shared" si="1"/>
        <v>17</v>
      </c>
      <c r="H3148" s="18" t="s">
        <v>34</v>
      </c>
      <c r="I3148" s="19" t="str">
        <f>IFERROR(__xludf.DUMMYFUNCTION("IFERROR(TO_DATE(H3148), """")"),"NA")</f>
        <v>NA</v>
      </c>
      <c r="J3148" s="19" t="s">
        <v>12</v>
      </c>
      <c r="K3148" s="22">
        <f t="shared" si="2"/>
        <v>1</v>
      </c>
    </row>
    <row r="3149">
      <c r="A3149" s="18">
        <v>1757.0</v>
      </c>
      <c r="B3149" s="18" t="s">
        <v>32</v>
      </c>
      <c r="C3149" s="18">
        <v>79.0</v>
      </c>
      <c r="D3149" s="18" t="s">
        <v>33</v>
      </c>
      <c r="E3149" s="26">
        <v>42563.35972222222</v>
      </c>
      <c r="F3149" s="19">
        <f>IFERROR(__xludf.DUMMYFUNCTION("IFERROR(TO_DATE(E3149), """")"),42563.35972222222)</f>
        <v>42563.35972</v>
      </c>
      <c r="G3149" s="20">
        <f t="shared" si="1"/>
        <v>8</v>
      </c>
      <c r="H3149" s="18" t="s">
        <v>34</v>
      </c>
      <c r="I3149" s="19" t="str">
        <f>IFERROR(__xludf.DUMMYFUNCTION("IFERROR(TO_DATE(H3149), """")"),"NA")</f>
        <v>NA</v>
      </c>
      <c r="J3149" s="19" t="s">
        <v>14</v>
      </c>
      <c r="K3149" s="22">
        <f t="shared" si="2"/>
        <v>1</v>
      </c>
    </row>
    <row r="3150">
      <c r="A3150" s="18">
        <v>2842.0</v>
      </c>
      <c r="B3150" s="18" t="s">
        <v>32</v>
      </c>
      <c r="C3150" s="18">
        <v>79.0</v>
      </c>
      <c r="D3150" s="18" t="s">
        <v>33</v>
      </c>
      <c r="E3150" s="27">
        <v>42564.22023148148</v>
      </c>
      <c r="F3150" s="19">
        <f>IFERROR(__xludf.DUMMYFUNCTION("IFERROR(TO_DATE(E3150), """")"),42564.22023148148)</f>
        <v>42564.22023</v>
      </c>
      <c r="G3150" s="20">
        <f t="shared" si="1"/>
        <v>5</v>
      </c>
      <c r="H3150" s="18" t="s">
        <v>34</v>
      </c>
      <c r="I3150" s="19" t="str">
        <f>IFERROR(__xludf.DUMMYFUNCTION("IFERROR(TO_DATE(H3150), """")"),"NA")</f>
        <v>NA</v>
      </c>
      <c r="J3150" s="19" t="s">
        <v>11</v>
      </c>
      <c r="K3150" s="22">
        <f t="shared" si="2"/>
        <v>1</v>
      </c>
    </row>
    <row r="3151">
      <c r="A3151" s="18">
        <v>3147.0</v>
      </c>
      <c r="B3151" s="18" t="s">
        <v>32</v>
      </c>
      <c r="C3151" s="18">
        <v>80.0</v>
      </c>
      <c r="D3151" s="18" t="s">
        <v>33</v>
      </c>
      <c r="E3151" s="27">
        <v>42564.372083333335</v>
      </c>
      <c r="F3151" s="19">
        <f>IFERROR(__xludf.DUMMYFUNCTION("IFERROR(TO_DATE(E3151), """")"),42564.372083333335)</f>
        <v>42564.37208</v>
      </c>
      <c r="G3151" s="20">
        <f t="shared" si="1"/>
        <v>8</v>
      </c>
      <c r="H3151" s="18" t="s">
        <v>34</v>
      </c>
      <c r="I3151" s="19" t="str">
        <f>IFERROR(__xludf.DUMMYFUNCTION("IFERROR(TO_DATE(H3151), """")"),"NA")</f>
        <v>NA</v>
      </c>
      <c r="J3151" s="19" t="s">
        <v>14</v>
      </c>
      <c r="K3151" s="22">
        <f t="shared" si="2"/>
        <v>1</v>
      </c>
    </row>
    <row r="3152">
      <c r="A3152" s="18">
        <v>4497.0</v>
      </c>
      <c r="B3152" s="18" t="s">
        <v>32</v>
      </c>
      <c r="C3152" s="18">
        <v>80.0</v>
      </c>
      <c r="D3152" s="18" t="s">
        <v>33</v>
      </c>
      <c r="E3152" s="27">
        <v>42565.37482638889</v>
      </c>
      <c r="F3152" s="19">
        <f>IFERROR(__xludf.DUMMYFUNCTION("IFERROR(TO_DATE(E3152), """")"),42565.37482638889)</f>
        <v>42565.37483</v>
      </c>
      <c r="G3152" s="20">
        <f t="shared" si="1"/>
        <v>8</v>
      </c>
      <c r="H3152" s="18" t="s">
        <v>34</v>
      </c>
      <c r="I3152" s="19" t="str">
        <f>IFERROR(__xludf.DUMMYFUNCTION("IFERROR(TO_DATE(H3152), """")"),"NA")</f>
        <v>NA</v>
      </c>
      <c r="J3152" s="19" t="s">
        <v>14</v>
      </c>
      <c r="K3152" s="22">
        <f t="shared" si="2"/>
        <v>1</v>
      </c>
    </row>
    <row r="3153">
      <c r="A3153" s="18">
        <v>4770.0</v>
      </c>
      <c r="B3153" s="18" t="s">
        <v>32</v>
      </c>
      <c r="C3153" s="18">
        <v>80.0</v>
      </c>
      <c r="D3153" s="18" t="s">
        <v>33</v>
      </c>
      <c r="E3153" s="27">
        <v>42565.66158564815</v>
      </c>
      <c r="F3153" s="19">
        <f>IFERROR(__xludf.DUMMYFUNCTION("IFERROR(TO_DATE(E3153), """")"),42565.66158564815)</f>
        <v>42565.66159</v>
      </c>
      <c r="G3153" s="20">
        <f t="shared" si="1"/>
        <v>15</v>
      </c>
      <c r="H3153" s="18" t="s">
        <v>34</v>
      </c>
      <c r="I3153" s="19" t="str">
        <f>IFERROR(__xludf.DUMMYFUNCTION("IFERROR(TO_DATE(H3153), """")"),"NA")</f>
        <v>NA</v>
      </c>
      <c r="J3153" s="19" t="s">
        <v>10</v>
      </c>
      <c r="K3153" s="22">
        <f t="shared" si="2"/>
        <v>1</v>
      </c>
    </row>
    <row r="3154">
      <c r="A3154" s="18">
        <v>5493.0</v>
      </c>
      <c r="B3154" s="18" t="s">
        <v>32</v>
      </c>
      <c r="C3154" s="18">
        <v>80.0</v>
      </c>
      <c r="D3154" s="18" t="s">
        <v>33</v>
      </c>
      <c r="E3154" s="27">
        <v>42566.20943287037</v>
      </c>
      <c r="F3154" s="19">
        <f>IFERROR(__xludf.DUMMYFUNCTION("IFERROR(TO_DATE(E3154), """")"),42566.20943287037)</f>
        <v>42566.20943</v>
      </c>
      <c r="G3154" s="20">
        <f t="shared" si="1"/>
        <v>5</v>
      </c>
      <c r="H3154" s="18" t="s">
        <v>34</v>
      </c>
      <c r="I3154" s="19" t="str">
        <f>IFERROR(__xludf.DUMMYFUNCTION("IFERROR(TO_DATE(H3154), """")"),"NA")</f>
        <v>NA</v>
      </c>
      <c r="J3154" s="19" t="s">
        <v>11</v>
      </c>
      <c r="K3154" s="22">
        <f t="shared" si="2"/>
        <v>1</v>
      </c>
    </row>
    <row r="3155">
      <c r="A3155" s="18">
        <v>5540.0</v>
      </c>
      <c r="B3155" s="18" t="s">
        <v>32</v>
      </c>
      <c r="C3155" s="18">
        <v>80.0</v>
      </c>
      <c r="D3155" s="18" t="s">
        <v>33</v>
      </c>
      <c r="E3155" s="27">
        <v>42566.227627314816</v>
      </c>
      <c r="F3155" s="19">
        <f>IFERROR(__xludf.DUMMYFUNCTION("IFERROR(TO_DATE(E3155), """")"),42566.227627314816)</f>
        <v>42566.22763</v>
      </c>
      <c r="G3155" s="20">
        <f t="shared" si="1"/>
        <v>5</v>
      </c>
      <c r="H3155" s="18" t="s">
        <v>34</v>
      </c>
      <c r="I3155" s="19" t="str">
        <f>IFERROR(__xludf.DUMMYFUNCTION("IFERROR(TO_DATE(H3155), """")"),"NA")</f>
        <v>NA</v>
      </c>
      <c r="J3155" s="19" t="s">
        <v>11</v>
      </c>
      <c r="K3155" s="22">
        <f t="shared" si="2"/>
        <v>1</v>
      </c>
    </row>
    <row r="3156">
      <c r="A3156" s="18">
        <v>2003.0</v>
      </c>
      <c r="B3156" s="18" t="s">
        <v>30</v>
      </c>
      <c r="C3156" s="18">
        <v>81.0</v>
      </c>
      <c r="D3156" s="18" t="s">
        <v>33</v>
      </c>
      <c r="E3156" s="26">
        <v>42563.55486111111</v>
      </c>
      <c r="F3156" s="19">
        <f>IFERROR(__xludf.DUMMYFUNCTION("IFERROR(TO_DATE(E3156), """")"),42563.55486111111)</f>
        <v>42563.55486</v>
      </c>
      <c r="G3156" s="20">
        <f t="shared" si="1"/>
        <v>13</v>
      </c>
      <c r="H3156" s="18" t="s">
        <v>34</v>
      </c>
      <c r="I3156" s="19" t="str">
        <f>IFERROR(__xludf.DUMMYFUNCTION("IFERROR(TO_DATE(H3156), """")"),"NA")</f>
        <v>NA</v>
      </c>
      <c r="J3156" s="19" t="s">
        <v>10</v>
      </c>
      <c r="K3156" s="22">
        <f t="shared" si="2"/>
        <v>1</v>
      </c>
    </row>
    <row r="3157">
      <c r="A3157" s="18">
        <v>4179.0</v>
      </c>
      <c r="B3157" s="18" t="s">
        <v>32</v>
      </c>
      <c r="C3157" s="18">
        <v>81.0</v>
      </c>
      <c r="D3157" s="18" t="s">
        <v>33</v>
      </c>
      <c r="E3157" s="27">
        <v>42565.22738425926</v>
      </c>
      <c r="F3157" s="19">
        <f>IFERROR(__xludf.DUMMYFUNCTION("IFERROR(TO_DATE(E3157), """")"),42565.22738425926)</f>
        <v>42565.22738</v>
      </c>
      <c r="G3157" s="20">
        <f t="shared" si="1"/>
        <v>5</v>
      </c>
      <c r="H3157" s="18" t="s">
        <v>34</v>
      </c>
      <c r="I3157" s="19" t="str">
        <f>IFERROR(__xludf.DUMMYFUNCTION("IFERROR(TO_DATE(H3157), """")"),"NA")</f>
        <v>NA</v>
      </c>
      <c r="J3157" s="19" t="s">
        <v>11</v>
      </c>
      <c r="K3157" s="22">
        <f t="shared" si="2"/>
        <v>1</v>
      </c>
    </row>
    <row r="3158">
      <c r="A3158" s="18">
        <v>4561.0</v>
      </c>
      <c r="B3158" s="18" t="s">
        <v>32</v>
      </c>
      <c r="C3158" s="18">
        <v>81.0</v>
      </c>
      <c r="D3158" s="18" t="s">
        <v>33</v>
      </c>
      <c r="E3158" s="27">
        <v>42565.40528935185</v>
      </c>
      <c r="F3158" s="19">
        <f>IFERROR(__xludf.DUMMYFUNCTION("IFERROR(TO_DATE(E3158), """")"),42565.40528935185)</f>
        <v>42565.40529</v>
      </c>
      <c r="G3158" s="20">
        <f t="shared" si="1"/>
        <v>9</v>
      </c>
      <c r="H3158" s="18" t="s">
        <v>34</v>
      </c>
      <c r="I3158" s="19" t="str">
        <f>IFERROR(__xludf.DUMMYFUNCTION("IFERROR(TO_DATE(H3158), """")"),"NA")</f>
        <v>NA</v>
      </c>
      <c r="J3158" s="19" t="s">
        <v>14</v>
      </c>
      <c r="K3158" s="22">
        <f t="shared" si="2"/>
        <v>1</v>
      </c>
    </row>
    <row r="3159">
      <c r="A3159" s="18">
        <v>5806.0</v>
      </c>
      <c r="B3159" s="18" t="s">
        <v>30</v>
      </c>
      <c r="C3159" s="18">
        <v>81.0</v>
      </c>
      <c r="D3159" s="18" t="s">
        <v>33</v>
      </c>
      <c r="E3159" s="27">
        <v>42566.36565972222</v>
      </c>
      <c r="F3159" s="19">
        <f>IFERROR(__xludf.DUMMYFUNCTION("IFERROR(TO_DATE(E3159), """")"),42566.36565972222)</f>
        <v>42566.36566</v>
      </c>
      <c r="G3159" s="20">
        <f t="shared" si="1"/>
        <v>8</v>
      </c>
      <c r="H3159" s="18" t="s">
        <v>34</v>
      </c>
      <c r="I3159" s="19" t="str">
        <f>IFERROR(__xludf.DUMMYFUNCTION("IFERROR(TO_DATE(H3159), """")"),"NA")</f>
        <v>NA</v>
      </c>
      <c r="J3159" s="19" t="s">
        <v>14</v>
      </c>
      <c r="K3159" s="22">
        <f t="shared" si="2"/>
        <v>1</v>
      </c>
    </row>
    <row r="3160">
      <c r="A3160" s="18">
        <v>1881.0</v>
      </c>
      <c r="B3160" s="18" t="s">
        <v>32</v>
      </c>
      <c r="C3160" s="18">
        <v>82.0</v>
      </c>
      <c r="D3160" s="18" t="s">
        <v>33</v>
      </c>
      <c r="E3160" s="26">
        <v>42563.419444444444</v>
      </c>
      <c r="F3160" s="19">
        <f>IFERROR(__xludf.DUMMYFUNCTION("IFERROR(TO_DATE(E3160), """")"),42563.419444444444)</f>
        <v>42563.41944</v>
      </c>
      <c r="G3160" s="20">
        <f t="shared" si="1"/>
        <v>10</v>
      </c>
      <c r="H3160" s="18" t="s">
        <v>34</v>
      </c>
      <c r="I3160" s="19" t="str">
        <f>IFERROR(__xludf.DUMMYFUNCTION("IFERROR(TO_DATE(H3160), """")"),"NA")</f>
        <v>NA</v>
      </c>
      <c r="J3160" s="19" t="s">
        <v>14</v>
      </c>
      <c r="K3160" s="22">
        <f t="shared" si="2"/>
        <v>1</v>
      </c>
    </row>
    <row r="3161">
      <c r="A3161" s="18">
        <v>3235.0</v>
      </c>
      <c r="B3161" s="18" t="s">
        <v>32</v>
      </c>
      <c r="C3161" s="18">
        <v>82.0</v>
      </c>
      <c r="D3161" s="18" t="s">
        <v>33</v>
      </c>
      <c r="E3161" s="27">
        <v>42564.41738425926</v>
      </c>
      <c r="F3161" s="19">
        <f>IFERROR(__xludf.DUMMYFUNCTION("IFERROR(TO_DATE(E3161), """")"),42564.41738425926)</f>
        <v>42564.41738</v>
      </c>
      <c r="G3161" s="20">
        <f t="shared" si="1"/>
        <v>10</v>
      </c>
      <c r="H3161" s="18" t="s">
        <v>34</v>
      </c>
      <c r="I3161" s="19" t="str">
        <f>IFERROR(__xludf.DUMMYFUNCTION("IFERROR(TO_DATE(H3161), """")"),"NA")</f>
        <v>NA</v>
      </c>
      <c r="J3161" s="19" t="s">
        <v>14</v>
      </c>
      <c r="K3161" s="22">
        <f t="shared" si="2"/>
        <v>1</v>
      </c>
    </row>
    <row r="3162">
      <c r="A3162" s="18">
        <v>5604.0</v>
      </c>
      <c r="B3162" s="18" t="s">
        <v>32</v>
      </c>
      <c r="C3162" s="18">
        <v>82.0</v>
      </c>
      <c r="D3162" s="18" t="s">
        <v>33</v>
      </c>
      <c r="E3162" s="27">
        <v>42566.255902777775</v>
      </c>
      <c r="F3162" s="19">
        <f>IFERROR(__xludf.DUMMYFUNCTION("IFERROR(TO_DATE(E3162), """")"),42566.255902777775)</f>
        <v>42566.2559</v>
      </c>
      <c r="G3162" s="20">
        <f t="shared" si="1"/>
        <v>6</v>
      </c>
      <c r="H3162" s="18" t="s">
        <v>34</v>
      </c>
      <c r="I3162" s="19" t="str">
        <f>IFERROR(__xludf.DUMMYFUNCTION("IFERROR(TO_DATE(H3162), """")"),"NA")</f>
        <v>NA</v>
      </c>
      <c r="J3162" s="19" t="s">
        <v>11</v>
      </c>
      <c r="K3162" s="22">
        <f t="shared" si="2"/>
        <v>1</v>
      </c>
    </row>
    <row r="3163">
      <c r="A3163" s="18">
        <v>1557.0</v>
      </c>
      <c r="B3163" s="18" t="s">
        <v>32</v>
      </c>
      <c r="C3163" s="18">
        <v>83.0</v>
      </c>
      <c r="D3163" s="18" t="s">
        <v>33</v>
      </c>
      <c r="E3163" s="26">
        <v>42563.26180555556</v>
      </c>
      <c r="F3163" s="19">
        <f>IFERROR(__xludf.DUMMYFUNCTION("IFERROR(TO_DATE(E3163), """")"),42563.26180555556)</f>
        <v>42563.26181</v>
      </c>
      <c r="G3163" s="20">
        <f t="shared" si="1"/>
        <v>6</v>
      </c>
      <c r="H3163" s="18" t="s">
        <v>34</v>
      </c>
      <c r="I3163" s="19" t="str">
        <f>IFERROR(__xludf.DUMMYFUNCTION("IFERROR(TO_DATE(H3163), """")"),"NA")</f>
        <v>NA</v>
      </c>
      <c r="J3163" s="19" t="s">
        <v>11</v>
      </c>
      <c r="K3163" s="22">
        <f t="shared" si="2"/>
        <v>1</v>
      </c>
    </row>
    <row r="3164">
      <c r="A3164" s="18">
        <v>1661.0</v>
      </c>
      <c r="B3164" s="18" t="s">
        <v>32</v>
      </c>
      <c r="C3164" s="18">
        <v>83.0</v>
      </c>
      <c r="D3164" s="18" t="s">
        <v>33</v>
      </c>
      <c r="E3164" s="26">
        <v>42563.3125</v>
      </c>
      <c r="F3164" s="19">
        <f>IFERROR(__xludf.DUMMYFUNCTION("IFERROR(TO_DATE(E3164), """")"),42563.3125)</f>
        <v>42563.3125</v>
      </c>
      <c r="G3164" s="20">
        <f t="shared" si="1"/>
        <v>7</v>
      </c>
      <c r="H3164" s="18" t="s">
        <v>34</v>
      </c>
      <c r="I3164" s="19" t="str">
        <f>IFERROR(__xludf.DUMMYFUNCTION("IFERROR(TO_DATE(H3164), """")"),"NA")</f>
        <v>NA</v>
      </c>
      <c r="J3164" s="19" t="s">
        <v>11</v>
      </c>
      <c r="K3164" s="22">
        <f t="shared" si="2"/>
        <v>1</v>
      </c>
    </row>
    <row r="3165">
      <c r="A3165" s="18">
        <v>2022.0</v>
      </c>
      <c r="B3165" s="18" t="s">
        <v>32</v>
      </c>
      <c r="C3165" s="18">
        <v>83.0</v>
      </c>
      <c r="D3165" s="18" t="s">
        <v>33</v>
      </c>
      <c r="E3165" s="26">
        <v>42563.572916666664</v>
      </c>
      <c r="F3165" s="19">
        <f>IFERROR(__xludf.DUMMYFUNCTION("IFERROR(TO_DATE(E3165), """")"),42563.572916666664)</f>
        <v>42563.57292</v>
      </c>
      <c r="G3165" s="20">
        <f t="shared" si="1"/>
        <v>13</v>
      </c>
      <c r="H3165" s="18" t="s">
        <v>34</v>
      </c>
      <c r="I3165" s="19" t="str">
        <f>IFERROR(__xludf.DUMMYFUNCTION("IFERROR(TO_DATE(H3165), """")"),"NA")</f>
        <v>NA</v>
      </c>
      <c r="J3165" s="19" t="s">
        <v>10</v>
      </c>
      <c r="K3165" s="22">
        <f t="shared" si="2"/>
        <v>1</v>
      </c>
    </row>
    <row r="3166">
      <c r="A3166" s="18">
        <v>3188.0</v>
      </c>
      <c r="B3166" s="18" t="s">
        <v>32</v>
      </c>
      <c r="C3166" s="18">
        <v>83.0</v>
      </c>
      <c r="D3166" s="18" t="s">
        <v>33</v>
      </c>
      <c r="E3166" s="27">
        <v>42564.39886574074</v>
      </c>
      <c r="F3166" s="19">
        <f>IFERROR(__xludf.DUMMYFUNCTION("IFERROR(TO_DATE(E3166), """")"),42564.39886574074)</f>
        <v>42564.39887</v>
      </c>
      <c r="G3166" s="20">
        <f t="shared" si="1"/>
        <v>9</v>
      </c>
      <c r="H3166" s="18" t="s">
        <v>34</v>
      </c>
      <c r="I3166" s="19" t="str">
        <f>IFERROR(__xludf.DUMMYFUNCTION("IFERROR(TO_DATE(H3166), """")"),"NA")</f>
        <v>NA</v>
      </c>
      <c r="J3166" s="19" t="s">
        <v>14</v>
      </c>
      <c r="K3166" s="22">
        <f t="shared" si="2"/>
        <v>1</v>
      </c>
    </row>
    <row r="3167">
      <c r="A3167" s="18">
        <v>5655.0</v>
      </c>
      <c r="B3167" s="18" t="s">
        <v>32</v>
      </c>
      <c r="C3167" s="18">
        <v>83.0</v>
      </c>
      <c r="D3167" s="18" t="s">
        <v>33</v>
      </c>
      <c r="E3167" s="27">
        <v>42566.2915162037</v>
      </c>
      <c r="F3167" s="19">
        <f>IFERROR(__xludf.DUMMYFUNCTION("IFERROR(TO_DATE(E3167), """")"),42566.2915162037)</f>
        <v>42566.29152</v>
      </c>
      <c r="G3167" s="20">
        <f t="shared" si="1"/>
        <v>6</v>
      </c>
      <c r="H3167" s="18" t="s">
        <v>34</v>
      </c>
      <c r="I3167" s="19" t="str">
        <f>IFERROR(__xludf.DUMMYFUNCTION("IFERROR(TO_DATE(H3167), """")"),"NA")</f>
        <v>NA</v>
      </c>
      <c r="J3167" s="19" t="s">
        <v>11</v>
      </c>
      <c r="K3167" s="22">
        <f t="shared" si="2"/>
        <v>1</v>
      </c>
    </row>
    <row r="3168">
      <c r="A3168" s="18">
        <v>5903.0</v>
      </c>
      <c r="B3168" s="18" t="s">
        <v>32</v>
      </c>
      <c r="C3168" s="18">
        <v>83.0</v>
      </c>
      <c r="D3168" s="18" t="s">
        <v>33</v>
      </c>
      <c r="E3168" s="27">
        <v>42566.4153125</v>
      </c>
      <c r="F3168" s="19">
        <f>IFERROR(__xludf.DUMMYFUNCTION("IFERROR(TO_DATE(E3168), """")"),42566.4153125)</f>
        <v>42566.41531</v>
      </c>
      <c r="G3168" s="20">
        <f t="shared" si="1"/>
        <v>9</v>
      </c>
      <c r="H3168" s="18" t="s">
        <v>34</v>
      </c>
      <c r="I3168" s="19" t="str">
        <f>IFERROR(__xludf.DUMMYFUNCTION("IFERROR(TO_DATE(H3168), """")"),"NA")</f>
        <v>NA</v>
      </c>
      <c r="J3168" s="19" t="s">
        <v>14</v>
      </c>
      <c r="K3168" s="22">
        <f t="shared" si="2"/>
        <v>1</v>
      </c>
    </row>
    <row r="3169">
      <c r="A3169" s="18">
        <v>6209.0</v>
      </c>
      <c r="B3169" s="18" t="s">
        <v>30</v>
      </c>
      <c r="C3169" s="18">
        <v>83.0</v>
      </c>
      <c r="D3169" s="18" t="s">
        <v>33</v>
      </c>
      <c r="E3169" s="27">
        <v>42566.73118055556</v>
      </c>
      <c r="F3169" s="19">
        <f>IFERROR(__xludf.DUMMYFUNCTION("IFERROR(TO_DATE(E3169), """")"),42566.73118055556)</f>
        <v>42566.73118</v>
      </c>
      <c r="G3169" s="20">
        <f t="shared" si="1"/>
        <v>17</v>
      </c>
      <c r="H3169" s="18" t="s">
        <v>34</v>
      </c>
      <c r="I3169" s="19" t="str">
        <f>IFERROR(__xludf.DUMMYFUNCTION("IFERROR(TO_DATE(H3169), """")"),"NA")</f>
        <v>NA</v>
      </c>
      <c r="J3169" s="19" t="s">
        <v>12</v>
      </c>
      <c r="K3169" s="22">
        <f t="shared" si="2"/>
        <v>1</v>
      </c>
    </row>
    <row r="3170">
      <c r="A3170" s="18">
        <v>536.0</v>
      </c>
      <c r="B3170" s="18" t="s">
        <v>32</v>
      </c>
      <c r="C3170" s="18">
        <v>84.0</v>
      </c>
      <c r="D3170" s="18" t="s">
        <v>33</v>
      </c>
      <c r="E3170" s="26">
        <v>42562.415972222225</v>
      </c>
      <c r="F3170" s="19">
        <f>IFERROR(__xludf.DUMMYFUNCTION("IFERROR(TO_DATE(E3170), """")"),42562.415972222225)</f>
        <v>42562.41597</v>
      </c>
      <c r="G3170" s="20">
        <f t="shared" si="1"/>
        <v>9</v>
      </c>
      <c r="H3170" s="18" t="s">
        <v>34</v>
      </c>
      <c r="I3170" s="19" t="str">
        <f>IFERROR(__xludf.DUMMYFUNCTION("IFERROR(TO_DATE(H3170), """")"),"NA")</f>
        <v>NA</v>
      </c>
      <c r="J3170" s="19" t="s">
        <v>14</v>
      </c>
      <c r="K3170" s="22">
        <f t="shared" si="2"/>
        <v>1</v>
      </c>
    </row>
    <row r="3171">
      <c r="A3171" s="18">
        <v>1134.0</v>
      </c>
      <c r="B3171" s="18" t="s">
        <v>30</v>
      </c>
      <c r="C3171" s="18">
        <v>84.0</v>
      </c>
      <c r="D3171" s="18" t="s">
        <v>33</v>
      </c>
      <c r="E3171" s="26">
        <v>42562.85625</v>
      </c>
      <c r="F3171" s="19">
        <f>IFERROR(__xludf.DUMMYFUNCTION("IFERROR(TO_DATE(E3171), """")"),42562.85625)</f>
        <v>42562.85625</v>
      </c>
      <c r="G3171" s="20">
        <f t="shared" si="1"/>
        <v>20</v>
      </c>
      <c r="H3171" s="18" t="s">
        <v>34</v>
      </c>
      <c r="I3171" s="19" t="str">
        <f>IFERROR(__xludf.DUMMYFUNCTION("IFERROR(TO_DATE(H3171), """")"),"NA")</f>
        <v>NA</v>
      </c>
      <c r="J3171" s="19" t="s">
        <v>13</v>
      </c>
      <c r="K3171" s="22">
        <f t="shared" si="2"/>
        <v>1</v>
      </c>
    </row>
    <row r="3172">
      <c r="A3172" s="18">
        <v>1604.0</v>
      </c>
      <c r="B3172" s="18" t="s">
        <v>32</v>
      </c>
      <c r="C3172" s="18">
        <v>84.0</v>
      </c>
      <c r="D3172" s="18" t="s">
        <v>33</v>
      </c>
      <c r="E3172" s="26">
        <v>42563.27569444444</v>
      </c>
      <c r="F3172" s="19">
        <f>IFERROR(__xludf.DUMMYFUNCTION("IFERROR(TO_DATE(E3172), """")"),42563.27569444444)</f>
        <v>42563.27569</v>
      </c>
      <c r="G3172" s="20">
        <f t="shared" si="1"/>
        <v>6</v>
      </c>
      <c r="H3172" s="18" t="s">
        <v>34</v>
      </c>
      <c r="I3172" s="19" t="str">
        <f>IFERROR(__xludf.DUMMYFUNCTION("IFERROR(TO_DATE(H3172), """")"),"NA")</f>
        <v>NA</v>
      </c>
      <c r="J3172" s="19" t="s">
        <v>11</v>
      </c>
      <c r="K3172" s="22">
        <f t="shared" si="2"/>
        <v>1</v>
      </c>
    </row>
    <row r="3173">
      <c r="A3173" s="18">
        <v>1653.0</v>
      </c>
      <c r="B3173" s="18" t="s">
        <v>32</v>
      </c>
      <c r="C3173" s="18">
        <v>84.0</v>
      </c>
      <c r="D3173" s="18" t="s">
        <v>33</v>
      </c>
      <c r="E3173" s="26">
        <v>42563.31041666667</v>
      </c>
      <c r="F3173" s="19">
        <f>IFERROR(__xludf.DUMMYFUNCTION("IFERROR(TO_DATE(E3173), """")"),42563.31041666667)</f>
        <v>42563.31042</v>
      </c>
      <c r="G3173" s="20">
        <f t="shared" si="1"/>
        <v>7</v>
      </c>
      <c r="H3173" s="18" t="s">
        <v>34</v>
      </c>
      <c r="I3173" s="19" t="str">
        <f>IFERROR(__xludf.DUMMYFUNCTION("IFERROR(TO_DATE(H3173), """")"),"NA")</f>
        <v>NA</v>
      </c>
      <c r="J3173" s="19" t="s">
        <v>11</v>
      </c>
      <c r="K3173" s="22">
        <f t="shared" si="2"/>
        <v>1</v>
      </c>
    </row>
    <row r="3174">
      <c r="A3174" s="18">
        <v>1695.0</v>
      </c>
      <c r="B3174" s="18" t="s">
        <v>32</v>
      </c>
      <c r="C3174" s="18">
        <v>84.0</v>
      </c>
      <c r="D3174" s="18" t="s">
        <v>33</v>
      </c>
      <c r="E3174" s="26">
        <v>42563.33125</v>
      </c>
      <c r="F3174" s="19">
        <f>IFERROR(__xludf.DUMMYFUNCTION("IFERROR(TO_DATE(E3174), """")"),42563.33125)</f>
        <v>42563.33125</v>
      </c>
      <c r="G3174" s="20">
        <f t="shared" si="1"/>
        <v>7</v>
      </c>
      <c r="H3174" s="18" t="s">
        <v>34</v>
      </c>
      <c r="I3174" s="19" t="str">
        <f>IFERROR(__xludf.DUMMYFUNCTION("IFERROR(TO_DATE(H3174), """")"),"NA")</f>
        <v>NA</v>
      </c>
      <c r="J3174" s="19" t="s">
        <v>11</v>
      </c>
      <c r="K3174" s="22">
        <f t="shared" si="2"/>
        <v>1</v>
      </c>
    </row>
    <row r="3175">
      <c r="A3175" s="18">
        <v>2750.0</v>
      </c>
      <c r="B3175" s="18" t="s">
        <v>32</v>
      </c>
      <c r="C3175" s="18">
        <v>84.0</v>
      </c>
      <c r="D3175" s="18" t="s">
        <v>33</v>
      </c>
      <c r="E3175" s="27">
        <v>42564.14194444445</v>
      </c>
      <c r="F3175" s="19">
        <f>IFERROR(__xludf.DUMMYFUNCTION("IFERROR(TO_DATE(E3175), """")"),42564.14194444445)</f>
        <v>42564.14194</v>
      </c>
      <c r="G3175" s="20">
        <f t="shared" si="1"/>
        <v>3</v>
      </c>
      <c r="H3175" s="18" t="s">
        <v>34</v>
      </c>
      <c r="I3175" s="19" t="str">
        <f>IFERROR(__xludf.DUMMYFUNCTION("IFERROR(TO_DATE(H3175), """")"),"NA")</f>
        <v>NA</v>
      </c>
      <c r="J3175" s="19" t="s">
        <v>15</v>
      </c>
      <c r="K3175" s="22">
        <f t="shared" si="2"/>
        <v>1</v>
      </c>
    </row>
    <row r="3176">
      <c r="A3176" s="18">
        <v>2884.0</v>
      </c>
      <c r="B3176" s="18" t="s">
        <v>32</v>
      </c>
      <c r="C3176" s="18">
        <v>84.0</v>
      </c>
      <c r="D3176" s="18" t="s">
        <v>33</v>
      </c>
      <c r="E3176" s="27">
        <v>42564.246342592596</v>
      </c>
      <c r="F3176" s="19">
        <f>IFERROR(__xludf.DUMMYFUNCTION("IFERROR(TO_DATE(E3176), """")"),42564.246342592596)</f>
        <v>42564.24634</v>
      </c>
      <c r="G3176" s="20">
        <f t="shared" si="1"/>
        <v>5</v>
      </c>
      <c r="H3176" s="18" t="s">
        <v>34</v>
      </c>
      <c r="I3176" s="19" t="str">
        <f>IFERROR(__xludf.DUMMYFUNCTION("IFERROR(TO_DATE(H3176), """")"),"NA")</f>
        <v>NA</v>
      </c>
      <c r="J3176" s="19" t="s">
        <v>11</v>
      </c>
      <c r="K3176" s="22">
        <f t="shared" si="2"/>
        <v>1</v>
      </c>
    </row>
    <row r="3177">
      <c r="A3177" s="18">
        <v>3191.0</v>
      </c>
      <c r="B3177" s="18" t="s">
        <v>32</v>
      </c>
      <c r="C3177" s="18">
        <v>84.0</v>
      </c>
      <c r="D3177" s="18" t="s">
        <v>33</v>
      </c>
      <c r="E3177" s="27">
        <v>42564.39743055555</v>
      </c>
      <c r="F3177" s="19">
        <f>IFERROR(__xludf.DUMMYFUNCTION("IFERROR(TO_DATE(E3177), """")"),42564.39743055555)</f>
        <v>42564.39743</v>
      </c>
      <c r="G3177" s="20">
        <f t="shared" si="1"/>
        <v>9</v>
      </c>
      <c r="H3177" s="18" t="s">
        <v>34</v>
      </c>
      <c r="I3177" s="19" t="str">
        <f>IFERROR(__xludf.DUMMYFUNCTION("IFERROR(TO_DATE(H3177), """")"),"NA")</f>
        <v>NA</v>
      </c>
      <c r="J3177" s="19" t="s">
        <v>14</v>
      </c>
      <c r="K3177" s="22">
        <f t="shared" si="2"/>
        <v>1</v>
      </c>
    </row>
    <row r="3178">
      <c r="A3178" s="18">
        <v>3193.0</v>
      </c>
      <c r="B3178" s="18" t="s">
        <v>32</v>
      </c>
      <c r="C3178" s="18">
        <v>84.0</v>
      </c>
      <c r="D3178" s="18" t="s">
        <v>33</v>
      </c>
      <c r="E3178" s="27">
        <v>42564.39815972222</v>
      </c>
      <c r="F3178" s="19">
        <f>IFERROR(__xludf.DUMMYFUNCTION("IFERROR(TO_DATE(E3178), """")"),42564.39815972222)</f>
        <v>42564.39816</v>
      </c>
      <c r="G3178" s="20">
        <f t="shared" si="1"/>
        <v>9</v>
      </c>
      <c r="H3178" s="18" t="s">
        <v>34</v>
      </c>
      <c r="I3178" s="19" t="str">
        <f>IFERROR(__xludf.DUMMYFUNCTION("IFERROR(TO_DATE(H3178), """")"),"NA")</f>
        <v>NA</v>
      </c>
      <c r="J3178" s="19" t="s">
        <v>14</v>
      </c>
      <c r="K3178" s="22">
        <f t="shared" si="2"/>
        <v>1</v>
      </c>
    </row>
    <row r="3179">
      <c r="A3179" s="18">
        <v>3524.0</v>
      </c>
      <c r="B3179" s="18" t="s">
        <v>32</v>
      </c>
      <c r="C3179" s="18">
        <v>84.0</v>
      </c>
      <c r="D3179" s="18" t="s">
        <v>33</v>
      </c>
      <c r="E3179" s="27">
        <v>42564.74392361111</v>
      </c>
      <c r="F3179" s="19">
        <f>IFERROR(__xludf.DUMMYFUNCTION("IFERROR(TO_DATE(E3179), """")"),42564.74392361111)</f>
        <v>42564.74392</v>
      </c>
      <c r="G3179" s="20">
        <f t="shared" si="1"/>
        <v>17</v>
      </c>
      <c r="H3179" s="18" t="s">
        <v>34</v>
      </c>
      <c r="I3179" s="19" t="str">
        <f>IFERROR(__xludf.DUMMYFUNCTION("IFERROR(TO_DATE(H3179), """")"),"NA")</f>
        <v>NA</v>
      </c>
      <c r="J3179" s="19" t="s">
        <v>12</v>
      </c>
      <c r="K3179" s="22">
        <f t="shared" si="2"/>
        <v>1</v>
      </c>
    </row>
    <row r="3180">
      <c r="A3180" s="18">
        <v>4294.0</v>
      </c>
      <c r="B3180" s="18" t="s">
        <v>32</v>
      </c>
      <c r="C3180" s="18">
        <v>84.0</v>
      </c>
      <c r="D3180" s="18" t="s">
        <v>33</v>
      </c>
      <c r="E3180" s="27">
        <v>42565.278402777774</v>
      </c>
      <c r="F3180" s="19">
        <f>IFERROR(__xludf.DUMMYFUNCTION("IFERROR(TO_DATE(E3180), """")"),42565.278402777774)</f>
        <v>42565.2784</v>
      </c>
      <c r="G3180" s="20">
        <f t="shared" si="1"/>
        <v>6</v>
      </c>
      <c r="H3180" s="18" t="s">
        <v>34</v>
      </c>
      <c r="I3180" s="19" t="str">
        <f>IFERROR(__xludf.DUMMYFUNCTION("IFERROR(TO_DATE(H3180), """")"),"NA")</f>
        <v>NA</v>
      </c>
      <c r="J3180" s="19" t="s">
        <v>11</v>
      </c>
      <c r="K3180" s="22">
        <f t="shared" si="2"/>
        <v>1</v>
      </c>
    </row>
    <row r="3181">
      <c r="A3181" s="18">
        <v>4484.0</v>
      </c>
      <c r="B3181" s="18" t="s">
        <v>32</v>
      </c>
      <c r="C3181" s="18">
        <v>84.0</v>
      </c>
      <c r="D3181" s="18" t="s">
        <v>33</v>
      </c>
      <c r="E3181" s="27">
        <v>42565.371875</v>
      </c>
      <c r="F3181" s="19">
        <f>IFERROR(__xludf.DUMMYFUNCTION("IFERROR(TO_DATE(E3181), """")"),42565.371875)</f>
        <v>42565.37188</v>
      </c>
      <c r="G3181" s="20">
        <f t="shared" si="1"/>
        <v>8</v>
      </c>
      <c r="H3181" s="18" t="s">
        <v>34</v>
      </c>
      <c r="I3181" s="19" t="str">
        <f>IFERROR(__xludf.DUMMYFUNCTION("IFERROR(TO_DATE(H3181), """")"),"NA")</f>
        <v>NA</v>
      </c>
      <c r="J3181" s="19" t="s">
        <v>14</v>
      </c>
      <c r="K3181" s="22">
        <f t="shared" si="2"/>
        <v>1</v>
      </c>
    </row>
    <row r="3182">
      <c r="A3182" s="18">
        <v>324.0</v>
      </c>
      <c r="B3182" s="18" t="s">
        <v>32</v>
      </c>
      <c r="C3182" s="18">
        <v>85.0</v>
      </c>
      <c r="D3182" s="18" t="s">
        <v>33</v>
      </c>
      <c r="E3182" s="26">
        <v>42562.319444444445</v>
      </c>
      <c r="F3182" s="19">
        <f>IFERROR(__xludf.DUMMYFUNCTION("IFERROR(TO_DATE(E3182), """")"),42562.319444444445)</f>
        <v>42562.31944</v>
      </c>
      <c r="G3182" s="20">
        <f t="shared" si="1"/>
        <v>7</v>
      </c>
      <c r="H3182" s="18" t="s">
        <v>34</v>
      </c>
      <c r="I3182" s="19" t="str">
        <f>IFERROR(__xludf.DUMMYFUNCTION("IFERROR(TO_DATE(H3182), """")"),"NA")</f>
        <v>NA</v>
      </c>
      <c r="J3182" s="19" t="s">
        <v>11</v>
      </c>
      <c r="K3182" s="22">
        <f t="shared" si="2"/>
        <v>1</v>
      </c>
    </row>
    <row r="3183">
      <c r="A3183" s="18">
        <v>3351.0</v>
      </c>
      <c r="B3183" s="18" t="s">
        <v>30</v>
      </c>
      <c r="C3183" s="18">
        <v>85.0</v>
      </c>
      <c r="D3183" s="18" t="s">
        <v>33</v>
      </c>
      <c r="E3183" s="27">
        <v>42564.55579861111</v>
      </c>
      <c r="F3183" s="19">
        <f>IFERROR(__xludf.DUMMYFUNCTION("IFERROR(TO_DATE(E3183), """")"),42564.55579861111)</f>
        <v>42564.5558</v>
      </c>
      <c r="G3183" s="20">
        <f t="shared" si="1"/>
        <v>13</v>
      </c>
      <c r="H3183" s="18" t="s">
        <v>34</v>
      </c>
      <c r="I3183" s="19" t="str">
        <f>IFERROR(__xludf.DUMMYFUNCTION("IFERROR(TO_DATE(H3183), """")"),"NA")</f>
        <v>NA</v>
      </c>
      <c r="J3183" s="19" t="s">
        <v>10</v>
      </c>
      <c r="K3183" s="22">
        <f t="shared" si="2"/>
        <v>1</v>
      </c>
    </row>
    <row r="3184">
      <c r="A3184" s="18">
        <v>4195.0</v>
      </c>
      <c r="B3184" s="18" t="s">
        <v>32</v>
      </c>
      <c r="C3184" s="18">
        <v>85.0</v>
      </c>
      <c r="D3184" s="18" t="s">
        <v>33</v>
      </c>
      <c r="E3184" s="27">
        <v>42565.228101851855</v>
      </c>
      <c r="F3184" s="19">
        <f>IFERROR(__xludf.DUMMYFUNCTION("IFERROR(TO_DATE(E3184), """")"),42565.228101851855)</f>
        <v>42565.2281</v>
      </c>
      <c r="G3184" s="20">
        <f t="shared" si="1"/>
        <v>5</v>
      </c>
      <c r="H3184" s="18" t="s">
        <v>34</v>
      </c>
      <c r="I3184" s="19" t="str">
        <f>IFERROR(__xludf.DUMMYFUNCTION("IFERROR(TO_DATE(H3184), """")"),"NA")</f>
        <v>NA</v>
      </c>
      <c r="J3184" s="19" t="s">
        <v>11</v>
      </c>
      <c r="K3184" s="22">
        <f t="shared" si="2"/>
        <v>1</v>
      </c>
    </row>
    <row r="3185">
      <c r="A3185" s="18">
        <v>5685.0</v>
      </c>
      <c r="B3185" s="18" t="s">
        <v>32</v>
      </c>
      <c r="C3185" s="18">
        <v>85.0</v>
      </c>
      <c r="D3185" s="18" t="s">
        <v>33</v>
      </c>
      <c r="E3185" s="27">
        <v>42566.30349537037</v>
      </c>
      <c r="F3185" s="19">
        <f>IFERROR(__xludf.DUMMYFUNCTION("IFERROR(TO_DATE(E3185), """")"),42566.30349537037)</f>
        <v>42566.3035</v>
      </c>
      <c r="G3185" s="20">
        <f t="shared" si="1"/>
        <v>7</v>
      </c>
      <c r="H3185" s="18" t="s">
        <v>34</v>
      </c>
      <c r="I3185" s="19" t="str">
        <f>IFERROR(__xludf.DUMMYFUNCTION("IFERROR(TO_DATE(H3185), """")"),"NA")</f>
        <v>NA</v>
      </c>
      <c r="J3185" s="19" t="s">
        <v>11</v>
      </c>
      <c r="K3185" s="22">
        <f t="shared" si="2"/>
        <v>1</v>
      </c>
    </row>
    <row r="3186">
      <c r="A3186" s="18">
        <v>2889.0</v>
      </c>
      <c r="B3186" s="18" t="s">
        <v>32</v>
      </c>
      <c r="C3186" s="18">
        <v>86.0</v>
      </c>
      <c r="D3186" s="18" t="s">
        <v>33</v>
      </c>
      <c r="E3186" s="27">
        <v>42564.24694444444</v>
      </c>
      <c r="F3186" s="19">
        <f>IFERROR(__xludf.DUMMYFUNCTION("IFERROR(TO_DATE(E3186), """")"),42564.24694444444)</f>
        <v>42564.24694</v>
      </c>
      <c r="G3186" s="20">
        <f t="shared" si="1"/>
        <v>5</v>
      </c>
      <c r="H3186" s="18" t="s">
        <v>34</v>
      </c>
      <c r="I3186" s="19" t="str">
        <f>IFERROR(__xludf.DUMMYFUNCTION("IFERROR(TO_DATE(H3186), """")"),"NA")</f>
        <v>NA</v>
      </c>
      <c r="J3186" s="19" t="s">
        <v>11</v>
      </c>
      <c r="K3186" s="22">
        <f t="shared" si="2"/>
        <v>1</v>
      </c>
    </row>
    <row r="3187">
      <c r="A3187" s="18">
        <v>4301.0</v>
      </c>
      <c r="B3187" s="18" t="s">
        <v>32</v>
      </c>
      <c r="C3187" s="18">
        <v>86.0</v>
      </c>
      <c r="D3187" s="18" t="s">
        <v>33</v>
      </c>
      <c r="E3187" s="27">
        <v>42565.28241898148</v>
      </c>
      <c r="F3187" s="19">
        <f>IFERROR(__xludf.DUMMYFUNCTION("IFERROR(TO_DATE(E3187), """")"),42565.28241898148)</f>
        <v>42565.28242</v>
      </c>
      <c r="G3187" s="20">
        <f t="shared" si="1"/>
        <v>6</v>
      </c>
      <c r="H3187" s="18" t="s">
        <v>34</v>
      </c>
      <c r="I3187" s="19" t="str">
        <f>IFERROR(__xludf.DUMMYFUNCTION("IFERROR(TO_DATE(H3187), """")"),"NA")</f>
        <v>NA</v>
      </c>
      <c r="J3187" s="19" t="s">
        <v>11</v>
      </c>
      <c r="K3187" s="22">
        <f t="shared" si="2"/>
        <v>1</v>
      </c>
    </row>
    <row r="3188">
      <c r="A3188" s="18">
        <v>1294.0</v>
      </c>
      <c r="B3188" s="18" t="s">
        <v>32</v>
      </c>
      <c r="C3188" s="18">
        <v>87.0</v>
      </c>
      <c r="D3188" s="18" t="s">
        <v>33</v>
      </c>
      <c r="E3188" s="26">
        <v>42562.93472222222</v>
      </c>
      <c r="F3188" s="19">
        <f>IFERROR(__xludf.DUMMYFUNCTION("IFERROR(TO_DATE(E3188), """")"),42562.93472222222)</f>
        <v>42562.93472</v>
      </c>
      <c r="G3188" s="20">
        <f t="shared" si="1"/>
        <v>22</v>
      </c>
      <c r="H3188" s="18" t="s">
        <v>34</v>
      </c>
      <c r="I3188" s="19" t="str">
        <f>IFERROR(__xludf.DUMMYFUNCTION("IFERROR(TO_DATE(H3188), """")"),"NA")</f>
        <v>NA</v>
      </c>
      <c r="J3188" s="19" t="s">
        <v>13</v>
      </c>
      <c r="K3188" s="22">
        <f t="shared" si="2"/>
        <v>1</v>
      </c>
    </row>
    <row r="3189">
      <c r="A3189" s="18">
        <v>5935.0</v>
      </c>
      <c r="B3189" s="18" t="s">
        <v>32</v>
      </c>
      <c r="C3189" s="18">
        <v>87.0</v>
      </c>
      <c r="D3189" s="18" t="s">
        <v>33</v>
      </c>
      <c r="E3189" s="27">
        <v>42566.42622685185</v>
      </c>
      <c r="F3189" s="19">
        <f>IFERROR(__xludf.DUMMYFUNCTION("IFERROR(TO_DATE(E3189), """")"),42566.42622685185)</f>
        <v>42566.42623</v>
      </c>
      <c r="G3189" s="20">
        <f t="shared" si="1"/>
        <v>10</v>
      </c>
      <c r="H3189" s="18" t="s">
        <v>34</v>
      </c>
      <c r="I3189" s="19" t="str">
        <f>IFERROR(__xludf.DUMMYFUNCTION("IFERROR(TO_DATE(H3189), """")"),"NA")</f>
        <v>NA</v>
      </c>
      <c r="J3189" s="19" t="s">
        <v>14</v>
      </c>
      <c r="K3189" s="22">
        <f t="shared" si="2"/>
        <v>1</v>
      </c>
    </row>
    <row r="3190">
      <c r="A3190" s="18">
        <v>428.0</v>
      </c>
      <c r="B3190" s="18" t="s">
        <v>32</v>
      </c>
      <c r="C3190" s="18">
        <v>88.0</v>
      </c>
      <c r="D3190" s="18" t="s">
        <v>33</v>
      </c>
      <c r="E3190" s="26">
        <v>42562.36666666667</v>
      </c>
      <c r="F3190" s="19">
        <f>IFERROR(__xludf.DUMMYFUNCTION("IFERROR(TO_DATE(E3190), """")"),42562.36666666667)</f>
        <v>42562.36667</v>
      </c>
      <c r="G3190" s="20">
        <f t="shared" si="1"/>
        <v>8</v>
      </c>
      <c r="H3190" s="18" t="s">
        <v>34</v>
      </c>
      <c r="I3190" s="19" t="str">
        <f>IFERROR(__xludf.DUMMYFUNCTION("IFERROR(TO_DATE(H3190), """")"),"NA")</f>
        <v>NA</v>
      </c>
      <c r="J3190" s="19" t="s">
        <v>14</v>
      </c>
      <c r="K3190" s="22">
        <f t="shared" si="2"/>
        <v>1</v>
      </c>
    </row>
    <row r="3191">
      <c r="A3191" s="18">
        <v>450.0</v>
      </c>
      <c r="B3191" s="18" t="s">
        <v>32</v>
      </c>
      <c r="C3191" s="18">
        <v>88.0</v>
      </c>
      <c r="D3191" s="18" t="s">
        <v>33</v>
      </c>
      <c r="E3191" s="26">
        <v>42562.38263888889</v>
      </c>
      <c r="F3191" s="19">
        <f>IFERROR(__xludf.DUMMYFUNCTION("IFERROR(TO_DATE(E3191), """")"),42562.38263888889)</f>
        <v>42562.38264</v>
      </c>
      <c r="G3191" s="20">
        <f t="shared" si="1"/>
        <v>9</v>
      </c>
      <c r="H3191" s="18" t="s">
        <v>34</v>
      </c>
      <c r="I3191" s="19" t="str">
        <f>IFERROR(__xludf.DUMMYFUNCTION("IFERROR(TO_DATE(H3191), """")"),"NA")</f>
        <v>NA</v>
      </c>
      <c r="J3191" s="19" t="s">
        <v>14</v>
      </c>
      <c r="K3191" s="22">
        <f t="shared" si="2"/>
        <v>1</v>
      </c>
    </row>
    <row r="3192">
      <c r="A3192" s="18">
        <v>4510.0</v>
      </c>
      <c r="B3192" s="18" t="s">
        <v>32</v>
      </c>
      <c r="C3192" s="18">
        <v>88.0</v>
      </c>
      <c r="D3192" s="18" t="s">
        <v>33</v>
      </c>
      <c r="E3192" s="27">
        <v>42565.38039351852</v>
      </c>
      <c r="F3192" s="19">
        <f>IFERROR(__xludf.DUMMYFUNCTION("IFERROR(TO_DATE(E3192), """")"),42565.38039351852)</f>
        <v>42565.38039</v>
      </c>
      <c r="G3192" s="20">
        <f t="shared" si="1"/>
        <v>9</v>
      </c>
      <c r="H3192" s="18" t="s">
        <v>34</v>
      </c>
      <c r="I3192" s="19" t="str">
        <f>IFERROR(__xludf.DUMMYFUNCTION("IFERROR(TO_DATE(H3192), """")"),"NA")</f>
        <v>NA</v>
      </c>
      <c r="J3192" s="19" t="s">
        <v>14</v>
      </c>
      <c r="K3192" s="22">
        <f t="shared" si="2"/>
        <v>1</v>
      </c>
    </row>
    <row r="3193">
      <c r="A3193" s="18">
        <v>432.0</v>
      </c>
      <c r="B3193" s="18" t="s">
        <v>32</v>
      </c>
      <c r="C3193" s="18">
        <v>89.0</v>
      </c>
      <c r="D3193" s="18" t="s">
        <v>33</v>
      </c>
      <c r="E3193" s="26">
        <v>42562.36944444444</v>
      </c>
      <c r="F3193" s="19">
        <f>IFERROR(__xludf.DUMMYFUNCTION("IFERROR(TO_DATE(E3193), """")"),42562.36944444444)</f>
        <v>42562.36944</v>
      </c>
      <c r="G3193" s="20">
        <f t="shared" si="1"/>
        <v>8</v>
      </c>
      <c r="H3193" s="18" t="s">
        <v>34</v>
      </c>
      <c r="I3193" s="19" t="str">
        <f>IFERROR(__xludf.DUMMYFUNCTION("IFERROR(TO_DATE(H3193), """")"),"NA")</f>
        <v>NA</v>
      </c>
      <c r="J3193" s="19" t="s">
        <v>14</v>
      </c>
      <c r="K3193" s="22">
        <f t="shared" si="2"/>
        <v>1</v>
      </c>
    </row>
    <row r="3194">
      <c r="A3194" s="18">
        <v>2491.0</v>
      </c>
      <c r="B3194" s="18" t="s">
        <v>30</v>
      </c>
      <c r="C3194" s="18">
        <v>89.0</v>
      </c>
      <c r="D3194" s="18" t="s">
        <v>33</v>
      </c>
      <c r="E3194" s="26">
        <v>42563.87152777778</v>
      </c>
      <c r="F3194" s="19">
        <f>IFERROR(__xludf.DUMMYFUNCTION("IFERROR(TO_DATE(E3194), """")"),42563.87152777778)</f>
        <v>42563.87153</v>
      </c>
      <c r="G3194" s="20">
        <f t="shared" si="1"/>
        <v>20</v>
      </c>
      <c r="H3194" s="18" t="s">
        <v>34</v>
      </c>
      <c r="I3194" s="19" t="str">
        <f>IFERROR(__xludf.DUMMYFUNCTION("IFERROR(TO_DATE(H3194), """")"),"NA")</f>
        <v>NA</v>
      </c>
      <c r="J3194" s="19" t="s">
        <v>13</v>
      </c>
      <c r="K3194" s="22">
        <f t="shared" si="2"/>
        <v>1</v>
      </c>
    </row>
    <row r="3195">
      <c r="A3195" s="18">
        <v>5569.0</v>
      </c>
      <c r="B3195" s="18" t="s">
        <v>32</v>
      </c>
      <c r="C3195" s="18">
        <v>89.0</v>
      </c>
      <c r="D3195" s="18" t="s">
        <v>33</v>
      </c>
      <c r="E3195" s="27">
        <v>42566.23732638889</v>
      </c>
      <c r="F3195" s="19">
        <f>IFERROR(__xludf.DUMMYFUNCTION("IFERROR(TO_DATE(E3195), """")"),42566.23732638889)</f>
        <v>42566.23733</v>
      </c>
      <c r="G3195" s="20">
        <f t="shared" si="1"/>
        <v>5</v>
      </c>
      <c r="H3195" s="18" t="s">
        <v>34</v>
      </c>
      <c r="I3195" s="19" t="str">
        <f>IFERROR(__xludf.DUMMYFUNCTION("IFERROR(TO_DATE(H3195), """")"),"NA")</f>
        <v>NA</v>
      </c>
      <c r="J3195" s="19" t="s">
        <v>11</v>
      </c>
      <c r="K3195" s="22">
        <f t="shared" si="2"/>
        <v>1</v>
      </c>
    </row>
    <row r="3196">
      <c r="A3196" s="18">
        <v>5671.0</v>
      </c>
      <c r="B3196" s="18" t="s">
        <v>32</v>
      </c>
      <c r="C3196" s="18">
        <v>89.0</v>
      </c>
      <c r="D3196" s="18" t="s">
        <v>33</v>
      </c>
      <c r="E3196" s="27">
        <v>42566.295266203706</v>
      </c>
      <c r="F3196" s="19">
        <f>IFERROR(__xludf.DUMMYFUNCTION("IFERROR(TO_DATE(E3196), """")"),42566.295266203706)</f>
        <v>42566.29527</v>
      </c>
      <c r="G3196" s="20">
        <f t="shared" si="1"/>
        <v>7</v>
      </c>
      <c r="H3196" s="18" t="s">
        <v>34</v>
      </c>
      <c r="I3196" s="19" t="str">
        <f>IFERROR(__xludf.DUMMYFUNCTION("IFERROR(TO_DATE(H3196), """")"),"NA")</f>
        <v>NA</v>
      </c>
      <c r="J3196" s="19" t="s">
        <v>11</v>
      </c>
      <c r="K3196" s="22">
        <f t="shared" si="2"/>
        <v>1</v>
      </c>
    </row>
    <row r="3197">
      <c r="A3197" s="18">
        <v>6374.0</v>
      </c>
      <c r="B3197" s="18" t="s">
        <v>32</v>
      </c>
      <c r="C3197" s="18">
        <v>89.0</v>
      </c>
      <c r="D3197" s="18" t="s">
        <v>33</v>
      </c>
      <c r="E3197" s="27">
        <v>42566.798634259256</v>
      </c>
      <c r="F3197" s="19">
        <f>IFERROR(__xludf.DUMMYFUNCTION("IFERROR(TO_DATE(E3197), """")"),42566.798634259256)</f>
        <v>42566.79863</v>
      </c>
      <c r="G3197" s="20">
        <f t="shared" si="1"/>
        <v>19</v>
      </c>
      <c r="H3197" s="18" t="s">
        <v>34</v>
      </c>
      <c r="I3197" s="19" t="str">
        <f>IFERROR(__xludf.DUMMYFUNCTION("IFERROR(TO_DATE(H3197), """")"),"NA")</f>
        <v>NA</v>
      </c>
      <c r="J3197" s="19" t="s">
        <v>12</v>
      </c>
      <c r="K3197" s="22">
        <f t="shared" si="2"/>
        <v>1</v>
      </c>
    </row>
    <row r="3198">
      <c r="A3198" s="18">
        <v>4464.0</v>
      </c>
      <c r="B3198" s="18" t="s">
        <v>32</v>
      </c>
      <c r="C3198" s="18">
        <v>90.0</v>
      </c>
      <c r="D3198" s="18" t="s">
        <v>33</v>
      </c>
      <c r="E3198" s="27">
        <v>42565.363032407404</v>
      </c>
      <c r="F3198" s="19">
        <f>IFERROR(__xludf.DUMMYFUNCTION("IFERROR(TO_DATE(E3198), """")"),42565.363032407404)</f>
        <v>42565.36303</v>
      </c>
      <c r="G3198" s="20">
        <f t="shared" si="1"/>
        <v>8</v>
      </c>
      <c r="H3198" s="18" t="s">
        <v>34</v>
      </c>
      <c r="I3198" s="19" t="str">
        <f>IFERROR(__xludf.DUMMYFUNCTION("IFERROR(TO_DATE(H3198), """")"),"NA")</f>
        <v>NA</v>
      </c>
      <c r="J3198" s="19" t="s">
        <v>14</v>
      </c>
      <c r="K3198" s="22">
        <f t="shared" si="2"/>
        <v>1</v>
      </c>
    </row>
    <row r="3199">
      <c r="A3199" s="18">
        <v>5609.0</v>
      </c>
      <c r="B3199" s="18" t="s">
        <v>32</v>
      </c>
      <c r="C3199" s="18">
        <v>90.0</v>
      </c>
      <c r="D3199" s="18" t="s">
        <v>33</v>
      </c>
      <c r="E3199" s="27">
        <v>42566.260879629626</v>
      </c>
      <c r="F3199" s="19">
        <f>IFERROR(__xludf.DUMMYFUNCTION("IFERROR(TO_DATE(E3199), """")"),42566.260879629626)</f>
        <v>42566.26088</v>
      </c>
      <c r="G3199" s="20">
        <f t="shared" si="1"/>
        <v>6</v>
      </c>
      <c r="H3199" s="18" t="s">
        <v>34</v>
      </c>
      <c r="I3199" s="19" t="str">
        <f>IFERROR(__xludf.DUMMYFUNCTION("IFERROR(TO_DATE(H3199), """")"),"NA")</f>
        <v>NA</v>
      </c>
      <c r="J3199" s="19" t="s">
        <v>11</v>
      </c>
      <c r="K3199" s="22">
        <f t="shared" si="2"/>
        <v>1</v>
      </c>
    </row>
    <row r="3200">
      <c r="A3200" s="18">
        <v>5848.0</v>
      </c>
      <c r="B3200" s="18" t="s">
        <v>32</v>
      </c>
      <c r="C3200" s="18">
        <v>90.0</v>
      </c>
      <c r="D3200" s="18" t="s">
        <v>33</v>
      </c>
      <c r="E3200" s="27">
        <v>42566.37835648148</v>
      </c>
      <c r="F3200" s="19">
        <f>IFERROR(__xludf.DUMMYFUNCTION("IFERROR(TO_DATE(E3200), """")"),42566.37835648148)</f>
        <v>42566.37836</v>
      </c>
      <c r="G3200" s="20">
        <f t="shared" si="1"/>
        <v>9</v>
      </c>
      <c r="H3200" s="18" t="s">
        <v>34</v>
      </c>
      <c r="I3200" s="19" t="str">
        <f>IFERROR(__xludf.DUMMYFUNCTION("IFERROR(TO_DATE(H3200), """")"),"NA")</f>
        <v>NA</v>
      </c>
      <c r="J3200" s="19" t="s">
        <v>14</v>
      </c>
      <c r="K3200" s="22">
        <f t="shared" si="2"/>
        <v>1</v>
      </c>
    </row>
    <row r="3201">
      <c r="A3201" s="18">
        <v>543.0</v>
      </c>
      <c r="B3201" s="18" t="s">
        <v>32</v>
      </c>
      <c r="C3201" s="18">
        <v>91.0</v>
      </c>
      <c r="D3201" s="18" t="s">
        <v>33</v>
      </c>
      <c r="E3201" s="26">
        <v>42562.41875</v>
      </c>
      <c r="F3201" s="19">
        <f>IFERROR(__xludf.DUMMYFUNCTION("IFERROR(TO_DATE(E3201), """")"),42562.41875)</f>
        <v>42562.41875</v>
      </c>
      <c r="G3201" s="20">
        <f t="shared" si="1"/>
        <v>10</v>
      </c>
      <c r="H3201" s="18" t="s">
        <v>34</v>
      </c>
      <c r="I3201" s="19" t="str">
        <f>IFERROR(__xludf.DUMMYFUNCTION("IFERROR(TO_DATE(H3201), """")"),"NA")</f>
        <v>NA</v>
      </c>
      <c r="J3201" s="19" t="s">
        <v>14</v>
      </c>
      <c r="K3201" s="22">
        <f t="shared" si="2"/>
        <v>1</v>
      </c>
    </row>
    <row r="3202">
      <c r="A3202" s="18">
        <v>2828.0</v>
      </c>
      <c r="B3202" s="18" t="s">
        <v>32</v>
      </c>
      <c r="C3202" s="18">
        <v>92.0</v>
      </c>
      <c r="D3202" s="18" t="s">
        <v>33</v>
      </c>
      <c r="E3202" s="27">
        <v>42564.222349537034</v>
      </c>
      <c r="F3202" s="19">
        <f>IFERROR(__xludf.DUMMYFUNCTION("IFERROR(TO_DATE(E3202), """")"),42564.222349537034)</f>
        <v>42564.22235</v>
      </c>
      <c r="G3202" s="20">
        <f t="shared" si="1"/>
        <v>5</v>
      </c>
      <c r="H3202" s="18" t="s">
        <v>34</v>
      </c>
      <c r="I3202" s="19" t="str">
        <f>IFERROR(__xludf.DUMMYFUNCTION("IFERROR(TO_DATE(H3202), """")"),"NA")</f>
        <v>NA</v>
      </c>
      <c r="J3202" s="19" t="s">
        <v>11</v>
      </c>
      <c r="K3202" s="22">
        <f t="shared" si="2"/>
        <v>1</v>
      </c>
    </row>
    <row r="3203">
      <c r="A3203" s="18">
        <v>2993.0</v>
      </c>
      <c r="B3203" s="18" t="s">
        <v>32</v>
      </c>
      <c r="C3203" s="18">
        <v>92.0</v>
      </c>
      <c r="D3203" s="18" t="s">
        <v>33</v>
      </c>
      <c r="E3203" s="27">
        <v>42564.29577546296</v>
      </c>
      <c r="F3203" s="19">
        <f>IFERROR(__xludf.DUMMYFUNCTION("IFERROR(TO_DATE(E3203), """")"),42564.29577546296)</f>
        <v>42564.29578</v>
      </c>
      <c r="G3203" s="20">
        <f t="shared" si="1"/>
        <v>7</v>
      </c>
      <c r="H3203" s="18" t="s">
        <v>34</v>
      </c>
      <c r="I3203" s="19" t="str">
        <f>IFERROR(__xludf.DUMMYFUNCTION("IFERROR(TO_DATE(H3203), """")"),"NA")</f>
        <v>NA</v>
      </c>
      <c r="J3203" s="19" t="s">
        <v>11</v>
      </c>
      <c r="K3203" s="22">
        <f t="shared" si="2"/>
        <v>1</v>
      </c>
    </row>
    <row r="3204">
      <c r="A3204" s="18">
        <v>3018.0</v>
      </c>
      <c r="B3204" s="18" t="s">
        <v>30</v>
      </c>
      <c r="C3204" s="18">
        <v>92.0</v>
      </c>
      <c r="D3204" s="18" t="s">
        <v>33</v>
      </c>
      <c r="E3204" s="27">
        <v>42564.31092592593</v>
      </c>
      <c r="F3204" s="19">
        <f>IFERROR(__xludf.DUMMYFUNCTION("IFERROR(TO_DATE(E3204), """")"),42564.31092592593)</f>
        <v>42564.31093</v>
      </c>
      <c r="G3204" s="20">
        <f t="shared" si="1"/>
        <v>7</v>
      </c>
      <c r="H3204" s="18" t="s">
        <v>34</v>
      </c>
      <c r="I3204" s="19" t="str">
        <f>IFERROR(__xludf.DUMMYFUNCTION("IFERROR(TO_DATE(H3204), """")"),"NA")</f>
        <v>NA</v>
      </c>
      <c r="J3204" s="19" t="s">
        <v>11</v>
      </c>
      <c r="K3204" s="22">
        <f t="shared" si="2"/>
        <v>1</v>
      </c>
    </row>
    <row r="3205">
      <c r="A3205" s="18">
        <v>4155.0</v>
      </c>
      <c r="B3205" s="18" t="s">
        <v>32</v>
      </c>
      <c r="C3205" s="18">
        <v>92.0</v>
      </c>
      <c r="D3205" s="18" t="s">
        <v>33</v>
      </c>
      <c r="E3205" s="27">
        <v>42565.212905092594</v>
      </c>
      <c r="F3205" s="19">
        <f>IFERROR(__xludf.DUMMYFUNCTION("IFERROR(TO_DATE(E3205), """")"),42565.212905092594)</f>
        <v>42565.21291</v>
      </c>
      <c r="G3205" s="20">
        <f t="shared" si="1"/>
        <v>5</v>
      </c>
      <c r="H3205" s="18" t="s">
        <v>34</v>
      </c>
      <c r="I3205" s="19" t="str">
        <f>IFERROR(__xludf.DUMMYFUNCTION("IFERROR(TO_DATE(H3205), """")"),"NA")</f>
        <v>NA</v>
      </c>
      <c r="J3205" s="19" t="s">
        <v>11</v>
      </c>
      <c r="K3205" s="22">
        <f t="shared" si="2"/>
        <v>1</v>
      </c>
    </row>
    <row r="3206">
      <c r="A3206" s="18">
        <v>2552.0</v>
      </c>
      <c r="B3206" s="18" t="s">
        <v>32</v>
      </c>
      <c r="C3206" s="18">
        <v>93.0</v>
      </c>
      <c r="D3206" s="18" t="s">
        <v>33</v>
      </c>
      <c r="E3206" s="26">
        <v>42563.89097222222</v>
      </c>
      <c r="F3206" s="19">
        <f>IFERROR(__xludf.DUMMYFUNCTION("IFERROR(TO_DATE(E3206), """")"),42563.89097222222)</f>
        <v>42563.89097</v>
      </c>
      <c r="G3206" s="20">
        <f t="shared" si="1"/>
        <v>21</v>
      </c>
      <c r="H3206" s="18" t="s">
        <v>34</v>
      </c>
      <c r="I3206" s="19" t="str">
        <f>IFERROR(__xludf.DUMMYFUNCTION("IFERROR(TO_DATE(H3206), """")"),"NA")</f>
        <v>NA</v>
      </c>
      <c r="J3206" s="19" t="s">
        <v>13</v>
      </c>
      <c r="K3206" s="22">
        <f t="shared" si="2"/>
        <v>1</v>
      </c>
    </row>
    <row r="3207">
      <c r="A3207" s="18">
        <v>3430.0</v>
      </c>
      <c r="B3207" s="18" t="s">
        <v>30</v>
      </c>
      <c r="C3207" s="18">
        <v>93.0</v>
      </c>
      <c r="D3207" s="18" t="s">
        <v>33</v>
      </c>
      <c r="E3207" s="27">
        <v>42564.66798611111</v>
      </c>
      <c r="F3207" s="19">
        <f>IFERROR(__xludf.DUMMYFUNCTION("IFERROR(TO_DATE(E3207), """")"),42564.66798611111)</f>
        <v>42564.66799</v>
      </c>
      <c r="G3207" s="20">
        <f t="shared" si="1"/>
        <v>16</v>
      </c>
      <c r="H3207" s="18" t="s">
        <v>34</v>
      </c>
      <c r="I3207" s="19" t="str">
        <f>IFERROR(__xludf.DUMMYFUNCTION("IFERROR(TO_DATE(H3207), """")"),"NA")</f>
        <v>NA</v>
      </c>
      <c r="J3207" s="19" t="s">
        <v>12</v>
      </c>
      <c r="K3207" s="22">
        <f t="shared" si="2"/>
        <v>1</v>
      </c>
    </row>
    <row r="3208">
      <c r="A3208" s="18">
        <v>4167.0</v>
      </c>
      <c r="B3208" s="18" t="s">
        <v>32</v>
      </c>
      <c r="C3208" s="18">
        <v>93.0</v>
      </c>
      <c r="D3208" s="18" t="s">
        <v>33</v>
      </c>
      <c r="E3208" s="27">
        <v>42565.217881944445</v>
      </c>
      <c r="F3208" s="19">
        <f>IFERROR(__xludf.DUMMYFUNCTION("IFERROR(TO_DATE(E3208), """")"),42565.217881944445)</f>
        <v>42565.21788</v>
      </c>
      <c r="G3208" s="20">
        <f t="shared" si="1"/>
        <v>5</v>
      </c>
      <c r="H3208" s="18" t="s">
        <v>34</v>
      </c>
      <c r="I3208" s="19" t="str">
        <f>IFERROR(__xludf.DUMMYFUNCTION("IFERROR(TO_DATE(H3208), """")"),"NA")</f>
        <v>NA</v>
      </c>
      <c r="J3208" s="19" t="s">
        <v>11</v>
      </c>
      <c r="K3208" s="22">
        <f t="shared" si="2"/>
        <v>1</v>
      </c>
    </row>
    <row r="3209">
      <c r="A3209" s="18">
        <v>5508.0</v>
      </c>
      <c r="B3209" s="18" t="s">
        <v>32</v>
      </c>
      <c r="C3209" s="18">
        <v>93.0</v>
      </c>
      <c r="D3209" s="18" t="s">
        <v>33</v>
      </c>
      <c r="E3209" s="27">
        <v>42566.21166666667</v>
      </c>
      <c r="F3209" s="19">
        <f>IFERROR(__xludf.DUMMYFUNCTION("IFERROR(TO_DATE(E3209), """")"),42566.21166666667)</f>
        <v>42566.21167</v>
      </c>
      <c r="G3209" s="20">
        <f t="shared" si="1"/>
        <v>5</v>
      </c>
      <c r="H3209" s="18" t="s">
        <v>34</v>
      </c>
      <c r="I3209" s="19" t="str">
        <f>IFERROR(__xludf.DUMMYFUNCTION("IFERROR(TO_DATE(H3209), """")"),"NA")</f>
        <v>NA</v>
      </c>
      <c r="J3209" s="19" t="s">
        <v>11</v>
      </c>
      <c r="K3209" s="22">
        <f t="shared" si="2"/>
        <v>1</v>
      </c>
    </row>
    <row r="3210">
      <c r="A3210" s="18">
        <v>5729.0</v>
      </c>
      <c r="B3210" s="18" t="s">
        <v>32</v>
      </c>
      <c r="C3210" s="18">
        <v>93.0</v>
      </c>
      <c r="D3210" s="18" t="s">
        <v>33</v>
      </c>
      <c r="E3210" s="27">
        <v>42566.326006944444</v>
      </c>
      <c r="F3210" s="19">
        <f>IFERROR(__xludf.DUMMYFUNCTION("IFERROR(TO_DATE(E3210), """")"),42566.326006944444)</f>
        <v>42566.32601</v>
      </c>
      <c r="G3210" s="20">
        <f t="shared" si="1"/>
        <v>7</v>
      </c>
      <c r="H3210" s="18" t="s">
        <v>34</v>
      </c>
      <c r="I3210" s="19" t="str">
        <f>IFERROR(__xludf.DUMMYFUNCTION("IFERROR(TO_DATE(H3210), """")"),"NA")</f>
        <v>NA</v>
      </c>
      <c r="J3210" s="19" t="s">
        <v>11</v>
      </c>
      <c r="K3210" s="22">
        <f t="shared" si="2"/>
        <v>1</v>
      </c>
    </row>
    <row r="3211">
      <c r="A3211" s="18">
        <v>202.0</v>
      </c>
      <c r="B3211" s="18" t="s">
        <v>32</v>
      </c>
      <c r="C3211" s="18">
        <v>94.0</v>
      </c>
      <c r="D3211" s="18" t="s">
        <v>33</v>
      </c>
      <c r="E3211" s="26">
        <v>42562.25625</v>
      </c>
      <c r="F3211" s="19">
        <f>IFERROR(__xludf.DUMMYFUNCTION("IFERROR(TO_DATE(E3211), """")"),42562.25625)</f>
        <v>42562.25625</v>
      </c>
      <c r="G3211" s="20">
        <f t="shared" si="1"/>
        <v>6</v>
      </c>
      <c r="H3211" s="18" t="s">
        <v>34</v>
      </c>
      <c r="I3211" s="19" t="str">
        <f>IFERROR(__xludf.DUMMYFUNCTION("IFERROR(TO_DATE(H3211), """")"),"NA")</f>
        <v>NA</v>
      </c>
      <c r="J3211" s="19" t="s">
        <v>11</v>
      </c>
      <c r="K3211" s="22">
        <f t="shared" si="2"/>
        <v>1</v>
      </c>
    </row>
    <row r="3212">
      <c r="A3212" s="18">
        <v>341.0</v>
      </c>
      <c r="B3212" s="18" t="s">
        <v>32</v>
      </c>
      <c r="C3212" s="18">
        <v>94.0</v>
      </c>
      <c r="D3212" s="18" t="s">
        <v>33</v>
      </c>
      <c r="E3212" s="26">
        <v>42562.32361111111</v>
      </c>
      <c r="F3212" s="19">
        <f>IFERROR(__xludf.DUMMYFUNCTION("IFERROR(TO_DATE(E3212), """")"),42562.32361111111)</f>
        <v>42562.32361</v>
      </c>
      <c r="G3212" s="20">
        <f t="shared" si="1"/>
        <v>7</v>
      </c>
      <c r="H3212" s="18" t="s">
        <v>34</v>
      </c>
      <c r="I3212" s="19" t="str">
        <f>IFERROR(__xludf.DUMMYFUNCTION("IFERROR(TO_DATE(H3212), """")"),"NA")</f>
        <v>NA</v>
      </c>
      <c r="J3212" s="19" t="s">
        <v>11</v>
      </c>
      <c r="K3212" s="22">
        <f t="shared" si="2"/>
        <v>1</v>
      </c>
    </row>
    <row r="3213">
      <c r="A3213" s="18">
        <v>3049.0</v>
      </c>
      <c r="B3213" s="18" t="s">
        <v>32</v>
      </c>
      <c r="C3213" s="18">
        <v>94.0</v>
      </c>
      <c r="D3213" s="18" t="s">
        <v>33</v>
      </c>
      <c r="E3213" s="27">
        <v>42564.32209490741</v>
      </c>
      <c r="F3213" s="19">
        <f>IFERROR(__xludf.DUMMYFUNCTION("IFERROR(TO_DATE(E3213), """")"),42564.32209490741)</f>
        <v>42564.32209</v>
      </c>
      <c r="G3213" s="20">
        <f t="shared" si="1"/>
        <v>7</v>
      </c>
      <c r="H3213" s="18" t="s">
        <v>34</v>
      </c>
      <c r="I3213" s="19" t="str">
        <f>IFERROR(__xludf.DUMMYFUNCTION("IFERROR(TO_DATE(H3213), """")"),"NA")</f>
        <v>NA</v>
      </c>
      <c r="J3213" s="19" t="s">
        <v>11</v>
      </c>
      <c r="K3213" s="22">
        <f t="shared" si="2"/>
        <v>1</v>
      </c>
    </row>
    <row r="3214">
      <c r="A3214" s="18">
        <v>6323.0</v>
      </c>
      <c r="B3214" s="18" t="s">
        <v>30</v>
      </c>
      <c r="C3214" s="18">
        <v>94.0</v>
      </c>
      <c r="D3214" s="18" t="s">
        <v>33</v>
      </c>
      <c r="E3214" s="27">
        <v>42566.77753472222</v>
      </c>
      <c r="F3214" s="19">
        <f>IFERROR(__xludf.DUMMYFUNCTION("IFERROR(TO_DATE(E3214), """")"),42566.77753472222)</f>
        <v>42566.77753</v>
      </c>
      <c r="G3214" s="20">
        <f t="shared" si="1"/>
        <v>18</v>
      </c>
      <c r="H3214" s="18" t="s">
        <v>34</v>
      </c>
      <c r="I3214" s="19" t="str">
        <f>IFERROR(__xludf.DUMMYFUNCTION("IFERROR(TO_DATE(H3214), """")"),"NA")</f>
        <v>NA</v>
      </c>
      <c r="J3214" s="19" t="s">
        <v>12</v>
      </c>
      <c r="K3214" s="22">
        <f t="shared" si="2"/>
        <v>1</v>
      </c>
    </row>
    <row r="3215">
      <c r="A3215" s="18">
        <v>6462.0</v>
      </c>
      <c r="B3215" s="18" t="s">
        <v>32</v>
      </c>
      <c r="C3215" s="18">
        <v>94.0</v>
      </c>
      <c r="D3215" s="18" t="s">
        <v>33</v>
      </c>
      <c r="E3215" s="27">
        <v>42566.84138888889</v>
      </c>
      <c r="F3215" s="19">
        <f>IFERROR(__xludf.DUMMYFUNCTION("IFERROR(TO_DATE(E3215), """")"),42566.84138888889)</f>
        <v>42566.84139</v>
      </c>
      <c r="G3215" s="20">
        <f t="shared" si="1"/>
        <v>20</v>
      </c>
      <c r="H3215" s="18" t="s">
        <v>34</v>
      </c>
      <c r="I3215" s="19" t="str">
        <f>IFERROR(__xludf.DUMMYFUNCTION("IFERROR(TO_DATE(H3215), """")"),"NA")</f>
        <v>NA</v>
      </c>
      <c r="J3215" s="19" t="s">
        <v>13</v>
      </c>
      <c r="K3215" s="22">
        <f t="shared" si="2"/>
        <v>1</v>
      </c>
    </row>
    <row r="3216">
      <c r="A3216" s="18">
        <v>3242.0</v>
      </c>
      <c r="B3216" s="18" t="s">
        <v>32</v>
      </c>
      <c r="C3216" s="18">
        <v>95.0</v>
      </c>
      <c r="D3216" s="18" t="s">
        <v>33</v>
      </c>
      <c r="E3216" s="27">
        <v>42564.42233796296</v>
      </c>
      <c r="F3216" s="19">
        <f>IFERROR(__xludf.DUMMYFUNCTION("IFERROR(TO_DATE(E3216), """")"),42564.42233796296)</f>
        <v>42564.42234</v>
      </c>
      <c r="G3216" s="20">
        <f t="shared" si="1"/>
        <v>10</v>
      </c>
      <c r="H3216" s="18" t="s">
        <v>34</v>
      </c>
      <c r="I3216" s="19" t="str">
        <f>IFERROR(__xludf.DUMMYFUNCTION("IFERROR(TO_DATE(H3216), """")"),"NA")</f>
        <v>NA</v>
      </c>
      <c r="J3216" s="19" t="s">
        <v>14</v>
      </c>
      <c r="K3216" s="22">
        <f t="shared" si="2"/>
        <v>1</v>
      </c>
    </row>
    <row r="3217">
      <c r="A3217" s="18">
        <v>4499.0</v>
      </c>
      <c r="B3217" s="18" t="s">
        <v>32</v>
      </c>
      <c r="C3217" s="18">
        <v>95.0</v>
      </c>
      <c r="D3217" s="18" t="s">
        <v>33</v>
      </c>
      <c r="E3217" s="27">
        <v>42565.37631944445</v>
      </c>
      <c r="F3217" s="19">
        <f>IFERROR(__xludf.DUMMYFUNCTION("IFERROR(TO_DATE(E3217), """")"),42565.37631944445)</f>
        <v>42565.37632</v>
      </c>
      <c r="G3217" s="20">
        <f t="shared" si="1"/>
        <v>9</v>
      </c>
      <c r="H3217" s="18" t="s">
        <v>34</v>
      </c>
      <c r="I3217" s="19" t="str">
        <f>IFERROR(__xludf.DUMMYFUNCTION("IFERROR(TO_DATE(H3217), """")"),"NA")</f>
        <v>NA</v>
      </c>
      <c r="J3217" s="19" t="s">
        <v>14</v>
      </c>
      <c r="K3217" s="22">
        <f t="shared" si="2"/>
        <v>1</v>
      </c>
    </row>
    <row r="3218">
      <c r="A3218" s="18">
        <v>3182.0</v>
      </c>
      <c r="B3218" s="18" t="s">
        <v>32</v>
      </c>
      <c r="C3218" s="18">
        <v>96.0</v>
      </c>
      <c r="D3218" s="18" t="s">
        <v>33</v>
      </c>
      <c r="E3218" s="27">
        <v>42564.39232638889</v>
      </c>
      <c r="F3218" s="19">
        <f>IFERROR(__xludf.DUMMYFUNCTION("IFERROR(TO_DATE(E3218), """")"),42564.39232638889)</f>
        <v>42564.39233</v>
      </c>
      <c r="G3218" s="20">
        <f t="shared" si="1"/>
        <v>9</v>
      </c>
      <c r="H3218" s="18" t="s">
        <v>34</v>
      </c>
      <c r="I3218" s="19" t="str">
        <f>IFERROR(__xludf.DUMMYFUNCTION("IFERROR(TO_DATE(H3218), """")"),"NA")</f>
        <v>NA</v>
      </c>
      <c r="J3218" s="19" t="s">
        <v>14</v>
      </c>
      <c r="K3218" s="22">
        <f t="shared" si="2"/>
        <v>1</v>
      </c>
    </row>
    <row r="3219">
      <c r="A3219" s="18">
        <v>4173.0</v>
      </c>
      <c r="B3219" s="18" t="s">
        <v>32</v>
      </c>
      <c r="C3219" s="18">
        <v>96.0</v>
      </c>
      <c r="D3219" s="18" t="s">
        <v>33</v>
      </c>
      <c r="E3219" s="27">
        <v>42565.21392361111</v>
      </c>
      <c r="F3219" s="19">
        <f>IFERROR(__xludf.DUMMYFUNCTION("IFERROR(TO_DATE(E3219), """")"),42565.21392361111)</f>
        <v>42565.21392</v>
      </c>
      <c r="G3219" s="20">
        <f t="shared" si="1"/>
        <v>5</v>
      </c>
      <c r="H3219" s="18" t="s">
        <v>34</v>
      </c>
      <c r="I3219" s="19" t="str">
        <f>IFERROR(__xludf.DUMMYFUNCTION("IFERROR(TO_DATE(H3219), """")"),"NA")</f>
        <v>NA</v>
      </c>
      <c r="J3219" s="19" t="s">
        <v>11</v>
      </c>
      <c r="K3219" s="22">
        <f t="shared" si="2"/>
        <v>1</v>
      </c>
    </row>
    <row r="3220">
      <c r="A3220" s="18">
        <v>4189.0</v>
      </c>
      <c r="B3220" s="18" t="s">
        <v>32</v>
      </c>
      <c r="C3220" s="18">
        <v>96.0</v>
      </c>
      <c r="D3220" s="18" t="s">
        <v>33</v>
      </c>
      <c r="E3220" s="27">
        <v>42565.226331018515</v>
      </c>
      <c r="F3220" s="19">
        <f>IFERROR(__xludf.DUMMYFUNCTION("IFERROR(TO_DATE(E3220), """")"),42565.226331018515)</f>
        <v>42565.22633</v>
      </c>
      <c r="G3220" s="20">
        <f t="shared" si="1"/>
        <v>5</v>
      </c>
      <c r="H3220" s="18" t="s">
        <v>34</v>
      </c>
      <c r="I3220" s="19" t="str">
        <f>IFERROR(__xludf.DUMMYFUNCTION("IFERROR(TO_DATE(H3220), """")"),"NA")</f>
        <v>NA</v>
      </c>
      <c r="J3220" s="19" t="s">
        <v>11</v>
      </c>
      <c r="K3220" s="22">
        <f t="shared" si="2"/>
        <v>1</v>
      </c>
    </row>
    <row r="3221">
      <c r="A3221" s="18">
        <v>6390.0</v>
      </c>
      <c r="B3221" s="18" t="s">
        <v>30</v>
      </c>
      <c r="C3221" s="18">
        <v>96.0</v>
      </c>
      <c r="D3221" s="18" t="s">
        <v>33</v>
      </c>
      <c r="E3221" s="27">
        <v>42566.80516203704</v>
      </c>
      <c r="F3221" s="19">
        <f>IFERROR(__xludf.DUMMYFUNCTION("IFERROR(TO_DATE(E3221), """")"),42566.80516203704)</f>
        <v>42566.80516</v>
      </c>
      <c r="G3221" s="20">
        <f t="shared" si="1"/>
        <v>19</v>
      </c>
      <c r="H3221" s="18" t="s">
        <v>34</v>
      </c>
      <c r="I3221" s="19" t="str">
        <f>IFERROR(__xludf.DUMMYFUNCTION("IFERROR(TO_DATE(H3221), """")"),"NA")</f>
        <v>NA</v>
      </c>
      <c r="J3221" s="19" t="s">
        <v>12</v>
      </c>
      <c r="K3221" s="22">
        <f t="shared" si="2"/>
        <v>1</v>
      </c>
    </row>
    <row r="3222">
      <c r="A3222" s="18">
        <v>1231.0</v>
      </c>
      <c r="B3222" s="18" t="s">
        <v>32</v>
      </c>
      <c r="C3222" s="18">
        <v>97.0</v>
      </c>
      <c r="D3222" s="18" t="s">
        <v>33</v>
      </c>
      <c r="E3222" s="26">
        <v>42562.89861111111</v>
      </c>
      <c r="F3222" s="19">
        <f>IFERROR(__xludf.DUMMYFUNCTION("IFERROR(TO_DATE(E3222), """")"),42562.89861111111)</f>
        <v>42562.89861</v>
      </c>
      <c r="G3222" s="20">
        <f t="shared" si="1"/>
        <v>21</v>
      </c>
      <c r="H3222" s="18" t="s">
        <v>34</v>
      </c>
      <c r="I3222" s="19" t="str">
        <f>IFERROR(__xludf.DUMMYFUNCTION("IFERROR(TO_DATE(H3222), """")"),"NA")</f>
        <v>NA</v>
      </c>
      <c r="J3222" s="19" t="s">
        <v>13</v>
      </c>
      <c r="K3222" s="22">
        <f t="shared" si="2"/>
        <v>1</v>
      </c>
    </row>
    <row r="3223">
      <c r="A3223" s="18">
        <v>1589.0</v>
      </c>
      <c r="B3223" s="18" t="s">
        <v>32</v>
      </c>
      <c r="C3223" s="18">
        <v>97.0</v>
      </c>
      <c r="D3223" s="18" t="s">
        <v>33</v>
      </c>
      <c r="E3223" s="26">
        <v>42563.274305555555</v>
      </c>
      <c r="F3223" s="19">
        <f>IFERROR(__xludf.DUMMYFUNCTION("IFERROR(TO_DATE(E3223), """")"),42563.274305555555)</f>
        <v>42563.27431</v>
      </c>
      <c r="G3223" s="20">
        <f t="shared" si="1"/>
        <v>6</v>
      </c>
      <c r="H3223" s="18" t="s">
        <v>34</v>
      </c>
      <c r="I3223" s="19" t="str">
        <f>IFERROR(__xludf.DUMMYFUNCTION("IFERROR(TO_DATE(H3223), """")"),"NA")</f>
        <v>NA</v>
      </c>
      <c r="J3223" s="19" t="s">
        <v>11</v>
      </c>
      <c r="K3223" s="22">
        <f t="shared" si="2"/>
        <v>1</v>
      </c>
    </row>
    <row r="3224">
      <c r="A3224" s="18">
        <v>1815.0</v>
      </c>
      <c r="B3224" s="18" t="s">
        <v>32</v>
      </c>
      <c r="C3224" s="18">
        <v>97.0</v>
      </c>
      <c r="D3224" s="18" t="s">
        <v>33</v>
      </c>
      <c r="E3224" s="26">
        <v>42563.38888888889</v>
      </c>
      <c r="F3224" s="19">
        <f>IFERROR(__xludf.DUMMYFUNCTION("IFERROR(TO_DATE(E3224), """")"),42563.38888888889)</f>
        <v>42563.38889</v>
      </c>
      <c r="G3224" s="20">
        <f t="shared" si="1"/>
        <v>9</v>
      </c>
      <c r="H3224" s="18" t="s">
        <v>34</v>
      </c>
      <c r="I3224" s="19" t="str">
        <f>IFERROR(__xludf.DUMMYFUNCTION("IFERROR(TO_DATE(H3224), """")"),"NA")</f>
        <v>NA</v>
      </c>
      <c r="J3224" s="19" t="s">
        <v>14</v>
      </c>
      <c r="K3224" s="22">
        <f t="shared" si="2"/>
        <v>1</v>
      </c>
    </row>
    <row r="3225">
      <c r="A3225" s="18">
        <v>5678.0</v>
      </c>
      <c r="B3225" s="18" t="s">
        <v>32</v>
      </c>
      <c r="C3225" s="18">
        <v>97.0</v>
      </c>
      <c r="D3225" s="18" t="s">
        <v>33</v>
      </c>
      <c r="E3225" s="27">
        <v>42566.298055555555</v>
      </c>
      <c r="F3225" s="19">
        <f>IFERROR(__xludf.DUMMYFUNCTION("IFERROR(TO_DATE(E3225), """")"),42566.298055555555)</f>
        <v>42566.29806</v>
      </c>
      <c r="G3225" s="20">
        <f t="shared" si="1"/>
        <v>7</v>
      </c>
      <c r="H3225" s="18" t="s">
        <v>34</v>
      </c>
      <c r="I3225" s="19" t="str">
        <f>IFERROR(__xludf.DUMMYFUNCTION("IFERROR(TO_DATE(H3225), """")"),"NA")</f>
        <v>NA</v>
      </c>
      <c r="J3225" s="19" t="s">
        <v>11</v>
      </c>
      <c r="K3225" s="22">
        <f t="shared" si="2"/>
        <v>1</v>
      </c>
    </row>
    <row r="3226">
      <c r="A3226" s="18">
        <v>239.0</v>
      </c>
      <c r="B3226" s="18" t="s">
        <v>32</v>
      </c>
      <c r="C3226" s="18">
        <v>98.0</v>
      </c>
      <c r="D3226" s="18" t="s">
        <v>33</v>
      </c>
      <c r="E3226" s="26">
        <v>42562.26736111111</v>
      </c>
      <c r="F3226" s="19">
        <f>IFERROR(__xludf.DUMMYFUNCTION("IFERROR(TO_DATE(E3226), """")"),42562.26736111111)</f>
        <v>42562.26736</v>
      </c>
      <c r="G3226" s="20">
        <f t="shared" si="1"/>
        <v>6</v>
      </c>
      <c r="H3226" s="18" t="s">
        <v>34</v>
      </c>
      <c r="I3226" s="19" t="str">
        <f>IFERROR(__xludf.DUMMYFUNCTION("IFERROR(TO_DATE(H3226), """")"),"NA")</f>
        <v>NA</v>
      </c>
      <c r="J3226" s="19" t="s">
        <v>11</v>
      </c>
      <c r="K3226" s="22">
        <f t="shared" si="2"/>
        <v>1</v>
      </c>
    </row>
    <row r="3227">
      <c r="A3227" s="18">
        <v>551.0</v>
      </c>
      <c r="B3227" s="18" t="s">
        <v>32</v>
      </c>
      <c r="C3227" s="18">
        <v>98.0</v>
      </c>
      <c r="D3227" s="18" t="s">
        <v>33</v>
      </c>
      <c r="E3227" s="26">
        <v>42562.42361111111</v>
      </c>
      <c r="F3227" s="19">
        <f>IFERROR(__xludf.DUMMYFUNCTION("IFERROR(TO_DATE(E3227), """")"),42562.42361111111)</f>
        <v>42562.42361</v>
      </c>
      <c r="G3227" s="20">
        <f t="shared" si="1"/>
        <v>10</v>
      </c>
      <c r="H3227" s="18" t="s">
        <v>34</v>
      </c>
      <c r="I3227" s="19" t="str">
        <f>IFERROR(__xludf.DUMMYFUNCTION("IFERROR(TO_DATE(H3227), """")"),"NA")</f>
        <v>NA</v>
      </c>
      <c r="J3227" s="19" t="s">
        <v>14</v>
      </c>
      <c r="K3227" s="22">
        <f t="shared" si="2"/>
        <v>1</v>
      </c>
    </row>
    <row r="3228">
      <c r="A3228" s="18">
        <v>2097.0</v>
      </c>
      <c r="B3228" s="18" t="s">
        <v>30</v>
      </c>
      <c r="C3228" s="18">
        <v>98.0</v>
      </c>
      <c r="D3228" s="18" t="s">
        <v>33</v>
      </c>
      <c r="E3228" s="26">
        <v>42563.66875</v>
      </c>
      <c r="F3228" s="19">
        <f>IFERROR(__xludf.DUMMYFUNCTION("IFERROR(TO_DATE(E3228), """")"),42563.66875)</f>
        <v>42563.66875</v>
      </c>
      <c r="G3228" s="20">
        <f t="shared" si="1"/>
        <v>16</v>
      </c>
      <c r="H3228" s="18" t="s">
        <v>34</v>
      </c>
      <c r="I3228" s="19" t="str">
        <f>IFERROR(__xludf.DUMMYFUNCTION("IFERROR(TO_DATE(H3228), """")"),"NA")</f>
        <v>NA</v>
      </c>
      <c r="J3228" s="19" t="s">
        <v>12</v>
      </c>
      <c r="K3228" s="22">
        <f t="shared" si="2"/>
        <v>1</v>
      </c>
    </row>
    <row r="3229">
      <c r="A3229" s="18">
        <v>2613.0</v>
      </c>
      <c r="B3229" s="18" t="s">
        <v>30</v>
      </c>
      <c r="C3229" s="18">
        <v>98.0</v>
      </c>
      <c r="D3229" s="18" t="s">
        <v>33</v>
      </c>
      <c r="E3229" s="26">
        <v>42563.92083333333</v>
      </c>
      <c r="F3229" s="19">
        <f>IFERROR(__xludf.DUMMYFUNCTION("IFERROR(TO_DATE(E3229), """")"),42563.92083333333)</f>
        <v>42563.92083</v>
      </c>
      <c r="G3229" s="20">
        <f t="shared" si="1"/>
        <v>22</v>
      </c>
      <c r="H3229" s="18" t="s">
        <v>34</v>
      </c>
      <c r="I3229" s="19" t="str">
        <f>IFERROR(__xludf.DUMMYFUNCTION("IFERROR(TO_DATE(H3229), """")"),"NA")</f>
        <v>NA</v>
      </c>
      <c r="J3229" s="19" t="s">
        <v>13</v>
      </c>
      <c r="K3229" s="22">
        <f t="shared" si="2"/>
        <v>1</v>
      </c>
    </row>
    <row r="3230">
      <c r="A3230" s="18">
        <v>5497.0</v>
      </c>
      <c r="B3230" s="18" t="s">
        <v>32</v>
      </c>
      <c r="C3230" s="18">
        <v>98.0</v>
      </c>
      <c r="D3230" s="18" t="s">
        <v>33</v>
      </c>
      <c r="E3230" s="27">
        <v>42566.20868055556</v>
      </c>
      <c r="F3230" s="19">
        <f>IFERROR(__xludf.DUMMYFUNCTION("IFERROR(TO_DATE(E3230), """")"),42566.20868055556)</f>
        <v>42566.20868</v>
      </c>
      <c r="G3230" s="20">
        <f t="shared" si="1"/>
        <v>5</v>
      </c>
      <c r="H3230" s="18" t="s">
        <v>34</v>
      </c>
      <c r="I3230" s="19" t="str">
        <f>IFERROR(__xludf.DUMMYFUNCTION("IFERROR(TO_DATE(H3230), """")"),"NA")</f>
        <v>NA</v>
      </c>
      <c r="J3230" s="19" t="s">
        <v>11</v>
      </c>
      <c r="K3230" s="22">
        <f t="shared" si="2"/>
        <v>1</v>
      </c>
    </row>
    <row r="3231">
      <c r="A3231" s="18">
        <v>5668.0</v>
      </c>
      <c r="B3231" s="18" t="s">
        <v>32</v>
      </c>
      <c r="C3231" s="18">
        <v>98.0</v>
      </c>
      <c r="D3231" s="18" t="s">
        <v>33</v>
      </c>
      <c r="E3231" s="27">
        <v>42566.29650462963</v>
      </c>
      <c r="F3231" s="19">
        <f>IFERROR(__xludf.DUMMYFUNCTION("IFERROR(TO_DATE(E3231), """")"),42566.29650462963)</f>
        <v>42566.2965</v>
      </c>
      <c r="G3231" s="20">
        <f t="shared" si="1"/>
        <v>7</v>
      </c>
      <c r="H3231" s="18" t="s">
        <v>34</v>
      </c>
      <c r="I3231" s="19" t="str">
        <f>IFERROR(__xludf.DUMMYFUNCTION("IFERROR(TO_DATE(H3231), """")"),"NA")</f>
        <v>NA</v>
      </c>
      <c r="J3231" s="19" t="s">
        <v>11</v>
      </c>
      <c r="K3231" s="22">
        <f t="shared" si="2"/>
        <v>1</v>
      </c>
    </row>
    <row r="3232">
      <c r="A3232" s="18">
        <v>482.0</v>
      </c>
      <c r="B3232" s="18" t="s">
        <v>32</v>
      </c>
      <c r="C3232" s="18">
        <v>99.0</v>
      </c>
      <c r="D3232" s="18" t="s">
        <v>33</v>
      </c>
      <c r="E3232" s="26">
        <v>42562.39236111111</v>
      </c>
      <c r="F3232" s="19">
        <f>IFERROR(__xludf.DUMMYFUNCTION("IFERROR(TO_DATE(E3232), """")"),42562.39236111111)</f>
        <v>42562.39236</v>
      </c>
      <c r="G3232" s="20">
        <f t="shared" si="1"/>
        <v>9</v>
      </c>
      <c r="H3232" s="18" t="s">
        <v>34</v>
      </c>
      <c r="I3232" s="19" t="str">
        <f>IFERROR(__xludf.DUMMYFUNCTION("IFERROR(TO_DATE(H3232), """")"),"NA")</f>
        <v>NA</v>
      </c>
      <c r="J3232" s="19" t="s">
        <v>14</v>
      </c>
      <c r="K3232" s="22">
        <f t="shared" si="2"/>
        <v>1</v>
      </c>
    </row>
    <row r="3233">
      <c r="A3233" s="18">
        <v>544.0</v>
      </c>
      <c r="B3233" s="18" t="s">
        <v>32</v>
      </c>
      <c r="C3233" s="18">
        <v>99.0</v>
      </c>
      <c r="D3233" s="18" t="s">
        <v>33</v>
      </c>
      <c r="E3233" s="26">
        <v>42562.42152777778</v>
      </c>
      <c r="F3233" s="19">
        <f>IFERROR(__xludf.DUMMYFUNCTION("IFERROR(TO_DATE(E3233), """")"),42562.42152777778)</f>
        <v>42562.42153</v>
      </c>
      <c r="G3233" s="20">
        <f t="shared" si="1"/>
        <v>10</v>
      </c>
      <c r="H3233" s="18" t="s">
        <v>34</v>
      </c>
      <c r="I3233" s="19" t="str">
        <f>IFERROR(__xludf.DUMMYFUNCTION("IFERROR(TO_DATE(H3233), """")"),"NA")</f>
        <v>NA</v>
      </c>
      <c r="J3233" s="19" t="s">
        <v>14</v>
      </c>
      <c r="K3233" s="22">
        <f t="shared" si="2"/>
        <v>1</v>
      </c>
    </row>
    <row r="3234">
      <c r="A3234" s="18">
        <v>1227.0</v>
      </c>
      <c r="B3234" s="18" t="s">
        <v>30</v>
      </c>
      <c r="C3234" s="18">
        <v>99.0</v>
      </c>
      <c r="D3234" s="18" t="s">
        <v>33</v>
      </c>
      <c r="E3234" s="26">
        <v>42562.89722222222</v>
      </c>
      <c r="F3234" s="19">
        <f>IFERROR(__xludf.DUMMYFUNCTION("IFERROR(TO_DATE(E3234), """")"),42562.89722222222)</f>
        <v>42562.89722</v>
      </c>
      <c r="G3234" s="20">
        <f t="shared" si="1"/>
        <v>21</v>
      </c>
      <c r="H3234" s="18" t="s">
        <v>34</v>
      </c>
      <c r="I3234" s="19" t="str">
        <f>IFERROR(__xludf.DUMMYFUNCTION("IFERROR(TO_DATE(H3234), """")"),"NA")</f>
        <v>NA</v>
      </c>
      <c r="J3234" s="19" t="s">
        <v>13</v>
      </c>
      <c r="K3234" s="22">
        <f t="shared" si="2"/>
        <v>1</v>
      </c>
    </row>
    <row r="3235">
      <c r="A3235" s="18">
        <v>1489.0</v>
      </c>
      <c r="B3235" s="18" t="s">
        <v>32</v>
      </c>
      <c r="C3235" s="18">
        <v>99.0</v>
      </c>
      <c r="D3235" s="18" t="s">
        <v>33</v>
      </c>
      <c r="E3235" s="26">
        <v>42563.222916666666</v>
      </c>
      <c r="F3235" s="19">
        <f>IFERROR(__xludf.DUMMYFUNCTION("IFERROR(TO_DATE(E3235), """")"),42563.222916666666)</f>
        <v>42563.22292</v>
      </c>
      <c r="G3235" s="20">
        <f t="shared" si="1"/>
        <v>5</v>
      </c>
      <c r="H3235" s="18" t="s">
        <v>34</v>
      </c>
      <c r="I3235" s="19" t="str">
        <f>IFERROR(__xludf.DUMMYFUNCTION("IFERROR(TO_DATE(H3235), """")"),"NA")</f>
        <v>NA</v>
      </c>
      <c r="J3235" s="19" t="s">
        <v>11</v>
      </c>
      <c r="K3235" s="22">
        <f t="shared" si="2"/>
        <v>1</v>
      </c>
    </row>
    <row r="3236">
      <c r="A3236" s="18">
        <v>2588.0</v>
      </c>
      <c r="B3236" s="18" t="s">
        <v>30</v>
      </c>
      <c r="C3236" s="18">
        <v>99.0</v>
      </c>
      <c r="D3236" s="18" t="s">
        <v>33</v>
      </c>
      <c r="E3236" s="26">
        <v>42563.90625</v>
      </c>
      <c r="F3236" s="19">
        <f>IFERROR(__xludf.DUMMYFUNCTION("IFERROR(TO_DATE(E3236), """")"),42563.90625)</f>
        <v>42563.90625</v>
      </c>
      <c r="G3236" s="20">
        <f t="shared" si="1"/>
        <v>21</v>
      </c>
      <c r="H3236" s="18" t="s">
        <v>34</v>
      </c>
      <c r="I3236" s="19" t="str">
        <f>IFERROR(__xludf.DUMMYFUNCTION("IFERROR(TO_DATE(H3236), """")"),"NA")</f>
        <v>NA</v>
      </c>
      <c r="J3236" s="19" t="s">
        <v>13</v>
      </c>
      <c r="K3236" s="22">
        <f t="shared" si="2"/>
        <v>1</v>
      </c>
    </row>
    <row r="3237">
      <c r="A3237" s="18">
        <v>3152.0</v>
      </c>
      <c r="B3237" s="18" t="s">
        <v>32</v>
      </c>
      <c r="C3237" s="18">
        <v>99.0</v>
      </c>
      <c r="D3237" s="18" t="s">
        <v>33</v>
      </c>
      <c r="E3237" s="27">
        <v>42564.373460648145</v>
      </c>
      <c r="F3237" s="19">
        <f>IFERROR(__xludf.DUMMYFUNCTION("IFERROR(TO_DATE(E3237), """")"),42564.373460648145)</f>
        <v>42564.37346</v>
      </c>
      <c r="G3237" s="20">
        <f t="shared" si="1"/>
        <v>8</v>
      </c>
      <c r="H3237" s="18" t="s">
        <v>34</v>
      </c>
      <c r="I3237" s="19" t="str">
        <f>IFERROR(__xludf.DUMMYFUNCTION("IFERROR(TO_DATE(H3237), """")"),"NA")</f>
        <v>NA</v>
      </c>
      <c r="J3237" s="19" t="s">
        <v>14</v>
      </c>
      <c r="K3237" s="22">
        <f t="shared" si="2"/>
        <v>1</v>
      </c>
    </row>
    <row r="3238">
      <c r="A3238" s="18">
        <v>5853.0</v>
      </c>
      <c r="B3238" s="18" t="s">
        <v>32</v>
      </c>
      <c r="C3238" s="18">
        <v>99.0</v>
      </c>
      <c r="D3238" s="18" t="s">
        <v>33</v>
      </c>
      <c r="E3238" s="27">
        <v>42566.38208333333</v>
      </c>
      <c r="F3238" s="19">
        <f>IFERROR(__xludf.DUMMYFUNCTION("IFERROR(TO_DATE(E3238), """")"),42566.38208333333)</f>
        <v>42566.38208</v>
      </c>
      <c r="G3238" s="20">
        <f t="shared" si="1"/>
        <v>9</v>
      </c>
      <c r="H3238" s="18" t="s">
        <v>34</v>
      </c>
      <c r="I3238" s="19" t="str">
        <f>IFERROR(__xludf.DUMMYFUNCTION("IFERROR(TO_DATE(H3238), """")"),"NA")</f>
        <v>NA</v>
      </c>
      <c r="J3238" s="19" t="s">
        <v>14</v>
      </c>
      <c r="K3238" s="22">
        <f t="shared" si="2"/>
        <v>1</v>
      </c>
    </row>
    <row r="3239">
      <c r="A3239" s="18">
        <v>2933.0</v>
      </c>
      <c r="B3239" s="18" t="s">
        <v>32</v>
      </c>
      <c r="C3239" s="18">
        <v>100.0</v>
      </c>
      <c r="D3239" s="18" t="s">
        <v>33</v>
      </c>
      <c r="E3239" s="27">
        <v>42564.26826388889</v>
      </c>
      <c r="F3239" s="19">
        <f>IFERROR(__xludf.DUMMYFUNCTION("IFERROR(TO_DATE(E3239), """")"),42564.26826388889)</f>
        <v>42564.26826</v>
      </c>
      <c r="G3239" s="20">
        <f t="shared" si="1"/>
        <v>6</v>
      </c>
      <c r="H3239" s="18" t="s">
        <v>34</v>
      </c>
      <c r="I3239" s="19" t="str">
        <f>IFERROR(__xludf.DUMMYFUNCTION("IFERROR(TO_DATE(H3239), """")"),"NA")</f>
        <v>NA</v>
      </c>
      <c r="J3239" s="19" t="s">
        <v>11</v>
      </c>
      <c r="K3239" s="22">
        <f t="shared" si="2"/>
        <v>1</v>
      </c>
    </row>
    <row r="3240">
      <c r="A3240" s="18">
        <v>5543.0</v>
      </c>
      <c r="B3240" s="18" t="s">
        <v>32</v>
      </c>
      <c r="C3240" s="18">
        <v>100.0</v>
      </c>
      <c r="D3240" s="18" t="s">
        <v>33</v>
      </c>
      <c r="E3240" s="27">
        <v>42566.229780092595</v>
      </c>
      <c r="F3240" s="19">
        <f>IFERROR(__xludf.DUMMYFUNCTION("IFERROR(TO_DATE(E3240), """")"),42566.229780092595)</f>
        <v>42566.22978</v>
      </c>
      <c r="G3240" s="20">
        <f t="shared" si="1"/>
        <v>5</v>
      </c>
      <c r="H3240" s="18" t="s">
        <v>34</v>
      </c>
      <c r="I3240" s="19" t="str">
        <f>IFERROR(__xludf.DUMMYFUNCTION("IFERROR(TO_DATE(H3240), """")"),"NA")</f>
        <v>NA</v>
      </c>
      <c r="J3240" s="19" t="s">
        <v>11</v>
      </c>
      <c r="K3240" s="22">
        <f t="shared" si="2"/>
        <v>1</v>
      </c>
    </row>
    <row r="3241">
      <c r="A3241" s="18">
        <v>1356.0</v>
      </c>
      <c r="B3241" s="18" t="s">
        <v>32</v>
      </c>
      <c r="C3241" s="18">
        <v>101.0</v>
      </c>
      <c r="D3241" s="18" t="s">
        <v>33</v>
      </c>
      <c r="E3241" s="26">
        <v>42562.9875</v>
      </c>
      <c r="F3241" s="19">
        <f>IFERROR(__xludf.DUMMYFUNCTION("IFERROR(TO_DATE(E3241), """")"),42562.9875)</f>
        <v>42562.9875</v>
      </c>
      <c r="G3241" s="20">
        <f t="shared" si="1"/>
        <v>23</v>
      </c>
      <c r="H3241" s="18" t="s">
        <v>34</v>
      </c>
      <c r="I3241" s="19" t="str">
        <f>IFERROR(__xludf.DUMMYFUNCTION("IFERROR(TO_DATE(H3241), """")"),"NA")</f>
        <v>NA</v>
      </c>
      <c r="J3241" s="19" t="s">
        <v>13</v>
      </c>
      <c r="K3241" s="22">
        <f t="shared" si="2"/>
        <v>1</v>
      </c>
    </row>
    <row r="3242">
      <c r="A3242" s="18">
        <v>1403.0</v>
      </c>
      <c r="B3242" s="18" t="s">
        <v>32</v>
      </c>
      <c r="C3242" s="18">
        <v>101.0</v>
      </c>
      <c r="D3242" s="18" t="s">
        <v>33</v>
      </c>
      <c r="E3242" s="26">
        <v>42563.11041666667</v>
      </c>
      <c r="F3242" s="19">
        <f>IFERROR(__xludf.DUMMYFUNCTION("IFERROR(TO_DATE(E3242), """")"),42563.11041666667)</f>
        <v>42563.11042</v>
      </c>
      <c r="G3242" s="20">
        <f t="shared" si="1"/>
        <v>2</v>
      </c>
      <c r="H3242" s="18" t="s">
        <v>34</v>
      </c>
      <c r="I3242" s="19" t="str">
        <f>IFERROR(__xludf.DUMMYFUNCTION("IFERROR(TO_DATE(H3242), """")"),"NA")</f>
        <v>NA</v>
      </c>
      <c r="J3242" s="19" t="s">
        <v>15</v>
      </c>
      <c r="K3242" s="22">
        <f t="shared" si="2"/>
        <v>1</v>
      </c>
    </row>
    <row r="3243">
      <c r="A3243" s="18">
        <v>2459.0</v>
      </c>
      <c r="B3243" s="18" t="s">
        <v>30</v>
      </c>
      <c r="C3243" s="18">
        <v>101.0</v>
      </c>
      <c r="D3243" s="18" t="s">
        <v>33</v>
      </c>
      <c r="E3243" s="26">
        <v>42563.854166666664</v>
      </c>
      <c r="F3243" s="19">
        <f>IFERROR(__xludf.DUMMYFUNCTION("IFERROR(TO_DATE(E3243), """")"),42563.854166666664)</f>
        <v>42563.85417</v>
      </c>
      <c r="G3243" s="20">
        <f t="shared" si="1"/>
        <v>20</v>
      </c>
      <c r="H3243" s="18" t="s">
        <v>34</v>
      </c>
      <c r="I3243" s="19" t="str">
        <f>IFERROR(__xludf.DUMMYFUNCTION("IFERROR(TO_DATE(H3243), """")"),"NA")</f>
        <v>NA</v>
      </c>
      <c r="J3243" s="19" t="s">
        <v>13</v>
      </c>
      <c r="K3243" s="22">
        <f t="shared" si="2"/>
        <v>1</v>
      </c>
    </row>
    <row r="3244">
      <c r="A3244" s="18">
        <v>3023.0</v>
      </c>
      <c r="B3244" s="18" t="s">
        <v>32</v>
      </c>
      <c r="C3244" s="18">
        <v>101.0</v>
      </c>
      <c r="D3244" s="18" t="s">
        <v>33</v>
      </c>
      <c r="E3244" s="27">
        <v>42564.31087962963</v>
      </c>
      <c r="F3244" s="19">
        <f>IFERROR(__xludf.DUMMYFUNCTION("IFERROR(TO_DATE(E3244), """")"),42564.31087962963)</f>
        <v>42564.31088</v>
      </c>
      <c r="G3244" s="20">
        <f t="shared" si="1"/>
        <v>7</v>
      </c>
      <c r="H3244" s="18" t="s">
        <v>34</v>
      </c>
      <c r="I3244" s="19" t="str">
        <f>IFERROR(__xludf.DUMMYFUNCTION("IFERROR(TO_DATE(H3244), """")"),"NA")</f>
        <v>NA</v>
      </c>
      <c r="J3244" s="19" t="s">
        <v>11</v>
      </c>
      <c r="K3244" s="22">
        <f t="shared" si="2"/>
        <v>1</v>
      </c>
    </row>
    <row r="3245">
      <c r="A3245" s="18">
        <v>4444.0</v>
      </c>
      <c r="B3245" s="18" t="s">
        <v>32</v>
      </c>
      <c r="C3245" s="18">
        <v>101.0</v>
      </c>
      <c r="D3245" s="18" t="s">
        <v>33</v>
      </c>
      <c r="E3245" s="27">
        <v>42565.35302083333</v>
      </c>
      <c r="F3245" s="19">
        <f>IFERROR(__xludf.DUMMYFUNCTION("IFERROR(TO_DATE(E3245), """")"),42565.35302083333)</f>
        <v>42565.35302</v>
      </c>
      <c r="G3245" s="20">
        <f t="shared" si="1"/>
        <v>8</v>
      </c>
      <c r="H3245" s="18" t="s">
        <v>34</v>
      </c>
      <c r="I3245" s="19" t="str">
        <f>IFERROR(__xludf.DUMMYFUNCTION("IFERROR(TO_DATE(H3245), """")"),"NA")</f>
        <v>NA</v>
      </c>
      <c r="J3245" s="19" t="s">
        <v>14</v>
      </c>
      <c r="K3245" s="22">
        <f t="shared" si="2"/>
        <v>1</v>
      </c>
    </row>
    <row r="3246">
      <c r="A3246" s="18">
        <v>1733.0</v>
      </c>
      <c r="B3246" s="18" t="s">
        <v>32</v>
      </c>
      <c r="C3246" s="18">
        <v>102.0</v>
      </c>
      <c r="D3246" s="18" t="s">
        <v>33</v>
      </c>
      <c r="E3246" s="26">
        <v>42563.34930555556</v>
      </c>
      <c r="F3246" s="19">
        <f>IFERROR(__xludf.DUMMYFUNCTION("IFERROR(TO_DATE(E3246), """")"),42563.34930555556)</f>
        <v>42563.34931</v>
      </c>
      <c r="G3246" s="20">
        <f t="shared" si="1"/>
        <v>8</v>
      </c>
      <c r="H3246" s="18" t="s">
        <v>34</v>
      </c>
      <c r="I3246" s="19" t="str">
        <f>IFERROR(__xludf.DUMMYFUNCTION("IFERROR(TO_DATE(H3246), """")"),"NA")</f>
        <v>NA</v>
      </c>
      <c r="J3246" s="19" t="s">
        <v>14</v>
      </c>
      <c r="K3246" s="22">
        <f t="shared" si="2"/>
        <v>1</v>
      </c>
    </row>
    <row r="3247">
      <c r="A3247" s="18">
        <v>1937.0</v>
      </c>
      <c r="B3247" s="18" t="s">
        <v>30</v>
      </c>
      <c r="C3247" s="18">
        <v>102.0</v>
      </c>
      <c r="D3247" s="18" t="s">
        <v>33</v>
      </c>
      <c r="E3247" s="26">
        <v>42563.47638888889</v>
      </c>
      <c r="F3247" s="19">
        <f>IFERROR(__xludf.DUMMYFUNCTION("IFERROR(TO_DATE(E3247), """")"),42563.47638888889)</f>
        <v>42563.47639</v>
      </c>
      <c r="G3247" s="20">
        <f t="shared" si="1"/>
        <v>11</v>
      </c>
      <c r="H3247" s="18" t="s">
        <v>34</v>
      </c>
      <c r="I3247" s="19" t="str">
        <f>IFERROR(__xludf.DUMMYFUNCTION("IFERROR(TO_DATE(H3247), """")"),"NA")</f>
        <v>NA</v>
      </c>
      <c r="J3247" s="19" t="s">
        <v>14</v>
      </c>
      <c r="K3247" s="22">
        <f t="shared" si="2"/>
        <v>1</v>
      </c>
    </row>
    <row r="3248">
      <c r="A3248" s="18">
        <v>5614.0</v>
      </c>
      <c r="B3248" s="18" t="s">
        <v>32</v>
      </c>
      <c r="C3248" s="18">
        <v>102.0</v>
      </c>
      <c r="D3248" s="18" t="s">
        <v>33</v>
      </c>
      <c r="E3248" s="27">
        <v>42566.26017361111</v>
      </c>
      <c r="F3248" s="19">
        <f>IFERROR(__xludf.DUMMYFUNCTION("IFERROR(TO_DATE(E3248), """")"),42566.26017361111)</f>
        <v>42566.26017</v>
      </c>
      <c r="G3248" s="20">
        <f t="shared" si="1"/>
        <v>6</v>
      </c>
      <c r="H3248" s="18" t="s">
        <v>34</v>
      </c>
      <c r="I3248" s="19" t="str">
        <f>IFERROR(__xludf.DUMMYFUNCTION("IFERROR(TO_DATE(H3248), """")"),"NA")</f>
        <v>NA</v>
      </c>
      <c r="J3248" s="19" t="s">
        <v>11</v>
      </c>
      <c r="K3248" s="22">
        <f t="shared" si="2"/>
        <v>1</v>
      </c>
    </row>
    <row r="3249">
      <c r="A3249" s="18">
        <v>5718.0</v>
      </c>
      <c r="B3249" s="18" t="s">
        <v>32</v>
      </c>
      <c r="C3249" s="18">
        <v>102.0</v>
      </c>
      <c r="D3249" s="18" t="s">
        <v>33</v>
      </c>
      <c r="E3249" s="27">
        <v>42566.31888888889</v>
      </c>
      <c r="F3249" s="19">
        <f>IFERROR(__xludf.DUMMYFUNCTION("IFERROR(TO_DATE(E3249), """")"),42566.31888888889)</f>
        <v>42566.31889</v>
      </c>
      <c r="G3249" s="20">
        <f t="shared" si="1"/>
        <v>7</v>
      </c>
      <c r="H3249" s="18" t="s">
        <v>34</v>
      </c>
      <c r="I3249" s="19" t="str">
        <f>IFERROR(__xludf.DUMMYFUNCTION("IFERROR(TO_DATE(H3249), """")"),"NA")</f>
        <v>NA</v>
      </c>
      <c r="J3249" s="19" t="s">
        <v>11</v>
      </c>
      <c r="K3249" s="22">
        <f t="shared" si="2"/>
        <v>1</v>
      </c>
    </row>
    <row r="3250">
      <c r="A3250" s="18">
        <v>334.0</v>
      </c>
      <c r="B3250" s="18" t="s">
        <v>32</v>
      </c>
      <c r="C3250" s="18">
        <v>103.0</v>
      </c>
      <c r="D3250" s="18" t="s">
        <v>33</v>
      </c>
      <c r="E3250" s="26">
        <v>42562.319444444445</v>
      </c>
      <c r="F3250" s="19">
        <f>IFERROR(__xludf.DUMMYFUNCTION("IFERROR(TO_DATE(E3250), """")"),42562.319444444445)</f>
        <v>42562.31944</v>
      </c>
      <c r="G3250" s="20">
        <f t="shared" si="1"/>
        <v>7</v>
      </c>
      <c r="H3250" s="18" t="s">
        <v>34</v>
      </c>
      <c r="I3250" s="19" t="str">
        <f>IFERROR(__xludf.DUMMYFUNCTION("IFERROR(TO_DATE(H3250), """")"),"NA")</f>
        <v>NA</v>
      </c>
      <c r="J3250" s="19" t="s">
        <v>11</v>
      </c>
      <c r="K3250" s="22">
        <f t="shared" si="2"/>
        <v>1</v>
      </c>
    </row>
    <row r="3251">
      <c r="A3251" s="18">
        <v>1107.0</v>
      </c>
      <c r="B3251" s="18" t="s">
        <v>32</v>
      </c>
      <c r="C3251" s="18">
        <v>103.0</v>
      </c>
      <c r="D3251" s="18" t="s">
        <v>33</v>
      </c>
      <c r="E3251" s="26">
        <v>42562.84305555555</v>
      </c>
      <c r="F3251" s="19">
        <f>IFERROR(__xludf.DUMMYFUNCTION("IFERROR(TO_DATE(E3251), """")"),42562.84305555555)</f>
        <v>42562.84306</v>
      </c>
      <c r="G3251" s="20">
        <f t="shared" si="1"/>
        <v>20</v>
      </c>
      <c r="H3251" s="18" t="s">
        <v>34</v>
      </c>
      <c r="I3251" s="19" t="str">
        <f>IFERROR(__xludf.DUMMYFUNCTION("IFERROR(TO_DATE(H3251), """")"),"NA")</f>
        <v>NA</v>
      </c>
      <c r="J3251" s="19" t="s">
        <v>13</v>
      </c>
      <c r="K3251" s="22">
        <f t="shared" si="2"/>
        <v>1</v>
      </c>
    </row>
    <row r="3252">
      <c r="A3252" s="18">
        <v>3033.0</v>
      </c>
      <c r="B3252" s="18" t="s">
        <v>32</v>
      </c>
      <c r="C3252" s="18">
        <v>103.0</v>
      </c>
      <c r="D3252" s="18" t="s">
        <v>33</v>
      </c>
      <c r="E3252" s="27">
        <v>42564.316157407404</v>
      </c>
      <c r="F3252" s="19">
        <f>IFERROR(__xludf.DUMMYFUNCTION("IFERROR(TO_DATE(E3252), """")"),42564.316157407404)</f>
        <v>42564.31616</v>
      </c>
      <c r="G3252" s="20">
        <f t="shared" si="1"/>
        <v>7</v>
      </c>
      <c r="H3252" s="18" t="s">
        <v>34</v>
      </c>
      <c r="I3252" s="19" t="str">
        <f>IFERROR(__xludf.DUMMYFUNCTION("IFERROR(TO_DATE(H3252), """")"),"NA")</f>
        <v>NA</v>
      </c>
      <c r="J3252" s="19" t="s">
        <v>11</v>
      </c>
      <c r="K3252" s="22">
        <f t="shared" si="2"/>
        <v>1</v>
      </c>
    </row>
    <row r="3253">
      <c r="A3253" s="18">
        <v>3099.0</v>
      </c>
      <c r="B3253" s="18" t="s">
        <v>32</v>
      </c>
      <c r="C3253" s="18">
        <v>103.0</v>
      </c>
      <c r="D3253" s="18" t="s">
        <v>33</v>
      </c>
      <c r="E3253" s="27">
        <v>42564.348761574074</v>
      </c>
      <c r="F3253" s="19">
        <f>IFERROR(__xludf.DUMMYFUNCTION("IFERROR(TO_DATE(E3253), """")"),42564.348761574074)</f>
        <v>42564.34876</v>
      </c>
      <c r="G3253" s="20">
        <f t="shared" si="1"/>
        <v>8</v>
      </c>
      <c r="H3253" s="18" t="s">
        <v>34</v>
      </c>
      <c r="I3253" s="19" t="str">
        <f>IFERROR(__xludf.DUMMYFUNCTION("IFERROR(TO_DATE(H3253), """")"),"NA")</f>
        <v>NA</v>
      </c>
      <c r="J3253" s="19" t="s">
        <v>14</v>
      </c>
      <c r="K3253" s="22">
        <f t="shared" si="2"/>
        <v>1</v>
      </c>
    </row>
    <row r="3254">
      <c r="A3254" s="18">
        <v>4302.0</v>
      </c>
      <c r="B3254" s="18" t="s">
        <v>32</v>
      </c>
      <c r="C3254" s="18">
        <v>103.0</v>
      </c>
      <c r="D3254" s="18" t="s">
        <v>33</v>
      </c>
      <c r="E3254" s="27">
        <v>42565.2840162037</v>
      </c>
      <c r="F3254" s="19">
        <f>IFERROR(__xludf.DUMMYFUNCTION("IFERROR(TO_DATE(E3254), """")"),42565.2840162037)</f>
        <v>42565.28402</v>
      </c>
      <c r="G3254" s="20">
        <f t="shared" si="1"/>
        <v>6</v>
      </c>
      <c r="H3254" s="18" t="s">
        <v>34</v>
      </c>
      <c r="I3254" s="19" t="str">
        <f>IFERROR(__xludf.DUMMYFUNCTION("IFERROR(TO_DATE(H3254), """")"),"NA")</f>
        <v>NA</v>
      </c>
      <c r="J3254" s="19" t="s">
        <v>11</v>
      </c>
      <c r="K3254" s="22">
        <f t="shared" si="2"/>
        <v>1</v>
      </c>
    </row>
    <row r="3255">
      <c r="A3255" s="18">
        <v>4829.0</v>
      </c>
      <c r="B3255" s="18" t="s">
        <v>32</v>
      </c>
      <c r="C3255" s="18">
        <v>103.0</v>
      </c>
      <c r="D3255" s="18" t="s">
        <v>33</v>
      </c>
      <c r="E3255" s="27">
        <v>42565.72626157408</v>
      </c>
      <c r="F3255" s="19">
        <f>IFERROR(__xludf.DUMMYFUNCTION("IFERROR(TO_DATE(E3255), """")"),42565.72626157408)</f>
        <v>42565.72626</v>
      </c>
      <c r="G3255" s="20">
        <f t="shared" si="1"/>
        <v>17</v>
      </c>
      <c r="H3255" s="18" t="s">
        <v>34</v>
      </c>
      <c r="I3255" s="19" t="str">
        <f>IFERROR(__xludf.DUMMYFUNCTION("IFERROR(TO_DATE(H3255), """")"),"NA")</f>
        <v>NA</v>
      </c>
      <c r="J3255" s="19" t="s">
        <v>12</v>
      </c>
      <c r="K3255" s="22">
        <f t="shared" si="2"/>
        <v>1</v>
      </c>
    </row>
    <row r="3256">
      <c r="A3256" s="18">
        <v>5854.0</v>
      </c>
      <c r="B3256" s="18" t="s">
        <v>30</v>
      </c>
      <c r="C3256" s="18">
        <v>103.0</v>
      </c>
      <c r="D3256" s="18" t="s">
        <v>33</v>
      </c>
      <c r="E3256" s="27">
        <v>42566.38162037037</v>
      </c>
      <c r="F3256" s="19">
        <f>IFERROR(__xludf.DUMMYFUNCTION("IFERROR(TO_DATE(E3256), """")"),42566.38162037037)</f>
        <v>42566.38162</v>
      </c>
      <c r="G3256" s="20">
        <f t="shared" si="1"/>
        <v>9</v>
      </c>
      <c r="H3256" s="18" t="s">
        <v>34</v>
      </c>
      <c r="I3256" s="19" t="str">
        <f>IFERROR(__xludf.DUMMYFUNCTION("IFERROR(TO_DATE(H3256), """")"),"NA")</f>
        <v>NA</v>
      </c>
      <c r="J3256" s="19" t="s">
        <v>14</v>
      </c>
      <c r="K3256" s="22">
        <f t="shared" si="2"/>
        <v>1</v>
      </c>
    </row>
    <row r="3257">
      <c r="A3257" s="18">
        <v>427.0</v>
      </c>
      <c r="B3257" s="18" t="s">
        <v>32</v>
      </c>
      <c r="C3257" s="18">
        <v>104.0</v>
      </c>
      <c r="D3257" s="18" t="s">
        <v>33</v>
      </c>
      <c r="E3257" s="26">
        <v>42562.36666666667</v>
      </c>
      <c r="F3257" s="19">
        <f>IFERROR(__xludf.DUMMYFUNCTION("IFERROR(TO_DATE(E3257), """")"),42562.36666666667)</f>
        <v>42562.36667</v>
      </c>
      <c r="G3257" s="20">
        <f t="shared" si="1"/>
        <v>8</v>
      </c>
      <c r="H3257" s="18" t="s">
        <v>34</v>
      </c>
      <c r="I3257" s="19" t="str">
        <f>IFERROR(__xludf.DUMMYFUNCTION("IFERROR(TO_DATE(H3257), """")"),"NA")</f>
        <v>NA</v>
      </c>
      <c r="J3257" s="19" t="s">
        <v>14</v>
      </c>
      <c r="K3257" s="22">
        <f t="shared" si="2"/>
        <v>1</v>
      </c>
    </row>
    <row r="3258">
      <c r="A3258" s="18">
        <v>852.0</v>
      </c>
      <c r="B3258" s="18" t="s">
        <v>30</v>
      </c>
      <c r="C3258" s="18">
        <v>104.0</v>
      </c>
      <c r="D3258" s="18" t="s">
        <v>33</v>
      </c>
      <c r="E3258" s="26">
        <v>42562.74166666667</v>
      </c>
      <c r="F3258" s="19">
        <f>IFERROR(__xludf.DUMMYFUNCTION("IFERROR(TO_DATE(E3258), """")"),42562.74166666667)</f>
        <v>42562.74167</v>
      </c>
      <c r="G3258" s="20">
        <f t="shared" si="1"/>
        <v>17</v>
      </c>
      <c r="H3258" s="18" t="s">
        <v>34</v>
      </c>
      <c r="I3258" s="19" t="str">
        <f>IFERROR(__xludf.DUMMYFUNCTION("IFERROR(TO_DATE(H3258), """")"),"NA")</f>
        <v>NA</v>
      </c>
      <c r="J3258" s="19" t="s">
        <v>12</v>
      </c>
      <c r="K3258" s="22">
        <f t="shared" si="2"/>
        <v>1</v>
      </c>
    </row>
    <row r="3259">
      <c r="A3259" s="18">
        <v>1931.0</v>
      </c>
      <c r="B3259" s="18" t="s">
        <v>32</v>
      </c>
      <c r="C3259" s="18">
        <v>104.0</v>
      </c>
      <c r="D3259" s="18" t="s">
        <v>33</v>
      </c>
      <c r="E3259" s="26">
        <v>42563.467361111114</v>
      </c>
      <c r="F3259" s="19">
        <f>IFERROR(__xludf.DUMMYFUNCTION("IFERROR(TO_DATE(E3259), """")"),42563.467361111114)</f>
        <v>42563.46736</v>
      </c>
      <c r="G3259" s="20">
        <f t="shared" si="1"/>
        <v>11</v>
      </c>
      <c r="H3259" s="18" t="s">
        <v>34</v>
      </c>
      <c r="I3259" s="19" t="str">
        <f>IFERROR(__xludf.DUMMYFUNCTION("IFERROR(TO_DATE(H3259), """")"),"NA")</f>
        <v>NA</v>
      </c>
      <c r="J3259" s="19" t="s">
        <v>14</v>
      </c>
      <c r="K3259" s="22">
        <f t="shared" si="2"/>
        <v>1</v>
      </c>
    </row>
    <row r="3260">
      <c r="A3260" s="18">
        <v>3292.0</v>
      </c>
      <c r="B3260" s="18" t="s">
        <v>30</v>
      </c>
      <c r="C3260" s="18">
        <v>104.0</v>
      </c>
      <c r="D3260" s="18" t="s">
        <v>33</v>
      </c>
      <c r="E3260" s="27">
        <v>42564.47146990741</v>
      </c>
      <c r="F3260" s="19">
        <f>IFERROR(__xludf.DUMMYFUNCTION("IFERROR(TO_DATE(E3260), """")"),42564.47146990741)</f>
        <v>42564.47147</v>
      </c>
      <c r="G3260" s="20">
        <f t="shared" si="1"/>
        <v>11</v>
      </c>
      <c r="H3260" s="18" t="s">
        <v>34</v>
      </c>
      <c r="I3260" s="19" t="str">
        <f>IFERROR(__xludf.DUMMYFUNCTION("IFERROR(TO_DATE(H3260), """")"),"NA")</f>
        <v>NA</v>
      </c>
      <c r="J3260" s="19" t="s">
        <v>14</v>
      </c>
      <c r="K3260" s="22">
        <f t="shared" si="2"/>
        <v>1</v>
      </c>
    </row>
    <row r="3261">
      <c r="A3261" s="18">
        <v>5154.0</v>
      </c>
      <c r="B3261" s="18" t="s">
        <v>30</v>
      </c>
      <c r="C3261" s="18">
        <v>104.0</v>
      </c>
      <c r="D3261" s="18" t="s">
        <v>33</v>
      </c>
      <c r="E3261" s="27">
        <v>42565.8468287037</v>
      </c>
      <c r="F3261" s="19">
        <f>IFERROR(__xludf.DUMMYFUNCTION("IFERROR(TO_DATE(E3261), """")"),42565.8468287037)</f>
        <v>42565.84683</v>
      </c>
      <c r="G3261" s="20">
        <f t="shared" si="1"/>
        <v>20</v>
      </c>
      <c r="H3261" s="18" t="s">
        <v>34</v>
      </c>
      <c r="I3261" s="19" t="str">
        <f>IFERROR(__xludf.DUMMYFUNCTION("IFERROR(TO_DATE(H3261), """")"),"NA")</f>
        <v>NA</v>
      </c>
      <c r="J3261" s="19" t="s">
        <v>13</v>
      </c>
      <c r="K3261" s="22">
        <f t="shared" si="2"/>
        <v>1</v>
      </c>
    </row>
    <row r="3262">
      <c r="A3262" s="18">
        <v>5627.0</v>
      </c>
      <c r="B3262" s="18" t="s">
        <v>32</v>
      </c>
      <c r="C3262" s="18">
        <v>104.0</v>
      </c>
      <c r="D3262" s="18" t="s">
        <v>33</v>
      </c>
      <c r="E3262" s="27">
        <v>42566.27371527778</v>
      </c>
      <c r="F3262" s="19">
        <f>IFERROR(__xludf.DUMMYFUNCTION("IFERROR(TO_DATE(E3262), """")"),42566.27371527778)</f>
        <v>42566.27372</v>
      </c>
      <c r="G3262" s="20">
        <f t="shared" si="1"/>
        <v>6</v>
      </c>
      <c r="H3262" s="18" t="s">
        <v>34</v>
      </c>
      <c r="I3262" s="19" t="str">
        <f>IFERROR(__xludf.DUMMYFUNCTION("IFERROR(TO_DATE(H3262), """")"),"NA")</f>
        <v>NA</v>
      </c>
      <c r="J3262" s="19" t="s">
        <v>11</v>
      </c>
      <c r="K3262" s="22">
        <f t="shared" si="2"/>
        <v>1</v>
      </c>
    </row>
    <row r="3263">
      <c r="A3263" s="18">
        <v>5751.0</v>
      </c>
      <c r="B3263" s="18" t="s">
        <v>32</v>
      </c>
      <c r="C3263" s="18">
        <v>104.0</v>
      </c>
      <c r="D3263" s="18" t="s">
        <v>33</v>
      </c>
      <c r="E3263" s="27">
        <v>42566.33542824074</v>
      </c>
      <c r="F3263" s="19">
        <f>IFERROR(__xludf.DUMMYFUNCTION("IFERROR(TO_DATE(E3263), """")"),42566.33542824074)</f>
        <v>42566.33543</v>
      </c>
      <c r="G3263" s="20">
        <f t="shared" si="1"/>
        <v>8</v>
      </c>
      <c r="H3263" s="18" t="s">
        <v>34</v>
      </c>
      <c r="I3263" s="19" t="str">
        <f>IFERROR(__xludf.DUMMYFUNCTION("IFERROR(TO_DATE(H3263), """")"),"NA")</f>
        <v>NA</v>
      </c>
      <c r="J3263" s="19" t="s">
        <v>14</v>
      </c>
      <c r="K3263" s="22">
        <f t="shared" si="2"/>
        <v>1</v>
      </c>
    </row>
    <row r="3264">
      <c r="A3264" s="18">
        <v>308.0</v>
      </c>
      <c r="B3264" s="18" t="s">
        <v>32</v>
      </c>
      <c r="C3264" s="18">
        <v>105.0</v>
      </c>
      <c r="D3264" s="18" t="s">
        <v>33</v>
      </c>
      <c r="E3264" s="26">
        <v>42562.30694444444</v>
      </c>
      <c r="F3264" s="19">
        <f>IFERROR(__xludf.DUMMYFUNCTION("IFERROR(TO_DATE(E3264), """")"),42562.30694444444)</f>
        <v>42562.30694</v>
      </c>
      <c r="G3264" s="20">
        <f t="shared" si="1"/>
        <v>7</v>
      </c>
      <c r="H3264" s="18" t="s">
        <v>34</v>
      </c>
      <c r="I3264" s="19" t="str">
        <f>IFERROR(__xludf.DUMMYFUNCTION("IFERROR(TO_DATE(H3264), """")"),"NA")</f>
        <v>NA</v>
      </c>
      <c r="J3264" s="19" t="s">
        <v>11</v>
      </c>
      <c r="K3264" s="22">
        <f t="shared" si="2"/>
        <v>1</v>
      </c>
    </row>
    <row r="3265">
      <c r="A3265" s="18">
        <v>2890.0</v>
      </c>
      <c r="B3265" s="18" t="s">
        <v>32</v>
      </c>
      <c r="C3265" s="18">
        <v>105.0</v>
      </c>
      <c r="D3265" s="18" t="s">
        <v>33</v>
      </c>
      <c r="E3265" s="27">
        <v>42564.24675925926</v>
      </c>
      <c r="F3265" s="19">
        <f>IFERROR(__xludf.DUMMYFUNCTION("IFERROR(TO_DATE(E3265), """")"),42564.24675925926)</f>
        <v>42564.24676</v>
      </c>
      <c r="G3265" s="20">
        <f t="shared" si="1"/>
        <v>5</v>
      </c>
      <c r="H3265" s="18" t="s">
        <v>34</v>
      </c>
      <c r="I3265" s="19" t="str">
        <f>IFERROR(__xludf.DUMMYFUNCTION("IFERROR(TO_DATE(H3265), """")"),"NA")</f>
        <v>NA</v>
      </c>
      <c r="J3265" s="19" t="s">
        <v>11</v>
      </c>
      <c r="K3265" s="22">
        <f t="shared" si="2"/>
        <v>1</v>
      </c>
    </row>
    <row r="3266">
      <c r="A3266" s="18">
        <v>4245.0</v>
      </c>
      <c r="B3266" s="18" t="s">
        <v>32</v>
      </c>
      <c r="C3266" s="18">
        <v>105.0</v>
      </c>
      <c r="D3266" s="18" t="s">
        <v>33</v>
      </c>
      <c r="E3266" s="27">
        <v>42565.24888888889</v>
      </c>
      <c r="F3266" s="19">
        <f>IFERROR(__xludf.DUMMYFUNCTION("IFERROR(TO_DATE(E3266), """")"),42565.24888888889)</f>
        <v>42565.24889</v>
      </c>
      <c r="G3266" s="20">
        <f t="shared" si="1"/>
        <v>5</v>
      </c>
      <c r="H3266" s="18" t="s">
        <v>34</v>
      </c>
      <c r="I3266" s="19" t="str">
        <f>IFERROR(__xludf.DUMMYFUNCTION("IFERROR(TO_DATE(H3266), """")"),"NA")</f>
        <v>NA</v>
      </c>
      <c r="J3266" s="19" t="s">
        <v>11</v>
      </c>
      <c r="K3266" s="22">
        <f t="shared" si="2"/>
        <v>1</v>
      </c>
    </row>
    <row r="3267">
      <c r="A3267" s="18">
        <v>4423.0</v>
      </c>
      <c r="B3267" s="18" t="s">
        <v>32</v>
      </c>
      <c r="C3267" s="18">
        <v>105.0</v>
      </c>
      <c r="D3267" s="18" t="s">
        <v>33</v>
      </c>
      <c r="E3267" s="27">
        <v>42565.34636574074</v>
      </c>
      <c r="F3267" s="19">
        <f>IFERROR(__xludf.DUMMYFUNCTION("IFERROR(TO_DATE(E3267), """")"),42565.34636574074)</f>
        <v>42565.34637</v>
      </c>
      <c r="G3267" s="20">
        <f t="shared" si="1"/>
        <v>8</v>
      </c>
      <c r="H3267" s="18" t="s">
        <v>34</v>
      </c>
      <c r="I3267" s="19" t="str">
        <f>IFERROR(__xludf.DUMMYFUNCTION("IFERROR(TO_DATE(H3267), """")"),"NA")</f>
        <v>NA</v>
      </c>
      <c r="J3267" s="19" t="s">
        <v>14</v>
      </c>
      <c r="K3267" s="22">
        <f t="shared" si="2"/>
        <v>1</v>
      </c>
    </row>
    <row r="3268">
      <c r="A3268" s="18">
        <v>212.0</v>
      </c>
      <c r="B3268" s="18" t="s">
        <v>32</v>
      </c>
      <c r="C3268" s="18">
        <v>106.0</v>
      </c>
      <c r="D3268" s="18" t="s">
        <v>33</v>
      </c>
      <c r="E3268" s="26">
        <v>42562.25625</v>
      </c>
      <c r="F3268" s="19">
        <f>IFERROR(__xludf.DUMMYFUNCTION("IFERROR(TO_DATE(E3268), """")"),42562.25625)</f>
        <v>42562.25625</v>
      </c>
      <c r="G3268" s="20">
        <f t="shared" si="1"/>
        <v>6</v>
      </c>
      <c r="H3268" s="18" t="s">
        <v>34</v>
      </c>
      <c r="I3268" s="19" t="str">
        <f>IFERROR(__xludf.DUMMYFUNCTION("IFERROR(TO_DATE(H3268), """")"),"NA")</f>
        <v>NA</v>
      </c>
      <c r="J3268" s="19" t="s">
        <v>11</v>
      </c>
      <c r="K3268" s="22">
        <f t="shared" si="2"/>
        <v>1</v>
      </c>
    </row>
    <row r="3269">
      <c r="A3269" s="18">
        <v>3034.0</v>
      </c>
      <c r="B3269" s="18" t="s">
        <v>32</v>
      </c>
      <c r="C3269" s="18">
        <v>106.0</v>
      </c>
      <c r="D3269" s="18" t="s">
        <v>33</v>
      </c>
      <c r="E3269" s="27">
        <v>42564.31925925926</v>
      </c>
      <c r="F3269" s="19">
        <f>IFERROR(__xludf.DUMMYFUNCTION("IFERROR(TO_DATE(E3269), """")"),42564.31925925926)</f>
        <v>42564.31926</v>
      </c>
      <c r="G3269" s="20">
        <f t="shared" si="1"/>
        <v>7</v>
      </c>
      <c r="H3269" s="18" t="s">
        <v>34</v>
      </c>
      <c r="I3269" s="19" t="str">
        <f>IFERROR(__xludf.DUMMYFUNCTION("IFERROR(TO_DATE(H3269), """")"),"NA")</f>
        <v>NA</v>
      </c>
      <c r="J3269" s="19" t="s">
        <v>11</v>
      </c>
      <c r="K3269" s="22">
        <f t="shared" si="2"/>
        <v>1</v>
      </c>
    </row>
    <row r="3270">
      <c r="A3270" s="18">
        <v>6669.0</v>
      </c>
      <c r="B3270" s="18" t="s">
        <v>32</v>
      </c>
      <c r="C3270" s="18">
        <v>106.0</v>
      </c>
      <c r="D3270" s="18" t="s">
        <v>33</v>
      </c>
      <c r="E3270" s="27">
        <v>42566.925</v>
      </c>
      <c r="F3270" s="19">
        <f>IFERROR(__xludf.DUMMYFUNCTION("IFERROR(TO_DATE(E3270), """")"),42566.925)</f>
        <v>42566.925</v>
      </c>
      <c r="G3270" s="20">
        <f t="shared" si="1"/>
        <v>22</v>
      </c>
      <c r="H3270" s="18" t="s">
        <v>34</v>
      </c>
      <c r="I3270" s="19" t="str">
        <f>IFERROR(__xludf.DUMMYFUNCTION("IFERROR(TO_DATE(H3270), """")"),"NA")</f>
        <v>NA</v>
      </c>
      <c r="J3270" s="19" t="s">
        <v>13</v>
      </c>
      <c r="K3270" s="22">
        <f t="shared" si="2"/>
        <v>1</v>
      </c>
    </row>
    <row r="3271">
      <c r="A3271" s="18">
        <v>252.0</v>
      </c>
      <c r="B3271" s="18" t="s">
        <v>32</v>
      </c>
      <c r="C3271" s="18">
        <v>107.0</v>
      </c>
      <c r="D3271" s="18" t="s">
        <v>33</v>
      </c>
      <c r="E3271" s="26">
        <v>42562.275</v>
      </c>
      <c r="F3271" s="19">
        <f>IFERROR(__xludf.DUMMYFUNCTION("IFERROR(TO_DATE(E3271), """")"),42562.275)</f>
        <v>42562.275</v>
      </c>
      <c r="G3271" s="20">
        <f t="shared" si="1"/>
        <v>6</v>
      </c>
      <c r="H3271" s="18" t="s">
        <v>34</v>
      </c>
      <c r="I3271" s="19" t="str">
        <f>IFERROR(__xludf.DUMMYFUNCTION("IFERROR(TO_DATE(H3271), """")"),"NA")</f>
        <v>NA</v>
      </c>
      <c r="J3271" s="19" t="s">
        <v>11</v>
      </c>
      <c r="K3271" s="22">
        <f t="shared" si="2"/>
        <v>1</v>
      </c>
    </row>
    <row r="3272">
      <c r="A3272" s="18">
        <v>391.0</v>
      </c>
      <c r="B3272" s="18" t="s">
        <v>32</v>
      </c>
      <c r="C3272" s="18">
        <v>107.0</v>
      </c>
      <c r="D3272" s="18" t="s">
        <v>33</v>
      </c>
      <c r="E3272" s="26">
        <v>42562.35</v>
      </c>
      <c r="F3272" s="19">
        <f>IFERROR(__xludf.DUMMYFUNCTION("IFERROR(TO_DATE(E3272), """")"),42562.35)</f>
        <v>42562.35</v>
      </c>
      <c r="G3272" s="20">
        <f t="shared" si="1"/>
        <v>8</v>
      </c>
      <c r="H3272" s="18" t="s">
        <v>34</v>
      </c>
      <c r="I3272" s="19" t="str">
        <f>IFERROR(__xludf.DUMMYFUNCTION("IFERROR(TO_DATE(H3272), """")"),"NA")</f>
        <v>NA</v>
      </c>
      <c r="J3272" s="19" t="s">
        <v>14</v>
      </c>
      <c r="K3272" s="22">
        <f t="shared" si="2"/>
        <v>1</v>
      </c>
    </row>
    <row r="3273">
      <c r="A3273" s="18">
        <v>412.0</v>
      </c>
      <c r="B3273" s="18" t="s">
        <v>32</v>
      </c>
      <c r="C3273" s="18">
        <v>107.0</v>
      </c>
      <c r="D3273" s="18" t="s">
        <v>33</v>
      </c>
      <c r="E3273" s="26">
        <v>42562.35902777778</v>
      </c>
      <c r="F3273" s="19">
        <f>IFERROR(__xludf.DUMMYFUNCTION("IFERROR(TO_DATE(E3273), """")"),42562.35902777778)</f>
        <v>42562.35903</v>
      </c>
      <c r="G3273" s="20">
        <f t="shared" si="1"/>
        <v>8</v>
      </c>
      <c r="H3273" s="18" t="s">
        <v>34</v>
      </c>
      <c r="I3273" s="19" t="str">
        <f>IFERROR(__xludf.DUMMYFUNCTION("IFERROR(TO_DATE(H3273), """")"),"NA")</f>
        <v>NA</v>
      </c>
      <c r="J3273" s="19" t="s">
        <v>14</v>
      </c>
      <c r="K3273" s="22">
        <f t="shared" si="2"/>
        <v>1</v>
      </c>
    </row>
    <row r="3274">
      <c r="A3274" s="18">
        <v>5709.0</v>
      </c>
      <c r="B3274" s="18" t="s">
        <v>32</v>
      </c>
      <c r="C3274" s="18">
        <v>107.0</v>
      </c>
      <c r="D3274" s="18" t="s">
        <v>33</v>
      </c>
      <c r="E3274" s="27">
        <v>42566.322858796295</v>
      </c>
      <c r="F3274" s="19">
        <f>IFERROR(__xludf.DUMMYFUNCTION("IFERROR(TO_DATE(E3274), """")"),42566.322858796295)</f>
        <v>42566.32286</v>
      </c>
      <c r="G3274" s="20">
        <f t="shared" si="1"/>
        <v>7</v>
      </c>
      <c r="H3274" s="18" t="s">
        <v>34</v>
      </c>
      <c r="I3274" s="19" t="str">
        <f>IFERROR(__xludf.DUMMYFUNCTION("IFERROR(TO_DATE(H3274), """")"),"NA")</f>
        <v>NA</v>
      </c>
      <c r="J3274" s="19" t="s">
        <v>11</v>
      </c>
      <c r="K3274" s="22">
        <f t="shared" si="2"/>
        <v>1</v>
      </c>
    </row>
    <row r="3275">
      <c r="A3275" s="18">
        <v>6300.0</v>
      </c>
      <c r="B3275" s="18" t="s">
        <v>30</v>
      </c>
      <c r="C3275" s="18">
        <v>107.0</v>
      </c>
      <c r="D3275" s="18" t="s">
        <v>33</v>
      </c>
      <c r="E3275" s="27">
        <v>42566.764236111114</v>
      </c>
      <c r="F3275" s="19">
        <f>IFERROR(__xludf.DUMMYFUNCTION("IFERROR(TO_DATE(E3275), """")"),42566.764236111114)</f>
        <v>42566.76424</v>
      </c>
      <c r="G3275" s="20">
        <f t="shared" si="1"/>
        <v>18</v>
      </c>
      <c r="H3275" s="18" t="s">
        <v>34</v>
      </c>
      <c r="I3275" s="19" t="str">
        <f>IFERROR(__xludf.DUMMYFUNCTION("IFERROR(TO_DATE(H3275), """")"),"NA")</f>
        <v>NA</v>
      </c>
      <c r="J3275" s="19" t="s">
        <v>12</v>
      </c>
      <c r="K3275" s="22">
        <f t="shared" si="2"/>
        <v>1</v>
      </c>
    </row>
    <row r="3276">
      <c r="A3276" s="18">
        <v>381.0</v>
      </c>
      <c r="B3276" s="18" t="s">
        <v>32</v>
      </c>
      <c r="C3276" s="18">
        <v>108.0</v>
      </c>
      <c r="D3276" s="18" t="s">
        <v>33</v>
      </c>
      <c r="E3276" s="26">
        <v>42562.34444444445</v>
      </c>
      <c r="F3276" s="19">
        <f>IFERROR(__xludf.DUMMYFUNCTION("IFERROR(TO_DATE(E3276), """")"),42562.34444444445)</f>
        <v>42562.34444</v>
      </c>
      <c r="G3276" s="20">
        <f t="shared" si="1"/>
        <v>8</v>
      </c>
      <c r="H3276" s="18" t="s">
        <v>34</v>
      </c>
      <c r="I3276" s="19" t="str">
        <f>IFERROR(__xludf.DUMMYFUNCTION("IFERROR(TO_DATE(H3276), """")"),"NA")</f>
        <v>NA</v>
      </c>
      <c r="J3276" s="19" t="s">
        <v>14</v>
      </c>
      <c r="K3276" s="22">
        <f t="shared" si="2"/>
        <v>1</v>
      </c>
    </row>
    <row r="3277">
      <c r="A3277" s="18">
        <v>3030.0</v>
      </c>
      <c r="B3277" s="18" t="s">
        <v>32</v>
      </c>
      <c r="C3277" s="18">
        <v>108.0</v>
      </c>
      <c r="D3277" s="18" t="s">
        <v>33</v>
      </c>
      <c r="E3277" s="27">
        <v>42564.31395833333</v>
      </c>
      <c r="F3277" s="19">
        <f>IFERROR(__xludf.DUMMYFUNCTION("IFERROR(TO_DATE(E3277), """")"),42564.31395833333)</f>
        <v>42564.31396</v>
      </c>
      <c r="G3277" s="20">
        <f t="shared" si="1"/>
        <v>7</v>
      </c>
      <c r="H3277" s="18" t="s">
        <v>34</v>
      </c>
      <c r="I3277" s="19" t="str">
        <f>IFERROR(__xludf.DUMMYFUNCTION("IFERROR(TO_DATE(H3277), """")"),"NA")</f>
        <v>NA</v>
      </c>
      <c r="J3277" s="19" t="s">
        <v>11</v>
      </c>
      <c r="K3277" s="22">
        <f t="shared" si="2"/>
        <v>1</v>
      </c>
    </row>
    <row r="3278">
      <c r="A3278" s="18">
        <v>3671.0</v>
      </c>
      <c r="B3278" s="18" t="s">
        <v>30</v>
      </c>
      <c r="C3278" s="18">
        <v>108.0</v>
      </c>
      <c r="D3278" s="18" t="s">
        <v>33</v>
      </c>
      <c r="E3278" s="27">
        <v>42564.81116898148</v>
      </c>
      <c r="F3278" s="19">
        <f>IFERROR(__xludf.DUMMYFUNCTION("IFERROR(TO_DATE(E3278), """")"),42564.81116898148)</f>
        <v>42564.81117</v>
      </c>
      <c r="G3278" s="20">
        <f t="shared" si="1"/>
        <v>19</v>
      </c>
      <c r="H3278" s="18" t="s">
        <v>34</v>
      </c>
      <c r="I3278" s="19" t="str">
        <f>IFERROR(__xludf.DUMMYFUNCTION("IFERROR(TO_DATE(H3278), """")"),"NA")</f>
        <v>NA</v>
      </c>
      <c r="J3278" s="19" t="s">
        <v>12</v>
      </c>
      <c r="K3278" s="22">
        <f t="shared" si="2"/>
        <v>1</v>
      </c>
    </row>
    <row r="3279">
      <c r="A3279" s="18">
        <v>4186.0</v>
      </c>
      <c r="B3279" s="18" t="s">
        <v>32</v>
      </c>
      <c r="C3279" s="18">
        <v>108.0</v>
      </c>
      <c r="D3279" s="18" t="s">
        <v>33</v>
      </c>
      <c r="E3279" s="27">
        <v>42565.22539351852</v>
      </c>
      <c r="F3279" s="19">
        <f>IFERROR(__xludf.DUMMYFUNCTION("IFERROR(TO_DATE(E3279), """")"),42565.22539351852)</f>
        <v>42565.22539</v>
      </c>
      <c r="G3279" s="20">
        <f t="shared" si="1"/>
        <v>5</v>
      </c>
      <c r="H3279" s="18" t="s">
        <v>34</v>
      </c>
      <c r="I3279" s="19" t="str">
        <f>IFERROR(__xludf.DUMMYFUNCTION("IFERROR(TO_DATE(H3279), """")"),"NA")</f>
        <v>NA</v>
      </c>
      <c r="J3279" s="19" t="s">
        <v>11</v>
      </c>
      <c r="K3279" s="22">
        <f t="shared" si="2"/>
        <v>1</v>
      </c>
    </row>
    <row r="3280">
      <c r="A3280" s="18">
        <v>4281.0</v>
      </c>
      <c r="B3280" s="18" t="s">
        <v>32</v>
      </c>
      <c r="C3280" s="18">
        <v>108.0</v>
      </c>
      <c r="D3280" s="18" t="s">
        <v>33</v>
      </c>
      <c r="E3280" s="27">
        <v>42565.2662037037</v>
      </c>
      <c r="F3280" s="19">
        <f>IFERROR(__xludf.DUMMYFUNCTION("IFERROR(TO_DATE(E3280), """")"),42565.2662037037)</f>
        <v>42565.2662</v>
      </c>
      <c r="G3280" s="20">
        <f t="shared" si="1"/>
        <v>6</v>
      </c>
      <c r="H3280" s="18" t="s">
        <v>34</v>
      </c>
      <c r="I3280" s="19" t="str">
        <f>IFERROR(__xludf.DUMMYFUNCTION("IFERROR(TO_DATE(H3280), """")"),"NA")</f>
        <v>NA</v>
      </c>
      <c r="J3280" s="19" t="s">
        <v>11</v>
      </c>
      <c r="K3280" s="22">
        <f t="shared" si="2"/>
        <v>1</v>
      </c>
    </row>
    <row r="3281">
      <c r="A3281" s="18">
        <v>1864.0</v>
      </c>
      <c r="B3281" s="18" t="s">
        <v>32</v>
      </c>
      <c r="C3281" s="18">
        <v>109.0</v>
      </c>
      <c r="D3281" s="18" t="s">
        <v>33</v>
      </c>
      <c r="E3281" s="26">
        <v>42563.4125</v>
      </c>
      <c r="F3281" s="19">
        <f>IFERROR(__xludf.DUMMYFUNCTION("IFERROR(TO_DATE(E3281), """")"),42563.4125)</f>
        <v>42563.4125</v>
      </c>
      <c r="G3281" s="20">
        <f t="shared" si="1"/>
        <v>9</v>
      </c>
      <c r="H3281" s="18" t="s">
        <v>34</v>
      </c>
      <c r="I3281" s="19" t="str">
        <f>IFERROR(__xludf.DUMMYFUNCTION("IFERROR(TO_DATE(H3281), """")"),"NA")</f>
        <v>NA</v>
      </c>
      <c r="J3281" s="19" t="s">
        <v>14</v>
      </c>
      <c r="K3281" s="22">
        <f t="shared" si="2"/>
        <v>1</v>
      </c>
    </row>
    <row r="3282">
      <c r="A3282" s="18">
        <v>2073.0</v>
      </c>
      <c r="B3282" s="18" t="s">
        <v>32</v>
      </c>
      <c r="C3282" s="18">
        <v>109.0</v>
      </c>
      <c r="D3282" s="18" t="s">
        <v>33</v>
      </c>
      <c r="E3282" s="26">
        <v>42563.64375</v>
      </c>
      <c r="F3282" s="19">
        <f>IFERROR(__xludf.DUMMYFUNCTION("IFERROR(TO_DATE(E3282), """")"),42563.64375)</f>
        <v>42563.64375</v>
      </c>
      <c r="G3282" s="20">
        <f t="shared" si="1"/>
        <v>15</v>
      </c>
      <c r="H3282" s="18" t="s">
        <v>34</v>
      </c>
      <c r="I3282" s="19" t="str">
        <f>IFERROR(__xludf.DUMMYFUNCTION("IFERROR(TO_DATE(H3282), """")"),"NA")</f>
        <v>NA</v>
      </c>
      <c r="J3282" s="19" t="s">
        <v>10</v>
      </c>
      <c r="K3282" s="22">
        <f t="shared" si="2"/>
        <v>1</v>
      </c>
    </row>
    <row r="3283">
      <c r="A3283" s="18">
        <v>3113.0</v>
      </c>
      <c r="B3283" s="18" t="s">
        <v>32</v>
      </c>
      <c r="C3283" s="18">
        <v>109.0</v>
      </c>
      <c r="D3283" s="18" t="s">
        <v>33</v>
      </c>
      <c r="E3283" s="27">
        <v>42564.35847222222</v>
      </c>
      <c r="F3283" s="19">
        <f>IFERROR(__xludf.DUMMYFUNCTION("IFERROR(TO_DATE(E3283), """")"),42564.35847222222)</f>
        <v>42564.35847</v>
      </c>
      <c r="G3283" s="20">
        <f t="shared" si="1"/>
        <v>8</v>
      </c>
      <c r="H3283" s="18" t="s">
        <v>34</v>
      </c>
      <c r="I3283" s="19" t="str">
        <f>IFERROR(__xludf.DUMMYFUNCTION("IFERROR(TO_DATE(H3283), """")"),"NA")</f>
        <v>NA</v>
      </c>
      <c r="J3283" s="19" t="s">
        <v>14</v>
      </c>
      <c r="K3283" s="22">
        <f t="shared" si="2"/>
        <v>1</v>
      </c>
    </row>
    <row r="3284">
      <c r="A3284" s="18">
        <v>4885.0</v>
      </c>
      <c r="B3284" s="18" t="s">
        <v>32</v>
      </c>
      <c r="C3284" s="18">
        <v>109.0</v>
      </c>
      <c r="D3284" s="18" t="s">
        <v>33</v>
      </c>
      <c r="E3284" s="27">
        <v>42565.74744212963</v>
      </c>
      <c r="F3284" s="19">
        <f>IFERROR(__xludf.DUMMYFUNCTION("IFERROR(TO_DATE(E3284), """")"),42565.74744212963)</f>
        <v>42565.74744</v>
      </c>
      <c r="G3284" s="20">
        <f t="shared" si="1"/>
        <v>17</v>
      </c>
      <c r="H3284" s="18" t="s">
        <v>34</v>
      </c>
      <c r="I3284" s="19" t="str">
        <f>IFERROR(__xludf.DUMMYFUNCTION("IFERROR(TO_DATE(H3284), """")"),"NA")</f>
        <v>NA</v>
      </c>
      <c r="J3284" s="19" t="s">
        <v>12</v>
      </c>
      <c r="K3284" s="22">
        <f t="shared" si="2"/>
        <v>1</v>
      </c>
    </row>
    <row r="3285">
      <c r="A3285" s="18">
        <v>326.0</v>
      </c>
      <c r="B3285" s="18" t="s">
        <v>32</v>
      </c>
      <c r="C3285" s="18">
        <v>110.0</v>
      </c>
      <c r="D3285" s="18" t="s">
        <v>33</v>
      </c>
      <c r="E3285" s="26">
        <v>42562.31458333333</v>
      </c>
      <c r="F3285" s="19">
        <f>IFERROR(__xludf.DUMMYFUNCTION("IFERROR(TO_DATE(E3285), """")"),42562.31458333333)</f>
        <v>42562.31458</v>
      </c>
      <c r="G3285" s="20">
        <f t="shared" si="1"/>
        <v>7</v>
      </c>
      <c r="H3285" s="18" t="s">
        <v>34</v>
      </c>
      <c r="I3285" s="19" t="str">
        <f>IFERROR(__xludf.DUMMYFUNCTION("IFERROR(TO_DATE(H3285), """")"),"NA")</f>
        <v>NA</v>
      </c>
      <c r="J3285" s="19" t="s">
        <v>11</v>
      </c>
      <c r="K3285" s="22">
        <f t="shared" si="2"/>
        <v>1</v>
      </c>
    </row>
    <row r="3286">
      <c r="A3286" s="18">
        <v>1401.0</v>
      </c>
      <c r="B3286" s="18" t="s">
        <v>32</v>
      </c>
      <c r="C3286" s="18">
        <v>110.0</v>
      </c>
      <c r="D3286" s="18" t="s">
        <v>33</v>
      </c>
      <c r="E3286" s="26">
        <v>42563.1125</v>
      </c>
      <c r="F3286" s="19">
        <f>IFERROR(__xludf.DUMMYFUNCTION("IFERROR(TO_DATE(E3286), """")"),42563.1125)</f>
        <v>42563.1125</v>
      </c>
      <c r="G3286" s="20">
        <f t="shared" si="1"/>
        <v>2</v>
      </c>
      <c r="H3286" s="18" t="s">
        <v>34</v>
      </c>
      <c r="I3286" s="19" t="str">
        <f>IFERROR(__xludf.DUMMYFUNCTION("IFERROR(TO_DATE(H3286), """")"),"NA")</f>
        <v>NA</v>
      </c>
      <c r="J3286" s="19" t="s">
        <v>15</v>
      </c>
      <c r="K3286" s="22">
        <f t="shared" si="2"/>
        <v>1</v>
      </c>
    </row>
    <row r="3287">
      <c r="A3287" s="18">
        <v>2792.0</v>
      </c>
      <c r="B3287" s="18" t="s">
        <v>32</v>
      </c>
      <c r="C3287" s="18">
        <v>110.0</v>
      </c>
      <c r="D3287" s="18" t="s">
        <v>33</v>
      </c>
      <c r="E3287" s="27">
        <v>42564.20701388889</v>
      </c>
      <c r="F3287" s="19">
        <f>IFERROR(__xludf.DUMMYFUNCTION("IFERROR(TO_DATE(E3287), """")"),42564.20701388889)</f>
        <v>42564.20701</v>
      </c>
      <c r="G3287" s="20">
        <f t="shared" si="1"/>
        <v>4</v>
      </c>
      <c r="H3287" s="18" t="s">
        <v>34</v>
      </c>
      <c r="I3287" s="19" t="str">
        <f>IFERROR(__xludf.DUMMYFUNCTION("IFERROR(TO_DATE(H3287), """")"),"NA")</f>
        <v>NA</v>
      </c>
      <c r="J3287" s="19" t="s">
        <v>11</v>
      </c>
      <c r="K3287" s="22">
        <f t="shared" si="2"/>
        <v>1</v>
      </c>
    </row>
    <row r="3288">
      <c r="A3288" s="18">
        <v>149.0</v>
      </c>
      <c r="B3288" s="18" t="s">
        <v>32</v>
      </c>
      <c r="C3288" s="18">
        <v>111.0</v>
      </c>
      <c r="D3288" s="18" t="s">
        <v>33</v>
      </c>
      <c r="E3288" s="26">
        <v>42562.228472222225</v>
      </c>
      <c r="F3288" s="19">
        <f>IFERROR(__xludf.DUMMYFUNCTION("IFERROR(TO_DATE(E3288), """")"),42562.228472222225)</f>
        <v>42562.22847</v>
      </c>
      <c r="G3288" s="20">
        <f t="shared" si="1"/>
        <v>5</v>
      </c>
      <c r="H3288" s="18" t="s">
        <v>34</v>
      </c>
      <c r="I3288" s="19" t="str">
        <f>IFERROR(__xludf.DUMMYFUNCTION("IFERROR(TO_DATE(H3288), """")"),"NA")</f>
        <v>NA</v>
      </c>
      <c r="J3288" s="19" t="s">
        <v>11</v>
      </c>
      <c r="K3288" s="22">
        <f t="shared" si="2"/>
        <v>1</v>
      </c>
    </row>
    <row r="3289">
      <c r="A3289" s="18">
        <v>368.0</v>
      </c>
      <c r="B3289" s="18" t="s">
        <v>32</v>
      </c>
      <c r="C3289" s="18">
        <v>111.0</v>
      </c>
      <c r="D3289" s="18" t="s">
        <v>33</v>
      </c>
      <c r="E3289" s="26">
        <v>42562.3375</v>
      </c>
      <c r="F3289" s="19">
        <f>IFERROR(__xludf.DUMMYFUNCTION("IFERROR(TO_DATE(E3289), """")"),42562.3375)</f>
        <v>42562.3375</v>
      </c>
      <c r="G3289" s="20">
        <f t="shared" si="1"/>
        <v>8</v>
      </c>
      <c r="H3289" s="18" t="s">
        <v>34</v>
      </c>
      <c r="I3289" s="19" t="str">
        <f>IFERROR(__xludf.DUMMYFUNCTION("IFERROR(TO_DATE(H3289), """")"),"NA")</f>
        <v>NA</v>
      </c>
      <c r="J3289" s="19" t="s">
        <v>14</v>
      </c>
      <c r="K3289" s="22">
        <f t="shared" si="2"/>
        <v>1</v>
      </c>
    </row>
    <row r="3290">
      <c r="A3290" s="18">
        <v>1927.0</v>
      </c>
      <c r="B3290" s="18" t="s">
        <v>32</v>
      </c>
      <c r="C3290" s="18">
        <v>111.0</v>
      </c>
      <c r="D3290" s="18" t="s">
        <v>33</v>
      </c>
      <c r="E3290" s="26">
        <v>42563.46388888889</v>
      </c>
      <c r="F3290" s="19">
        <f>IFERROR(__xludf.DUMMYFUNCTION("IFERROR(TO_DATE(E3290), """")"),42563.46388888889)</f>
        <v>42563.46389</v>
      </c>
      <c r="G3290" s="20">
        <f t="shared" si="1"/>
        <v>11</v>
      </c>
      <c r="H3290" s="18" t="s">
        <v>34</v>
      </c>
      <c r="I3290" s="19" t="str">
        <f>IFERROR(__xludf.DUMMYFUNCTION("IFERROR(TO_DATE(H3290), """")"),"NA")</f>
        <v>NA</v>
      </c>
      <c r="J3290" s="19" t="s">
        <v>14</v>
      </c>
      <c r="K3290" s="22">
        <f t="shared" si="2"/>
        <v>1</v>
      </c>
    </row>
    <row r="3291">
      <c r="A3291" s="18">
        <v>2068.0</v>
      </c>
      <c r="B3291" s="18" t="s">
        <v>30</v>
      </c>
      <c r="C3291" s="18">
        <v>112.0</v>
      </c>
      <c r="D3291" s="18" t="s">
        <v>33</v>
      </c>
      <c r="E3291" s="26">
        <v>42563.63402777778</v>
      </c>
      <c r="F3291" s="19">
        <f>IFERROR(__xludf.DUMMYFUNCTION("IFERROR(TO_DATE(E3291), """")"),42563.63402777778)</f>
        <v>42563.63403</v>
      </c>
      <c r="G3291" s="20">
        <f t="shared" si="1"/>
        <v>15</v>
      </c>
      <c r="H3291" s="18" t="s">
        <v>34</v>
      </c>
      <c r="I3291" s="19" t="str">
        <f>IFERROR(__xludf.DUMMYFUNCTION("IFERROR(TO_DATE(H3291), """")"),"NA")</f>
        <v>NA</v>
      </c>
      <c r="J3291" s="19" t="s">
        <v>10</v>
      </c>
      <c r="K3291" s="22">
        <f t="shared" si="2"/>
        <v>1</v>
      </c>
    </row>
    <row r="3292">
      <c r="A3292" s="18">
        <v>2396.0</v>
      </c>
      <c r="B3292" s="18" t="s">
        <v>30</v>
      </c>
      <c r="C3292" s="18">
        <v>112.0</v>
      </c>
      <c r="D3292" s="18" t="s">
        <v>33</v>
      </c>
      <c r="E3292" s="26">
        <v>42563.82777777778</v>
      </c>
      <c r="F3292" s="19">
        <f>IFERROR(__xludf.DUMMYFUNCTION("IFERROR(TO_DATE(E3292), """")"),42563.82777777778)</f>
        <v>42563.82778</v>
      </c>
      <c r="G3292" s="20">
        <f t="shared" si="1"/>
        <v>19</v>
      </c>
      <c r="H3292" s="18" t="s">
        <v>34</v>
      </c>
      <c r="I3292" s="19" t="str">
        <f>IFERROR(__xludf.DUMMYFUNCTION("IFERROR(TO_DATE(H3292), """")"),"NA")</f>
        <v>NA</v>
      </c>
      <c r="J3292" s="19" t="s">
        <v>12</v>
      </c>
      <c r="K3292" s="22">
        <f t="shared" si="2"/>
        <v>1</v>
      </c>
    </row>
    <row r="3293">
      <c r="A3293" s="18">
        <v>4890.0</v>
      </c>
      <c r="B3293" s="18" t="s">
        <v>32</v>
      </c>
      <c r="C3293" s="18">
        <v>112.0</v>
      </c>
      <c r="D3293" s="18" t="s">
        <v>33</v>
      </c>
      <c r="E3293" s="27">
        <v>42565.74711805556</v>
      </c>
      <c r="F3293" s="19">
        <f>IFERROR(__xludf.DUMMYFUNCTION("IFERROR(TO_DATE(E3293), """")"),42565.74711805556)</f>
        <v>42565.74712</v>
      </c>
      <c r="G3293" s="20">
        <f t="shared" si="1"/>
        <v>17</v>
      </c>
      <c r="H3293" s="18" t="s">
        <v>34</v>
      </c>
      <c r="I3293" s="19" t="str">
        <f>IFERROR(__xludf.DUMMYFUNCTION("IFERROR(TO_DATE(H3293), """")"),"NA")</f>
        <v>NA</v>
      </c>
      <c r="J3293" s="19" t="s">
        <v>12</v>
      </c>
      <c r="K3293" s="22">
        <f t="shared" si="2"/>
        <v>1</v>
      </c>
    </row>
    <row r="3294">
      <c r="A3294" s="18">
        <v>2117.0</v>
      </c>
      <c r="B3294" s="18" t="s">
        <v>32</v>
      </c>
      <c r="C3294" s="18">
        <v>113.0</v>
      </c>
      <c r="D3294" s="18" t="s">
        <v>33</v>
      </c>
      <c r="E3294" s="26">
        <v>42563.68958333333</v>
      </c>
      <c r="F3294" s="19">
        <f>IFERROR(__xludf.DUMMYFUNCTION("IFERROR(TO_DATE(E3294), """")"),42563.68958333333)</f>
        <v>42563.68958</v>
      </c>
      <c r="G3294" s="20">
        <f t="shared" si="1"/>
        <v>16</v>
      </c>
      <c r="H3294" s="18" t="s">
        <v>34</v>
      </c>
      <c r="I3294" s="19" t="str">
        <f>IFERROR(__xludf.DUMMYFUNCTION("IFERROR(TO_DATE(H3294), """")"),"NA")</f>
        <v>NA</v>
      </c>
      <c r="J3294" s="19" t="s">
        <v>12</v>
      </c>
      <c r="K3294" s="22">
        <f t="shared" si="2"/>
        <v>1</v>
      </c>
    </row>
    <row r="3295">
      <c r="A3295" s="18">
        <v>2780.0</v>
      </c>
      <c r="B3295" s="18" t="s">
        <v>32</v>
      </c>
      <c r="C3295" s="18">
        <v>113.0</v>
      </c>
      <c r="D3295" s="18" t="s">
        <v>33</v>
      </c>
      <c r="E3295" s="27">
        <v>42564.19689814815</v>
      </c>
      <c r="F3295" s="19">
        <f>IFERROR(__xludf.DUMMYFUNCTION("IFERROR(TO_DATE(E3295), """")"),42564.19689814815)</f>
        <v>42564.1969</v>
      </c>
      <c r="G3295" s="20">
        <f t="shared" si="1"/>
        <v>4</v>
      </c>
      <c r="H3295" s="18" t="s">
        <v>34</v>
      </c>
      <c r="I3295" s="19" t="str">
        <f>IFERROR(__xludf.DUMMYFUNCTION("IFERROR(TO_DATE(H3295), """")"),"NA")</f>
        <v>NA</v>
      </c>
      <c r="J3295" s="19" t="s">
        <v>11</v>
      </c>
      <c r="K3295" s="22">
        <f t="shared" si="2"/>
        <v>1</v>
      </c>
    </row>
    <row r="3296">
      <c r="A3296" s="18">
        <v>4863.0</v>
      </c>
      <c r="B3296" s="18" t="s">
        <v>30</v>
      </c>
      <c r="C3296" s="18">
        <v>113.0</v>
      </c>
      <c r="D3296" s="18" t="s">
        <v>33</v>
      </c>
      <c r="E3296" s="27">
        <v>42565.73627314815</v>
      </c>
      <c r="F3296" s="19">
        <f>IFERROR(__xludf.DUMMYFUNCTION("IFERROR(TO_DATE(E3296), """")"),42565.73627314815)</f>
        <v>42565.73627</v>
      </c>
      <c r="G3296" s="20">
        <f t="shared" si="1"/>
        <v>17</v>
      </c>
      <c r="H3296" s="18" t="s">
        <v>34</v>
      </c>
      <c r="I3296" s="19" t="str">
        <f>IFERROR(__xludf.DUMMYFUNCTION("IFERROR(TO_DATE(H3296), """")"),"NA")</f>
        <v>NA</v>
      </c>
      <c r="J3296" s="19" t="s">
        <v>12</v>
      </c>
      <c r="K3296" s="22">
        <f t="shared" si="2"/>
        <v>1</v>
      </c>
    </row>
    <row r="3297">
      <c r="A3297" s="18">
        <v>5782.0</v>
      </c>
      <c r="B3297" s="18" t="s">
        <v>32</v>
      </c>
      <c r="C3297" s="18">
        <v>113.0</v>
      </c>
      <c r="D3297" s="18" t="s">
        <v>33</v>
      </c>
      <c r="E3297" s="27">
        <v>42566.35799768518</v>
      </c>
      <c r="F3297" s="19">
        <f>IFERROR(__xludf.DUMMYFUNCTION("IFERROR(TO_DATE(E3297), """")"),42566.35799768518)</f>
        <v>42566.358</v>
      </c>
      <c r="G3297" s="20">
        <f t="shared" si="1"/>
        <v>8</v>
      </c>
      <c r="H3297" s="18" t="s">
        <v>34</v>
      </c>
      <c r="I3297" s="19" t="str">
        <f>IFERROR(__xludf.DUMMYFUNCTION("IFERROR(TO_DATE(H3297), """")"),"NA")</f>
        <v>NA</v>
      </c>
      <c r="J3297" s="19" t="s">
        <v>14</v>
      </c>
      <c r="K3297" s="22">
        <f t="shared" si="2"/>
        <v>1</v>
      </c>
    </row>
    <row r="3298">
      <c r="A3298" s="18">
        <v>188.0</v>
      </c>
      <c r="B3298" s="18" t="s">
        <v>32</v>
      </c>
      <c r="C3298" s="18">
        <v>114.0</v>
      </c>
      <c r="D3298" s="18" t="s">
        <v>33</v>
      </c>
      <c r="E3298" s="26">
        <v>42562.245833333334</v>
      </c>
      <c r="F3298" s="19">
        <f>IFERROR(__xludf.DUMMYFUNCTION("IFERROR(TO_DATE(E3298), """")"),42562.245833333334)</f>
        <v>42562.24583</v>
      </c>
      <c r="G3298" s="20">
        <f t="shared" si="1"/>
        <v>5</v>
      </c>
      <c r="H3298" s="18" t="s">
        <v>34</v>
      </c>
      <c r="I3298" s="19" t="str">
        <f>IFERROR(__xludf.DUMMYFUNCTION("IFERROR(TO_DATE(H3298), """")"),"NA")</f>
        <v>NA</v>
      </c>
      <c r="J3298" s="19" t="s">
        <v>11</v>
      </c>
      <c r="K3298" s="22">
        <f t="shared" si="2"/>
        <v>1</v>
      </c>
    </row>
    <row r="3299">
      <c r="A3299" s="18">
        <v>1699.0</v>
      </c>
      <c r="B3299" s="18" t="s">
        <v>32</v>
      </c>
      <c r="C3299" s="18">
        <v>114.0</v>
      </c>
      <c r="D3299" s="18" t="s">
        <v>33</v>
      </c>
      <c r="E3299" s="26">
        <v>42563.33472222222</v>
      </c>
      <c r="F3299" s="19">
        <f>IFERROR(__xludf.DUMMYFUNCTION("IFERROR(TO_DATE(E3299), """")"),42563.33472222222)</f>
        <v>42563.33472</v>
      </c>
      <c r="G3299" s="20">
        <f t="shared" si="1"/>
        <v>8</v>
      </c>
      <c r="H3299" s="18" t="s">
        <v>34</v>
      </c>
      <c r="I3299" s="19" t="str">
        <f>IFERROR(__xludf.DUMMYFUNCTION("IFERROR(TO_DATE(H3299), """")"),"NA")</f>
        <v>NA</v>
      </c>
      <c r="J3299" s="19" t="s">
        <v>14</v>
      </c>
      <c r="K3299" s="22">
        <f t="shared" si="2"/>
        <v>1</v>
      </c>
    </row>
    <row r="3300">
      <c r="A3300" s="18">
        <v>3043.0</v>
      </c>
      <c r="B3300" s="18" t="s">
        <v>32</v>
      </c>
      <c r="C3300" s="18">
        <v>114.0</v>
      </c>
      <c r="D3300" s="18" t="s">
        <v>33</v>
      </c>
      <c r="E3300" s="27">
        <v>42564.3212037037</v>
      </c>
      <c r="F3300" s="19">
        <f>IFERROR(__xludf.DUMMYFUNCTION("IFERROR(TO_DATE(E3300), """")"),42564.3212037037)</f>
        <v>42564.3212</v>
      </c>
      <c r="G3300" s="20">
        <f t="shared" si="1"/>
        <v>7</v>
      </c>
      <c r="H3300" s="18" t="s">
        <v>34</v>
      </c>
      <c r="I3300" s="19" t="str">
        <f>IFERROR(__xludf.DUMMYFUNCTION("IFERROR(TO_DATE(H3300), """")"),"NA")</f>
        <v>NA</v>
      </c>
      <c r="J3300" s="19" t="s">
        <v>11</v>
      </c>
      <c r="K3300" s="22">
        <f t="shared" si="2"/>
        <v>1</v>
      </c>
    </row>
    <row r="3301">
      <c r="A3301" s="18">
        <v>3818.0</v>
      </c>
      <c r="B3301" s="18" t="s">
        <v>30</v>
      </c>
      <c r="C3301" s="18">
        <v>114.0</v>
      </c>
      <c r="D3301" s="18" t="s">
        <v>33</v>
      </c>
      <c r="E3301" s="27">
        <v>42564.879849537036</v>
      </c>
      <c r="F3301" s="19">
        <f>IFERROR(__xludf.DUMMYFUNCTION("IFERROR(TO_DATE(E3301), """")"),42564.879849537036)</f>
        <v>42564.87985</v>
      </c>
      <c r="G3301" s="20">
        <f t="shared" si="1"/>
        <v>21</v>
      </c>
      <c r="H3301" s="18" t="s">
        <v>34</v>
      </c>
      <c r="I3301" s="19" t="str">
        <f>IFERROR(__xludf.DUMMYFUNCTION("IFERROR(TO_DATE(H3301), """")"),"NA")</f>
        <v>NA</v>
      </c>
      <c r="J3301" s="19" t="s">
        <v>13</v>
      </c>
      <c r="K3301" s="22">
        <f t="shared" si="2"/>
        <v>1</v>
      </c>
    </row>
    <row r="3302">
      <c r="A3302" s="18">
        <v>4187.0</v>
      </c>
      <c r="B3302" s="18" t="s">
        <v>32</v>
      </c>
      <c r="C3302" s="18">
        <v>114.0</v>
      </c>
      <c r="D3302" s="18" t="s">
        <v>33</v>
      </c>
      <c r="E3302" s="27">
        <v>42565.22752314815</v>
      </c>
      <c r="F3302" s="19">
        <f>IFERROR(__xludf.DUMMYFUNCTION("IFERROR(TO_DATE(E3302), """")"),42565.22752314815)</f>
        <v>42565.22752</v>
      </c>
      <c r="G3302" s="20">
        <f t="shared" si="1"/>
        <v>5</v>
      </c>
      <c r="H3302" s="18" t="s">
        <v>34</v>
      </c>
      <c r="I3302" s="19" t="str">
        <f>IFERROR(__xludf.DUMMYFUNCTION("IFERROR(TO_DATE(H3302), """")"),"NA")</f>
        <v>NA</v>
      </c>
      <c r="J3302" s="19" t="s">
        <v>11</v>
      </c>
      <c r="K3302" s="22">
        <f t="shared" si="2"/>
        <v>1</v>
      </c>
    </row>
    <row r="3303">
      <c r="A3303" s="18">
        <v>4381.0</v>
      </c>
      <c r="B3303" s="18" t="s">
        <v>32</v>
      </c>
      <c r="C3303" s="18">
        <v>114.0</v>
      </c>
      <c r="D3303" s="18" t="s">
        <v>33</v>
      </c>
      <c r="E3303" s="27">
        <v>42565.3233912037</v>
      </c>
      <c r="F3303" s="19">
        <f>IFERROR(__xludf.DUMMYFUNCTION("IFERROR(TO_DATE(E3303), """")"),42565.3233912037)</f>
        <v>42565.32339</v>
      </c>
      <c r="G3303" s="20">
        <f t="shared" si="1"/>
        <v>7</v>
      </c>
      <c r="H3303" s="18" t="s">
        <v>34</v>
      </c>
      <c r="I3303" s="19" t="str">
        <f>IFERROR(__xludf.DUMMYFUNCTION("IFERROR(TO_DATE(H3303), """")"),"NA")</f>
        <v>NA</v>
      </c>
      <c r="J3303" s="19" t="s">
        <v>11</v>
      </c>
      <c r="K3303" s="22">
        <f t="shared" si="2"/>
        <v>1</v>
      </c>
    </row>
    <row r="3304">
      <c r="A3304" s="18">
        <v>4530.0</v>
      </c>
      <c r="B3304" s="18" t="s">
        <v>32</v>
      </c>
      <c r="C3304" s="18">
        <v>114.0</v>
      </c>
      <c r="D3304" s="18" t="s">
        <v>33</v>
      </c>
      <c r="E3304" s="27">
        <v>42565.39834490741</v>
      </c>
      <c r="F3304" s="19">
        <f>IFERROR(__xludf.DUMMYFUNCTION("IFERROR(TO_DATE(E3304), """")"),42565.39834490741)</f>
        <v>42565.39834</v>
      </c>
      <c r="G3304" s="20">
        <f t="shared" si="1"/>
        <v>9</v>
      </c>
      <c r="H3304" s="18" t="s">
        <v>34</v>
      </c>
      <c r="I3304" s="19" t="str">
        <f>IFERROR(__xludf.DUMMYFUNCTION("IFERROR(TO_DATE(H3304), """")"),"NA")</f>
        <v>NA</v>
      </c>
      <c r="J3304" s="19" t="s">
        <v>14</v>
      </c>
      <c r="K3304" s="22">
        <f t="shared" si="2"/>
        <v>1</v>
      </c>
    </row>
    <row r="3305">
      <c r="A3305" s="18">
        <v>4774.0</v>
      </c>
      <c r="B3305" s="18" t="s">
        <v>30</v>
      </c>
      <c r="C3305" s="18">
        <v>114.0</v>
      </c>
      <c r="D3305" s="18" t="s">
        <v>33</v>
      </c>
      <c r="E3305" s="27">
        <v>42565.66601851852</v>
      </c>
      <c r="F3305" s="19">
        <f>IFERROR(__xludf.DUMMYFUNCTION("IFERROR(TO_DATE(E3305), """")"),42565.66601851852)</f>
        <v>42565.66602</v>
      </c>
      <c r="G3305" s="20">
        <f t="shared" si="1"/>
        <v>15</v>
      </c>
      <c r="H3305" s="18" t="s">
        <v>34</v>
      </c>
      <c r="I3305" s="19" t="str">
        <f>IFERROR(__xludf.DUMMYFUNCTION("IFERROR(TO_DATE(H3305), """")"),"NA")</f>
        <v>NA</v>
      </c>
      <c r="J3305" s="19" t="s">
        <v>10</v>
      </c>
      <c r="K3305" s="22">
        <f t="shared" si="2"/>
        <v>1</v>
      </c>
    </row>
    <row r="3306">
      <c r="A3306" s="18">
        <v>5423.0</v>
      </c>
      <c r="B3306" s="18" t="s">
        <v>32</v>
      </c>
      <c r="C3306" s="18">
        <v>114.0</v>
      </c>
      <c r="D3306" s="18" t="s">
        <v>33</v>
      </c>
      <c r="E3306" s="27">
        <v>42566.09108796297</v>
      </c>
      <c r="F3306" s="19">
        <f>IFERROR(__xludf.DUMMYFUNCTION("IFERROR(TO_DATE(E3306), """")"),42566.09108796297)</f>
        <v>42566.09109</v>
      </c>
      <c r="G3306" s="20">
        <f t="shared" si="1"/>
        <v>2</v>
      </c>
      <c r="H3306" s="18" t="s">
        <v>34</v>
      </c>
      <c r="I3306" s="19" t="str">
        <f>IFERROR(__xludf.DUMMYFUNCTION("IFERROR(TO_DATE(H3306), """")"),"NA")</f>
        <v>NA</v>
      </c>
      <c r="J3306" s="19" t="s">
        <v>15</v>
      </c>
      <c r="K3306" s="22">
        <f t="shared" si="2"/>
        <v>1</v>
      </c>
    </row>
    <row r="3307">
      <c r="A3307" s="18">
        <v>4011.0</v>
      </c>
      <c r="B3307" s="18" t="s">
        <v>32</v>
      </c>
      <c r="C3307" s="18">
        <v>115.0</v>
      </c>
      <c r="D3307" s="18" t="s">
        <v>33</v>
      </c>
      <c r="E3307" s="27">
        <v>42564.98988425926</v>
      </c>
      <c r="F3307" s="19">
        <f>IFERROR(__xludf.DUMMYFUNCTION("IFERROR(TO_DATE(E3307), """")"),42564.98988425926)</f>
        <v>42564.98988</v>
      </c>
      <c r="G3307" s="20">
        <f t="shared" si="1"/>
        <v>23</v>
      </c>
      <c r="H3307" s="18" t="s">
        <v>34</v>
      </c>
      <c r="I3307" s="19" t="str">
        <f>IFERROR(__xludf.DUMMYFUNCTION("IFERROR(TO_DATE(H3307), """")"),"NA")</f>
        <v>NA</v>
      </c>
      <c r="J3307" s="19" t="s">
        <v>13</v>
      </c>
      <c r="K3307" s="22">
        <f t="shared" si="2"/>
        <v>1</v>
      </c>
    </row>
    <row r="3308">
      <c r="A3308" s="18">
        <v>4556.0</v>
      </c>
      <c r="B3308" s="18" t="s">
        <v>32</v>
      </c>
      <c r="C3308" s="18">
        <v>115.0</v>
      </c>
      <c r="D3308" s="18" t="s">
        <v>33</v>
      </c>
      <c r="E3308" s="27">
        <v>42565.403344907405</v>
      </c>
      <c r="F3308" s="19">
        <f>IFERROR(__xludf.DUMMYFUNCTION("IFERROR(TO_DATE(E3308), """")"),42565.403344907405)</f>
        <v>42565.40334</v>
      </c>
      <c r="G3308" s="20">
        <f t="shared" si="1"/>
        <v>9</v>
      </c>
      <c r="H3308" s="18" t="s">
        <v>34</v>
      </c>
      <c r="I3308" s="19" t="str">
        <f>IFERROR(__xludf.DUMMYFUNCTION("IFERROR(TO_DATE(H3308), """")"),"NA")</f>
        <v>NA</v>
      </c>
      <c r="J3308" s="19" t="s">
        <v>14</v>
      </c>
      <c r="K3308" s="22">
        <f t="shared" si="2"/>
        <v>1</v>
      </c>
    </row>
    <row r="3309">
      <c r="A3309" s="18">
        <v>354.0</v>
      </c>
      <c r="B3309" s="18" t="s">
        <v>32</v>
      </c>
      <c r="C3309" s="18">
        <v>116.0</v>
      </c>
      <c r="D3309" s="18" t="s">
        <v>33</v>
      </c>
      <c r="E3309" s="26">
        <v>42562.33263888889</v>
      </c>
      <c r="F3309" s="19">
        <f>IFERROR(__xludf.DUMMYFUNCTION("IFERROR(TO_DATE(E3309), """")"),42562.33263888889)</f>
        <v>42562.33264</v>
      </c>
      <c r="G3309" s="20">
        <f t="shared" si="1"/>
        <v>7</v>
      </c>
      <c r="H3309" s="18" t="s">
        <v>34</v>
      </c>
      <c r="I3309" s="19" t="str">
        <f>IFERROR(__xludf.DUMMYFUNCTION("IFERROR(TO_DATE(H3309), """")"),"NA")</f>
        <v>NA</v>
      </c>
      <c r="J3309" s="19" t="s">
        <v>11</v>
      </c>
      <c r="K3309" s="22">
        <f t="shared" si="2"/>
        <v>1</v>
      </c>
    </row>
    <row r="3310">
      <c r="A3310" s="18">
        <v>1618.0</v>
      </c>
      <c r="B3310" s="18" t="s">
        <v>32</v>
      </c>
      <c r="C3310" s="18">
        <v>116.0</v>
      </c>
      <c r="D3310" s="18" t="s">
        <v>33</v>
      </c>
      <c r="E3310" s="26">
        <v>42563.28611111111</v>
      </c>
      <c r="F3310" s="19">
        <f>IFERROR(__xludf.DUMMYFUNCTION("IFERROR(TO_DATE(E3310), """")"),42563.28611111111)</f>
        <v>42563.28611</v>
      </c>
      <c r="G3310" s="20">
        <f t="shared" si="1"/>
        <v>6</v>
      </c>
      <c r="H3310" s="18" t="s">
        <v>34</v>
      </c>
      <c r="I3310" s="19" t="str">
        <f>IFERROR(__xludf.DUMMYFUNCTION("IFERROR(TO_DATE(H3310), """")"),"NA")</f>
        <v>NA</v>
      </c>
      <c r="J3310" s="19" t="s">
        <v>11</v>
      </c>
      <c r="K3310" s="22">
        <f t="shared" si="2"/>
        <v>1</v>
      </c>
    </row>
    <row r="3311">
      <c r="A3311" s="18">
        <v>3019.0</v>
      </c>
      <c r="B3311" s="18" t="s">
        <v>32</v>
      </c>
      <c r="C3311" s="18">
        <v>117.0</v>
      </c>
      <c r="D3311" s="18" t="s">
        <v>33</v>
      </c>
      <c r="E3311" s="27">
        <v>42564.309583333335</v>
      </c>
      <c r="F3311" s="19">
        <f>IFERROR(__xludf.DUMMYFUNCTION("IFERROR(TO_DATE(E3311), """")"),42564.309583333335)</f>
        <v>42564.30958</v>
      </c>
      <c r="G3311" s="20">
        <f t="shared" si="1"/>
        <v>7</v>
      </c>
      <c r="H3311" s="18" t="s">
        <v>34</v>
      </c>
      <c r="I3311" s="19" t="str">
        <f>IFERROR(__xludf.DUMMYFUNCTION("IFERROR(TO_DATE(H3311), """")"),"NA")</f>
        <v>NA</v>
      </c>
      <c r="J3311" s="19" t="s">
        <v>11</v>
      </c>
      <c r="K3311" s="22">
        <f t="shared" si="2"/>
        <v>1</v>
      </c>
    </row>
    <row r="3312">
      <c r="A3312" s="18">
        <v>5469.0</v>
      </c>
      <c r="B3312" s="18" t="s">
        <v>32</v>
      </c>
      <c r="C3312" s="18">
        <v>117.0</v>
      </c>
      <c r="D3312" s="18" t="s">
        <v>33</v>
      </c>
      <c r="E3312" s="27">
        <v>42566.19646990741</v>
      </c>
      <c r="F3312" s="19">
        <f>IFERROR(__xludf.DUMMYFUNCTION("IFERROR(TO_DATE(E3312), """")"),42566.19646990741)</f>
        <v>42566.19647</v>
      </c>
      <c r="G3312" s="20">
        <f t="shared" si="1"/>
        <v>4</v>
      </c>
      <c r="H3312" s="18" t="s">
        <v>34</v>
      </c>
      <c r="I3312" s="19" t="str">
        <f>IFERROR(__xludf.DUMMYFUNCTION("IFERROR(TO_DATE(H3312), """")"),"NA")</f>
        <v>NA</v>
      </c>
      <c r="J3312" s="19" t="s">
        <v>11</v>
      </c>
      <c r="K3312" s="22">
        <f t="shared" si="2"/>
        <v>1</v>
      </c>
    </row>
    <row r="3313">
      <c r="A3313" s="18">
        <v>5731.0</v>
      </c>
      <c r="B3313" s="18" t="s">
        <v>32</v>
      </c>
      <c r="C3313" s="18">
        <v>117.0</v>
      </c>
      <c r="D3313" s="18" t="s">
        <v>33</v>
      </c>
      <c r="E3313" s="27">
        <v>42566.32467592593</v>
      </c>
      <c r="F3313" s="19">
        <f>IFERROR(__xludf.DUMMYFUNCTION("IFERROR(TO_DATE(E3313), """")"),42566.32467592593)</f>
        <v>42566.32468</v>
      </c>
      <c r="G3313" s="20">
        <f t="shared" si="1"/>
        <v>7</v>
      </c>
      <c r="H3313" s="18" t="s">
        <v>34</v>
      </c>
      <c r="I3313" s="19" t="str">
        <f>IFERROR(__xludf.DUMMYFUNCTION("IFERROR(TO_DATE(H3313), """")"),"NA")</f>
        <v>NA</v>
      </c>
      <c r="J3313" s="19" t="s">
        <v>11</v>
      </c>
      <c r="K3313" s="22">
        <f t="shared" si="2"/>
        <v>1</v>
      </c>
    </row>
    <row r="3314">
      <c r="A3314" s="18">
        <v>5839.0</v>
      </c>
      <c r="B3314" s="18" t="s">
        <v>32</v>
      </c>
      <c r="C3314" s="18">
        <v>117.0</v>
      </c>
      <c r="D3314" s="18" t="s">
        <v>33</v>
      </c>
      <c r="E3314" s="27">
        <v>42566.373240740744</v>
      </c>
      <c r="F3314" s="19">
        <f>IFERROR(__xludf.DUMMYFUNCTION("IFERROR(TO_DATE(E3314), """")"),42566.373240740744)</f>
        <v>42566.37324</v>
      </c>
      <c r="G3314" s="20">
        <f t="shared" si="1"/>
        <v>8</v>
      </c>
      <c r="H3314" s="18" t="s">
        <v>34</v>
      </c>
      <c r="I3314" s="19" t="str">
        <f>IFERROR(__xludf.DUMMYFUNCTION("IFERROR(TO_DATE(H3314), """")"),"NA")</f>
        <v>NA</v>
      </c>
      <c r="J3314" s="19" t="s">
        <v>14</v>
      </c>
      <c r="K3314" s="22">
        <f t="shared" si="2"/>
        <v>1</v>
      </c>
    </row>
    <row r="3315">
      <c r="A3315" s="18">
        <v>1660.0</v>
      </c>
      <c r="B3315" s="18" t="s">
        <v>32</v>
      </c>
      <c r="C3315" s="18">
        <v>118.0</v>
      </c>
      <c r="D3315" s="18" t="s">
        <v>33</v>
      </c>
      <c r="E3315" s="26">
        <v>42563.30972222222</v>
      </c>
      <c r="F3315" s="19">
        <f>IFERROR(__xludf.DUMMYFUNCTION("IFERROR(TO_DATE(E3315), """")"),42563.30972222222)</f>
        <v>42563.30972</v>
      </c>
      <c r="G3315" s="20">
        <f t="shared" si="1"/>
        <v>7</v>
      </c>
      <c r="H3315" s="18" t="s">
        <v>34</v>
      </c>
      <c r="I3315" s="19" t="str">
        <f>IFERROR(__xludf.DUMMYFUNCTION("IFERROR(TO_DATE(H3315), """")"),"NA")</f>
        <v>NA</v>
      </c>
      <c r="J3315" s="19" t="s">
        <v>11</v>
      </c>
      <c r="K3315" s="22">
        <f t="shared" si="2"/>
        <v>1</v>
      </c>
    </row>
    <row r="3316">
      <c r="A3316" s="18">
        <v>3146.0</v>
      </c>
      <c r="B3316" s="18" t="s">
        <v>32</v>
      </c>
      <c r="C3316" s="18">
        <v>118.0</v>
      </c>
      <c r="D3316" s="18" t="s">
        <v>33</v>
      </c>
      <c r="E3316" s="27">
        <v>42564.37278935185</v>
      </c>
      <c r="F3316" s="19">
        <f>IFERROR(__xludf.DUMMYFUNCTION("IFERROR(TO_DATE(E3316), """")"),42564.37278935185)</f>
        <v>42564.37279</v>
      </c>
      <c r="G3316" s="20">
        <f t="shared" si="1"/>
        <v>8</v>
      </c>
      <c r="H3316" s="18" t="s">
        <v>34</v>
      </c>
      <c r="I3316" s="19" t="str">
        <f>IFERROR(__xludf.DUMMYFUNCTION("IFERROR(TO_DATE(H3316), """")"),"NA")</f>
        <v>NA</v>
      </c>
      <c r="J3316" s="19" t="s">
        <v>14</v>
      </c>
      <c r="K3316" s="22">
        <f t="shared" si="2"/>
        <v>1</v>
      </c>
    </row>
    <row r="3317">
      <c r="A3317" s="18">
        <v>174.0</v>
      </c>
      <c r="B3317" s="18" t="s">
        <v>30</v>
      </c>
      <c r="C3317" s="18">
        <v>119.0</v>
      </c>
      <c r="D3317" s="18" t="s">
        <v>33</v>
      </c>
      <c r="E3317" s="26">
        <v>42562.23888888889</v>
      </c>
      <c r="F3317" s="19">
        <f>IFERROR(__xludf.DUMMYFUNCTION("IFERROR(TO_DATE(E3317), """")"),42562.23888888889)</f>
        <v>42562.23889</v>
      </c>
      <c r="G3317" s="20">
        <f t="shared" si="1"/>
        <v>5</v>
      </c>
      <c r="H3317" s="18" t="s">
        <v>34</v>
      </c>
      <c r="I3317" s="19" t="str">
        <f>IFERROR(__xludf.DUMMYFUNCTION("IFERROR(TO_DATE(H3317), """")"),"NA")</f>
        <v>NA</v>
      </c>
      <c r="J3317" s="19" t="s">
        <v>11</v>
      </c>
      <c r="K3317" s="22">
        <f t="shared" si="2"/>
        <v>1</v>
      </c>
    </row>
    <row r="3318">
      <c r="A3318" s="18">
        <v>321.0</v>
      </c>
      <c r="B3318" s="18" t="s">
        <v>32</v>
      </c>
      <c r="C3318" s="18">
        <v>119.0</v>
      </c>
      <c r="D3318" s="18" t="s">
        <v>33</v>
      </c>
      <c r="E3318" s="26">
        <v>42562.3125</v>
      </c>
      <c r="F3318" s="19">
        <f>IFERROR(__xludf.DUMMYFUNCTION("IFERROR(TO_DATE(E3318), """")"),42562.3125)</f>
        <v>42562.3125</v>
      </c>
      <c r="G3318" s="20">
        <f t="shared" si="1"/>
        <v>7</v>
      </c>
      <c r="H3318" s="18" t="s">
        <v>34</v>
      </c>
      <c r="I3318" s="19" t="str">
        <f>IFERROR(__xludf.DUMMYFUNCTION("IFERROR(TO_DATE(H3318), """")"),"NA")</f>
        <v>NA</v>
      </c>
      <c r="J3318" s="19" t="s">
        <v>11</v>
      </c>
      <c r="K3318" s="22">
        <f t="shared" si="2"/>
        <v>1</v>
      </c>
    </row>
    <row r="3319">
      <c r="A3319" s="18">
        <v>2973.0</v>
      </c>
      <c r="B3319" s="18" t="s">
        <v>32</v>
      </c>
      <c r="C3319" s="18">
        <v>119.0</v>
      </c>
      <c r="D3319" s="18" t="s">
        <v>33</v>
      </c>
      <c r="E3319" s="27">
        <v>42564.29023148148</v>
      </c>
      <c r="F3319" s="19">
        <f>IFERROR(__xludf.DUMMYFUNCTION("IFERROR(TO_DATE(E3319), """")"),42564.29023148148)</f>
        <v>42564.29023</v>
      </c>
      <c r="G3319" s="20">
        <f t="shared" si="1"/>
        <v>6</v>
      </c>
      <c r="H3319" s="18" t="s">
        <v>34</v>
      </c>
      <c r="I3319" s="19" t="str">
        <f>IFERROR(__xludf.DUMMYFUNCTION("IFERROR(TO_DATE(H3319), """")"),"NA")</f>
        <v>NA</v>
      </c>
      <c r="J3319" s="19" t="s">
        <v>11</v>
      </c>
      <c r="K3319" s="22">
        <f t="shared" si="2"/>
        <v>1</v>
      </c>
    </row>
    <row r="3320">
      <c r="A3320" s="18">
        <v>5691.0</v>
      </c>
      <c r="B3320" s="18" t="s">
        <v>32</v>
      </c>
      <c r="C3320" s="18">
        <v>119.0</v>
      </c>
      <c r="D3320" s="18" t="s">
        <v>33</v>
      </c>
      <c r="E3320" s="27">
        <v>42566.31009259259</v>
      </c>
      <c r="F3320" s="19">
        <f>IFERROR(__xludf.DUMMYFUNCTION("IFERROR(TO_DATE(E3320), """")"),42566.31009259259)</f>
        <v>42566.31009</v>
      </c>
      <c r="G3320" s="20">
        <f t="shared" si="1"/>
        <v>7</v>
      </c>
      <c r="H3320" s="18" t="s">
        <v>34</v>
      </c>
      <c r="I3320" s="19" t="str">
        <f>IFERROR(__xludf.DUMMYFUNCTION("IFERROR(TO_DATE(H3320), """")"),"NA")</f>
        <v>NA</v>
      </c>
      <c r="J3320" s="19" t="s">
        <v>11</v>
      </c>
      <c r="K3320" s="22">
        <f t="shared" si="2"/>
        <v>1</v>
      </c>
    </row>
    <row r="3321">
      <c r="A3321" s="18">
        <v>5748.0</v>
      </c>
      <c r="B3321" s="18" t="s">
        <v>32</v>
      </c>
      <c r="C3321" s="18">
        <v>119.0</v>
      </c>
      <c r="D3321" s="18" t="s">
        <v>33</v>
      </c>
      <c r="E3321" s="27">
        <v>42566.331921296296</v>
      </c>
      <c r="F3321" s="19">
        <f>IFERROR(__xludf.DUMMYFUNCTION("IFERROR(TO_DATE(E3321), """")"),42566.331921296296)</f>
        <v>42566.33192</v>
      </c>
      <c r="G3321" s="20">
        <f t="shared" si="1"/>
        <v>7</v>
      </c>
      <c r="H3321" s="18" t="s">
        <v>34</v>
      </c>
      <c r="I3321" s="19" t="str">
        <f>IFERROR(__xludf.DUMMYFUNCTION("IFERROR(TO_DATE(H3321), """")"),"NA")</f>
        <v>NA</v>
      </c>
      <c r="J3321" s="19" t="s">
        <v>11</v>
      </c>
      <c r="K3321" s="22">
        <f t="shared" si="2"/>
        <v>1</v>
      </c>
    </row>
    <row r="3322">
      <c r="A3322" s="18">
        <v>404.0</v>
      </c>
      <c r="B3322" s="18" t="s">
        <v>32</v>
      </c>
      <c r="C3322" s="18">
        <v>120.0</v>
      </c>
      <c r="D3322" s="18" t="s">
        <v>33</v>
      </c>
      <c r="E3322" s="26">
        <v>42562.36041666667</v>
      </c>
      <c r="F3322" s="19">
        <f>IFERROR(__xludf.DUMMYFUNCTION("IFERROR(TO_DATE(E3322), """")"),42562.36041666667)</f>
        <v>42562.36042</v>
      </c>
      <c r="G3322" s="20">
        <f t="shared" si="1"/>
        <v>8</v>
      </c>
      <c r="H3322" s="18" t="s">
        <v>34</v>
      </c>
      <c r="I3322" s="19" t="str">
        <f>IFERROR(__xludf.DUMMYFUNCTION("IFERROR(TO_DATE(H3322), """")"),"NA")</f>
        <v>NA</v>
      </c>
      <c r="J3322" s="19" t="s">
        <v>14</v>
      </c>
      <c r="K3322" s="22">
        <f t="shared" si="2"/>
        <v>1</v>
      </c>
    </row>
    <row r="3323">
      <c r="A3323" s="18">
        <v>2474.0</v>
      </c>
      <c r="B3323" s="18" t="s">
        <v>30</v>
      </c>
      <c r="C3323" s="18">
        <v>120.0</v>
      </c>
      <c r="D3323" s="18" t="s">
        <v>33</v>
      </c>
      <c r="E3323" s="26">
        <v>42563.85763888889</v>
      </c>
      <c r="F3323" s="19">
        <f>IFERROR(__xludf.DUMMYFUNCTION("IFERROR(TO_DATE(E3323), """")"),42563.85763888889)</f>
        <v>42563.85764</v>
      </c>
      <c r="G3323" s="20">
        <f t="shared" si="1"/>
        <v>20</v>
      </c>
      <c r="H3323" s="18" t="s">
        <v>34</v>
      </c>
      <c r="I3323" s="19" t="str">
        <f>IFERROR(__xludf.DUMMYFUNCTION("IFERROR(TO_DATE(H3323), """")"),"NA")</f>
        <v>NA</v>
      </c>
      <c r="J3323" s="19" t="s">
        <v>13</v>
      </c>
      <c r="K3323" s="22">
        <f t="shared" si="2"/>
        <v>1</v>
      </c>
    </row>
    <row r="3324">
      <c r="A3324" s="18">
        <v>4374.0</v>
      </c>
      <c r="B3324" s="18" t="s">
        <v>32</v>
      </c>
      <c r="C3324" s="18">
        <v>120.0</v>
      </c>
      <c r="D3324" s="18" t="s">
        <v>33</v>
      </c>
      <c r="E3324" s="27">
        <v>42565.31642361111</v>
      </c>
      <c r="F3324" s="19">
        <f>IFERROR(__xludf.DUMMYFUNCTION("IFERROR(TO_DATE(E3324), """")"),42565.31642361111)</f>
        <v>42565.31642</v>
      </c>
      <c r="G3324" s="20">
        <f t="shared" si="1"/>
        <v>7</v>
      </c>
      <c r="H3324" s="18" t="s">
        <v>34</v>
      </c>
      <c r="I3324" s="19" t="str">
        <f>IFERROR(__xludf.DUMMYFUNCTION("IFERROR(TO_DATE(H3324), """")"),"NA")</f>
        <v>NA</v>
      </c>
      <c r="J3324" s="19" t="s">
        <v>11</v>
      </c>
      <c r="K3324" s="22">
        <f t="shared" si="2"/>
        <v>1</v>
      </c>
    </row>
    <row r="3325">
      <c r="A3325" s="18">
        <v>4461.0</v>
      </c>
      <c r="B3325" s="18" t="s">
        <v>32</v>
      </c>
      <c r="C3325" s="18">
        <v>120.0</v>
      </c>
      <c r="D3325" s="18" t="s">
        <v>33</v>
      </c>
      <c r="E3325" s="27">
        <v>42565.358981481484</v>
      </c>
      <c r="F3325" s="19">
        <f>IFERROR(__xludf.DUMMYFUNCTION("IFERROR(TO_DATE(E3325), """")"),42565.358981481484)</f>
        <v>42565.35898</v>
      </c>
      <c r="G3325" s="20">
        <f t="shared" si="1"/>
        <v>8</v>
      </c>
      <c r="H3325" s="18" t="s">
        <v>34</v>
      </c>
      <c r="I3325" s="19" t="str">
        <f>IFERROR(__xludf.DUMMYFUNCTION("IFERROR(TO_DATE(H3325), """")"),"NA")</f>
        <v>NA</v>
      </c>
      <c r="J3325" s="19" t="s">
        <v>14</v>
      </c>
      <c r="K3325" s="22">
        <f t="shared" si="2"/>
        <v>1</v>
      </c>
    </row>
    <row r="3326">
      <c r="A3326" s="18">
        <v>4731.0</v>
      </c>
      <c r="B3326" s="18" t="s">
        <v>32</v>
      </c>
      <c r="C3326" s="18">
        <v>120.0</v>
      </c>
      <c r="D3326" s="18" t="s">
        <v>33</v>
      </c>
      <c r="E3326" s="27">
        <v>42565.589849537035</v>
      </c>
      <c r="F3326" s="19">
        <f>IFERROR(__xludf.DUMMYFUNCTION("IFERROR(TO_DATE(E3326), """")"),42565.589849537035)</f>
        <v>42565.58985</v>
      </c>
      <c r="G3326" s="20">
        <f t="shared" si="1"/>
        <v>14</v>
      </c>
      <c r="H3326" s="18" t="s">
        <v>34</v>
      </c>
      <c r="I3326" s="19" t="str">
        <f>IFERROR(__xludf.DUMMYFUNCTION("IFERROR(TO_DATE(H3326), """")"),"NA")</f>
        <v>NA</v>
      </c>
      <c r="J3326" s="19" t="s">
        <v>10</v>
      </c>
      <c r="K3326" s="22">
        <f t="shared" si="2"/>
        <v>1</v>
      </c>
    </row>
    <row r="3327">
      <c r="A3327" s="18">
        <v>5798.0</v>
      </c>
      <c r="B3327" s="18" t="s">
        <v>32</v>
      </c>
      <c r="C3327" s="18">
        <v>120.0</v>
      </c>
      <c r="D3327" s="18" t="s">
        <v>33</v>
      </c>
      <c r="E3327" s="27">
        <v>42566.361550925925</v>
      </c>
      <c r="F3327" s="19">
        <f>IFERROR(__xludf.DUMMYFUNCTION("IFERROR(TO_DATE(E3327), """")"),42566.361550925925)</f>
        <v>42566.36155</v>
      </c>
      <c r="G3327" s="20">
        <f t="shared" si="1"/>
        <v>8</v>
      </c>
      <c r="H3327" s="18" t="s">
        <v>34</v>
      </c>
      <c r="I3327" s="19" t="str">
        <f>IFERROR(__xludf.DUMMYFUNCTION("IFERROR(TO_DATE(H3327), """")"),"NA")</f>
        <v>NA</v>
      </c>
      <c r="J3327" s="19" t="s">
        <v>14</v>
      </c>
      <c r="K3327" s="22">
        <f t="shared" si="2"/>
        <v>1</v>
      </c>
    </row>
    <row r="3328">
      <c r="A3328" s="18">
        <v>3849.0</v>
      </c>
      <c r="B3328" s="18" t="s">
        <v>32</v>
      </c>
      <c r="C3328" s="18">
        <v>121.0</v>
      </c>
      <c r="D3328" s="18" t="s">
        <v>33</v>
      </c>
      <c r="E3328" s="27">
        <v>42564.90054398148</v>
      </c>
      <c r="F3328" s="19">
        <f>IFERROR(__xludf.DUMMYFUNCTION("IFERROR(TO_DATE(E3328), """")"),42564.90054398148)</f>
        <v>42564.90054</v>
      </c>
      <c r="G3328" s="20">
        <f t="shared" si="1"/>
        <v>21</v>
      </c>
      <c r="H3328" s="18" t="s">
        <v>34</v>
      </c>
      <c r="I3328" s="19" t="str">
        <f>IFERROR(__xludf.DUMMYFUNCTION("IFERROR(TO_DATE(H3328), """")"),"NA")</f>
        <v>NA</v>
      </c>
      <c r="J3328" s="19" t="s">
        <v>13</v>
      </c>
      <c r="K3328" s="22">
        <f t="shared" si="2"/>
        <v>1</v>
      </c>
    </row>
    <row r="3329">
      <c r="A3329" s="18">
        <v>5763.0</v>
      </c>
      <c r="B3329" s="18" t="s">
        <v>32</v>
      </c>
      <c r="C3329" s="18">
        <v>121.0</v>
      </c>
      <c r="D3329" s="18" t="s">
        <v>33</v>
      </c>
      <c r="E3329" s="27">
        <v>42566.347604166665</v>
      </c>
      <c r="F3329" s="19">
        <f>IFERROR(__xludf.DUMMYFUNCTION("IFERROR(TO_DATE(E3329), """")"),42566.347604166665)</f>
        <v>42566.3476</v>
      </c>
      <c r="G3329" s="20">
        <f t="shared" si="1"/>
        <v>8</v>
      </c>
      <c r="H3329" s="18" t="s">
        <v>34</v>
      </c>
      <c r="I3329" s="19" t="str">
        <f>IFERROR(__xludf.DUMMYFUNCTION("IFERROR(TO_DATE(H3329), """")"),"NA")</f>
        <v>NA</v>
      </c>
      <c r="J3329" s="19" t="s">
        <v>14</v>
      </c>
      <c r="K3329" s="22">
        <f t="shared" si="2"/>
        <v>1</v>
      </c>
    </row>
    <row r="3330">
      <c r="A3330" s="18">
        <v>5815.0</v>
      </c>
      <c r="B3330" s="18" t="s">
        <v>32</v>
      </c>
      <c r="C3330" s="18">
        <v>121.0</v>
      </c>
      <c r="D3330" s="18" t="s">
        <v>33</v>
      </c>
      <c r="E3330" s="27">
        <v>42566.36613425926</v>
      </c>
      <c r="F3330" s="19">
        <f>IFERROR(__xludf.DUMMYFUNCTION("IFERROR(TO_DATE(E3330), """")"),42566.36613425926)</f>
        <v>42566.36613</v>
      </c>
      <c r="G3330" s="20">
        <f t="shared" si="1"/>
        <v>8</v>
      </c>
      <c r="H3330" s="18" t="s">
        <v>34</v>
      </c>
      <c r="I3330" s="19" t="str">
        <f>IFERROR(__xludf.DUMMYFUNCTION("IFERROR(TO_DATE(H3330), """")"),"NA")</f>
        <v>NA</v>
      </c>
      <c r="J3330" s="19" t="s">
        <v>14</v>
      </c>
      <c r="K3330" s="22">
        <f t="shared" si="2"/>
        <v>1</v>
      </c>
    </row>
    <row r="3331">
      <c r="A3331" s="18">
        <v>5826.0</v>
      </c>
      <c r="B3331" s="18" t="s">
        <v>32</v>
      </c>
      <c r="C3331" s="18">
        <v>121.0</v>
      </c>
      <c r="D3331" s="18" t="s">
        <v>33</v>
      </c>
      <c r="E3331" s="27">
        <v>42566.36865740741</v>
      </c>
      <c r="F3331" s="19">
        <f>IFERROR(__xludf.DUMMYFUNCTION("IFERROR(TO_DATE(E3331), """")"),42566.36865740741)</f>
        <v>42566.36866</v>
      </c>
      <c r="G3331" s="20">
        <f t="shared" si="1"/>
        <v>8</v>
      </c>
      <c r="H3331" s="18" t="s">
        <v>34</v>
      </c>
      <c r="I3331" s="19" t="str">
        <f>IFERROR(__xludf.DUMMYFUNCTION("IFERROR(TO_DATE(H3331), """")"),"NA")</f>
        <v>NA</v>
      </c>
      <c r="J3331" s="19" t="s">
        <v>14</v>
      </c>
      <c r="K3331" s="22">
        <f t="shared" si="2"/>
        <v>1</v>
      </c>
    </row>
    <row r="3332">
      <c r="A3332" s="18">
        <v>3782.0</v>
      </c>
      <c r="B3332" s="18" t="s">
        <v>32</v>
      </c>
      <c r="C3332" s="18">
        <v>122.0</v>
      </c>
      <c r="D3332" s="18" t="s">
        <v>33</v>
      </c>
      <c r="E3332" s="27">
        <v>42564.86515046296</v>
      </c>
      <c r="F3332" s="19">
        <f>IFERROR(__xludf.DUMMYFUNCTION("IFERROR(TO_DATE(E3332), """")"),42564.86515046296)</f>
        <v>42564.86515</v>
      </c>
      <c r="G3332" s="20">
        <f t="shared" si="1"/>
        <v>20</v>
      </c>
      <c r="H3332" s="18" t="s">
        <v>34</v>
      </c>
      <c r="I3332" s="19" t="str">
        <f>IFERROR(__xludf.DUMMYFUNCTION("IFERROR(TO_DATE(H3332), """")"),"NA")</f>
        <v>NA</v>
      </c>
      <c r="J3332" s="19" t="s">
        <v>13</v>
      </c>
      <c r="K3332" s="22">
        <f t="shared" si="2"/>
        <v>1</v>
      </c>
    </row>
    <row r="3333">
      <c r="A3333" s="18">
        <v>4630.0</v>
      </c>
      <c r="B3333" s="18" t="s">
        <v>32</v>
      </c>
      <c r="C3333" s="18">
        <v>122.0</v>
      </c>
      <c r="D3333" s="18" t="s">
        <v>33</v>
      </c>
      <c r="E3333" s="27">
        <v>42565.47037037037</v>
      </c>
      <c r="F3333" s="19">
        <f>IFERROR(__xludf.DUMMYFUNCTION("IFERROR(TO_DATE(E3333), """")"),42565.47037037037)</f>
        <v>42565.47037</v>
      </c>
      <c r="G3333" s="20">
        <f t="shared" si="1"/>
        <v>11</v>
      </c>
      <c r="H3333" s="18" t="s">
        <v>34</v>
      </c>
      <c r="I3333" s="19" t="str">
        <f>IFERROR(__xludf.DUMMYFUNCTION("IFERROR(TO_DATE(H3333), """")"),"NA")</f>
        <v>NA</v>
      </c>
      <c r="J3333" s="19" t="s">
        <v>14</v>
      </c>
      <c r="K3333" s="22">
        <f t="shared" si="2"/>
        <v>1</v>
      </c>
    </row>
    <row r="3334">
      <c r="A3334" s="18">
        <v>437.0</v>
      </c>
      <c r="B3334" s="18" t="s">
        <v>32</v>
      </c>
      <c r="C3334" s="18">
        <v>123.0</v>
      </c>
      <c r="D3334" s="18" t="s">
        <v>33</v>
      </c>
      <c r="E3334" s="26">
        <v>42562.37430555555</v>
      </c>
      <c r="F3334" s="19">
        <f>IFERROR(__xludf.DUMMYFUNCTION("IFERROR(TO_DATE(E3334), """")"),42562.37430555555)</f>
        <v>42562.37431</v>
      </c>
      <c r="G3334" s="20">
        <f t="shared" si="1"/>
        <v>8</v>
      </c>
      <c r="H3334" s="18" t="s">
        <v>34</v>
      </c>
      <c r="I3334" s="19" t="str">
        <f>IFERROR(__xludf.DUMMYFUNCTION("IFERROR(TO_DATE(H3334), """")"),"NA")</f>
        <v>NA</v>
      </c>
      <c r="J3334" s="19" t="s">
        <v>14</v>
      </c>
      <c r="K3334" s="22">
        <f t="shared" si="2"/>
        <v>1</v>
      </c>
    </row>
    <row r="3335">
      <c r="A3335" s="18">
        <v>122.0</v>
      </c>
      <c r="B3335" s="18" t="s">
        <v>32</v>
      </c>
      <c r="C3335" s="18">
        <v>124.0</v>
      </c>
      <c r="D3335" s="18" t="s">
        <v>33</v>
      </c>
      <c r="E3335" s="26">
        <v>42562.21805555555</v>
      </c>
      <c r="F3335" s="19">
        <f>IFERROR(__xludf.DUMMYFUNCTION("IFERROR(TO_DATE(E3335), """")"),42562.21805555555)</f>
        <v>42562.21806</v>
      </c>
      <c r="G3335" s="20">
        <f t="shared" si="1"/>
        <v>5</v>
      </c>
      <c r="H3335" s="18" t="s">
        <v>34</v>
      </c>
      <c r="I3335" s="19" t="str">
        <f>IFERROR(__xludf.DUMMYFUNCTION("IFERROR(TO_DATE(H3335), """")"),"NA")</f>
        <v>NA</v>
      </c>
      <c r="J3335" s="19" t="s">
        <v>11</v>
      </c>
      <c r="K3335" s="22">
        <f t="shared" si="2"/>
        <v>1</v>
      </c>
    </row>
    <row r="3336">
      <c r="A3336" s="18">
        <v>4487.0</v>
      </c>
      <c r="B3336" s="18" t="s">
        <v>32</v>
      </c>
      <c r="C3336" s="18">
        <v>124.0</v>
      </c>
      <c r="D3336" s="18" t="s">
        <v>33</v>
      </c>
      <c r="E3336" s="27">
        <v>42565.37082175926</v>
      </c>
      <c r="F3336" s="19">
        <f>IFERROR(__xludf.DUMMYFUNCTION("IFERROR(TO_DATE(E3336), """")"),42565.37082175926)</f>
        <v>42565.37082</v>
      </c>
      <c r="G3336" s="20">
        <f t="shared" si="1"/>
        <v>8</v>
      </c>
      <c r="H3336" s="18" t="s">
        <v>34</v>
      </c>
      <c r="I3336" s="19" t="str">
        <f>IFERROR(__xludf.DUMMYFUNCTION("IFERROR(TO_DATE(H3336), """")"),"NA")</f>
        <v>NA</v>
      </c>
      <c r="J3336" s="19" t="s">
        <v>14</v>
      </c>
      <c r="K3336" s="22">
        <f t="shared" si="2"/>
        <v>1</v>
      </c>
    </row>
    <row r="3337">
      <c r="A3337" s="18">
        <v>5551.0</v>
      </c>
      <c r="B3337" s="18" t="s">
        <v>32</v>
      </c>
      <c r="C3337" s="18">
        <v>124.0</v>
      </c>
      <c r="D3337" s="18" t="s">
        <v>33</v>
      </c>
      <c r="E3337" s="27">
        <v>42566.229363425926</v>
      </c>
      <c r="F3337" s="19">
        <f>IFERROR(__xludf.DUMMYFUNCTION("IFERROR(TO_DATE(E3337), """")"),42566.229363425926)</f>
        <v>42566.22936</v>
      </c>
      <c r="G3337" s="20">
        <f t="shared" si="1"/>
        <v>5</v>
      </c>
      <c r="H3337" s="18" t="s">
        <v>34</v>
      </c>
      <c r="I3337" s="19" t="str">
        <f>IFERROR(__xludf.DUMMYFUNCTION("IFERROR(TO_DATE(H3337), """")"),"NA")</f>
        <v>NA</v>
      </c>
      <c r="J3337" s="19" t="s">
        <v>11</v>
      </c>
      <c r="K3337" s="22">
        <f t="shared" si="2"/>
        <v>1</v>
      </c>
    </row>
    <row r="3338">
      <c r="A3338" s="18">
        <v>2927.0</v>
      </c>
      <c r="B3338" s="18" t="s">
        <v>32</v>
      </c>
      <c r="C3338" s="18">
        <v>125.0</v>
      </c>
      <c r="D3338" s="18" t="s">
        <v>33</v>
      </c>
      <c r="E3338" s="27">
        <v>42564.26378472222</v>
      </c>
      <c r="F3338" s="19">
        <f>IFERROR(__xludf.DUMMYFUNCTION("IFERROR(TO_DATE(E3338), """")"),42564.26378472222)</f>
        <v>42564.26378</v>
      </c>
      <c r="G3338" s="20">
        <f t="shared" si="1"/>
        <v>6</v>
      </c>
      <c r="H3338" s="18" t="s">
        <v>34</v>
      </c>
      <c r="I3338" s="19" t="str">
        <f>IFERROR(__xludf.DUMMYFUNCTION("IFERROR(TO_DATE(H3338), """")"),"NA")</f>
        <v>NA</v>
      </c>
      <c r="J3338" s="19" t="s">
        <v>11</v>
      </c>
      <c r="K3338" s="22">
        <f t="shared" si="2"/>
        <v>1</v>
      </c>
    </row>
    <row r="3339">
      <c r="A3339" s="18">
        <v>3176.0</v>
      </c>
      <c r="B3339" s="18" t="s">
        <v>32</v>
      </c>
      <c r="C3339" s="18">
        <v>125.0</v>
      </c>
      <c r="D3339" s="18" t="s">
        <v>33</v>
      </c>
      <c r="E3339" s="27">
        <v>42564.38212962963</v>
      </c>
      <c r="F3339" s="19">
        <f>IFERROR(__xludf.DUMMYFUNCTION("IFERROR(TO_DATE(E3339), """")"),42564.38212962963)</f>
        <v>42564.38213</v>
      </c>
      <c r="G3339" s="20">
        <f t="shared" si="1"/>
        <v>9</v>
      </c>
      <c r="H3339" s="18" t="s">
        <v>34</v>
      </c>
      <c r="I3339" s="19" t="str">
        <f>IFERROR(__xludf.DUMMYFUNCTION("IFERROR(TO_DATE(H3339), """")"),"NA")</f>
        <v>NA</v>
      </c>
      <c r="J3339" s="19" t="s">
        <v>14</v>
      </c>
      <c r="K3339" s="22">
        <f t="shared" si="2"/>
        <v>1</v>
      </c>
    </row>
    <row r="3340">
      <c r="A3340" s="18">
        <v>3253.0</v>
      </c>
      <c r="B3340" s="18" t="s">
        <v>32</v>
      </c>
      <c r="C3340" s="18">
        <v>125.0</v>
      </c>
      <c r="D3340" s="18" t="s">
        <v>33</v>
      </c>
      <c r="E3340" s="27">
        <v>42564.430231481485</v>
      </c>
      <c r="F3340" s="19">
        <f>IFERROR(__xludf.DUMMYFUNCTION("IFERROR(TO_DATE(E3340), """")"),42564.430231481485)</f>
        <v>42564.43023</v>
      </c>
      <c r="G3340" s="20">
        <f t="shared" si="1"/>
        <v>10</v>
      </c>
      <c r="H3340" s="18" t="s">
        <v>34</v>
      </c>
      <c r="I3340" s="19" t="str">
        <f>IFERROR(__xludf.DUMMYFUNCTION("IFERROR(TO_DATE(H3340), """")"),"NA")</f>
        <v>NA</v>
      </c>
      <c r="J3340" s="19" t="s">
        <v>14</v>
      </c>
      <c r="K3340" s="22">
        <f t="shared" si="2"/>
        <v>1</v>
      </c>
    </row>
    <row r="3341">
      <c r="A3341" s="18">
        <v>6759.0</v>
      </c>
      <c r="B3341" s="18" t="s">
        <v>32</v>
      </c>
      <c r="C3341" s="18">
        <v>125.0</v>
      </c>
      <c r="D3341" s="18" t="s">
        <v>33</v>
      </c>
      <c r="E3341" s="27">
        <v>42566.99964120371</v>
      </c>
      <c r="F3341" s="19">
        <f>IFERROR(__xludf.DUMMYFUNCTION("IFERROR(TO_DATE(E3341), """")"),42566.99964120371)</f>
        <v>42566.99964</v>
      </c>
      <c r="G3341" s="20">
        <f t="shared" si="1"/>
        <v>23</v>
      </c>
      <c r="H3341" s="18" t="s">
        <v>34</v>
      </c>
      <c r="I3341" s="19" t="str">
        <f>IFERROR(__xludf.DUMMYFUNCTION("IFERROR(TO_DATE(H3341), """")"),"NA")</f>
        <v>NA</v>
      </c>
      <c r="J3341" s="19" t="s">
        <v>13</v>
      </c>
      <c r="K3341" s="22">
        <f t="shared" si="2"/>
        <v>1</v>
      </c>
    </row>
    <row r="3342">
      <c r="A3342" s="18">
        <v>848.0</v>
      </c>
      <c r="B3342" s="18" t="s">
        <v>30</v>
      </c>
      <c r="C3342" s="18">
        <v>126.0</v>
      </c>
      <c r="D3342" s="18" t="s">
        <v>33</v>
      </c>
      <c r="E3342" s="26">
        <v>42562.73888888889</v>
      </c>
      <c r="F3342" s="19">
        <f>IFERROR(__xludf.DUMMYFUNCTION("IFERROR(TO_DATE(E3342), """")"),42562.73888888889)</f>
        <v>42562.73889</v>
      </c>
      <c r="G3342" s="20">
        <f t="shared" si="1"/>
        <v>17</v>
      </c>
      <c r="H3342" s="18" t="s">
        <v>34</v>
      </c>
      <c r="I3342" s="19" t="str">
        <f>IFERROR(__xludf.DUMMYFUNCTION("IFERROR(TO_DATE(H3342), """")"),"NA")</f>
        <v>NA</v>
      </c>
      <c r="J3342" s="19" t="s">
        <v>12</v>
      </c>
      <c r="K3342" s="22">
        <f t="shared" si="2"/>
        <v>1</v>
      </c>
    </row>
    <row r="3343">
      <c r="A3343" s="18">
        <v>1674.0</v>
      </c>
      <c r="B3343" s="18" t="s">
        <v>32</v>
      </c>
      <c r="C3343" s="18">
        <v>126.0</v>
      </c>
      <c r="D3343" s="18" t="s">
        <v>33</v>
      </c>
      <c r="E3343" s="26">
        <v>42563.32430555556</v>
      </c>
      <c r="F3343" s="19">
        <f>IFERROR(__xludf.DUMMYFUNCTION("IFERROR(TO_DATE(E3343), """")"),42563.32430555556)</f>
        <v>42563.32431</v>
      </c>
      <c r="G3343" s="20">
        <f t="shared" si="1"/>
        <v>7</v>
      </c>
      <c r="H3343" s="18" t="s">
        <v>34</v>
      </c>
      <c r="I3343" s="19" t="str">
        <f>IFERROR(__xludf.DUMMYFUNCTION("IFERROR(TO_DATE(H3343), """")"),"NA")</f>
        <v>NA</v>
      </c>
      <c r="J3343" s="19" t="s">
        <v>11</v>
      </c>
      <c r="K3343" s="22">
        <f t="shared" si="2"/>
        <v>1</v>
      </c>
    </row>
    <row r="3344">
      <c r="A3344" s="18">
        <v>3159.0</v>
      </c>
      <c r="B3344" s="18" t="s">
        <v>32</v>
      </c>
      <c r="C3344" s="18">
        <v>126.0</v>
      </c>
      <c r="D3344" s="18" t="s">
        <v>33</v>
      </c>
      <c r="E3344" s="27">
        <v>42564.382893518516</v>
      </c>
      <c r="F3344" s="19">
        <f>IFERROR(__xludf.DUMMYFUNCTION("IFERROR(TO_DATE(E3344), """")"),42564.382893518516)</f>
        <v>42564.38289</v>
      </c>
      <c r="G3344" s="20">
        <f t="shared" si="1"/>
        <v>9</v>
      </c>
      <c r="H3344" s="18" t="s">
        <v>34</v>
      </c>
      <c r="I3344" s="19" t="str">
        <f>IFERROR(__xludf.DUMMYFUNCTION("IFERROR(TO_DATE(H3344), """")"),"NA")</f>
        <v>NA</v>
      </c>
      <c r="J3344" s="19" t="s">
        <v>14</v>
      </c>
      <c r="K3344" s="22">
        <f t="shared" si="2"/>
        <v>1</v>
      </c>
    </row>
    <row r="3345">
      <c r="A3345" s="18">
        <v>3208.0</v>
      </c>
      <c r="B3345" s="18" t="s">
        <v>32</v>
      </c>
      <c r="C3345" s="18">
        <v>126.0</v>
      </c>
      <c r="D3345" s="18" t="s">
        <v>33</v>
      </c>
      <c r="E3345" s="27">
        <v>42564.406493055554</v>
      </c>
      <c r="F3345" s="19">
        <f>IFERROR(__xludf.DUMMYFUNCTION("IFERROR(TO_DATE(E3345), """")"),42564.406493055554)</f>
        <v>42564.40649</v>
      </c>
      <c r="G3345" s="20">
        <f t="shared" si="1"/>
        <v>9</v>
      </c>
      <c r="H3345" s="18" t="s">
        <v>34</v>
      </c>
      <c r="I3345" s="19" t="str">
        <f>IFERROR(__xludf.DUMMYFUNCTION("IFERROR(TO_DATE(H3345), """")"),"NA")</f>
        <v>NA</v>
      </c>
      <c r="J3345" s="19" t="s">
        <v>14</v>
      </c>
      <c r="K3345" s="22">
        <f t="shared" si="2"/>
        <v>1</v>
      </c>
    </row>
    <row r="3346">
      <c r="A3346" s="18">
        <v>2803.0</v>
      </c>
      <c r="B3346" s="18" t="s">
        <v>32</v>
      </c>
      <c r="C3346" s="18">
        <v>127.0</v>
      </c>
      <c r="D3346" s="18" t="s">
        <v>33</v>
      </c>
      <c r="E3346" s="27">
        <v>42564.2071875</v>
      </c>
      <c r="F3346" s="19">
        <f>IFERROR(__xludf.DUMMYFUNCTION("IFERROR(TO_DATE(E3346), """")"),42564.2071875)</f>
        <v>42564.20719</v>
      </c>
      <c r="G3346" s="20">
        <f t="shared" si="1"/>
        <v>4</v>
      </c>
      <c r="H3346" s="18" t="s">
        <v>34</v>
      </c>
      <c r="I3346" s="19" t="str">
        <f>IFERROR(__xludf.DUMMYFUNCTION("IFERROR(TO_DATE(H3346), """")"),"NA")</f>
        <v>NA</v>
      </c>
      <c r="J3346" s="19" t="s">
        <v>11</v>
      </c>
      <c r="K3346" s="22">
        <f t="shared" si="2"/>
        <v>1</v>
      </c>
    </row>
    <row r="3347">
      <c r="A3347" s="18">
        <v>3232.0</v>
      </c>
      <c r="B3347" s="18" t="s">
        <v>30</v>
      </c>
      <c r="C3347" s="18">
        <v>127.0</v>
      </c>
      <c r="D3347" s="18" t="s">
        <v>33</v>
      </c>
      <c r="E3347" s="27">
        <v>42564.41820601852</v>
      </c>
      <c r="F3347" s="19">
        <f>IFERROR(__xludf.DUMMYFUNCTION("IFERROR(TO_DATE(E3347), """")"),42564.41820601852)</f>
        <v>42564.41821</v>
      </c>
      <c r="G3347" s="20">
        <f t="shared" si="1"/>
        <v>10</v>
      </c>
      <c r="H3347" s="18" t="s">
        <v>34</v>
      </c>
      <c r="I3347" s="19" t="str">
        <f>IFERROR(__xludf.DUMMYFUNCTION("IFERROR(TO_DATE(H3347), """")"),"NA")</f>
        <v>NA</v>
      </c>
      <c r="J3347" s="19" t="s">
        <v>14</v>
      </c>
      <c r="K3347" s="22">
        <f t="shared" si="2"/>
        <v>1</v>
      </c>
    </row>
    <row r="3348">
      <c r="A3348" s="18">
        <v>4271.0</v>
      </c>
      <c r="B3348" s="18" t="s">
        <v>32</v>
      </c>
      <c r="C3348" s="18">
        <v>127.0</v>
      </c>
      <c r="D3348" s="18" t="s">
        <v>33</v>
      </c>
      <c r="E3348" s="27">
        <v>42565.259571759256</v>
      </c>
      <c r="F3348" s="19">
        <f>IFERROR(__xludf.DUMMYFUNCTION("IFERROR(TO_DATE(E3348), """")"),42565.259571759256)</f>
        <v>42565.25957</v>
      </c>
      <c r="G3348" s="20">
        <f t="shared" si="1"/>
        <v>6</v>
      </c>
      <c r="H3348" s="18" t="s">
        <v>34</v>
      </c>
      <c r="I3348" s="19" t="str">
        <f>IFERROR(__xludf.DUMMYFUNCTION("IFERROR(TO_DATE(H3348), """")"),"NA")</f>
        <v>NA</v>
      </c>
      <c r="J3348" s="19" t="s">
        <v>11</v>
      </c>
      <c r="K3348" s="22">
        <f t="shared" si="2"/>
        <v>1</v>
      </c>
    </row>
    <row r="3349">
      <c r="A3349" s="18">
        <v>5591.0</v>
      </c>
      <c r="B3349" s="18" t="s">
        <v>32</v>
      </c>
      <c r="C3349" s="18">
        <v>127.0</v>
      </c>
      <c r="D3349" s="18" t="s">
        <v>33</v>
      </c>
      <c r="E3349" s="27">
        <v>42566.248819444445</v>
      </c>
      <c r="F3349" s="19">
        <f>IFERROR(__xludf.DUMMYFUNCTION("IFERROR(TO_DATE(E3349), """")"),42566.248819444445)</f>
        <v>42566.24882</v>
      </c>
      <c r="G3349" s="20">
        <f t="shared" si="1"/>
        <v>5</v>
      </c>
      <c r="H3349" s="18" t="s">
        <v>34</v>
      </c>
      <c r="I3349" s="19" t="str">
        <f>IFERROR(__xludf.DUMMYFUNCTION("IFERROR(TO_DATE(H3349), """")"),"NA")</f>
        <v>NA</v>
      </c>
      <c r="J3349" s="19" t="s">
        <v>11</v>
      </c>
      <c r="K3349" s="22">
        <f t="shared" si="2"/>
        <v>1</v>
      </c>
    </row>
    <row r="3350">
      <c r="A3350" s="18">
        <v>549.0</v>
      </c>
      <c r="B3350" s="18" t="s">
        <v>32</v>
      </c>
      <c r="C3350" s="18">
        <v>128.0</v>
      </c>
      <c r="D3350" s="18" t="s">
        <v>33</v>
      </c>
      <c r="E3350" s="26">
        <v>42562.419444444444</v>
      </c>
      <c r="F3350" s="19">
        <f>IFERROR(__xludf.DUMMYFUNCTION("IFERROR(TO_DATE(E3350), """")"),42562.419444444444)</f>
        <v>42562.41944</v>
      </c>
      <c r="G3350" s="20">
        <f t="shared" si="1"/>
        <v>10</v>
      </c>
      <c r="H3350" s="18" t="s">
        <v>34</v>
      </c>
      <c r="I3350" s="19" t="str">
        <f>IFERROR(__xludf.DUMMYFUNCTION("IFERROR(TO_DATE(H3350), """")"),"NA")</f>
        <v>NA</v>
      </c>
      <c r="J3350" s="19" t="s">
        <v>14</v>
      </c>
      <c r="K3350" s="22">
        <f t="shared" si="2"/>
        <v>1</v>
      </c>
    </row>
    <row r="3351">
      <c r="A3351" s="18">
        <v>1776.0</v>
      </c>
      <c r="B3351" s="18" t="s">
        <v>30</v>
      </c>
      <c r="C3351" s="18">
        <v>128.0</v>
      </c>
      <c r="D3351" s="18" t="s">
        <v>33</v>
      </c>
      <c r="E3351" s="26">
        <v>42563.376388888886</v>
      </c>
      <c r="F3351" s="19">
        <f>IFERROR(__xludf.DUMMYFUNCTION("IFERROR(TO_DATE(E3351), """")"),42563.376388888886)</f>
        <v>42563.37639</v>
      </c>
      <c r="G3351" s="20">
        <f t="shared" si="1"/>
        <v>9</v>
      </c>
      <c r="H3351" s="18" t="s">
        <v>34</v>
      </c>
      <c r="I3351" s="19" t="str">
        <f>IFERROR(__xludf.DUMMYFUNCTION("IFERROR(TO_DATE(H3351), """")"),"NA")</f>
        <v>NA</v>
      </c>
      <c r="J3351" s="19" t="s">
        <v>14</v>
      </c>
      <c r="K3351" s="22">
        <f t="shared" si="2"/>
        <v>1</v>
      </c>
    </row>
    <row r="3352">
      <c r="A3352" s="18">
        <v>2910.0</v>
      </c>
      <c r="B3352" s="18" t="s">
        <v>32</v>
      </c>
      <c r="C3352" s="18">
        <v>128.0</v>
      </c>
      <c r="D3352" s="18" t="s">
        <v>33</v>
      </c>
      <c r="E3352" s="27">
        <v>42564.258680555555</v>
      </c>
      <c r="F3352" s="19">
        <f>IFERROR(__xludf.DUMMYFUNCTION("IFERROR(TO_DATE(E3352), """")"),42564.258680555555)</f>
        <v>42564.25868</v>
      </c>
      <c r="G3352" s="20">
        <f t="shared" si="1"/>
        <v>6</v>
      </c>
      <c r="H3352" s="18" t="s">
        <v>34</v>
      </c>
      <c r="I3352" s="19" t="str">
        <f>IFERROR(__xludf.DUMMYFUNCTION("IFERROR(TO_DATE(H3352), """")"),"NA")</f>
        <v>NA</v>
      </c>
      <c r="J3352" s="19" t="s">
        <v>11</v>
      </c>
      <c r="K3352" s="22">
        <f t="shared" si="2"/>
        <v>1</v>
      </c>
    </row>
    <row r="3353">
      <c r="A3353" s="18">
        <v>492.0</v>
      </c>
      <c r="B3353" s="18" t="s">
        <v>32</v>
      </c>
      <c r="C3353" s="18">
        <v>129.0</v>
      </c>
      <c r="D3353" s="18" t="s">
        <v>33</v>
      </c>
      <c r="E3353" s="26">
        <v>42562.39722222222</v>
      </c>
      <c r="F3353" s="19">
        <f>IFERROR(__xludf.DUMMYFUNCTION("IFERROR(TO_DATE(E3353), """")"),42562.39722222222)</f>
        <v>42562.39722</v>
      </c>
      <c r="G3353" s="20">
        <f t="shared" si="1"/>
        <v>9</v>
      </c>
      <c r="H3353" s="18" t="s">
        <v>34</v>
      </c>
      <c r="I3353" s="19" t="str">
        <f>IFERROR(__xludf.DUMMYFUNCTION("IFERROR(TO_DATE(H3353), """")"),"NA")</f>
        <v>NA</v>
      </c>
      <c r="J3353" s="19" t="s">
        <v>14</v>
      </c>
      <c r="K3353" s="22">
        <f t="shared" si="2"/>
        <v>1</v>
      </c>
    </row>
    <row r="3354">
      <c r="A3354" s="18">
        <v>963.0</v>
      </c>
      <c r="B3354" s="18" t="s">
        <v>30</v>
      </c>
      <c r="C3354" s="18">
        <v>129.0</v>
      </c>
      <c r="D3354" s="18" t="s">
        <v>33</v>
      </c>
      <c r="E3354" s="26">
        <v>42562.78055555555</v>
      </c>
      <c r="F3354" s="19">
        <f>IFERROR(__xludf.DUMMYFUNCTION("IFERROR(TO_DATE(E3354), """")"),42562.78055555555)</f>
        <v>42562.78056</v>
      </c>
      <c r="G3354" s="20">
        <f t="shared" si="1"/>
        <v>18</v>
      </c>
      <c r="H3354" s="18" t="s">
        <v>34</v>
      </c>
      <c r="I3354" s="19" t="str">
        <f>IFERROR(__xludf.DUMMYFUNCTION("IFERROR(TO_DATE(H3354), """")"),"NA")</f>
        <v>NA</v>
      </c>
      <c r="J3354" s="19" t="s">
        <v>12</v>
      </c>
      <c r="K3354" s="22">
        <f t="shared" si="2"/>
        <v>1</v>
      </c>
    </row>
    <row r="3355">
      <c r="A3355" s="18">
        <v>1505.0</v>
      </c>
      <c r="B3355" s="18" t="s">
        <v>32</v>
      </c>
      <c r="C3355" s="18">
        <v>129.0</v>
      </c>
      <c r="D3355" s="18" t="s">
        <v>33</v>
      </c>
      <c r="E3355" s="26">
        <v>42563.23541666667</v>
      </c>
      <c r="F3355" s="19">
        <f>IFERROR(__xludf.DUMMYFUNCTION("IFERROR(TO_DATE(E3355), """")"),42563.23541666667)</f>
        <v>42563.23542</v>
      </c>
      <c r="G3355" s="20">
        <f t="shared" si="1"/>
        <v>5</v>
      </c>
      <c r="H3355" s="18" t="s">
        <v>34</v>
      </c>
      <c r="I3355" s="19" t="str">
        <f>IFERROR(__xludf.DUMMYFUNCTION("IFERROR(TO_DATE(H3355), """")"),"NA")</f>
        <v>NA</v>
      </c>
      <c r="J3355" s="19" t="s">
        <v>11</v>
      </c>
      <c r="K3355" s="22">
        <f t="shared" si="2"/>
        <v>1</v>
      </c>
    </row>
    <row r="3356">
      <c r="A3356" s="18">
        <v>2923.0</v>
      </c>
      <c r="B3356" s="18" t="s">
        <v>32</v>
      </c>
      <c r="C3356" s="18">
        <v>129.0</v>
      </c>
      <c r="D3356" s="18" t="s">
        <v>33</v>
      </c>
      <c r="E3356" s="27">
        <v>42564.266238425924</v>
      </c>
      <c r="F3356" s="19">
        <f>IFERROR(__xludf.DUMMYFUNCTION("IFERROR(TO_DATE(E3356), """")"),42564.266238425924)</f>
        <v>42564.26624</v>
      </c>
      <c r="G3356" s="20">
        <f t="shared" si="1"/>
        <v>6</v>
      </c>
      <c r="H3356" s="18" t="s">
        <v>34</v>
      </c>
      <c r="I3356" s="19" t="str">
        <f>IFERROR(__xludf.DUMMYFUNCTION("IFERROR(TO_DATE(H3356), """")"),"NA")</f>
        <v>NA</v>
      </c>
      <c r="J3356" s="19" t="s">
        <v>11</v>
      </c>
      <c r="K3356" s="22">
        <f t="shared" si="2"/>
        <v>1</v>
      </c>
    </row>
    <row r="3357">
      <c r="A3357" s="18">
        <v>4396.0</v>
      </c>
      <c r="B3357" s="18" t="s">
        <v>32</v>
      </c>
      <c r="C3357" s="18">
        <v>129.0</v>
      </c>
      <c r="D3357" s="18" t="s">
        <v>33</v>
      </c>
      <c r="E3357" s="27">
        <v>42565.33053240741</v>
      </c>
      <c r="F3357" s="19">
        <f>IFERROR(__xludf.DUMMYFUNCTION("IFERROR(TO_DATE(E3357), """")"),42565.33053240741)</f>
        <v>42565.33053</v>
      </c>
      <c r="G3357" s="20">
        <f t="shared" si="1"/>
        <v>7</v>
      </c>
      <c r="H3357" s="18" t="s">
        <v>34</v>
      </c>
      <c r="I3357" s="19" t="str">
        <f>IFERROR(__xludf.DUMMYFUNCTION("IFERROR(TO_DATE(H3357), """")"),"NA")</f>
        <v>NA</v>
      </c>
      <c r="J3357" s="19" t="s">
        <v>11</v>
      </c>
      <c r="K3357" s="22">
        <f t="shared" si="2"/>
        <v>1</v>
      </c>
    </row>
    <row r="3358">
      <c r="A3358" s="18">
        <v>5639.0</v>
      </c>
      <c r="B3358" s="18" t="s">
        <v>32</v>
      </c>
      <c r="C3358" s="18">
        <v>129.0</v>
      </c>
      <c r="D3358" s="18" t="s">
        <v>33</v>
      </c>
      <c r="E3358" s="27">
        <v>42566.280590277776</v>
      </c>
      <c r="F3358" s="19">
        <f>IFERROR(__xludf.DUMMYFUNCTION("IFERROR(TO_DATE(E3358), """")"),42566.280590277776)</f>
        <v>42566.28059</v>
      </c>
      <c r="G3358" s="20">
        <f t="shared" si="1"/>
        <v>6</v>
      </c>
      <c r="H3358" s="18" t="s">
        <v>34</v>
      </c>
      <c r="I3358" s="19" t="str">
        <f>IFERROR(__xludf.DUMMYFUNCTION("IFERROR(TO_DATE(H3358), """")"),"NA")</f>
        <v>NA</v>
      </c>
      <c r="J3358" s="19" t="s">
        <v>11</v>
      </c>
      <c r="K3358" s="22">
        <f t="shared" si="2"/>
        <v>1</v>
      </c>
    </row>
    <row r="3359">
      <c r="A3359" s="18">
        <v>6348.0</v>
      </c>
      <c r="B3359" s="18" t="s">
        <v>30</v>
      </c>
      <c r="C3359" s="18">
        <v>129.0</v>
      </c>
      <c r="D3359" s="18" t="s">
        <v>33</v>
      </c>
      <c r="E3359" s="27">
        <v>42566.785405092596</v>
      </c>
      <c r="F3359" s="19">
        <f>IFERROR(__xludf.DUMMYFUNCTION("IFERROR(TO_DATE(E3359), """")"),42566.785405092596)</f>
        <v>42566.78541</v>
      </c>
      <c r="G3359" s="20">
        <f t="shared" si="1"/>
        <v>18</v>
      </c>
      <c r="H3359" s="18" t="s">
        <v>34</v>
      </c>
      <c r="I3359" s="19" t="str">
        <f>IFERROR(__xludf.DUMMYFUNCTION("IFERROR(TO_DATE(H3359), """")"),"NA")</f>
        <v>NA</v>
      </c>
      <c r="J3359" s="19" t="s">
        <v>12</v>
      </c>
      <c r="K3359" s="22">
        <f t="shared" si="2"/>
        <v>1</v>
      </c>
    </row>
    <row r="3360">
      <c r="A3360" s="18">
        <v>253.0</v>
      </c>
      <c r="B3360" s="18" t="s">
        <v>32</v>
      </c>
      <c r="C3360" s="18">
        <v>130.0</v>
      </c>
      <c r="D3360" s="18" t="s">
        <v>33</v>
      </c>
      <c r="E3360" s="26">
        <v>42562.279861111114</v>
      </c>
      <c r="F3360" s="19">
        <f>IFERROR(__xludf.DUMMYFUNCTION("IFERROR(TO_DATE(E3360), """")"),42562.279861111114)</f>
        <v>42562.27986</v>
      </c>
      <c r="G3360" s="20">
        <f t="shared" si="1"/>
        <v>6</v>
      </c>
      <c r="H3360" s="18" t="s">
        <v>34</v>
      </c>
      <c r="I3360" s="19" t="str">
        <f>IFERROR(__xludf.DUMMYFUNCTION("IFERROR(TO_DATE(H3360), """")"),"NA")</f>
        <v>NA</v>
      </c>
      <c r="J3360" s="19" t="s">
        <v>11</v>
      </c>
      <c r="K3360" s="22">
        <f t="shared" si="2"/>
        <v>1</v>
      </c>
    </row>
    <row r="3361">
      <c r="A3361" s="18">
        <v>379.0</v>
      </c>
      <c r="B3361" s="18" t="s">
        <v>32</v>
      </c>
      <c r="C3361" s="18">
        <v>130.0</v>
      </c>
      <c r="D3361" s="18" t="s">
        <v>33</v>
      </c>
      <c r="E3361" s="26">
        <v>42562.34583333333</v>
      </c>
      <c r="F3361" s="19">
        <f>IFERROR(__xludf.DUMMYFUNCTION("IFERROR(TO_DATE(E3361), """")"),42562.34583333333)</f>
        <v>42562.34583</v>
      </c>
      <c r="G3361" s="20">
        <f t="shared" si="1"/>
        <v>8</v>
      </c>
      <c r="H3361" s="18" t="s">
        <v>34</v>
      </c>
      <c r="I3361" s="19" t="str">
        <f>IFERROR(__xludf.DUMMYFUNCTION("IFERROR(TO_DATE(H3361), """")"),"NA")</f>
        <v>NA</v>
      </c>
      <c r="J3361" s="19" t="s">
        <v>14</v>
      </c>
      <c r="K3361" s="22">
        <f t="shared" si="2"/>
        <v>1</v>
      </c>
    </row>
    <row r="3362">
      <c r="A3362" s="18">
        <v>463.0</v>
      </c>
      <c r="B3362" s="18" t="s">
        <v>32</v>
      </c>
      <c r="C3362" s="18">
        <v>130.0</v>
      </c>
      <c r="D3362" s="18" t="s">
        <v>33</v>
      </c>
      <c r="E3362" s="26">
        <v>42562.38333333333</v>
      </c>
      <c r="F3362" s="19">
        <f>IFERROR(__xludf.DUMMYFUNCTION("IFERROR(TO_DATE(E3362), """")"),42562.38333333333)</f>
        <v>42562.38333</v>
      </c>
      <c r="G3362" s="20">
        <f t="shared" si="1"/>
        <v>9</v>
      </c>
      <c r="H3362" s="18" t="s">
        <v>34</v>
      </c>
      <c r="I3362" s="19" t="str">
        <f>IFERROR(__xludf.DUMMYFUNCTION("IFERROR(TO_DATE(H3362), """")"),"NA")</f>
        <v>NA</v>
      </c>
      <c r="J3362" s="19" t="s">
        <v>14</v>
      </c>
      <c r="K3362" s="22">
        <f t="shared" si="2"/>
        <v>1</v>
      </c>
    </row>
    <row r="3363">
      <c r="A3363" s="18">
        <v>1848.0</v>
      </c>
      <c r="B3363" s="18" t="s">
        <v>32</v>
      </c>
      <c r="C3363" s="18">
        <v>130.0</v>
      </c>
      <c r="D3363" s="18" t="s">
        <v>33</v>
      </c>
      <c r="E3363" s="26">
        <v>42563.40347222222</v>
      </c>
      <c r="F3363" s="19">
        <f>IFERROR(__xludf.DUMMYFUNCTION("IFERROR(TO_DATE(E3363), """")"),42563.40347222222)</f>
        <v>42563.40347</v>
      </c>
      <c r="G3363" s="20">
        <f t="shared" si="1"/>
        <v>9</v>
      </c>
      <c r="H3363" s="18" t="s">
        <v>34</v>
      </c>
      <c r="I3363" s="19" t="str">
        <f>IFERROR(__xludf.DUMMYFUNCTION("IFERROR(TO_DATE(H3363), """")"),"NA")</f>
        <v>NA</v>
      </c>
      <c r="J3363" s="19" t="s">
        <v>14</v>
      </c>
      <c r="K3363" s="22">
        <f t="shared" si="2"/>
        <v>1</v>
      </c>
    </row>
    <row r="3364">
      <c r="A3364" s="18">
        <v>2897.0</v>
      </c>
      <c r="B3364" s="18" t="s">
        <v>32</v>
      </c>
      <c r="C3364" s="18">
        <v>130.0</v>
      </c>
      <c r="D3364" s="18" t="s">
        <v>33</v>
      </c>
      <c r="E3364" s="27">
        <v>42564.25032407408</v>
      </c>
      <c r="F3364" s="19">
        <f>IFERROR(__xludf.DUMMYFUNCTION("IFERROR(TO_DATE(E3364), """")"),42564.25032407408)</f>
        <v>42564.25032</v>
      </c>
      <c r="G3364" s="20">
        <f t="shared" si="1"/>
        <v>6</v>
      </c>
      <c r="H3364" s="18" t="s">
        <v>34</v>
      </c>
      <c r="I3364" s="19" t="str">
        <f>IFERROR(__xludf.DUMMYFUNCTION("IFERROR(TO_DATE(H3364), """")"),"NA")</f>
        <v>NA</v>
      </c>
      <c r="J3364" s="19" t="s">
        <v>11</v>
      </c>
      <c r="K3364" s="22">
        <f t="shared" si="2"/>
        <v>1</v>
      </c>
    </row>
    <row r="3365">
      <c r="A3365" s="18">
        <v>6398.0</v>
      </c>
      <c r="B3365" s="18" t="s">
        <v>30</v>
      </c>
      <c r="C3365" s="18">
        <v>130.0</v>
      </c>
      <c r="D3365" s="18" t="s">
        <v>33</v>
      </c>
      <c r="E3365" s="27">
        <v>42566.808229166665</v>
      </c>
      <c r="F3365" s="19">
        <f>IFERROR(__xludf.DUMMYFUNCTION("IFERROR(TO_DATE(E3365), """")"),42566.808229166665)</f>
        <v>42566.80823</v>
      </c>
      <c r="G3365" s="20">
        <f t="shared" si="1"/>
        <v>19</v>
      </c>
      <c r="H3365" s="18" t="s">
        <v>34</v>
      </c>
      <c r="I3365" s="19" t="str">
        <f>IFERROR(__xludf.DUMMYFUNCTION("IFERROR(TO_DATE(H3365), """")"),"NA")</f>
        <v>NA</v>
      </c>
      <c r="J3365" s="19" t="s">
        <v>12</v>
      </c>
      <c r="K3365" s="22">
        <f t="shared" si="2"/>
        <v>1</v>
      </c>
    </row>
    <row r="3366">
      <c r="A3366" s="18">
        <v>229.0</v>
      </c>
      <c r="B3366" s="18" t="s">
        <v>32</v>
      </c>
      <c r="C3366" s="18">
        <v>131.0</v>
      </c>
      <c r="D3366" s="18" t="s">
        <v>33</v>
      </c>
      <c r="E3366" s="26">
        <v>42562.26597222222</v>
      </c>
      <c r="F3366" s="19">
        <f>IFERROR(__xludf.DUMMYFUNCTION("IFERROR(TO_DATE(E3366), """")"),42562.26597222222)</f>
        <v>42562.26597</v>
      </c>
      <c r="G3366" s="20">
        <f t="shared" si="1"/>
        <v>6</v>
      </c>
      <c r="H3366" s="18" t="s">
        <v>34</v>
      </c>
      <c r="I3366" s="19" t="str">
        <f>IFERROR(__xludf.DUMMYFUNCTION("IFERROR(TO_DATE(H3366), """")"),"NA")</f>
        <v>NA</v>
      </c>
      <c r="J3366" s="19" t="s">
        <v>11</v>
      </c>
      <c r="K3366" s="22">
        <f t="shared" si="2"/>
        <v>1</v>
      </c>
    </row>
    <row r="3367">
      <c r="A3367" s="18">
        <v>1683.0</v>
      </c>
      <c r="B3367" s="18" t="s">
        <v>32</v>
      </c>
      <c r="C3367" s="18">
        <v>131.0</v>
      </c>
      <c r="D3367" s="18" t="s">
        <v>33</v>
      </c>
      <c r="E3367" s="26">
        <v>42563.33125</v>
      </c>
      <c r="F3367" s="19">
        <f>IFERROR(__xludf.DUMMYFUNCTION("IFERROR(TO_DATE(E3367), """")"),42563.33125)</f>
        <v>42563.33125</v>
      </c>
      <c r="G3367" s="20">
        <f t="shared" si="1"/>
        <v>7</v>
      </c>
      <c r="H3367" s="18" t="s">
        <v>34</v>
      </c>
      <c r="I3367" s="19" t="str">
        <f>IFERROR(__xludf.DUMMYFUNCTION("IFERROR(TO_DATE(H3367), """")"),"NA")</f>
        <v>NA</v>
      </c>
      <c r="J3367" s="19" t="s">
        <v>11</v>
      </c>
      <c r="K3367" s="22">
        <f t="shared" si="2"/>
        <v>1</v>
      </c>
    </row>
    <row r="3368">
      <c r="A3368" s="18">
        <v>1728.0</v>
      </c>
      <c r="B3368" s="18" t="s">
        <v>32</v>
      </c>
      <c r="C3368" s="18">
        <v>131.0</v>
      </c>
      <c r="D3368" s="18" t="s">
        <v>33</v>
      </c>
      <c r="E3368" s="26">
        <v>42563.34722222222</v>
      </c>
      <c r="F3368" s="19">
        <f>IFERROR(__xludf.DUMMYFUNCTION("IFERROR(TO_DATE(E3368), """")"),42563.34722222222)</f>
        <v>42563.34722</v>
      </c>
      <c r="G3368" s="20">
        <f t="shared" si="1"/>
        <v>8</v>
      </c>
      <c r="H3368" s="18" t="s">
        <v>34</v>
      </c>
      <c r="I3368" s="19" t="str">
        <f>IFERROR(__xludf.DUMMYFUNCTION("IFERROR(TO_DATE(H3368), """")"),"NA")</f>
        <v>NA</v>
      </c>
      <c r="J3368" s="19" t="s">
        <v>14</v>
      </c>
      <c r="K3368" s="22">
        <f t="shared" si="2"/>
        <v>1</v>
      </c>
    </row>
    <row r="3369">
      <c r="A3369" s="18">
        <v>1777.0</v>
      </c>
      <c r="B3369" s="18" t="s">
        <v>32</v>
      </c>
      <c r="C3369" s="18">
        <v>131.0</v>
      </c>
      <c r="D3369" s="18" t="s">
        <v>33</v>
      </c>
      <c r="E3369" s="26">
        <v>42563.373611111114</v>
      </c>
      <c r="F3369" s="19">
        <f>IFERROR(__xludf.DUMMYFUNCTION("IFERROR(TO_DATE(E3369), """")"),42563.373611111114)</f>
        <v>42563.37361</v>
      </c>
      <c r="G3369" s="20">
        <f t="shared" si="1"/>
        <v>8</v>
      </c>
      <c r="H3369" s="18" t="s">
        <v>34</v>
      </c>
      <c r="I3369" s="19" t="str">
        <f>IFERROR(__xludf.DUMMYFUNCTION("IFERROR(TO_DATE(H3369), """")"),"NA")</f>
        <v>NA</v>
      </c>
      <c r="J3369" s="19" t="s">
        <v>14</v>
      </c>
      <c r="K3369" s="22">
        <f t="shared" si="2"/>
        <v>1</v>
      </c>
    </row>
    <row r="3370">
      <c r="A3370" s="18">
        <v>1868.0</v>
      </c>
      <c r="B3370" s="18" t="s">
        <v>32</v>
      </c>
      <c r="C3370" s="18">
        <v>131.0</v>
      </c>
      <c r="D3370" s="18" t="s">
        <v>33</v>
      </c>
      <c r="E3370" s="26">
        <v>42563.415972222225</v>
      </c>
      <c r="F3370" s="19">
        <f>IFERROR(__xludf.DUMMYFUNCTION("IFERROR(TO_DATE(E3370), """")"),42563.415972222225)</f>
        <v>42563.41597</v>
      </c>
      <c r="G3370" s="20">
        <f t="shared" si="1"/>
        <v>9</v>
      </c>
      <c r="H3370" s="18" t="s">
        <v>34</v>
      </c>
      <c r="I3370" s="19" t="str">
        <f>IFERROR(__xludf.DUMMYFUNCTION("IFERROR(TO_DATE(H3370), """")"),"NA")</f>
        <v>NA</v>
      </c>
      <c r="J3370" s="19" t="s">
        <v>14</v>
      </c>
      <c r="K3370" s="22">
        <f t="shared" si="2"/>
        <v>1</v>
      </c>
    </row>
    <row r="3371">
      <c r="A3371" s="18">
        <v>2801.0</v>
      </c>
      <c r="B3371" s="18" t="s">
        <v>32</v>
      </c>
      <c r="C3371" s="18">
        <v>131.0</v>
      </c>
      <c r="D3371" s="18" t="s">
        <v>33</v>
      </c>
      <c r="E3371" s="27">
        <v>42564.20628472222</v>
      </c>
      <c r="F3371" s="19">
        <f>IFERROR(__xludf.DUMMYFUNCTION("IFERROR(TO_DATE(E3371), """")"),42564.20628472222)</f>
        <v>42564.20628</v>
      </c>
      <c r="G3371" s="20">
        <f t="shared" si="1"/>
        <v>4</v>
      </c>
      <c r="H3371" s="18" t="s">
        <v>34</v>
      </c>
      <c r="I3371" s="19" t="str">
        <f>IFERROR(__xludf.DUMMYFUNCTION("IFERROR(TO_DATE(H3371), """")"),"NA")</f>
        <v>NA</v>
      </c>
      <c r="J3371" s="19" t="s">
        <v>11</v>
      </c>
      <c r="K3371" s="22">
        <f t="shared" si="2"/>
        <v>1</v>
      </c>
    </row>
    <row r="3372">
      <c r="A3372" s="18">
        <v>2920.0</v>
      </c>
      <c r="B3372" s="18" t="s">
        <v>32</v>
      </c>
      <c r="C3372" s="18">
        <v>131.0</v>
      </c>
      <c r="D3372" s="18" t="s">
        <v>33</v>
      </c>
      <c r="E3372" s="27">
        <v>42564.26552083333</v>
      </c>
      <c r="F3372" s="19">
        <f>IFERROR(__xludf.DUMMYFUNCTION("IFERROR(TO_DATE(E3372), """")"),42564.26552083333)</f>
        <v>42564.26552</v>
      </c>
      <c r="G3372" s="20">
        <f t="shared" si="1"/>
        <v>6</v>
      </c>
      <c r="H3372" s="18" t="s">
        <v>34</v>
      </c>
      <c r="I3372" s="19" t="str">
        <f>IFERROR(__xludf.DUMMYFUNCTION("IFERROR(TO_DATE(H3372), """")"),"NA")</f>
        <v>NA</v>
      </c>
      <c r="J3372" s="19" t="s">
        <v>11</v>
      </c>
      <c r="K3372" s="22">
        <f t="shared" si="2"/>
        <v>1</v>
      </c>
    </row>
    <row r="3373">
      <c r="A3373" s="18">
        <v>5849.0</v>
      </c>
      <c r="B3373" s="18" t="s">
        <v>32</v>
      </c>
      <c r="C3373" s="18">
        <v>131.0</v>
      </c>
      <c r="D3373" s="18" t="s">
        <v>33</v>
      </c>
      <c r="E3373" s="27">
        <v>42566.38171296296</v>
      </c>
      <c r="F3373" s="19">
        <f>IFERROR(__xludf.DUMMYFUNCTION("IFERROR(TO_DATE(E3373), """")"),42566.38171296296)</f>
        <v>42566.38171</v>
      </c>
      <c r="G3373" s="20">
        <f t="shared" si="1"/>
        <v>9</v>
      </c>
      <c r="H3373" s="18" t="s">
        <v>34</v>
      </c>
      <c r="I3373" s="19" t="str">
        <f>IFERROR(__xludf.DUMMYFUNCTION("IFERROR(TO_DATE(H3373), """")"),"NA")</f>
        <v>NA</v>
      </c>
      <c r="J3373" s="19" t="s">
        <v>14</v>
      </c>
      <c r="K3373" s="22">
        <f t="shared" si="2"/>
        <v>1</v>
      </c>
    </row>
    <row r="3374">
      <c r="A3374" s="18">
        <v>1738.0</v>
      </c>
      <c r="B3374" s="18" t="s">
        <v>32</v>
      </c>
      <c r="C3374" s="18">
        <v>132.0</v>
      </c>
      <c r="D3374" s="18" t="s">
        <v>33</v>
      </c>
      <c r="E3374" s="26">
        <v>42563.35138888889</v>
      </c>
      <c r="F3374" s="19">
        <f>IFERROR(__xludf.DUMMYFUNCTION("IFERROR(TO_DATE(E3374), """")"),42563.35138888889)</f>
        <v>42563.35139</v>
      </c>
      <c r="G3374" s="20">
        <f t="shared" si="1"/>
        <v>8</v>
      </c>
      <c r="H3374" s="18" t="s">
        <v>34</v>
      </c>
      <c r="I3374" s="19" t="str">
        <f>IFERROR(__xludf.DUMMYFUNCTION("IFERROR(TO_DATE(H3374), """")"),"NA")</f>
        <v>NA</v>
      </c>
      <c r="J3374" s="19" t="s">
        <v>14</v>
      </c>
      <c r="K3374" s="22">
        <f t="shared" si="2"/>
        <v>1</v>
      </c>
    </row>
    <row r="3375">
      <c r="A3375" s="18">
        <v>3107.0</v>
      </c>
      <c r="B3375" s="18" t="s">
        <v>32</v>
      </c>
      <c r="C3375" s="18">
        <v>132.0</v>
      </c>
      <c r="D3375" s="18" t="s">
        <v>33</v>
      </c>
      <c r="E3375" s="27">
        <v>42564.35320601852</v>
      </c>
      <c r="F3375" s="19">
        <f>IFERROR(__xludf.DUMMYFUNCTION("IFERROR(TO_DATE(E3375), """")"),42564.35320601852)</f>
        <v>42564.35321</v>
      </c>
      <c r="G3375" s="20">
        <f t="shared" si="1"/>
        <v>8</v>
      </c>
      <c r="H3375" s="18" t="s">
        <v>34</v>
      </c>
      <c r="I3375" s="19" t="str">
        <f>IFERROR(__xludf.DUMMYFUNCTION("IFERROR(TO_DATE(H3375), """")"),"NA")</f>
        <v>NA</v>
      </c>
      <c r="J3375" s="19" t="s">
        <v>14</v>
      </c>
      <c r="K3375" s="22">
        <f t="shared" si="2"/>
        <v>1</v>
      </c>
    </row>
    <row r="3376">
      <c r="A3376" s="18">
        <v>3359.0</v>
      </c>
      <c r="B3376" s="18" t="s">
        <v>30</v>
      </c>
      <c r="C3376" s="18">
        <v>132.0</v>
      </c>
      <c r="D3376" s="18" t="s">
        <v>33</v>
      </c>
      <c r="E3376" s="27">
        <v>42564.56229166667</v>
      </c>
      <c r="F3376" s="19">
        <f>IFERROR(__xludf.DUMMYFUNCTION("IFERROR(TO_DATE(E3376), """")"),42564.56229166667)</f>
        <v>42564.56229</v>
      </c>
      <c r="G3376" s="20">
        <f t="shared" si="1"/>
        <v>13</v>
      </c>
      <c r="H3376" s="18" t="s">
        <v>34</v>
      </c>
      <c r="I3376" s="19" t="str">
        <f>IFERROR(__xludf.DUMMYFUNCTION("IFERROR(TO_DATE(H3376), """")"),"NA")</f>
        <v>NA</v>
      </c>
      <c r="J3376" s="19" t="s">
        <v>10</v>
      </c>
      <c r="K3376" s="22">
        <f t="shared" si="2"/>
        <v>1</v>
      </c>
    </row>
    <row r="3377">
      <c r="A3377" s="18">
        <v>4021.0</v>
      </c>
      <c r="B3377" s="18" t="s">
        <v>32</v>
      </c>
      <c r="C3377" s="18">
        <v>132.0</v>
      </c>
      <c r="D3377" s="18" t="s">
        <v>33</v>
      </c>
      <c r="E3377" s="27">
        <v>42564.99737268518</v>
      </c>
      <c r="F3377" s="19">
        <f>IFERROR(__xludf.DUMMYFUNCTION("IFERROR(TO_DATE(E3377), """")"),42564.99737268518)</f>
        <v>42564.99737</v>
      </c>
      <c r="G3377" s="20">
        <f t="shared" si="1"/>
        <v>23</v>
      </c>
      <c r="H3377" s="18" t="s">
        <v>34</v>
      </c>
      <c r="I3377" s="19" t="str">
        <f>IFERROR(__xludf.DUMMYFUNCTION("IFERROR(TO_DATE(H3377), """")"),"NA")</f>
        <v>NA</v>
      </c>
      <c r="J3377" s="19" t="s">
        <v>13</v>
      </c>
      <c r="K3377" s="22">
        <f t="shared" si="2"/>
        <v>1</v>
      </c>
    </row>
    <row r="3378">
      <c r="A3378" s="18">
        <v>4163.0</v>
      </c>
      <c r="B3378" s="18" t="s">
        <v>30</v>
      </c>
      <c r="C3378" s="18">
        <v>132.0</v>
      </c>
      <c r="D3378" s="18" t="s">
        <v>33</v>
      </c>
      <c r="E3378" s="27">
        <v>42565.214212962965</v>
      </c>
      <c r="F3378" s="19">
        <f>IFERROR(__xludf.DUMMYFUNCTION("IFERROR(TO_DATE(E3378), """")"),42565.214212962965)</f>
        <v>42565.21421</v>
      </c>
      <c r="G3378" s="20">
        <f t="shared" si="1"/>
        <v>5</v>
      </c>
      <c r="H3378" s="18" t="s">
        <v>34</v>
      </c>
      <c r="I3378" s="19" t="str">
        <f>IFERROR(__xludf.DUMMYFUNCTION("IFERROR(TO_DATE(H3378), """")"),"NA")</f>
        <v>NA</v>
      </c>
      <c r="J3378" s="19" t="s">
        <v>11</v>
      </c>
      <c r="K3378" s="22">
        <f t="shared" si="2"/>
        <v>1</v>
      </c>
    </row>
    <row r="3379">
      <c r="A3379" s="18">
        <v>4314.0</v>
      </c>
      <c r="B3379" s="18" t="s">
        <v>32</v>
      </c>
      <c r="C3379" s="18">
        <v>133.0</v>
      </c>
      <c r="D3379" s="18" t="s">
        <v>33</v>
      </c>
      <c r="E3379" s="27">
        <v>42565.28554398148</v>
      </c>
      <c r="F3379" s="19">
        <f>IFERROR(__xludf.DUMMYFUNCTION("IFERROR(TO_DATE(E3379), """")"),42565.28554398148)</f>
        <v>42565.28554</v>
      </c>
      <c r="G3379" s="20">
        <f t="shared" si="1"/>
        <v>6</v>
      </c>
      <c r="H3379" s="18" t="s">
        <v>34</v>
      </c>
      <c r="I3379" s="19" t="str">
        <f>IFERROR(__xludf.DUMMYFUNCTION("IFERROR(TO_DATE(H3379), """")"),"NA")</f>
        <v>NA</v>
      </c>
      <c r="J3379" s="19" t="s">
        <v>11</v>
      </c>
      <c r="K3379" s="22">
        <f t="shared" si="2"/>
        <v>1</v>
      </c>
    </row>
    <row r="3380">
      <c r="A3380" s="18">
        <v>5116.0</v>
      </c>
      <c r="B3380" s="18" t="s">
        <v>32</v>
      </c>
      <c r="C3380" s="18">
        <v>133.0</v>
      </c>
      <c r="D3380" s="18" t="s">
        <v>33</v>
      </c>
      <c r="E3380" s="27">
        <v>42565.839050925926</v>
      </c>
      <c r="F3380" s="19">
        <f>IFERROR(__xludf.DUMMYFUNCTION("IFERROR(TO_DATE(E3380), """")"),42565.839050925926)</f>
        <v>42565.83905</v>
      </c>
      <c r="G3380" s="20">
        <f t="shared" si="1"/>
        <v>20</v>
      </c>
      <c r="H3380" s="18" t="s">
        <v>34</v>
      </c>
      <c r="I3380" s="19" t="str">
        <f>IFERROR(__xludf.DUMMYFUNCTION("IFERROR(TO_DATE(H3380), """")"),"NA")</f>
        <v>NA</v>
      </c>
      <c r="J3380" s="19" t="s">
        <v>13</v>
      </c>
      <c r="K3380" s="22">
        <f t="shared" si="2"/>
        <v>1</v>
      </c>
    </row>
    <row r="3381">
      <c r="A3381" s="18">
        <v>1114.0</v>
      </c>
      <c r="B3381" s="18" t="s">
        <v>30</v>
      </c>
      <c r="C3381" s="18">
        <v>134.0</v>
      </c>
      <c r="D3381" s="18" t="s">
        <v>33</v>
      </c>
      <c r="E3381" s="26">
        <v>42562.84652777778</v>
      </c>
      <c r="F3381" s="19">
        <f>IFERROR(__xludf.DUMMYFUNCTION("IFERROR(TO_DATE(E3381), """")"),42562.84652777778)</f>
        <v>42562.84653</v>
      </c>
      <c r="G3381" s="20">
        <f t="shared" si="1"/>
        <v>20</v>
      </c>
      <c r="H3381" s="18" t="s">
        <v>34</v>
      </c>
      <c r="I3381" s="19" t="str">
        <f>IFERROR(__xludf.DUMMYFUNCTION("IFERROR(TO_DATE(H3381), """")"),"NA")</f>
        <v>NA</v>
      </c>
      <c r="J3381" s="19" t="s">
        <v>13</v>
      </c>
      <c r="K3381" s="22">
        <f t="shared" si="2"/>
        <v>1</v>
      </c>
    </row>
    <row r="3382">
      <c r="A3382" s="18">
        <v>5221.0</v>
      </c>
      <c r="B3382" s="18" t="s">
        <v>30</v>
      </c>
      <c r="C3382" s="18">
        <v>134.0</v>
      </c>
      <c r="D3382" s="18" t="s">
        <v>33</v>
      </c>
      <c r="E3382" s="27">
        <v>42565.87608796296</v>
      </c>
      <c r="F3382" s="19">
        <f>IFERROR(__xludf.DUMMYFUNCTION("IFERROR(TO_DATE(E3382), """")"),42565.87608796296)</f>
        <v>42565.87609</v>
      </c>
      <c r="G3382" s="20">
        <f t="shared" si="1"/>
        <v>21</v>
      </c>
      <c r="H3382" s="18" t="s">
        <v>34</v>
      </c>
      <c r="I3382" s="19" t="str">
        <f>IFERROR(__xludf.DUMMYFUNCTION("IFERROR(TO_DATE(H3382), """")"),"NA")</f>
        <v>NA</v>
      </c>
      <c r="J3382" s="19" t="s">
        <v>13</v>
      </c>
      <c r="K3382" s="22">
        <f t="shared" si="2"/>
        <v>1</v>
      </c>
    </row>
    <row r="3383">
      <c r="A3383" s="18">
        <v>5643.0</v>
      </c>
      <c r="B3383" s="18" t="s">
        <v>32</v>
      </c>
      <c r="C3383" s="18">
        <v>134.0</v>
      </c>
      <c r="D3383" s="18" t="s">
        <v>33</v>
      </c>
      <c r="E3383" s="27">
        <v>42566.28488425926</v>
      </c>
      <c r="F3383" s="19">
        <f>IFERROR(__xludf.DUMMYFUNCTION("IFERROR(TO_DATE(E3383), """")"),42566.28488425926)</f>
        <v>42566.28488</v>
      </c>
      <c r="G3383" s="20">
        <f t="shared" si="1"/>
        <v>6</v>
      </c>
      <c r="H3383" s="18" t="s">
        <v>34</v>
      </c>
      <c r="I3383" s="19" t="str">
        <f>IFERROR(__xludf.DUMMYFUNCTION("IFERROR(TO_DATE(H3383), """")"),"NA")</f>
        <v>NA</v>
      </c>
      <c r="J3383" s="19" t="s">
        <v>11</v>
      </c>
      <c r="K3383" s="22">
        <f t="shared" si="2"/>
        <v>1</v>
      </c>
    </row>
    <row r="3384">
      <c r="A3384" s="18">
        <v>1742.0</v>
      </c>
      <c r="B3384" s="18" t="s">
        <v>32</v>
      </c>
      <c r="C3384" s="18">
        <v>135.0</v>
      </c>
      <c r="D3384" s="18" t="s">
        <v>33</v>
      </c>
      <c r="E3384" s="26">
        <v>42563.354166666664</v>
      </c>
      <c r="F3384" s="19">
        <f>IFERROR(__xludf.DUMMYFUNCTION("IFERROR(TO_DATE(E3384), """")"),42563.354166666664)</f>
        <v>42563.35417</v>
      </c>
      <c r="G3384" s="20">
        <f t="shared" si="1"/>
        <v>8</v>
      </c>
      <c r="H3384" s="18" t="s">
        <v>34</v>
      </c>
      <c r="I3384" s="19" t="str">
        <f>IFERROR(__xludf.DUMMYFUNCTION("IFERROR(TO_DATE(H3384), """")"),"NA")</f>
        <v>NA</v>
      </c>
      <c r="J3384" s="19" t="s">
        <v>14</v>
      </c>
      <c r="K3384" s="22">
        <f t="shared" si="2"/>
        <v>1</v>
      </c>
    </row>
    <row r="3385">
      <c r="A3385" s="18">
        <v>1979.0</v>
      </c>
      <c r="B3385" s="18" t="s">
        <v>30</v>
      </c>
      <c r="C3385" s="18">
        <v>135.0</v>
      </c>
      <c r="D3385" s="18" t="s">
        <v>33</v>
      </c>
      <c r="E3385" s="26">
        <v>42563.51736111111</v>
      </c>
      <c r="F3385" s="19">
        <f>IFERROR(__xludf.DUMMYFUNCTION("IFERROR(TO_DATE(E3385), """")"),42563.51736111111)</f>
        <v>42563.51736</v>
      </c>
      <c r="G3385" s="20">
        <f t="shared" si="1"/>
        <v>12</v>
      </c>
      <c r="H3385" s="18" t="s">
        <v>34</v>
      </c>
      <c r="I3385" s="19" t="str">
        <f>IFERROR(__xludf.DUMMYFUNCTION("IFERROR(TO_DATE(H3385), """")"),"NA")</f>
        <v>NA</v>
      </c>
      <c r="J3385" s="19" t="s">
        <v>10</v>
      </c>
      <c r="K3385" s="22">
        <f t="shared" si="2"/>
        <v>1</v>
      </c>
    </row>
    <row r="3386">
      <c r="A3386" s="18">
        <v>2860.0</v>
      </c>
      <c r="B3386" s="18" t="s">
        <v>32</v>
      </c>
      <c r="C3386" s="18">
        <v>135.0</v>
      </c>
      <c r="D3386" s="18" t="s">
        <v>33</v>
      </c>
      <c r="E3386" s="27">
        <v>42564.23730324074</v>
      </c>
      <c r="F3386" s="19">
        <f>IFERROR(__xludf.DUMMYFUNCTION("IFERROR(TO_DATE(E3386), """")"),42564.23730324074)</f>
        <v>42564.2373</v>
      </c>
      <c r="G3386" s="20">
        <f t="shared" si="1"/>
        <v>5</v>
      </c>
      <c r="H3386" s="18" t="s">
        <v>34</v>
      </c>
      <c r="I3386" s="19" t="str">
        <f>IFERROR(__xludf.DUMMYFUNCTION("IFERROR(TO_DATE(H3386), """")"),"NA")</f>
        <v>NA</v>
      </c>
      <c r="J3386" s="19" t="s">
        <v>11</v>
      </c>
      <c r="K3386" s="22">
        <f t="shared" si="2"/>
        <v>1</v>
      </c>
    </row>
    <row r="3387">
      <c r="A3387" s="18">
        <v>3206.0</v>
      </c>
      <c r="B3387" s="18" t="s">
        <v>32</v>
      </c>
      <c r="C3387" s="18">
        <v>135.0</v>
      </c>
      <c r="D3387" s="18" t="s">
        <v>33</v>
      </c>
      <c r="E3387" s="27">
        <v>42564.40377314815</v>
      </c>
      <c r="F3387" s="19">
        <f>IFERROR(__xludf.DUMMYFUNCTION("IFERROR(TO_DATE(E3387), """")"),42564.40377314815)</f>
        <v>42564.40377</v>
      </c>
      <c r="G3387" s="20">
        <f t="shared" si="1"/>
        <v>9</v>
      </c>
      <c r="H3387" s="18" t="s">
        <v>34</v>
      </c>
      <c r="I3387" s="19" t="str">
        <f>IFERROR(__xludf.DUMMYFUNCTION("IFERROR(TO_DATE(H3387), """")"),"NA")</f>
        <v>NA</v>
      </c>
      <c r="J3387" s="19" t="s">
        <v>14</v>
      </c>
      <c r="K3387" s="22">
        <f t="shared" si="2"/>
        <v>1</v>
      </c>
    </row>
    <row r="3388">
      <c r="A3388" s="18">
        <v>5475.0</v>
      </c>
      <c r="B3388" s="18" t="s">
        <v>32</v>
      </c>
      <c r="C3388" s="18">
        <v>135.0</v>
      </c>
      <c r="D3388" s="18" t="s">
        <v>33</v>
      </c>
      <c r="E3388" s="27">
        <v>42566.20135416667</v>
      </c>
      <c r="F3388" s="19">
        <f>IFERROR(__xludf.DUMMYFUNCTION("IFERROR(TO_DATE(E3388), """")"),42566.20135416667)</f>
        <v>42566.20135</v>
      </c>
      <c r="G3388" s="20">
        <f t="shared" si="1"/>
        <v>4</v>
      </c>
      <c r="H3388" s="18" t="s">
        <v>34</v>
      </c>
      <c r="I3388" s="19" t="str">
        <f>IFERROR(__xludf.DUMMYFUNCTION("IFERROR(TO_DATE(H3388), """")"),"NA")</f>
        <v>NA</v>
      </c>
      <c r="J3388" s="19" t="s">
        <v>11</v>
      </c>
      <c r="K3388" s="22">
        <f t="shared" si="2"/>
        <v>1</v>
      </c>
    </row>
    <row r="3389">
      <c r="A3389" s="18">
        <v>5710.0</v>
      </c>
      <c r="B3389" s="18" t="s">
        <v>32</v>
      </c>
      <c r="C3389" s="18">
        <v>135.0</v>
      </c>
      <c r="D3389" s="18" t="s">
        <v>33</v>
      </c>
      <c r="E3389" s="27">
        <v>42566.318506944444</v>
      </c>
      <c r="F3389" s="19">
        <f>IFERROR(__xludf.DUMMYFUNCTION("IFERROR(TO_DATE(E3389), """")"),42566.318506944444)</f>
        <v>42566.31851</v>
      </c>
      <c r="G3389" s="20">
        <f t="shared" si="1"/>
        <v>7</v>
      </c>
      <c r="H3389" s="18" t="s">
        <v>34</v>
      </c>
      <c r="I3389" s="19" t="str">
        <f>IFERROR(__xludf.DUMMYFUNCTION("IFERROR(TO_DATE(H3389), """")"),"NA")</f>
        <v>NA</v>
      </c>
      <c r="J3389" s="19" t="s">
        <v>11</v>
      </c>
      <c r="K3389" s="22">
        <f t="shared" si="2"/>
        <v>1</v>
      </c>
    </row>
    <row r="3390">
      <c r="A3390" s="18">
        <v>1555.0</v>
      </c>
      <c r="B3390" s="18" t="s">
        <v>30</v>
      </c>
      <c r="C3390" s="18">
        <v>136.0</v>
      </c>
      <c r="D3390" s="18" t="s">
        <v>33</v>
      </c>
      <c r="E3390" s="26">
        <v>42563.256944444445</v>
      </c>
      <c r="F3390" s="19">
        <f>IFERROR(__xludf.DUMMYFUNCTION("IFERROR(TO_DATE(E3390), """")"),42563.256944444445)</f>
        <v>42563.25694</v>
      </c>
      <c r="G3390" s="20">
        <f t="shared" si="1"/>
        <v>6</v>
      </c>
      <c r="H3390" s="18" t="s">
        <v>34</v>
      </c>
      <c r="I3390" s="19" t="str">
        <f>IFERROR(__xludf.DUMMYFUNCTION("IFERROR(TO_DATE(H3390), """")"),"NA")</f>
        <v>NA</v>
      </c>
      <c r="J3390" s="19" t="s">
        <v>11</v>
      </c>
      <c r="K3390" s="22">
        <f t="shared" si="2"/>
        <v>1</v>
      </c>
    </row>
    <row r="3391">
      <c r="A3391" s="18">
        <v>2672.0</v>
      </c>
      <c r="B3391" s="18" t="s">
        <v>32</v>
      </c>
      <c r="C3391" s="18">
        <v>136.0</v>
      </c>
      <c r="D3391" s="18" t="s">
        <v>33</v>
      </c>
      <c r="E3391" s="26">
        <v>42563.986805555556</v>
      </c>
      <c r="F3391" s="19">
        <f>IFERROR(__xludf.DUMMYFUNCTION("IFERROR(TO_DATE(E3391), """")"),42563.986805555556)</f>
        <v>42563.98681</v>
      </c>
      <c r="G3391" s="20">
        <f t="shared" si="1"/>
        <v>23</v>
      </c>
      <c r="H3391" s="18" t="s">
        <v>34</v>
      </c>
      <c r="I3391" s="19" t="str">
        <f>IFERROR(__xludf.DUMMYFUNCTION("IFERROR(TO_DATE(H3391), """")"),"NA")</f>
        <v>NA</v>
      </c>
      <c r="J3391" s="19" t="s">
        <v>13</v>
      </c>
      <c r="K3391" s="22">
        <f t="shared" si="2"/>
        <v>1</v>
      </c>
    </row>
    <row r="3392">
      <c r="A3392" s="18">
        <v>3697.0</v>
      </c>
      <c r="B3392" s="18" t="s">
        <v>30</v>
      </c>
      <c r="C3392" s="18">
        <v>136.0</v>
      </c>
      <c r="D3392" s="18" t="s">
        <v>33</v>
      </c>
      <c r="E3392" s="27">
        <v>42564.825891203705</v>
      </c>
      <c r="F3392" s="19">
        <f>IFERROR(__xludf.DUMMYFUNCTION("IFERROR(TO_DATE(E3392), """")"),42564.825891203705)</f>
        <v>42564.82589</v>
      </c>
      <c r="G3392" s="20">
        <f t="shared" si="1"/>
        <v>19</v>
      </c>
      <c r="H3392" s="18" t="s">
        <v>34</v>
      </c>
      <c r="I3392" s="19" t="str">
        <f>IFERROR(__xludf.DUMMYFUNCTION("IFERROR(TO_DATE(H3392), """")"),"NA")</f>
        <v>NA</v>
      </c>
      <c r="J3392" s="19" t="s">
        <v>12</v>
      </c>
      <c r="K3392" s="22">
        <f t="shared" si="2"/>
        <v>1</v>
      </c>
    </row>
    <row r="3393">
      <c r="A3393" s="18">
        <v>4928.0</v>
      </c>
      <c r="B3393" s="18" t="s">
        <v>30</v>
      </c>
      <c r="C3393" s="18">
        <v>136.0</v>
      </c>
      <c r="D3393" s="18" t="s">
        <v>33</v>
      </c>
      <c r="E3393" s="27">
        <v>42565.761145833334</v>
      </c>
      <c r="F3393" s="19">
        <f>IFERROR(__xludf.DUMMYFUNCTION("IFERROR(TO_DATE(E3393), """")"),42565.761145833334)</f>
        <v>42565.76115</v>
      </c>
      <c r="G3393" s="20">
        <f t="shared" si="1"/>
        <v>18</v>
      </c>
      <c r="H3393" s="18" t="s">
        <v>34</v>
      </c>
      <c r="I3393" s="19" t="str">
        <f>IFERROR(__xludf.DUMMYFUNCTION("IFERROR(TO_DATE(H3393), """")"),"NA")</f>
        <v>NA</v>
      </c>
      <c r="J3393" s="19" t="s">
        <v>12</v>
      </c>
      <c r="K3393" s="22">
        <f t="shared" si="2"/>
        <v>1</v>
      </c>
    </row>
    <row r="3394">
      <c r="A3394" s="18">
        <v>5663.0</v>
      </c>
      <c r="B3394" s="18" t="s">
        <v>32</v>
      </c>
      <c r="C3394" s="18">
        <v>136.0</v>
      </c>
      <c r="D3394" s="18" t="s">
        <v>33</v>
      </c>
      <c r="E3394" s="27">
        <v>42566.29318287037</v>
      </c>
      <c r="F3394" s="19">
        <f>IFERROR(__xludf.DUMMYFUNCTION("IFERROR(TO_DATE(E3394), """")"),42566.29318287037)</f>
        <v>42566.29318</v>
      </c>
      <c r="G3394" s="20">
        <f t="shared" si="1"/>
        <v>7</v>
      </c>
      <c r="H3394" s="18" t="s">
        <v>34</v>
      </c>
      <c r="I3394" s="19" t="str">
        <f>IFERROR(__xludf.DUMMYFUNCTION("IFERROR(TO_DATE(H3394), """")"),"NA")</f>
        <v>NA</v>
      </c>
      <c r="J3394" s="19" t="s">
        <v>11</v>
      </c>
      <c r="K3394" s="22">
        <f t="shared" si="2"/>
        <v>1</v>
      </c>
    </row>
    <row r="3395">
      <c r="A3395" s="18">
        <v>164.0</v>
      </c>
      <c r="B3395" s="18" t="s">
        <v>32</v>
      </c>
      <c r="C3395" s="18">
        <v>137.0</v>
      </c>
      <c r="D3395" s="18" t="s">
        <v>33</v>
      </c>
      <c r="E3395" s="26">
        <v>42562.23611111111</v>
      </c>
      <c r="F3395" s="19">
        <f>IFERROR(__xludf.DUMMYFUNCTION("IFERROR(TO_DATE(E3395), """")"),42562.23611111111)</f>
        <v>42562.23611</v>
      </c>
      <c r="G3395" s="20">
        <f t="shared" si="1"/>
        <v>5</v>
      </c>
      <c r="H3395" s="18" t="s">
        <v>34</v>
      </c>
      <c r="I3395" s="19" t="str">
        <f>IFERROR(__xludf.DUMMYFUNCTION("IFERROR(TO_DATE(H3395), """")"),"NA")</f>
        <v>NA</v>
      </c>
      <c r="J3395" s="19" t="s">
        <v>11</v>
      </c>
      <c r="K3395" s="22">
        <f t="shared" si="2"/>
        <v>1</v>
      </c>
    </row>
    <row r="3396">
      <c r="A3396" s="18">
        <v>2985.0</v>
      </c>
      <c r="B3396" s="18" t="s">
        <v>32</v>
      </c>
      <c r="C3396" s="18">
        <v>137.0</v>
      </c>
      <c r="D3396" s="18" t="s">
        <v>33</v>
      </c>
      <c r="E3396" s="27">
        <v>42564.295266203706</v>
      </c>
      <c r="F3396" s="19">
        <f>IFERROR(__xludf.DUMMYFUNCTION("IFERROR(TO_DATE(E3396), """")"),42564.295266203706)</f>
        <v>42564.29527</v>
      </c>
      <c r="G3396" s="20">
        <f t="shared" si="1"/>
        <v>7</v>
      </c>
      <c r="H3396" s="18" t="s">
        <v>34</v>
      </c>
      <c r="I3396" s="19" t="str">
        <f>IFERROR(__xludf.DUMMYFUNCTION("IFERROR(TO_DATE(H3396), """")"),"NA")</f>
        <v>NA</v>
      </c>
      <c r="J3396" s="19" t="s">
        <v>11</v>
      </c>
      <c r="K3396" s="22">
        <f t="shared" si="2"/>
        <v>1</v>
      </c>
    </row>
    <row r="3397">
      <c r="A3397" s="18">
        <v>3248.0</v>
      </c>
      <c r="B3397" s="18" t="s">
        <v>32</v>
      </c>
      <c r="C3397" s="18">
        <v>137.0</v>
      </c>
      <c r="D3397" s="18" t="s">
        <v>33</v>
      </c>
      <c r="E3397" s="27">
        <v>42564.428715277776</v>
      </c>
      <c r="F3397" s="19">
        <f>IFERROR(__xludf.DUMMYFUNCTION("IFERROR(TO_DATE(E3397), """")"),42564.428715277776)</f>
        <v>42564.42872</v>
      </c>
      <c r="G3397" s="20">
        <f t="shared" si="1"/>
        <v>10</v>
      </c>
      <c r="H3397" s="18" t="s">
        <v>34</v>
      </c>
      <c r="I3397" s="19" t="str">
        <f>IFERROR(__xludf.DUMMYFUNCTION("IFERROR(TO_DATE(H3397), """")"),"NA")</f>
        <v>NA</v>
      </c>
      <c r="J3397" s="19" t="s">
        <v>14</v>
      </c>
      <c r="K3397" s="22">
        <f t="shared" si="2"/>
        <v>1</v>
      </c>
    </row>
    <row r="3398">
      <c r="A3398" s="18">
        <v>3794.0</v>
      </c>
      <c r="B3398" s="18" t="s">
        <v>32</v>
      </c>
      <c r="C3398" s="18">
        <v>137.0</v>
      </c>
      <c r="D3398" s="18" t="s">
        <v>33</v>
      </c>
      <c r="E3398" s="27">
        <v>42564.87118055556</v>
      </c>
      <c r="F3398" s="19">
        <f>IFERROR(__xludf.DUMMYFUNCTION("IFERROR(TO_DATE(E3398), """")"),42564.87118055556)</f>
        <v>42564.87118</v>
      </c>
      <c r="G3398" s="20">
        <f t="shared" si="1"/>
        <v>20</v>
      </c>
      <c r="H3398" s="18" t="s">
        <v>34</v>
      </c>
      <c r="I3398" s="19" t="str">
        <f>IFERROR(__xludf.DUMMYFUNCTION("IFERROR(TO_DATE(H3398), """")"),"NA")</f>
        <v>NA</v>
      </c>
      <c r="J3398" s="19" t="s">
        <v>13</v>
      </c>
      <c r="K3398" s="22">
        <f t="shared" si="2"/>
        <v>1</v>
      </c>
    </row>
    <row r="3399">
      <c r="A3399" s="18">
        <v>4834.0</v>
      </c>
      <c r="B3399" s="18" t="s">
        <v>30</v>
      </c>
      <c r="C3399" s="18">
        <v>137.0</v>
      </c>
      <c r="D3399" s="18" t="s">
        <v>33</v>
      </c>
      <c r="E3399" s="27">
        <v>42565.72864583333</v>
      </c>
      <c r="F3399" s="19">
        <f>IFERROR(__xludf.DUMMYFUNCTION("IFERROR(TO_DATE(E3399), """")"),42565.72864583333)</f>
        <v>42565.72865</v>
      </c>
      <c r="G3399" s="20">
        <f t="shared" si="1"/>
        <v>17</v>
      </c>
      <c r="H3399" s="18" t="s">
        <v>34</v>
      </c>
      <c r="I3399" s="19" t="str">
        <f>IFERROR(__xludf.DUMMYFUNCTION("IFERROR(TO_DATE(H3399), """")"),"NA")</f>
        <v>NA</v>
      </c>
      <c r="J3399" s="19" t="s">
        <v>12</v>
      </c>
      <c r="K3399" s="22">
        <f t="shared" si="2"/>
        <v>1</v>
      </c>
    </row>
    <row r="3400">
      <c r="A3400" s="18">
        <v>5517.0</v>
      </c>
      <c r="B3400" s="18" t="s">
        <v>32</v>
      </c>
      <c r="C3400" s="18">
        <v>137.0</v>
      </c>
      <c r="D3400" s="18" t="s">
        <v>33</v>
      </c>
      <c r="E3400" s="27">
        <v>42566.21607638889</v>
      </c>
      <c r="F3400" s="19">
        <f>IFERROR(__xludf.DUMMYFUNCTION("IFERROR(TO_DATE(E3400), """")"),42566.21607638889)</f>
        <v>42566.21608</v>
      </c>
      <c r="G3400" s="20">
        <f t="shared" si="1"/>
        <v>5</v>
      </c>
      <c r="H3400" s="18" t="s">
        <v>34</v>
      </c>
      <c r="I3400" s="19" t="str">
        <f>IFERROR(__xludf.DUMMYFUNCTION("IFERROR(TO_DATE(H3400), """")"),"NA")</f>
        <v>NA</v>
      </c>
      <c r="J3400" s="19" t="s">
        <v>11</v>
      </c>
      <c r="K3400" s="22">
        <f t="shared" si="2"/>
        <v>1</v>
      </c>
    </row>
    <row r="3401">
      <c r="A3401" s="18">
        <v>466.0</v>
      </c>
      <c r="B3401" s="18" t="s">
        <v>32</v>
      </c>
      <c r="C3401" s="18">
        <v>138.0</v>
      </c>
      <c r="D3401" s="18" t="s">
        <v>33</v>
      </c>
      <c r="E3401" s="26">
        <v>42562.384722222225</v>
      </c>
      <c r="F3401" s="19">
        <f>IFERROR(__xludf.DUMMYFUNCTION("IFERROR(TO_DATE(E3401), """")"),42562.384722222225)</f>
        <v>42562.38472</v>
      </c>
      <c r="G3401" s="20">
        <f t="shared" si="1"/>
        <v>9</v>
      </c>
      <c r="H3401" s="18" t="s">
        <v>34</v>
      </c>
      <c r="I3401" s="19" t="str">
        <f>IFERROR(__xludf.DUMMYFUNCTION("IFERROR(TO_DATE(H3401), """")"),"NA")</f>
        <v>NA</v>
      </c>
      <c r="J3401" s="19" t="s">
        <v>14</v>
      </c>
      <c r="K3401" s="22">
        <f t="shared" si="2"/>
        <v>1</v>
      </c>
    </row>
    <row r="3402">
      <c r="A3402" s="18">
        <v>1678.0</v>
      </c>
      <c r="B3402" s="18" t="s">
        <v>32</v>
      </c>
      <c r="C3402" s="18">
        <v>138.0</v>
      </c>
      <c r="D3402" s="18" t="s">
        <v>33</v>
      </c>
      <c r="E3402" s="26">
        <v>42563.31875</v>
      </c>
      <c r="F3402" s="19">
        <f>IFERROR(__xludf.DUMMYFUNCTION("IFERROR(TO_DATE(E3402), """")"),42563.31875)</f>
        <v>42563.31875</v>
      </c>
      <c r="G3402" s="20">
        <f t="shared" si="1"/>
        <v>7</v>
      </c>
      <c r="H3402" s="18" t="s">
        <v>34</v>
      </c>
      <c r="I3402" s="19" t="str">
        <f>IFERROR(__xludf.DUMMYFUNCTION("IFERROR(TO_DATE(H3402), """")"),"NA")</f>
        <v>NA</v>
      </c>
      <c r="J3402" s="19" t="s">
        <v>11</v>
      </c>
      <c r="K3402" s="22">
        <f t="shared" si="2"/>
        <v>1</v>
      </c>
    </row>
    <row r="3403">
      <c r="A3403" s="18">
        <v>1801.0</v>
      </c>
      <c r="B3403" s="18" t="s">
        <v>32</v>
      </c>
      <c r="C3403" s="18">
        <v>138.0</v>
      </c>
      <c r="D3403" s="18" t="s">
        <v>33</v>
      </c>
      <c r="E3403" s="26">
        <v>42563.3875</v>
      </c>
      <c r="F3403" s="19">
        <f>IFERROR(__xludf.DUMMYFUNCTION("IFERROR(TO_DATE(E3403), """")"),42563.3875)</f>
        <v>42563.3875</v>
      </c>
      <c r="G3403" s="20">
        <f t="shared" si="1"/>
        <v>9</v>
      </c>
      <c r="H3403" s="18" t="s">
        <v>34</v>
      </c>
      <c r="I3403" s="19" t="str">
        <f>IFERROR(__xludf.DUMMYFUNCTION("IFERROR(TO_DATE(H3403), """")"),"NA")</f>
        <v>NA</v>
      </c>
      <c r="J3403" s="19" t="s">
        <v>14</v>
      </c>
      <c r="K3403" s="22">
        <f t="shared" si="2"/>
        <v>1</v>
      </c>
    </row>
    <row r="3404">
      <c r="A3404" s="18">
        <v>1819.0</v>
      </c>
      <c r="B3404" s="18" t="s">
        <v>32</v>
      </c>
      <c r="C3404" s="18">
        <v>138.0</v>
      </c>
      <c r="D3404" s="18" t="s">
        <v>33</v>
      </c>
      <c r="E3404" s="26">
        <v>42563.39236111111</v>
      </c>
      <c r="F3404" s="19">
        <f>IFERROR(__xludf.DUMMYFUNCTION("IFERROR(TO_DATE(E3404), """")"),42563.39236111111)</f>
        <v>42563.39236</v>
      </c>
      <c r="G3404" s="20">
        <f t="shared" si="1"/>
        <v>9</v>
      </c>
      <c r="H3404" s="18" t="s">
        <v>34</v>
      </c>
      <c r="I3404" s="19" t="str">
        <f>IFERROR(__xludf.DUMMYFUNCTION("IFERROR(TO_DATE(H3404), """")"),"NA")</f>
        <v>NA</v>
      </c>
      <c r="J3404" s="19" t="s">
        <v>14</v>
      </c>
      <c r="K3404" s="22">
        <f t="shared" si="2"/>
        <v>1</v>
      </c>
    </row>
    <row r="3405">
      <c r="A3405" s="18">
        <v>3020.0</v>
      </c>
      <c r="B3405" s="18" t="s">
        <v>32</v>
      </c>
      <c r="C3405" s="18">
        <v>138.0</v>
      </c>
      <c r="D3405" s="18" t="s">
        <v>33</v>
      </c>
      <c r="E3405" s="27">
        <v>42564.31280092592</v>
      </c>
      <c r="F3405" s="19">
        <f>IFERROR(__xludf.DUMMYFUNCTION("IFERROR(TO_DATE(E3405), """")"),42564.31280092592)</f>
        <v>42564.3128</v>
      </c>
      <c r="G3405" s="20">
        <f t="shared" si="1"/>
        <v>7</v>
      </c>
      <c r="H3405" s="18" t="s">
        <v>34</v>
      </c>
      <c r="I3405" s="19" t="str">
        <f>IFERROR(__xludf.DUMMYFUNCTION("IFERROR(TO_DATE(H3405), """")"),"NA")</f>
        <v>NA</v>
      </c>
      <c r="J3405" s="19" t="s">
        <v>11</v>
      </c>
      <c r="K3405" s="22">
        <f t="shared" si="2"/>
        <v>1</v>
      </c>
    </row>
    <row r="3406">
      <c r="A3406" s="18">
        <v>3169.0</v>
      </c>
      <c r="B3406" s="18" t="s">
        <v>30</v>
      </c>
      <c r="C3406" s="18">
        <v>138.0</v>
      </c>
      <c r="D3406" s="18" t="s">
        <v>33</v>
      </c>
      <c r="E3406" s="27">
        <v>42564.38423611111</v>
      </c>
      <c r="F3406" s="19">
        <f>IFERROR(__xludf.DUMMYFUNCTION("IFERROR(TO_DATE(E3406), """")"),42564.38423611111)</f>
        <v>42564.38424</v>
      </c>
      <c r="G3406" s="20">
        <f t="shared" si="1"/>
        <v>9</v>
      </c>
      <c r="H3406" s="18" t="s">
        <v>34</v>
      </c>
      <c r="I3406" s="19" t="str">
        <f>IFERROR(__xludf.DUMMYFUNCTION("IFERROR(TO_DATE(H3406), """")"),"NA")</f>
        <v>NA</v>
      </c>
      <c r="J3406" s="19" t="s">
        <v>14</v>
      </c>
      <c r="K3406" s="22">
        <f t="shared" si="2"/>
        <v>1</v>
      </c>
    </row>
    <row r="3407">
      <c r="A3407" s="18">
        <v>3495.0</v>
      </c>
      <c r="B3407" s="18" t="s">
        <v>30</v>
      </c>
      <c r="C3407" s="18">
        <v>138.0</v>
      </c>
      <c r="D3407" s="18" t="s">
        <v>33</v>
      </c>
      <c r="E3407" s="27">
        <v>42564.73092592593</v>
      </c>
      <c r="F3407" s="19">
        <f>IFERROR(__xludf.DUMMYFUNCTION("IFERROR(TO_DATE(E3407), """")"),42564.73092592593)</f>
        <v>42564.73093</v>
      </c>
      <c r="G3407" s="20">
        <f t="shared" si="1"/>
        <v>17</v>
      </c>
      <c r="H3407" s="18" t="s">
        <v>34</v>
      </c>
      <c r="I3407" s="19" t="str">
        <f>IFERROR(__xludf.DUMMYFUNCTION("IFERROR(TO_DATE(H3407), """")"),"NA")</f>
        <v>NA</v>
      </c>
      <c r="J3407" s="19" t="s">
        <v>12</v>
      </c>
      <c r="K3407" s="22">
        <f t="shared" si="2"/>
        <v>1</v>
      </c>
    </row>
    <row r="3408">
      <c r="A3408" s="18">
        <v>4365.0</v>
      </c>
      <c r="B3408" s="18" t="s">
        <v>32</v>
      </c>
      <c r="C3408" s="18">
        <v>138.0</v>
      </c>
      <c r="D3408" s="18" t="s">
        <v>33</v>
      </c>
      <c r="E3408" s="27">
        <v>42565.311585648145</v>
      </c>
      <c r="F3408" s="19">
        <f>IFERROR(__xludf.DUMMYFUNCTION("IFERROR(TO_DATE(E3408), """")"),42565.311585648145)</f>
        <v>42565.31159</v>
      </c>
      <c r="G3408" s="20">
        <f t="shared" si="1"/>
        <v>7</v>
      </c>
      <c r="H3408" s="18" t="s">
        <v>34</v>
      </c>
      <c r="I3408" s="19" t="str">
        <f>IFERROR(__xludf.DUMMYFUNCTION("IFERROR(TO_DATE(H3408), """")"),"NA")</f>
        <v>NA</v>
      </c>
      <c r="J3408" s="19" t="s">
        <v>11</v>
      </c>
      <c r="K3408" s="22">
        <f t="shared" si="2"/>
        <v>1</v>
      </c>
    </row>
    <row r="3409">
      <c r="A3409" s="18">
        <v>4562.0</v>
      </c>
      <c r="B3409" s="18" t="s">
        <v>32</v>
      </c>
      <c r="C3409" s="18">
        <v>138.0</v>
      </c>
      <c r="D3409" s="18" t="s">
        <v>33</v>
      </c>
      <c r="E3409" s="27">
        <v>42565.408425925925</v>
      </c>
      <c r="F3409" s="19">
        <f>IFERROR(__xludf.DUMMYFUNCTION("IFERROR(TO_DATE(E3409), """")"),42565.408425925925)</f>
        <v>42565.40843</v>
      </c>
      <c r="G3409" s="20">
        <f t="shared" si="1"/>
        <v>9</v>
      </c>
      <c r="H3409" s="18" t="s">
        <v>34</v>
      </c>
      <c r="I3409" s="19" t="str">
        <f>IFERROR(__xludf.DUMMYFUNCTION("IFERROR(TO_DATE(H3409), """")"),"NA")</f>
        <v>NA</v>
      </c>
      <c r="J3409" s="19" t="s">
        <v>14</v>
      </c>
      <c r="K3409" s="22">
        <f t="shared" si="2"/>
        <v>1</v>
      </c>
    </row>
    <row r="3410">
      <c r="A3410" s="18">
        <v>1697.0</v>
      </c>
      <c r="B3410" s="18" t="s">
        <v>32</v>
      </c>
      <c r="C3410" s="18">
        <v>139.0</v>
      </c>
      <c r="D3410" s="18" t="s">
        <v>33</v>
      </c>
      <c r="E3410" s="26">
        <v>42563.33263888889</v>
      </c>
      <c r="F3410" s="19">
        <f>IFERROR(__xludf.DUMMYFUNCTION("IFERROR(TO_DATE(E3410), """")"),42563.33263888889)</f>
        <v>42563.33264</v>
      </c>
      <c r="G3410" s="20">
        <f t="shared" si="1"/>
        <v>7</v>
      </c>
      <c r="H3410" s="18" t="s">
        <v>34</v>
      </c>
      <c r="I3410" s="19" t="str">
        <f>IFERROR(__xludf.DUMMYFUNCTION("IFERROR(TO_DATE(H3410), """")"),"NA")</f>
        <v>NA</v>
      </c>
      <c r="J3410" s="19" t="s">
        <v>11</v>
      </c>
      <c r="K3410" s="22">
        <f t="shared" si="2"/>
        <v>1</v>
      </c>
    </row>
    <row r="3411">
      <c r="A3411" s="18">
        <v>1853.0</v>
      </c>
      <c r="B3411" s="18" t="s">
        <v>32</v>
      </c>
      <c r="C3411" s="18">
        <v>139.0</v>
      </c>
      <c r="D3411" s="18" t="s">
        <v>33</v>
      </c>
      <c r="E3411" s="26">
        <v>42563.410416666666</v>
      </c>
      <c r="F3411" s="19">
        <f>IFERROR(__xludf.DUMMYFUNCTION("IFERROR(TO_DATE(E3411), """")"),42563.410416666666)</f>
        <v>42563.41042</v>
      </c>
      <c r="G3411" s="20">
        <f t="shared" si="1"/>
        <v>9</v>
      </c>
      <c r="H3411" s="18" t="s">
        <v>34</v>
      </c>
      <c r="I3411" s="19" t="str">
        <f>IFERROR(__xludf.DUMMYFUNCTION("IFERROR(TO_DATE(H3411), """")"),"NA")</f>
        <v>NA</v>
      </c>
      <c r="J3411" s="19" t="s">
        <v>14</v>
      </c>
      <c r="K3411" s="22">
        <f t="shared" si="2"/>
        <v>1</v>
      </c>
    </row>
    <row r="3412">
      <c r="A3412" s="18">
        <v>2848.0</v>
      </c>
      <c r="B3412" s="18" t="s">
        <v>32</v>
      </c>
      <c r="C3412" s="18">
        <v>139.0</v>
      </c>
      <c r="D3412" s="18" t="s">
        <v>33</v>
      </c>
      <c r="E3412" s="27">
        <v>42564.2334375</v>
      </c>
      <c r="F3412" s="19">
        <f>IFERROR(__xludf.DUMMYFUNCTION("IFERROR(TO_DATE(E3412), """")"),42564.2334375)</f>
        <v>42564.23344</v>
      </c>
      <c r="G3412" s="20">
        <f t="shared" si="1"/>
        <v>5</v>
      </c>
      <c r="H3412" s="18" t="s">
        <v>34</v>
      </c>
      <c r="I3412" s="19" t="str">
        <f>IFERROR(__xludf.DUMMYFUNCTION("IFERROR(TO_DATE(H3412), """")"),"NA")</f>
        <v>NA</v>
      </c>
      <c r="J3412" s="19" t="s">
        <v>11</v>
      </c>
      <c r="K3412" s="22">
        <f t="shared" si="2"/>
        <v>1</v>
      </c>
    </row>
    <row r="3413">
      <c r="A3413" s="18">
        <v>4327.0</v>
      </c>
      <c r="B3413" s="18" t="s">
        <v>32</v>
      </c>
      <c r="C3413" s="18">
        <v>139.0</v>
      </c>
      <c r="D3413" s="18" t="s">
        <v>33</v>
      </c>
      <c r="E3413" s="27">
        <v>42565.296585648146</v>
      </c>
      <c r="F3413" s="19">
        <f>IFERROR(__xludf.DUMMYFUNCTION("IFERROR(TO_DATE(E3413), """")"),42565.296585648146)</f>
        <v>42565.29659</v>
      </c>
      <c r="G3413" s="20">
        <f t="shared" si="1"/>
        <v>7</v>
      </c>
      <c r="H3413" s="18" t="s">
        <v>34</v>
      </c>
      <c r="I3413" s="19" t="str">
        <f>IFERROR(__xludf.DUMMYFUNCTION("IFERROR(TO_DATE(H3413), """")"),"NA")</f>
        <v>NA</v>
      </c>
      <c r="J3413" s="19" t="s">
        <v>11</v>
      </c>
      <c r="K3413" s="22">
        <f t="shared" si="2"/>
        <v>1</v>
      </c>
    </row>
    <row r="3414">
      <c r="A3414" s="18">
        <v>4345.0</v>
      </c>
      <c r="B3414" s="18" t="s">
        <v>32</v>
      </c>
      <c r="C3414" s="18">
        <v>139.0</v>
      </c>
      <c r="D3414" s="18" t="s">
        <v>33</v>
      </c>
      <c r="E3414" s="27">
        <v>42565.30712962963</v>
      </c>
      <c r="F3414" s="19">
        <f>IFERROR(__xludf.DUMMYFUNCTION("IFERROR(TO_DATE(E3414), """")"),42565.30712962963)</f>
        <v>42565.30713</v>
      </c>
      <c r="G3414" s="20">
        <f t="shared" si="1"/>
        <v>7</v>
      </c>
      <c r="H3414" s="18" t="s">
        <v>34</v>
      </c>
      <c r="I3414" s="19" t="str">
        <f>IFERROR(__xludf.DUMMYFUNCTION("IFERROR(TO_DATE(H3414), """")"),"NA")</f>
        <v>NA</v>
      </c>
      <c r="J3414" s="19" t="s">
        <v>11</v>
      </c>
      <c r="K3414" s="22">
        <f t="shared" si="2"/>
        <v>1</v>
      </c>
    </row>
    <row r="3415">
      <c r="A3415" s="18">
        <v>4802.0</v>
      </c>
      <c r="B3415" s="18" t="s">
        <v>32</v>
      </c>
      <c r="C3415" s="18">
        <v>139.0</v>
      </c>
      <c r="D3415" s="18" t="s">
        <v>33</v>
      </c>
      <c r="E3415" s="27">
        <v>42565.713217592594</v>
      </c>
      <c r="F3415" s="19">
        <f>IFERROR(__xludf.DUMMYFUNCTION("IFERROR(TO_DATE(E3415), """")"),42565.713217592594)</f>
        <v>42565.71322</v>
      </c>
      <c r="G3415" s="20">
        <f t="shared" si="1"/>
        <v>17</v>
      </c>
      <c r="H3415" s="18" t="s">
        <v>34</v>
      </c>
      <c r="I3415" s="19" t="str">
        <f>IFERROR(__xludf.DUMMYFUNCTION("IFERROR(TO_DATE(H3415), """")"),"NA")</f>
        <v>NA</v>
      </c>
      <c r="J3415" s="19" t="s">
        <v>12</v>
      </c>
      <c r="K3415" s="22">
        <f t="shared" si="2"/>
        <v>1</v>
      </c>
    </row>
    <row r="3416">
      <c r="A3416" s="18">
        <v>1955.0</v>
      </c>
      <c r="B3416" s="18" t="s">
        <v>30</v>
      </c>
      <c r="C3416" s="18">
        <v>140.0</v>
      </c>
      <c r="D3416" s="18" t="s">
        <v>33</v>
      </c>
      <c r="E3416" s="26">
        <v>42563.49097222222</v>
      </c>
      <c r="F3416" s="19">
        <f>IFERROR(__xludf.DUMMYFUNCTION("IFERROR(TO_DATE(E3416), """")"),42563.49097222222)</f>
        <v>42563.49097</v>
      </c>
      <c r="G3416" s="20">
        <f t="shared" si="1"/>
        <v>11</v>
      </c>
      <c r="H3416" s="18" t="s">
        <v>34</v>
      </c>
      <c r="I3416" s="19" t="str">
        <f>IFERROR(__xludf.DUMMYFUNCTION("IFERROR(TO_DATE(H3416), """")"),"NA")</f>
        <v>NA</v>
      </c>
      <c r="J3416" s="19" t="s">
        <v>14</v>
      </c>
      <c r="K3416" s="22">
        <f t="shared" si="2"/>
        <v>1</v>
      </c>
    </row>
    <row r="3417">
      <c r="A3417" s="18">
        <v>3840.0</v>
      </c>
      <c r="B3417" s="18" t="s">
        <v>30</v>
      </c>
      <c r="C3417" s="18">
        <v>140.0</v>
      </c>
      <c r="D3417" s="18" t="s">
        <v>33</v>
      </c>
      <c r="E3417" s="27">
        <v>42564.89847222222</v>
      </c>
      <c r="F3417" s="19">
        <f>IFERROR(__xludf.DUMMYFUNCTION("IFERROR(TO_DATE(E3417), """")"),42564.89847222222)</f>
        <v>42564.89847</v>
      </c>
      <c r="G3417" s="20">
        <f t="shared" si="1"/>
        <v>21</v>
      </c>
      <c r="H3417" s="18" t="s">
        <v>34</v>
      </c>
      <c r="I3417" s="19" t="str">
        <f>IFERROR(__xludf.DUMMYFUNCTION("IFERROR(TO_DATE(H3417), """")"),"NA")</f>
        <v>NA</v>
      </c>
      <c r="J3417" s="19" t="s">
        <v>13</v>
      </c>
      <c r="K3417" s="22">
        <f t="shared" si="2"/>
        <v>1</v>
      </c>
    </row>
    <row r="3418">
      <c r="A3418" s="18">
        <v>4183.0</v>
      </c>
      <c r="B3418" s="18" t="s">
        <v>32</v>
      </c>
      <c r="C3418" s="18">
        <v>140.0</v>
      </c>
      <c r="D3418" s="18" t="s">
        <v>33</v>
      </c>
      <c r="E3418" s="27">
        <v>42565.222708333335</v>
      </c>
      <c r="F3418" s="19">
        <f>IFERROR(__xludf.DUMMYFUNCTION("IFERROR(TO_DATE(E3418), """")"),42565.222708333335)</f>
        <v>42565.22271</v>
      </c>
      <c r="G3418" s="20">
        <f t="shared" si="1"/>
        <v>5</v>
      </c>
      <c r="H3418" s="18" t="s">
        <v>34</v>
      </c>
      <c r="I3418" s="19" t="str">
        <f>IFERROR(__xludf.DUMMYFUNCTION("IFERROR(TO_DATE(H3418), """")"),"NA")</f>
        <v>NA</v>
      </c>
      <c r="J3418" s="19" t="s">
        <v>11</v>
      </c>
      <c r="K3418" s="22">
        <f t="shared" si="2"/>
        <v>1</v>
      </c>
    </row>
    <row r="3419">
      <c r="A3419" s="18">
        <v>4465.0</v>
      </c>
      <c r="B3419" s="18" t="s">
        <v>32</v>
      </c>
      <c r="C3419" s="18">
        <v>140.0</v>
      </c>
      <c r="D3419" s="18" t="s">
        <v>33</v>
      </c>
      <c r="E3419" s="27">
        <v>42565.36104166666</v>
      </c>
      <c r="F3419" s="19">
        <f>IFERROR(__xludf.DUMMYFUNCTION("IFERROR(TO_DATE(E3419), """")"),42565.36104166666)</f>
        <v>42565.36104</v>
      </c>
      <c r="G3419" s="20">
        <f t="shared" si="1"/>
        <v>8</v>
      </c>
      <c r="H3419" s="18" t="s">
        <v>34</v>
      </c>
      <c r="I3419" s="19" t="str">
        <f>IFERROR(__xludf.DUMMYFUNCTION("IFERROR(TO_DATE(H3419), """")"),"NA")</f>
        <v>NA</v>
      </c>
      <c r="J3419" s="19" t="s">
        <v>14</v>
      </c>
      <c r="K3419" s="22">
        <f t="shared" si="2"/>
        <v>1</v>
      </c>
    </row>
    <row r="3420">
      <c r="A3420" s="18">
        <v>1795.0</v>
      </c>
      <c r="B3420" s="18" t="s">
        <v>32</v>
      </c>
      <c r="C3420" s="18">
        <v>141.0</v>
      </c>
      <c r="D3420" s="18" t="s">
        <v>33</v>
      </c>
      <c r="E3420" s="26">
        <v>42563.37708333333</v>
      </c>
      <c r="F3420" s="19">
        <f>IFERROR(__xludf.DUMMYFUNCTION("IFERROR(TO_DATE(E3420), """")"),42563.37708333333)</f>
        <v>42563.37708</v>
      </c>
      <c r="G3420" s="20">
        <f t="shared" si="1"/>
        <v>9</v>
      </c>
      <c r="H3420" s="18" t="s">
        <v>34</v>
      </c>
      <c r="I3420" s="19" t="str">
        <f>IFERROR(__xludf.DUMMYFUNCTION("IFERROR(TO_DATE(H3420), """")"),"NA")</f>
        <v>NA</v>
      </c>
      <c r="J3420" s="19" t="s">
        <v>14</v>
      </c>
      <c r="K3420" s="22">
        <f t="shared" si="2"/>
        <v>1</v>
      </c>
    </row>
    <row r="3421">
      <c r="A3421" s="18">
        <v>2049.0</v>
      </c>
      <c r="B3421" s="18" t="s">
        <v>30</v>
      </c>
      <c r="C3421" s="18">
        <v>141.0</v>
      </c>
      <c r="D3421" s="18" t="s">
        <v>33</v>
      </c>
      <c r="E3421" s="26">
        <v>42563.614583333336</v>
      </c>
      <c r="F3421" s="19">
        <f>IFERROR(__xludf.DUMMYFUNCTION("IFERROR(TO_DATE(E3421), """")"),42563.614583333336)</f>
        <v>42563.61458</v>
      </c>
      <c r="G3421" s="20">
        <f t="shared" si="1"/>
        <v>14</v>
      </c>
      <c r="H3421" s="18" t="s">
        <v>34</v>
      </c>
      <c r="I3421" s="19" t="str">
        <f>IFERROR(__xludf.DUMMYFUNCTION("IFERROR(TO_DATE(H3421), """")"),"NA")</f>
        <v>NA</v>
      </c>
      <c r="J3421" s="19" t="s">
        <v>10</v>
      </c>
      <c r="K3421" s="22">
        <f t="shared" si="2"/>
        <v>1</v>
      </c>
    </row>
    <row r="3422">
      <c r="A3422" s="18">
        <v>2811.0</v>
      </c>
      <c r="B3422" s="18" t="s">
        <v>32</v>
      </c>
      <c r="C3422" s="18">
        <v>141.0</v>
      </c>
      <c r="D3422" s="18" t="s">
        <v>33</v>
      </c>
      <c r="E3422" s="27">
        <v>42564.212233796294</v>
      </c>
      <c r="F3422" s="19">
        <f>IFERROR(__xludf.DUMMYFUNCTION("IFERROR(TO_DATE(E3422), """")"),42564.212233796294)</f>
        <v>42564.21223</v>
      </c>
      <c r="G3422" s="20">
        <f t="shared" si="1"/>
        <v>5</v>
      </c>
      <c r="H3422" s="18" t="s">
        <v>34</v>
      </c>
      <c r="I3422" s="19" t="str">
        <f>IFERROR(__xludf.DUMMYFUNCTION("IFERROR(TO_DATE(H3422), """")"),"NA")</f>
        <v>NA</v>
      </c>
      <c r="J3422" s="19" t="s">
        <v>11</v>
      </c>
      <c r="K3422" s="22">
        <f t="shared" si="2"/>
        <v>1</v>
      </c>
    </row>
    <row r="3423">
      <c r="A3423" s="18">
        <v>3171.0</v>
      </c>
      <c r="B3423" s="18" t="s">
        <v>30</v>
      </c>
      <c r="C3423" s="18">
        <v>141.0</v>
      </c>
      <c r="D3423" s="18" t="s">
        <v>33</v>
      </c>
      <c r="E3423" s="27">
        <v>42564.38743055556</v>
      </c>
      <c r="F3423" s="19">
        <f>IFERROR(__xludf.DUMMYFUNCTION("IFERROR(TO_DATE(E3423), """")"),42564.38743055556)</f>
        <v>42564.38743</v>
      </c>
      <c r="G3423" s="20">
        <f t="shared" si="1"/>
        <v>9</v>
      </c>
      <c r="H3423" s="18" t="s">
        <v>34</v>
      </c>
      <c r="I3423" s="19" t="str">
        <f>IFERROR(__xludf.DUMMYFUNCTION("IFERROR(TO_DATE(H3423), """")"),"NA")</f>
        <v>NA</v>
      </c>
      <c r="J3423" s="19" t="s">
        <v>14</v>
      </c>
      <c r="K3423" s="22">
        <f t="shared" si="2"/>
        <v>1</v>
      </c>
    </row>
    <row r="3424">
      <c r="A3424" s="18">
        <v>4557.0</v>
      </c>
      <c r="B3424" s="18" t="s">
        <v>32</v>
      </c>
      <c r="C3424" s="18">
        <v>141.0</v>
      </c>
      <c r="D3424" s="18" t="s">
        <v>33</v>
      </c>
      <c r="E3424" s="27">
        <v>42565.404641203706</v>
      </c>
      <c r="F3424" s="19">
        <f>IFERROR(__xludf.DUMMYFUNCTION("IFERROR(TO_DATE(E3424), """")"),42565.404641203706)</f>
        <v>42565.40464</v>
      </c>
      <c r="G3424" s="20">
        <f t="shared" si="1"/>
        <v>9</v>
      </c>
      <c r="H3424" s="18" t="s">
        <v>34</v>
      </c>
      <c r="I3424" s="19" t="str">
        <f>IFERROR(__xludf.DUMMYFUNCTION("IFERROR(TO_DATE(H3424), """")"),"NA")</f>
        <v>NA</v>
      </c>
      <c r="J3424" s="19" t="s">
        <v>14</v>
      </c>
      <c r="K3424" s="22">
        <f t="shared" si="2"/>
        <v>1</v>
      </c>
    </row>
    <row r="3425">
      <c r="A3425" s="18">
        <v>5538.0</v>
      </c>
      <c r="B3425" s="18" t="s">
        <v>32</v>
      </c>
      <c r="C3425" s="18">
        <v>141.0</v>
      </c>
      <c r="D3425" s="18" t="s">
        <v>33</v>
      </c>
      <c r="E3425" s="27">
        <v>42566.22804398148</v>
      </c>
      <c r="F3425" s="19">
        <f>IFERROR(__xludf.DUMMYFUNCTION("IFERROR(TO_DATE(E3425), """")"),42566.22804398148)</f>
        <v>42566.22804</v>
      </c>
      <c r="G3425" s="20">
        <f t="shared" si="1"/>
        <v>5</v>
      </c>
      <c r="H3425" s="18" t="s">
        <v>34</v>
      </c>
      <c r="I3425" s="19" t="str">
        <f>IFERROR(__xludf.DUMMYFUNCTION("IFERROR(TO_DATE(H3425), """")"),"NA")</f>
        <v>NA</v>
      </c>
      <c r="J3425" s="19" t="s">
        <v>11</v>
      </c>
      <c r="K3425" s="22">
        <f t="shared" si="2"/>
        <v>1</v>
      </c>
    </row>
    <row r="3426">
      <c r="A3426" s="18">
        <v>556.0</v>
      </c>
      <c r="B3426" s="18" t="s">
        <v>32</v>
      </c>
      <c r="C3426" s="18">
        <v>142.0</v>
      </c>
      <c r="D3426" s="18" t="s">
        <v>33</v>
      </c>
      <c r="E3426" s="26">
        <v>42562.424305555556</v>
      </c>
      <c r="F3426" s="19">
        <f>IFERROR(__xludf.DUMMYFUNCTION("IFERROR(TO_DATE(E3426), """")"),42562.424305555556)</f>
        <v>42562.42431</v>
      </c>
      <c r="G3426" s="20">
        <f t="shared" si="1"/>
        <v>10</v>
      </c>
      <c r="H3426" s="18" t="s">
        <v>34</v>
      </c>
      <c r="I3426" s="19" t="str">
        <f>IFERROR(__xludf.DUMMYFUNCTION("IFERROR(TO_DATE(H3426), """")"),"NA")</f>
        <v>NA</v>
      </c>
      <c r="J3426" s="19" t="s">
        <v>14</v>
      </c>
      <c r="K3426" s="22">
        <f t="shared" si="2"/>
        <v>1</v>
      </c>
    </row>
    <row r="3427">
      <c r="A3427" s="18">
        <v>1854.0</v>
      </c>
      <c r="B3427" s="18" t="s">
        <v>32</v>
      </c>
      <c r="C3427" s="18">
        <v>142.0</v>
      </c>
      <c r="D3427" s="18" t="s">
        <v>33</v>
      </c>
      <c r="E3427" s="26">
        <v>42563.407638888886</v>
      </c>
      <c r="F3427" s="19">
        <f>IFERROR(__xludf.DUMMYFUNCTION("IFERROR(TO_DATE(E3427), """")"),42563.407638888886)</f>
        <v>42563.40764</v>
      </c>
      <c r="G3427" s="20">
        <f t="shared" si="1"/>
        <v>9</v>
      </c>
      <c r="H3427" s="18" t="s">
        <v>34</v>
      </c>
      <c r="I3427" s="19" t="str">
        <f>IFERROR(__xludf.DUMMYFUNCTION("IFERROR(TO_DATE(H3427), """")"),"NA")</f>
        <v>NA</v>
      </c>
      <c r="J3427" s="19" t="s">
        <v>14</v>
      </c>
      <c r="K3427" s="22">
        <f t="shared" si="2"/>
        <v>1</v>
      </c>
    </row>
    <row r="3428">
      <c r="A3428" s="18">
        <v>1897.0</v>
      </c>
      <c r="B3428" s="18" t="s">
        <v>32</v>
      </c>
      <c r="C3428" s="18">
        <v>142.0</v>
      </c>
      <c r="D3428" s="18" t="s">
        <v>33</v>
      </c>
      <c r="E3428" s="26">
        <v>42563.43263888889</v>
      </c>
      <c r="F3428" s="19">
        <f>IFERROR(__xludf.DUMMYFUNCTION("IFERROR(TO_DATE(E3428), """")"),42563.43263888889)</f>
        <v>42563.43264</v>
      </c>
      <c r="G3428" s="20">
        <f t="shared" si="1"/>
        <v>10</v>
      </c>
      <c r="H3428" s="18" t="s">
        <v>34</v>
      </c>
      <c r="I3428" s="19" t="str">
        <f>IFERROR(__xludf.DUMMYFUNCTION("IFERROR(TO_DATE(H3428), """")"),"NA")</f>
        <v>NA</v>
      </c>
      <c r="J3428" s="19" t="s">
        <v>14</v>
      </c>
      <c r="K3428" s="22">
        <f t="shared" si="2"/>
        <v>1</v>
      </c>
    </row>
    <row r="3429">
      <c r="A3429" s="18">
        <v>2537.0</v>
      </c>
      <c r="B3429" s="18" t="s">
        <v>32</v>
      </c>
      <c r="C3429" s="18">
        <v>142.0</v>
      </c>
      <c r="D3429" s="18" t="s">
        <v>33</v>
      </c>
      <c r="E3429" s="26">
        <v>42563.88402777778</v>
      </c>
      <c r="F3429" s="19">
        <f>IFERROR(__xludf.DUMMYFUNCTION("IFERROR(TO_DATE(E3429), """")"),42563.88402777778)</f>
        <v>42563.88403</v>
      </c>
      <c r="G3429" s="20">
        <f t="shared" si="1"/>
        <v>21</v>
      </c>
      <c r="H3429" s="18" t="s">
        <v>34</v>
      </c>
      <c r="I3429" s="19" t="str">
        <f>IFERROR(__xludf.DUMMYFUNCTION("IFERROR(TO_DATE(H3429), """")"),"NA")</f>
        <v>NA</v>
      </c>
      <c r="J3429" s="19" t="s">
        <v>13</v>
      </c>
      <c r="K3429" s="22">
        <f t="shared" si="2"/>
        <v>1</v>
      </c>
    </row>
    <row r="3430">
      <c r="A3430" s="18">
        <v>3053.0</v>
      </c>
      <c r="B3430" s="18" t="s">
        <v>32</v>
      </c>
      <c r="C3430" s="18">
        <v>142.0</v>
      </c>
      <c r="D3430" s="18" t="s">
        <v>33</v>
      </c>
      <c r="E3430" s="27">
        <v>42564.322800925926</v>
      </c>
      <c r="F3430" s="19">
        <f>IFERROR(__xludf.DUMMYFUNCTION("IFERROR(TO_DATE(E3430), """")"),42564.322800925926)</f>
        <v>42564.3228</v>
      </c>
      <c r="G3430" s="20">
        <f t="shared" si="1"/>
        <v>7</v>
      </c>
      <c r="H3430" s="18" t="s">
        <v>34</v>
      </c>
      <c r="I3430" s="19" t="str">
        <f>IFERROR(__xludf.DUMMYFUNCTION("IFERROR(TO_DATE(H3430), """")"),"NA")</f>
        <v>NA</v>
      </c>
      <c r="J3430" s="19" t="s">
        <v>11</v>
      </c>
      <c r="K3430" s="22">
        <f t="shared" si="2"/>
        <v>1</v>
      </c>
    </row>
    <row r="3431">
      <c r="A3431" s="18">
        <v>3050.0</v>
      </c>
      <c r="B3431" s="18" t="s">
        <v>32</v>
      </c>
      <c r="C3431" s="18">
        <v>142.0</v>
      </c>
      <c r="D3431" s="18" t="s">
        <v>33</v>
      </c>
      <c r="E3431" s="27">
        <v>42564.32506944444</v>
      </c>
      <c r="F3431" s="19">
        <f>IFERROR(__xludf.DUMMYFUNCTION("IFERROR(TO_DATE(E3431), """")"),42564.32506944444)</f>
        <v>42564.32507</v>
      </c>
      <c r="G3431" s="20">
        <f t="shared" si="1"/>
        <v>7</v>
      </c>
      <c r="H3431" s="18" t="s">
        <v>34</v>
      </c>
      <c r="I3431" s="19" t="str">
        <f>IFERROR(__xludf.DUMMYFUNCTION("IFERROR(TO_DATE(H3431), """")"),"NA")</f>
        <v>NA</v>
      </c>
      <c r="J3431" s="19" t="s">
        <v>11</v>
      </c>
      <c r="K3431" s="22">
        <f t="shared" si="2"/>
        <v>1</v>
      </c>
    </row>
    <row r="3432">
      <c r="A3432" s="18">
        <v>3110.0</v>
      </c>
      <c r="B3432" s="18" t="s">
        <v>32</v>
      </c>
      <c r="C3432" s="18">
        <v>142.0</v>
      </c>
      <c r="D3432" s="18" t="s">
        <v>33</v>
      </c>
      <c r="E3432" s="27">
        <v>42564.3572337963</v>
      </c>
      <c r="F3432" s="19">
        <f>IFERROR(__xludf.DUMMYFUNCTION("IFERROR(TO_DATE(E3432), """")"),42564.3572337963)</f>
        <v>42564.35723</v>
      </c>
      <c r="G3432" s="20">
        <f t="shared" si="1"/>
        <v>8</v>
      </c>
      <c r="H3432" s="18" t="s">
        <v>34</v>
      </c>
      <c r="I3432" s="19" t="str">
        <f>IFERROR(__xludf.DUMMYFUNCTION("IFERROR(TO_DATE(H3432), """")"),"NA")</f>
        <v>NA</v>
      </c>
      <c r="J3432" s="19" t="s">
        <v>14</v>
      </c>
      <c r="K3432" s="22">
        <f t="shared" si="2"/>
        <v>1</v>
      </c>
    </row>
    <row r="3433">
      <c r="A3433" s="18">
        <v>5524.0</v>
      </c>
      <c r="B3433" s="18" t="s">
        <v>32</v>
      </c>
      <c r="C3433" s="18">
        <v>142.0</v>
      </c>
      <c r="D3433" s="18" t="s">
        <v>33</v>
      </c>
      <c r="E3433" s="27">
        <v>42566.21769675926</v>
      </c>
      <c r="F3433" s="19">
        <f>IFERROR(__xludf.DUMMYFUNCTION("IFERROR(TO_DATE(E3433), """")"),42566.21769675926)</f>
        <v>42566.2177</v>
      </c>
      <c r="G3433" s="20">
        <f t="shared" si="1"/>
        <v>5</v>
      </c>
      <c r="H3433" s="18" t="s">
        <v>34</v>
      </c>
      <c r="I3433" s="19" t="str">
        <f>IFERROR(__xludf.DUMMYFUNCTION("IFERROR(TO_DATE(H3433), """")"),"NA")</f>
        <v>NA</v>
      </c>
      <c r="J3433" s="19" t="s">
        <v>11</v>
      </c>
      <c r="K3433" s="22">
        <f t="shared" si="2"/>
        <v>1</v>
      </c>
    </row>
    <row r="3434">
      <c r="A3434" s="18">
        <v>5714.0</v>
      </c>
      <c r="B3434" s="18" t="s">
        <v>32</v>
      </c>
      <c r="C3434" s="18">
        <v>142.0</v>
      </c>
      <c r="D3434" s="18" t="s">
        <v>33</v>
      </c>
      <c r="E3434" s="27">
        <v>42566.31517361111</v>
      </c>
      <c r="F3434" s="19">
        <f>IFERROR(__xludf.DUMMYFUNCTION("IFERROR(TO_DATE(E3434), """")"),42566.31517361111)</f>
        <v>42566.31517</v>
      </c>
      <c r="G3434" s="20">
        <f t="shared" si="1"/>
        <v>7</v>
      </c>
      <c r="H3434" s="18" t="s">
        <v>34</v>
      </c>
      <c r="I3434" s="19" t="str">
        <f>IFERROR(__xludf.DUMMYFUNCTION("IFERROR(TO_DATE(H3434), """")"),"NA")</f>
        <v>NA</v>
      </c>
      <c r="J3434" s="19" t="s">
        <v>11</v>
      </c>
      <c r="K3434" s="22">
        <f t="shared" si="2"/>
        <v>1</v>
      </c>
    </row>
    <row r="3435">
      <c r="A3435" s="18">
        <v>5783.0</v>
      </c>
      <c r="B3435" s="18" t="s">
        <v>32</v>
      </c>
      <c r="C3435" s="18">
        <v>142.0</v>
      </c>
      <c r="D3435" s="18" t="s">
        <v>33</v>
      </c>
      <c r="E3435" s="27">
        <v>42566.3543287037</v>
      </c>
      <c r="F3435" s="19">
        <f>IFERROR(__xludf.DUMMYFUNCTION("IFERROR(TO_DATE(E3435), """")"),42566.3543287037)</f>
        <v>42566.35433</v>
      </c>
      <c r="G3435" s="20">
        <f t="shared" si="1"/>
        <v>8</v>
      </c>
      <c r="H3435" s="18" t="s">
        <v>34</v>
      </c>
      <c r="I3435" s="19" t="str">
        <f>IFERROR(__xludf.DUMMYFUNCTION("IFERROR(TO_DATE(H3435), """")"),"NA")</f>
        <v>NA</v>
      </c>
      <c r="J3435" s="19" t="s">
        <v>14</v>
      </c>
      <c r="K3435" s="22">
        <f t="shared" si="2"/>
        <v>1</v>
      </c>
    </row>
    <row r="3436">
      <c r="A3436" s="18">
        <v>1982.0</v>
      </c>
      <c r="B3436" s="18" t="s">
        <v>32</v>
      </c>
      <c r="C3436" s="18">
        <v>143.0</v>
      </c>
      <c r="D3436" s="18" t="s">
        <v>33</v>
      </c>
      <c r="E3436" s="26">
        <v>42563.51388888889</v>
      </c>
      <c r="F3436" s="19">
        <f>IFERROR(__xludf.DUMMYFUNCTION("IFERROR(TO_DATE(E3436), """")"),42563.51388888889)</f>
        <v>42563.51389</v>
      </c>
      <c r="G3436" s="20">
        <f t="shared" si="1"/>
        <v>12</v>
      </c>
      <c r="H3436" s="18" t="s">
        <v>34</v>
      </c>
      <c r="I3436" s="19" t="str">
        <f>IFERROR(__xludf.DUMMYFUNCTION("IFERROR(TO_DATE(H3436), """")"),"NA")</f>
        <v>NA</v>
      </c>
      <c r="J3436" s="19" t="s">
        <v>10</v>
      </c>
      <c r="K3436" s="22">
        <f t="shared" si="2"/>
        <v>1</v>
      </c>
    </row>
    <row r="3437">
      <c r="A3437" s="18">
        <v>5251.0</v>
      </c>
      <c r="B3437" s="18" t="s">
        <v>30</v>
      </c>
      <c r="C3437" s="18">
        <v>143.0</v>
      </c>
      <c r="D3437" s="18" t="s">
        <v>33</v>
      </c>
      <c r="E3437" s="27">
        <v>42565.887395833335</v>
      </c>
      <c r="F3437" s="19">
        <f>IFERROR(__xludf.DUMMYFUNCTION("IFERROR(TO_DATE(E3437), """")"),42565.887395833335)</f>
        <v>42565.8874</v>
      </c>
      <c r="G3437" s="20">
        <f t="shared" si="1"/>
        <v>21</v>
      </c>
      <c r="H3437" s="18" t="s">
        <v>34</v>
      </c>
      <c r="I3437" s="19" t="str">
        <f>IFERROR(__xludf.DUMMYFUNCTION("IFERROR(TO_DATE(H3437), """")"),"NA")</f>
        <v>NA</v>
      </c>
      <c r="J3437" s="19" t="s">
        <v>13</v>
      </c>
      <c r="K3437" s="22">
        <f t="shared" si="2"/>
        <v>1</v>
      </c>
    </row>
    <row r="3438">
      <c r="A3438" s="18">
        <v>85.0</v>
      </c>
      <c r="B3438" s="18" t="s">
        <v>32</v>
      </c>
      <c r="C3438" s="18">
        <v>144.0</v>
      </c>
      <c r="D3438" s="18" t="s">
        <v>33</v>
      </c>
      <c r="E3438" s="26">
        <v>42562.19930555556</v>
      </c>
      <c r="F3438" s="19">
        <f>IFERROR(__xludf.DUMMYFUNCTION("IFERROR(TO_DATE(E3438), """")"),42562.19930555556)</f>
        <v>42562.19931</v>
      </c>
      <c r="G3438" s="20">
        <f t="shared" si="1"/>
        <v>4</v>
      </c>
      <c r="H3438" s="18" t="s">
        <v>34</v>
      </c>
      <c r="I3438" s="19" t="str">
        <f>IFERROR(__xludf.DUMMYFUNCTION("IFERROR(TO_DATE(H3438), """")"),"NA")</f>
        <v>NA</v>
      </c>
      <c r="J3438" s="19" t="s">
        <v>11</v>
      </c>
      <c r="K3438" s="22">
        <f t="shared" si="2"/>
        <v>1</v>
      </c>
    </row>
    <row r="3439">
      <c r="A3439" s="18">
        <v>459.0</v>
      </c>
      <c r="B3439" s="18" t="s">
        <v>32</v>
      </c>
      <c r="C3439" s="18">
        <v>144.0</v>
      </c>
      <c r="D3439" s="18" t="s">
        <v>33</v>
      </c>
      <c r="E3439" s="26">
        <v>42562.38680555556</v>
      </c>
      <c r="F3439" s="19">
        <f>IFERROR(__xludf.DUMMYFUNCTION("IFERROR(TO_DATE(E3439), """")"),42562.38680555556)</f>
        <v>42562.38681</v>
      </c>
      <c r="G3439" s="20">
        <f t="shared" si="1"/>
        <v>9</v>
      </c>
      <c r="H3439" s="18" t="s">
        <v>34</v>
      </c>
      <c r="I3439" s="19" t="str">
        <f>IFERROR(__xludf.DUMMYFUNCTION("IFERROR(TO_DATE(H3439), """")"),"NA")</f>
        <v>NA</v>
      </c>
      <c r="J3439" s="19" t="s">
        <v>14</v>
      </c>
      <c r="K3439" s="22">
        <f t="shared" si="2"/>
        <v>1</v>
      </c>
    </row>
    <row r="3440">
      <c r="A3440" s="18">
        <v>1507.0</v>
      </c>
      <c r="B3440" s="18" t="s">
        <v>32</v>
      </c>
      <c r="C3440" s="18">
        <v>144.0</v>
      </c>
      <c r="D3440" s="18" t="s">
        <v>33</v>
      </c>
      <c r="E3440" s="26">
        <v>42563.23888888889</v>
      </c>
      <c r="F3440" s="19">
        <f>IFERROR(__xludf.DUMMYFUNCTION("IFERROR(TO_DATE(E3440), """")"),42563.23888888889)</f>
        <v>42563.23889</v>
      </c>
      <c r="G3440" s="20">
        <f t="shared" si="1"/>
        <v>5</v>
      </c>
      <c r="H3440" s="18" t="s">
        <v>34</v>
      </c>
      <c r="I3440" s="19" t="str">
        <f>IFERROR(__xludf.DUMMYFUNCTION("IFERROR(TO_DATE(H3440), """")"),"NA")</f>
        <v>NA</v>
      </c>
      <c r="J3440" s="19" t="s">
        <v>11</v>
      </c>
      <c r="K3440" s="22">
        <f t="shared" si="2"/>
        <v>1</v>
      </c>
    </row>
    <row r="3441">
      <c r="A3441" s="18">
        <v>4231.0</v>
      </c>
      <c r="B3441" s="18" t="s">
        <v>32</v>
      </c>
      <c r="C3441" s="18">
        <v>144.0</v>
      </c>
      <c r="D3441" s="18" t="s">
        <v>33</v>
      </c>
      <c r="E3441" s="27">
        <v>42565.24760416667</v>
      </c>
      <c r="F3441" s="19">
        <f>IFERROR(__xludf.DUMMYFUNCTION("IFERROR(TO_DATE(E3441), """")"),42565.24760416667)</f>
        <v>42565.2476</v>
      </c>
      <c r="G3441" s="20">
        <f t="shared" si="1"/>
        <v>5</v>
      </c>
      <c r="H3441" s="18" t="s">
        <v>34</v>
      </c>
      <c r="I3441" s="19" t="str">
        <f>IFERROR(__xludf.DUMMYFUNCTION("IFERROR(TO_DATE(H3441), """")"),"NA")</f>
        <v>NA</v>
      </c>
      <c r="J3441" s="19" t="s">
        <v>11</v>
      </c>
      <c r="K3441" s="22">
        <f t="shared" si="2"/>
        <v>1</v>
      </c>
    </row>
    <row r="3442">
      <c r="A3442" s="18">
        <v>4427.0</v>
      </c>
      <c r="B3442" s="18" t="s">
        <v>32</v>
      </c>
      <c r="C3442" s="18">
        <v>144.0</v>
      </c>
      <c r="D3442" s="18" t="s">
        <v>33</v>
      </c>
      <c r="E3442" s="27">
        <v>42565.349224537036</v>
      </c>
      <c r="F3442" s="19">
        <f>IFERROR(__xludf.DUMMYFUNCTION("IFERROR(TO_DATE(E3442), """")"),42565.349224537036)</f>
        <v>42565.34922</v>
      </c>
      <c r="G3442" s="20">
        <f t="shared" si="1"/>
        <v>8</v>
      </c>
      <c r="H3442" s="18" t="s">
        <v>34</v>
      </c>
      <c r="I3442" s="19" t="str">
        <f>IFERROR(__xludf.DUMMYFUNCTION("IFERROR(TO_DATE(H3442), """")"),"NA")</f>
        <v>NA</v>
      </c>
      <c r="J3442" s="19" t="s">
        <v>14</v>
      </c>
      <c r="K3442" s="22">
        <f t="shared" si="2"/>
        <v>1</v>
      </c>
    </row>
    <row r="3443">
      <c r="A3443" s="18">
        <v>5640.0</v>
      </c>
      <c r="B3443" s="18" t="s">
        <v>32</v>
      </c>
      <c r="C3443" s="18">
        <v>144.0</v>
      </c>
      <c r="D3443" s="18" t="s">
        <v>33</v>
      </c>
      <c r="E3443" s="27">
        <v>42566.27946759259</v>
      </c>
      <c r="F3443" s="19">
        <f>IFERROR(__xludf.DUMMYFUNCTION("IFERROR(TO_DATE(E3443), """")"),42566.27946759259)</f>
        <v>42566.27947</v>
      </c>
      <c r="G3443" s="20">
        <f t="shared" si="1"/>
        <v>6</v>
      </c>
      <c r="H3443" s="18" t="s">
        <v>34</v>
      </c>
      <c r="I3443" s="19" t="str">
        <f>IFERROR(__xludf.DUMMYFUNCTION("IFERROR(TO_DATE(H3443), """")"),"NA")</f>
        <v>NA</v>
      </c>
      <c r="J3443" s="19" t="s">
        <v>11</v>
      </c>
      <c r="K3443" s="22">
        <f t="shared" si="2"/>
        <v>1</v>
      </c>
    </row>
    <row r="3444">
      <c r="A3444" s="18">
        <v>317.0</v>
      </c>
      <c r="B3444" s="18" t="s">
        <v>32</v>
      </c>
      <c r="C3444" s="18">
        <v>145.0</v>
      </c>
      <c r="D3444" s="18" t="s">
        <v>33</v>
      </c>
      <c r="E3444" s="26">
        <v>42562.31180555555</v>
      </c>
      <c r="F3444" s="19">
        <f>IFERROR(__xludf.DUMMYFUNCTION("IFERROR(TO_DATE(E3444), """")"),42562.31180555555)</f>
        <v>42562.31181</v>
      </c>
      <c r="G3444" s="20">
        <f t="shared" si="1"/>
        <v>7</v>
      </c>
      <c r="H3444" s="18" t="s">
        <v>34</v>
      </c>
      <c r="I3444" s="19" t="str">
        <f>IFERROR(__xludf.DUMMYFUNCTION("IFERROR(TO_DATE(H3444), """")"),"NA")</f>
        <v>NA</v>
      </c>
      <c r="J3444" s="19" t="s">
        <v>11</v>
      </c>
      <c r="K3444" s="22">
        <f t="shared" si="2"/>
        <v>1</v>
      </c>
    </row>
    <row r="3445">
      <c r="A3445" s="18">
        <v>5581.0</v>
      </c>
      <c r="B3445" s="18" t="s">
        <v>32</v>
      </c>
      <c r="C3445" s="18">
        <v>145.0</v>
      </c>
      <c r="D3445" s="18" t="s">
        <v>33</v>
      </c>
      <c r="E3445" s="27">
        <v>42566.24570601852</v>
      </c>
      <c r="F3445" s="19">
        <f>IFERROR(__xludf.DUMMYFUNCTION("IFERROR(TO_DATE(E3445), """")"),42566.24570601852)</f>
        <v>42566.24571</v>
      </c>
      <c r="G3445" s="20">
        <f t="shared" si="1"/>
        <v>5</v>
      </c>
      <c r="H3445" s="18" t="s">
        <v>34</v>
      </c>
      <c r="I3445" s="19" t="str">
        <f>IFERROR(__xludf.DUMMYFUNCTION("IFERROR(TO_DATE(H3445), """")"),"NA")</f>
        <v>NA</v>
      </c>
      <c r="J3445" s="19" t="s">
        <v>11</v>
      </c>
      <c r="K3445" s="22">
        <f t="shared" si="2"/>
        <v>1</v>
      </c>
    </row>
    <row r="3446">
      <c r="A3446" s="18">
        <v>6288.0</v>
      </c>
      <c r="B3446" s="18" t="s">
        <v>32</v>
      </c>
      <c r="C3446" s="18">
        <v>145.0</v>
      </c>
      <c r="D3446" s="18" t="s">
        <v>33</v>
      </c>
      <c r="E3446" s="27">
        <v>42566.76238425926</v>
      </c>
      <c r="F3446" s="19">
        <f>IFERROR(__xludf.DUMMYFUNCTION("IFERROR(TO_DATE(E3446), """")"),42566.76238425926)</f>
        <v>42566.76238</v>
      </c>
      <c r="G3446" s="20">
        <f t="shared" si="1"/>
        <v>18</v>
      </c>
      <c r="H3446" s="18" t="s">
        <v>34</v>
      </c>
      <c r="I3446" s="19" t="str">
        <f>IFERROR(__xludf.DUMMYFUNCTION("IFERROR(TO_DATE(H3446), """")"),"NA")</f>
        <v>NA</v>
      </c>
      <c r="J3446" s="19" t="s">
        <v>12</v>
      </c>
      <c r="K3446" s="22">
        <f t="shared" si="2"/>
        <v>1</v>
      </c>
    </row>
    <row r="3447">
      <c r="A3447" s="18">
        <v>1267.0</v>
      </c>
      <c r="B3447" s="18" t="s">
        <v>32</v>
      </c>
      <c r="C3447" s="18">
        <v>146.0</v>
      </c>
      <c r="D3447" s="18" t="s">
        <v>33</v>
      </c>
      <c r="E3447" s="26">
        <v>42562.91736111111</v>
      </c>
      <c r="F3447" s="19">
        <f>IFERROR(__xludf.DUMMYFUNCTION("IFERROR(TO_DATE(E3447), """")"),42562.91736111111)</f>
        <v>42562.91736</v>
      </c>
      <c r="G3447" s="20">
        <f t="shared" si="1"/>
        <v>22</v>
      </c>
      <c r="H3447" s="18" t="s">
        <v>34</v>
      </c>
      <c r="I3447" s="19" t="str">
        <f>IFERROR(__xludf.DUMMYFUNCTION("IFERROR(TO_DATE(H3447), """")"),"NA")</f>
        <v>NA</v>
      </c>
      <c r="J3447" s="19" t="s">
        <v>13</v>
      </c>
      <c r="K3447" s="22">
        <f t="shared" si="2"/>
        <v>1</v>
      </c>
    </row>
    <row r="3448">
      <c r="A3448" s="18">
        <v>2026.0</v>
      </c>
      <c r="B3448" s="18" t="s">
        <v>30</v>
      </c>
      <c r="C3448" s="18">
        <v>146.0</v>
      </c>
      <c r="D3448" s="18" t="s">
        <v>33</v>
      </c>
      <c r="E3448" s="26">
        <v>42563.583333333336</v>
      </c>
      <c r="F3448" s="19">
        <f>IFERROR(__xludf.DUMMYFUNCTION("IFERROR(TO_DATE(E3448), """")"),42563.583333333336)</f>
        <v>42563.58333</v>
      </c>
      <c r="G3448" s="20">
        <f t="shared" si="1"/>
        <v>14</v>
      </c>
      <c r="H3448" s="18" t="s">
        <v>34</v>
      </c>
      <c r="I3448" s="19" t="str">
        <f>IFERROR(__xludf.DUMMYFUNCTION("IFERROR(TO_DATE(H3448), """")"),"NA")</f>
        <v>NA</v>
      </c>
      <c r="J3448" s="19" t="s">
        <v>10</v>
      </c>
      <c r="K3448" s="22">
        <f t="shared" si="2"/>
        <v>1</v>
      </c>
    </row>
    <row r="3449">
      <c r="A3449" s="18">
        <v>2150.0</v>
      </c>
      <c r="B3449" s="18" t="s">
        <v>32</v>
      </c>
      <c r="C3449" s="18">
        <v>146.0</v>
      </c>
      <c r="D3449" s="18" t="s">
        <v>33</v>
      </c>
      <c r="E3449" s="26">
        <v>42563.71944444445</v>
      </c>
      <c r="F3449" s="19">
        <f>IFERROR(__xludf.DUMMYFUNCTION("IFERROR(TO_DATE(E3449), """")"),42563.71944444445)</f>
        <v>42563.71944</v>
      </c>
      <c r="G3449" s="20">
        <f t="shared" si="1"/>
        <v>17</v>
      </c>
      <c r="H3449" s="18" t="s">
        <v>34</v>
      </c>
      <c r="I3449" s="19" t="str">
        <f>IFERROR(__xludf.DUMMYFUNCTION("IFERROR(TO_DATE(H3449), """")"),"NA")</f>
        <v>NA</v>
      </c>
      <c r="J3449" s="19" t="s">
        <v>12</v>
      </c>
      <c r="K3449" s="22">
        <f t="shared" si="2"/>
        <v>1</v>
      </c>
    </row>
    <row r="3450">
      <c r="A3450" s="18">
        <v>2389.0</v>
      </c>
      <c r="B3450" s="18" t="s">
        <v>32</v>
      </c>
      <c r="C3450" s="18">
        <v>146.0</v>
      </c>
      <c r="D3450" s="18" t="s">
        <v>33</v>
      </c>
      <c r="E3450" s="26">
        <v>42563.82777777778</v>
      </c>
      <c r="F3450" s="19">
        <f>IFERROR(__xludf.DUMMYFUNCTION("IFERROR(TO_DATE(E3450), """")"),42563.82777777778)</f>
        <v>42563.82778</v>
      </c>
      <c r="G3450" s="20">
        <f t="shared" si="1"/>
        <v>19</v>
      </c>
      <c r="H3450" s="18" t="s">
        <v>34</v>
      </c>
      <c r="I3450" s="19" t="str">
        <f>IFERROR(__xludf.DUMMYFUNCTION("IFERROR(TO_DATE(H3450), """")"),"NA")</f>
        <v>NA</v>
      </c>
      <c r="J3450" s="19" t="s">
        <v>12</v>
      </c>
      <c r="K3450" s="22">
        <f t="shared" si="2"/>
        <v>1</v>
      </c>
    </row>
    <row r="3451">
      <c r="A3451" s="18">
        <v>954.0</v>
      </c>
      <c r="B3451" s="18" t="s">
        <v>30</v>
      </c>
      <c r="C3451" s="18">
        <v>147.0</v>
      </c>
      <c r="D3451" s="18" t="s">
        <v>33</v>
      </c>
      <c r="E3451" s="26">
        <v>42562.774305555555</v>
      </c>
      <c r="F3451" s="19">
        <f>IFERROR(__xludf.DUMMYFUNCTION("IFERROR(TO_DATE(E3451), """")"),42562.774305555555)</f>
        <v>42562.77431</v>
      </c>
      <c r="G3451" s="20">
        <f t="shared" si="1"/>
        <v>18</v>
      </c>
      <c r="H3451" s="18" t="s">
        <v>34</v>
      </c>
      <c r="I3451" s="19" t="str">
        <f>IFERROR(__xludf.DUMMYFUNCTION("IFERROR(TO_DATE(H3451), """")"),"NA")</f>
        <v>NA</v>
      </c>
      <c r="J3451" s="19" t="s">
        <v>12</v>
      </c>
      <c r="K3451" s="22">
        <f t="shared" si="2"/>
        <v>1</v>
      </c>
    </row>
    <row r="3452">
      <c r="A3452" s="18">
        <v>2795.0</v>
      </c>
      <c r="B3452" s="18" t="s">
        <v>32</v>
      </c>
      <c r="C3452" s="18">
        <v>147.0</v>
      </c>
      <c r="D3452" s="18" t="s">
        <v>33</v>
      </c>
      <c r="E3452" s="27">
        <v>42564.205196759256</v>
      </c>
      <c r="F3452" s="19">
        <f>IFERROR(__xludf.DUMMYFUNCTION("IFERROR(TO_DATE(E3452), """")"),42564.205196759256)</f>
        <v>42564.2052</v>
      </c>
      <c r="G3452" s="20">
        <f t="shared" si="1"/>
        <v>4</v>
      </c>
      <c r="H3452" s="18" t="s">
        <v>34</v>
      </c>
      <c r="I3452" s="19" t="str">
        <f>IFERROR(__xludf.DUMMYFUNCTION("IFERROR(TO_DATE(H3452), """")"),"NA")</f>
        <v>NA</v>
      </c>
      <c r="J3452" s="19" t="s">
        <v>11</v>
      </c>
      <c r="K3452" s="22">
        <f t="shared" si="2"/>
        <v>1</v>
      </c>
    </row>
    <row r="3453">
      <c r="A3453" s="18">
        <v>4184.0</v>
      </c>
      <c r="B3453" s="18" t="s">
        <v>32</v>
      </c>
      <c r="C3453" s="18">
        <v>147.0</v>
      </c>
      <c r="D3453" s="18" t="s">
        <v>33</v>
      </c>
      <c r="E3453" s="27">
        <v>42565.221608796295</v>
      </c>
      <c r="F3453" s="19">
        <f>IFERROR(__xludf.DUMMYFUNCTION("IFERROR(TO_DATE(E3453), """")"),42565.221608796295)</f>
        <v>42565.22161</v>
      </c>
      <c r="G3453" s="20">
        <f t="shared" si="1"/>
        <v>5</v>
      </c>
      <c r="H3453" s="18" t="s">
        <v>34</v>
      </c>
      <c r="I3453" s="19" t="str">
        <f>IFERROR(__xludf.DUMMYFUNCTION("IFERROR(TO_DATE(H3453), """")"),"NA")</f>
        <v>NA</v>
      </c>
      <c r="J3453" s="19" t="s">
        <v>11</v>
      </c>
      <c r="K3453" s="22">
        <f t="shared" si="2"/>
        <v>1</v>
      </c>
    </row>
    <row r="3454">
      <c r="A3454" s="18">
        <v>4563.0</v>
      </c>
      <c r="B3454" s="18" t="s">
        <v>32</v>
      </c>
      <c r="C3454" s="18">
        <v>147.0</v>
      </c>
      <c r="D3454" s="18" t="s">
        <v>33</v>
      </c>
      <c r="E3454" s="27">
        <v>42565.40730324074</v>
      </c>
      <c r="F3454" s="19">
        <f>IFERROR(__xludf.DUMMYFUNCTION("IFERROR(TO_DATE(E3454), """")"),42565.40730324074)</f>
        <v>42565.4073</v>
      </c>
      <c r="G3454" s="20">
        <f t="shared" si="1"/>
        <v>9</v>
      </c>
      <c r="H3454" s="18" t="s">
        <v>34</v>
      </c>
      <c r="I3454" s="19" t="str">
        <f>IFERROR(__xludf.DUMMYFUNCTION("IFERROR(TO_DATE(H3454), """")"),"NA")</f>
        <v>NA</v>
      </c>
      <c r="J3454" s="19" t="s">
        <v>14</v>
      </c>
      <c r="K3454" s="22">
        <f t="shared" si="2"/>
        <v>1</v>
      </c>
    </row>
    <row r="3455">
      <c r="A3455" s="18">
        <v>774.0</v>
      </c>
      <c r="B3455" s="18" t="s">
        <v>30</v>
      </c>
      <c r="C3455" s="18">
        <v>148.0</v>
      </c>
      <c r="D3455" s="18" t="s">
        <v>33</v>
      </c>
      <c r="E3455" s="26">
        <v>42562.686111111114</v>
      </c>
      <c r="F3455" s="19">
        <f>IFERROR(__xludf.DUMMYFUNCTION("IFERROR(TO_DATE(E3455), """")"),42562.686111111114)</f>
        <v>42562.68611</v>
      </c>
      <c r="G3455" s="20">
        <f t="shared" si="1"/>
        <v>16</v>
      </c>
      <c r="H3455" s="18" t="s">
        <v>34</v>
      </c>
      <c r="I3455" s="19" t="str">
        <f>IFERROR(__xludf.DUMMYFUNCTION("IFERROR(TO_DATE(H3455), """")"),"NA")</f>
        <v>NA</v>
      </c>
      <c r="J3455" s="19" t="s">
        <v>12</v>
      </c>
      <c r="K3455" s="22">
        <f t="shared" si="2"/>
        <v>1</v>
      </c>
    </row>
    <row r="3456">
      <c r="A3456" s="18">
        <v>2777.0</v>
      </c>
      <c r="B3456" s="18" t="s">
        <v>32</v>
      </c>
      <c r="C3456" s="18">
        <v>148.0</v>
      </c>
      <c r="D3456" s="18" t="s">
        <v>33</v>
      </c>
      <c r="E3456" s="27">
        <v>42564.19693287037</v>
      </c>
      <c r="F3456" s="19">
        <f>IFERROR(__xludf.DUMMYFUNCTION("IFERROR(TO_DATE(E3456), """")"),42564.19693287037)</f>
        <v>42564.19693</v>
      </c>
      <c r="G3456" s="20">
        <f t="shared" si="1"/>
        <v>4</v>
      </c>
      <c r="H3456" s="18" t="s">
        <v>34</v>
      </c>
      <c r="I3456" s="19" t="str">
        <f>IFERROR(__xludf.DUMMYFUNCTION("IFERROR(TO_DATE(H3456), """")"),"NA")</f>
        <v>NA</v>
      </c>
      <c r="J3456" s="19" t="s">
        <v>11</v>
      </c>
      <c r="K3456" s="22">
        <f t="shared" si="2"/>
        <v>1</v>
      </c>
    </row>
    <row r="3457">
      <c r="A3457" s="18">
        <v>2891.0</v>
      </c>
      <c r="B3457" s="18" t="s">
        <v>32</v>
      </c>
      <c r="C3457" s="18">
        <v>148.0</v>
      </c>
      <c r="D3457" s="18" t="s">
        <v>33</v>
      </c>
      <c r="E3457" s="27">
        <v>42564.245046296295</v>
      </c>
      <c r="F3457" s="19">
        <f>IFERROR(__xludf.DUMMYFUNCTION("IFERROR(TO_DATE(E3457), """")"),42564.245046296295)</f>
        <v>42564.24505</v>
      </c>
      <c r="G3457" s="20">
        <f t="shared" si="1"/>
        <v>5</v>
      </c>
      <c r="H3457" s="18" t="s">
        <v>34</v>
      </c>
      <c r="I3457" s="19" t="str">
        <f>IFERROR(__xludf.DUMMYFUNCTION("IFERROR(TO_DATE(H3457), """")"),"NA")</f>
        <v>NA</v>
      </c>
      <c r="J3457" s="19" t="s">
        <v>11</v>
      </c>
      <c r="K3457" s="22">
        <f t="shared" si="2"/>
        <v>1</v>
      </c>
    </row>
    <row r="3458">
      <c r="A3458" s="18">
        <v>6377.0</v>
      </c>
      <c r="B3458" s="18" t="s">
        <v>32</v>
      </c>
      <c r="C3458" s="18">
        <v>148.0</v>
      </c>
      <c r="D3458" s="18" t="s">
        <v>33</v>
      </c>
      <c r="E3458" s="27">
        <v>42566.801828703705</v>
      </c>
      <c r="F3458" s="19">
        <f>IFERROR(__xludf.DUMMYFUNCTION("IFERROR(TO_DATE(E3458), """")"),42566.801828703705)</f>
        <v>42566.80183</v>
      </c>
      <c r="G3458" s="20">
        <f t="shared" si="1"/>
        <v>19</v>
      </c>
      <c r="H3458" s="18" t="s">
        <v>34</v>
      </c>
      <c r="I3458" s="19" t="str">
        <f>IFERROR(__xludf.DUMMYFUNCTION("IFERROR(TO_DATE(H3458), """")"),"NA")</f>
        <v>NA</v>
      </c>
      <c r="J3458" s="19" t="s">
        <v>12</v>
      </c>
      <c r="K3458" s="22">
        <f t="shared" si="2"/>
        <v>1</v>
      </c>
    </row>
    <row r="3459">
      <c r="A3459" s="18">
        <v>1561.0</v>
      </c>
      <c r="B3459" s="18" t="s">
        <v>32</v>
      </c>
      <c r="C3459" s="18">
        <v>149.0</v>
      </c>
      <c r="D3459" s="18" t="s">
        <v>33</v>
      </c>
      <c r="E3459" s="26">
        <v>42563.259722222225</v>
      </c>
      <c r="F3459" s="19">
        <f>IFERROR(__xludf.DUMMYFUNCTION("IFERROR(TO_DATE(E3459), """")"),42563.259722222225)</f>
        <v>42563.25972</v>
      </c>
      <c r="G3459" s="20">
        <f t="shared" si="1"/>
        <v>6</v>
      </c>
      <c r="H3459" s="18" t="s">
        <v>34</v>
      </c>
      <c r="I3459" s="19" t="str">
        <f>IFERROR(__xludf.DUMMYFUNCTION("IFERROR(TO_DATE(H3459), """")"),"NA")</f>
        <v>NA</v>
      </c>
      <c r="J3459" s="19" t="s">
        <v>11</v>
      </c>
      <c r="K3459" s="22">
        <f t="shared" si="2"/>
        <v>1</v>
      </c>
    </row>
    <row r="3460">
      <c r="A3460" s="18">
        <v>1888.0</v>
      </c>
      <c r="B3460" s="18" t="s">
        <v>32</v>
      </c>
      <c r="C3460" s="18">
        <v>149.0</v>
      </c>
      <c r="D3460" s="18" t="s">
        <v>33</v>
      </c>
      <c r="E3460" s="26">
        <v>42563.425</v>
      </c>
      <c r="F3460" s="19">
        <f>IFERROR(__xludf.DUMMYFUNCTION("IFERROR(TO_DATE(E3460), """")"),42563.425)</f>
        <v>42563.425</v>
      </c>
      <c r="G3460" s="20">
        <f t="shared" si="1"/>
        <v>10</v>
      </c>
      <c r="H3460" s="18" t="s">
        <v>34</v>
      </c>
      <c r="I3460" s="19" t="str">
        <f>IFERROR(__xludf.DUMMYFUNCTION("IFERROR(TO_DATE(H3460), """")"),"NA")</f>
        <v>NA</v>
      </c>
      <c r="J3460" s="19" t="s">
        <v>14</v>
      </c>
      <c r="K3460" s="22">
        <f t="shared" si="2"/>
        <v>1</v>
      </c>
    </row>
    <row r="3461">
      <c r="A3461" s="18">
        <v>4192.0</v>
      </c>
      <c r="B3461" s="18" t="s">
        <v>32</v>
      </c>
      <c r="C3461" s="18">
        <v>149.0</v>
      </c>
      <c r="D3461" s="18" t="s">
        <v>33</v>
      </c>
      <c r="E3461" s="27">
        <v>42565.2262962963</v>
      </c>
      <c r="F3461" s="19">
        <f>IFERROR(__xludf.DUMMYFUNCTION("IFERROR(TO_DATE(E3461), """")"),42565.2262962963)</f>
        <v>42565.2263</v>
      </c>
      <c r="G3461" s="20">
        <f t="shared" si="1"/>
        <v>5</v>
      </c>
      <c r="H3461" s="18" t="s">
        <v>34</v>
      </c>
      <c r="I3461" s="19" t="str">
        <f>IFERROR(__xludf.DUMMYFUNCTION("IFERROR(TO_DATE(H3461), """")"),"NA")</f>
        <v>NA</v>
      </c>
      <c r="J3461" s="19" t="s">
        <v>11</v>
      </c>
      <c r="K3461" s="22">
        <f t="shared" si="2"/>
        <v>1</v>
      </c>
    </row>
    <row r="3462">
      <c r="A3462" s="18">
        <v>4455.0</v>
      </c>
      <c r="B3462" s="18" t="s">
        <v>32</v>
      </c>
      <c r="C3462" s="18">
        <v>149.0</v>
      </c>
      <c r="D3462" s="18" t="s">
        <v>33</v>
      </c>
      <c r="E3462" s="27">
        <v>42565.35665509259</v>
      </c>
      <c r="F3462" s="19">
        <f>IFERROR(__xludf.DUMMYFUNCTION("IFERROR(TO_DATE(E3462), """")"),42565.35665509259)</f>
        <v>42565.35666</v>
      </c>
      <c r="G3462" s="20">
        <f t="shared" si="1"/>
        <v>8</v>
      </c>
      <c r="H3462" s="18" t="s">
        <v>34</v>
      </c>
      <c r="I3462" s="19" t="str">
        <f>IFERROR(__xludf.DUMMYFUNCTION("IFERROR(TO_DATE(H3462), """")"),"NA")</f>
        <v>NA</v>
      </c>
      <c r="J3462" s="19" t="s">
        <v>14</v>
      </c>
      <c r="K3462" s="22">
        <f t="shared" si="2"/>
        <v>1</v>
      </c>
    </row>
    <row r="3463">
      <c r="A3463" s="18">
        <v>4527.0</v>
      </c>
      <c r="B3463" s="18" t="s">
        <v>32</v>
      </c>
      <c r="C3463" s="18">
        <v>149.0</v>
      </c>
      <c r="D3463" s="18" t="s">
        <v>33</v>
      </c>
      <c r="E3463" s="27">
        <v>42565.39405092593</v>
      </c>
      <c r="F3463" s="19">
        <f>IFERROR(__xludf.DUMMYFUNCTION("IFERROR(TO_DATE(E3463), """")"),42565.39405092593)</f>
        <v>42565.39405</v>
      </c>
      <c r="G3463" s="20">
        <f t="shared" si="1"/>
        <v>9</v>
      </c>
      <c r="H3463" s="18" t="s">
        <v>34</v>
      </c>
      <c r="I3463" s="19" t="str">
        <f>IFERROR(__xludf.DUMMYFUNCTION("IFERROR(TO_DATE(H3463), """")"),"NA")</f>
        <v>NA</v>
      </c>
      <c r="J3463" s="19" t="s">
        <v>14</v>
      </c>
      <c r="K3463" s="22">
        <f t="shared" si="2"/>
        <v>1</v>
      </c>
    </row>
    <row r="3464">
      <c r="A3464" s="18">
        <v>4575.0</v>
      </c>
      <c r="B3464" s="18" t="s">
        <v>32</v>
      </c>
      <c r="C3464" s="18">
        <v>149.0</v>
      </c>
      <c r="D3464" s="18" t="s">
        <v>33</v>
      </c>
      <c r="E3464" s="27">
        <v>42565.412881944445</v>
      </c>
      <c r="F3464" s="19">
        <f>IFERROR(__xludf.DUMMYFUNCTION("IFERROR(TO_DATE(E3464), """")"),42565.412881944445)</f>
        <v>42565.41288</v>
      </c>
      <c r="G3464" s="20">
        <f t="shared" si="1"/>
        <v>9</v>
      </c>
      <c r="H3464" s="18" t="s">
        <v>34</v>
      </c>
      <c r="I3464" s="19" t="str">
        <f>IFERROR(__xludf.DUMMYFUNCTION("IFERROR(TO_DATE(H3464), """")"),"NA")</f>
        <v>NA</v>
      </c>
      <c r="J3464" s="19" t="s">
        <v>14</v>
      </c>
      <c r="K3464" s="22">
        <f t="shared" si="2"/>
        <v>1</v>
      </c>
    </row>
    <row r="3465">
      <c r="A3465" s="18">
        <v>1116.0</v>
      </c>
      <c r="B3465" s="18" t="s">
        <v>30</v>
      </c>
      <c r="C3465" s="18">
        <v>150.0</v>
      </c>
      <c r="D3465" s="18" t="s">
        <v>33</v>
      </c>
      <c r="E3465" s="26">
        <v>42562.850694444445</v>
      </c>
      <c r="F3465" s="19">
        <f>IFERROR(__xludf.DUMMYFUNCTION("IFERROR(TO_DATE(E3465), """")"),42562.850694444445)</f>
        <v>42562.85069</v>
      </c>
      <c r="G3465" s="20">
        <f t="shared" si="1"/>
        <v>20</v>
      </c>
      <c r="H3465" s="18" t="s">
        <v>34</v>
      </c>
      <c r="I3465" s="19" t="str">
        <f>IFERROR(__xludf.DUMMYFUNCTION("IFERROR(TO_DATE(H3465), """")"),"NA")</f>
        <v>NA</v>
      </c>
      <c r="J3465" s="19" t="s">
        <v>13</v>
      </c>
      <c r="K3465" s="22">
        <f t="shared" si="2"/>
        <v>1</v>
      </c>
    </row>
    <row r="3466">
      <c r="A3466" s="18">
        <v>3061.0</v>
      </c>
      <c r="B3466" s="18" t="s">
        <v>32</v>
      </c>
      <c r="C3466" s="18">
        <v>150.0</v>
      </c>
      <c r="D3466" s="18" t="s">
        <v>33</v>
      </c>
      <c r="E3466" s="27">
        <v>42564.32848379629</v>
      </c>
      <c r="F3466" s="19">
        <f>IFERROR(__xludf.DUMMYFUNCTION("IFERROR(TO_DATE(E3466), """")"),42564.32848379629)</f>
        <v>42564.32848</v>
      </c>
      <c r="G3466" s="20">
        <f t="shared" si="1"/>
        <v>7</v>
      </c>
      <c r="H3466" s="18" t="s">
        <v>34</v>
      </c>
      <c r="I3466" s="19" t="str">
        <f>IFERROR(__xludf.DUMMYFUNCTION("IFERROR(TO_DATE(H3466), """")"),"NA")</f>
        <v>NA</v>
      </c>
      <c r="J3466" s="19" t="s">
        <v>11</v>
      </c>
      <c r="K3466" s="22">
        <f t="shared" si="2"/>
        <v>1</v>
      </c>
    </row>
    <row r="3467">
      <c r="A3467" s="18">
        <v>4431.0</v>
      </c>
      <c r="B3467" s="18" t="s">
        <v>32</v>
      </c>
      <c r="C3467" s="18">
        <v>150.0</v>
      </c>
      <c r="D3467" s="18" t="s">
        <v>33</v>
      </c>
      <c r="E3467" s="27">
        <v>42565.34982638889</v>
      </c>
      <c r="F3467" s="19">
        <f>IFERROR(__xludf.DUMMYFUNCTION("IFERROR(TO_DATE(E3467), """")"),42565.34982638889)</f>
        <v>42565.34983</v>
      </c>
      <c r="G3467" s="20">
        <f t="shared" si="1"/>
        <v>8</v>
      </c>
      <c r="H3467" s="18" t="s">
        <v>34</v>
      </c>
      <c r="I3467" s="19" t="str">
        <f>IFERROR(__xludf.DUMMYFUNCTION("IFERROR(TO_DATE(H3467), """")"),"NA")</f>
        <v>NA</v>
      </c>
      <c r="J3467" s="19" t="s">
        <v>14</v>
      </c>
      <c r="K3467" s="22">
        <f t="shared" si="2"/>
        <v>1</v>
      </c>
    </row>
    <row r="3468">
      <c r="A3468" s="18">
        <v>227.0</v>
      </c>
      <c r="B3468" s="18" t="s">
        <v>30</v>
      </c>
      <c r="C3468" s="18">
        <v>151.0</v>
      </c>
      <c r="D3468" s="18" t="s">
        <v>33</v>
      </c>
      <c r="E3468" s="26">
        <v>42562.26388888889</v>
      </c>
      <c r="F3468" s="19">
        <f>IFERROR(__xludf.DUMMYFUNCTION("IFERROR(TO_DATE(E3468), """")"),42562.26388888889)</f>
        <v>42562.26389</v>
      </c>
      <c r="G3468" s="20">
        <f t="shared" si="1"/>
        <v>6</v>
      </c>
      <c r="H3468" s="18" t="s">
        <v>34</v>
      </c>
      <c r="I3468" s="19" t="str">
        <f>IFERROR(__xludf.DUMMYFUNCTION("IFERROR(TO_DATE(H3468), """")"),"NA")</f>
        <v>NA</v>
      </c>
      <c r="J3468" s="19" t="s">
        <v>11</v>
      </c>
      <c r="K3468" s="22">
        <f t="shared" si="2"/>
        <v>1</v>
      </c>
    </row>
    <row r="3469">
      <c r="A3469" s="18">
        <v>1434.0</v>
      </c>
      <c r="B3469" s="18" t="s">
        <v>32</v>
      </c>
      <c r="C3469" s="18">
        <v>151.0</v>
      </c>
      <c r="D3469" s="18" t="s">
        <v>33</v>
      </c>
      <c r="E3469" s="26">
        <v>42563.19652777778</v>
      </c>
      <c r="F3469" s="19">
        <f>IFERROR(__xludf.DUMMYFUNCTION("IFERROR(TO_DATE(E3469), """")"),42563.19652777778)</f>
        <v>42563.19653</v>
      </c>
      <c r="G3469" s="20">
        <f t="shared" si="1"/>
        <v>4</v>
      </c>
      <c r="H3469" s="18" t="s">
        <v>34</v>
      </c>
      <c r="I3469" s="19" t="str">
        <f>IFERROR(__xludf.DUMMYFUNCTION("IFERROR(TO_DATE(H3469), """")"),"NA")</f>
        <v>NA</v>
      </c>
      <c r="J3469" s="19" t="s">
        <v>11</v>
      </c>
      <c r="K3469" s="22">
        <f t="shared" si="2"/>
        <v>1</v>
      </c>
    </row>
    <row r="3470">
      <c r="A3470" s="18">
        <v>3040.0</v>
      </c>
      <c r="B3470" s="18" t="s">
        <v>32</v>
      </c>
      <c r="C3470" s="18">
        <v>151.0</v>
      </c>
      <c r="D3470" s="18" t="s">
        <v>33</v>
      </c>
      <c r="E3470" s="27">
        <v>42564.320497685185</v>
      </c>
      <c r="F3470" s="19">
        <f>IFERROR(__xludf.DUMMYFUNCTION("IFERROR(TO_DATE(E3470), """")"),42564.320497685185)</f>
        <v>42564.3205</v>
      </c>
      <c r="G3470" s="20">
        <f t="shared" si="1"/>
        <v>7</v>
      </c>
      <c r="H3470" s="18" t="s">
        <v>34</v>
      </c>
      <c r="I3470" s="19" t="str">
        <f>IFERROR(__xludf.DUMMYFUNCTION("IFERROR(TO_DATE(H3470), """")"),"NA")</f>
        <v>NA</v>
      </c>
      <c r="J3470" s="19" t="s">
        <v>11</v>
      </c>
      <c r="K3470" s="22">
        <f t="shared" si="2"/>
        <v>1</v>
      </c>
    </row>
    <row r="3471">
      <c r="A3471" s="18">
        <v>4366.0</v>
      </c>
      <c r="B3471" s="18" t="s">
        <v>32</v>
      </c>
      <c r="C3471" s="18">
        <v>152.0</v>
      </c>
      <c r="D3471" s="18" t="s">
        <v>33</v>
      </c>
      <c r="E3471" s="27">
        <v>42565.31196759259</v>
      </c>
      <c r="F3471" s="19">
        <f>IFERROR(__xludf.DUMMYFUNCTION("IFERROR(TO_DATE(E3471), """")"),42565.31196759259)</f>
        <v>42565.31197</v>
      </c>
      <c r="G3471" s="20">
        <f t="shared" si="1"/>
        <v>7</v>
      </c>
      <c r="H3471" s="18" t="s">
        <v>34</v>
      </c>
      <c r="I3471" s="19" t="str">
        <f>IFERROR(__xludf.DUMMYFUNCTION("IFERROR(TO_DATE(H3471), """")"),"NA")</f>
        <v>NA</v>
      </c>
      <c r="J3471" s="19" t="s">
        <v>11</v>
      </c>
      <c r="K3471" s="22">
        <f t="shared" si="2"/>
        <v>1</v>
      </c>
    </row>
    <row r="3472">
      <c r="A3472" s="18">
        <v>4594.0</v>
      </c>
      <c r="B3472" s="18" t="s">
        <v>32</v>
      </c>
      <c r="C3472" s="18">
        <v>152.0</v>
      </c>
      <c r="D3472" s="18" t="s">
        <v>33</v>
      </c>
      <c r="E3472" s="27">
        <v>42565.421689814815</v>
      </c>
      <c r="F3472" s="19">
        <f>IFERROR(__xludf.DUMMYFUNCTION("IFERROR(TO_DATE(E3472), """")"),42565.421689814815)</f>
        <v>42565.42169</v>
      </c>
      <c r="G3472" s="20">
        <f t="shared" si="1"/>
        <v>10</v>
      </c>
      <c r="H3472" s="18" t="s">
        <v>34</v>
      </c>
      <c r="I3472" s="19" t="str">
        <f>IFERROR(__xludf.DUMMYFUNCTION("IFERROR(TO_DATE(H3472), """")"),"NA")</f>
        <v>NA</v>
      </c>
      <c r="J3472" s="19" t="s">
        <v>14</v>
      </c>
      <c r="K3472" s="22">
        <f t="shared" si="2"/>
        <v>1</v>
      </c>
    </row>
    <row r="3473">
      <c r="A3473" s="18">
        <v>358.0</v>
      </c>
      <c r="B3473" s="18" t="s">
        <v>32</v>
      </c>
      <c r="C3473" s="18">
        <v>153.0</v>
      </c>
      <c r="D3473" s="18" t="s">
        <v>33</v>
      </c>
      <c r="E3473" s="26">
        <v>42562.333333333336</v>
      </c>
      <c r="F3473" s="19">
        <f>IFERROR(__xludf.DUMMYFUNCTION("IFERROR(TO_DATE(E3473), """")"),42562.333333333336)</f>
        <v>42562.33333</v>
      </c>
      <c r="G3473" s="20">
        <f t="shared" si="1"/>
        <v>8</v>
      </c>
      <c r="H3473" s="18" t="s">
        <v>34</v>
      </c>
      <c r="I3473" s="19" t="str">
        <f>IFERROR(__xludf.DUMMYFUNCTION("IFERROR(TO_DATE(H3473), """")"),"NA")</f>
        <v>NA</v>
      </c>
      <c r="J3473" s="19" t="s">
        <v>14</v>
      </c>
      <c r="K3473" s="22">
        <f t="shared" si="2"/>
        <v>1</v>
      </c>
    </row>
    <row r="3474">
      <c r="A3474" s="18">
        <v>865.0</v>
      </c>
      <c r="B3474" s="18" t="s">
        <v>30</v>
      </c>
      <c r="C3474" s="18">
        <v>153.0</v>
      </c>
      <c r="D3474" s="18" t="s">
        <v>33</v>
      </c>
      <c r="E3474" s="26">
        <v>42562.748611111114</v>
      </c>
      <c r="F3474" s="19">
        <f>IFERROR(__xludf.DUMMYFUNCTION("IFERROR(TO_DATE(E3474), """")"),42562.748611111114)</f>
        <v>42562.74861</v>
      </c>
      <c r="G3474" s="20">
        <f t="shared" si="1"/>
        <v>17</v>
      </c>
      <c r="H3474" s="18" t="s">
        <v>34</v>
      </c>
      <c r="I3474" s="19" t="str">
        <f>IFERROR(__xludf.DUMMYFUNCTION("IFERROR(TO_DATE(H3474), """")"),"NA")</f>
        <v>NA</v>
      </c>
      <c r="J3474" s="19" t="s">
        <v>12</v>
      </c>
      <c r="K3474" s="22">
        <f t="shared" si="2"/>
        <v>1</v>
      </c>
    </row>
    <row r="3475">
      <c r="A3475" s="18">
        <v>4822.0</v>
      </c>
      <c r="B3475" s="18" t="s">
        <v>30</v>
      </c>
      <c r="C3475" s="18">
        <v>153.0</v>
      </c>
      <c r="D3475" s="18" t="s">
        <v>33</v>
      </c>
      <c r="E3475" s="27">
        <v>42565.722708333335</v>
      </c>
      <c r="F3475" s="19">
        <f>IFERROR(__xludf.DUMMYFUNCTION("IFERROR(TO_DATE(E3475), """")"),42565.722708333335)</f>
        <v>42565.72271</v>
      </c>
      <c r="G3475" s="20">
        <f t="shared" si="1"/>
        <v>17</v>
      </c>
      <c r="H3475" s="18" t="s">
        <v>34</v>
      </c>
      <c r="I3475" s="19" t="str">
        <f>IFERROR(__xludf.DUMMYFUNCTION("IFERROR(TO_DATE(H3475), """")"),"NA")</f>
        <v>NA</v>
      </c>
      <c r="J3475" s="19" t="s">
        <v>12</v>
      </c>
      <c r="K3475" s="22">
        <f t="shared" si="2"/>
        <v>1</v>
      </c>
    </row>
    <row r="3476">
      <c r="A3476" s="18">
        <v>5290.0</v>
      </c>
      <c r="B3476" s="18" t="s">
        <v>30</v>
      </c>
      <c r="C3476" s="18">
        <v>153.0</v>
      </c>
      <c r="D3476" s="18" t="s">
        <v>33</v>
      </c>
      <c r="E3476" s="27">
        <v>42565.909791666665</v>
      </c>
      <c r="F3476" s="19">
        <f>IFERROR(__xludf.DUMMYFUNCTION("IFERROR(TO_DATE(E3476), """")"),42565.909791666665)</f>
        <v>42565.90979</v>
      </c>
      <c r="G3476" s="20">
        <f t="shared" si="1"/>
        <v>21</v>
      </c>
      <c r="H3476" s="18" t="s">
        <v>34</v>
      </c>
      <c r="I3476" s="19" t="str">
        <f>IFERROR(__xludf.DUMMYFUNCTION("IFERROR(TO_DATE(H3476), """")"),"NA")</f>
        <v>NA</v>
      </c>
      <c r="J3476" s="19" t="s">
        <v>13</v>
      </c>
      <c r="K3476" s="22">
        <f t="shared" si="2"/>
        <v>1</v>
      </c>
    </row>
    <row r="3477">
      <c r="A3477" s="18">
        <v>1202.0</v>
      </c>
      <c r="B3477" s="18" t="s">
        <v>30</v>
      </c>
      <c r="C3477" s="18">
        <v>154.0</v>
      </c>
      <c r="D3477" s="18" t="s">
        <v>33</v>
      </c>
      <c r="E3477" s="26">
        <v>42562.88888888889</v>
      </c>
      <c r="F3477" s="19">
        <f>IFERROR(__xludf.DUMMYFUNCTION("IFERROR(TO_DATE(E3477), """")"),42562.88888888889)</f>
        <v>42562.88889</v>
      </c>
      <c r="G3477" s="20">
        <f t="shared" si="1"/>
        <v>21</v>
      </c>
      <c r="H3477" s="18" t="s">
        <v>34</v>
      </c>
      <c r="I3477" s="19" t="str">
        <f>IFERROR(__xludf.DUMMYFUNCTION("IFERROR(TO_DATE(H3477), """")"),"NA")</f>
        <v>NA</v>
      </c>
      <c r="J3477" s="19" t="s">
        <v>13</v>
      </c>
      <c r="K3477" s="22">
        <f t="shared" si="2"/>
        <v>1</v>
      </c>
    </row>
    <row r="3478">
      <c r="A3478" s="18">
        <v>2840.0</v>
      </c>
      <c r="B3478" s="18" t="s">
        <v>32</v>
      </c>
      <c r="C3478" s="18">
        <v>154.0</v>
      </c>
      <c r="D3478" s="18" t="s">
        <v>33</v>
      </c>
      <c r="E3478" s="27">
        <v>42564.22650462963</v>
      </c>
      <c r="F3478" s="19">
        <f>IFERROR(__xludf.DUMMYFUNCTION("IFERROR(TO_DATE(E3478), """")"),42564.22650462963)</f>
        <v>42564.2265</v>
      </c>
      <c r="G3478" s="20">
        <f t="shared" si="1"/>
        <v>5</v>
      </c>
      <c r="H3478" s="18" t="s">
        <v>34</v>
      </c>
      <c r="I3478" s="19" t="str">
        <f>IFERROR(__xludf.DUMMYFUNCTION("IFERROR(TO_DATE(H3478), """")"),"NA")</f>
        <v>NA</v>
      </c>
      <c r="J3478" s="19" t="s">
        <v>11</v>
      </c>
      <c r="K3478" s="22">
        <f t="shared" si="2"/>
        <v>1</v>
      </c>
    </row>
    <row r="3479">
      <c r="A3479" s="18">
        <v>5642.0</v>
      </c>
      <c r="B3479" s="18" t="s">
        <v>32</v>
      </c>
      <c r="C3479" s="18">
        <v>154.0</v>
      </c>
      <c r="D3479" s="18" t="s">
        <v>33</v>
      </c>
      <c r="E3479" s="27">
        <v>42566.28591435185</v>
      </c>
      <c r="F3479" s="19">
        <f>IFERROR(__xludf.DUMMYFUNCTION("IFERROR(TO_DATE(E3479), """")"),42566.28591435185)</f>
        <v>42566.28591</v>
      </c>
      <c r="G3479" s="20">
        <f t="shared" si="1"/>
        <v>6</v>
      </c>
      <c r="H3479" s="18" t="s">
        <v>34</v>
      </c>
      <c r="I3479" s="19" t="str">
        <f>IFERROR(__xludf.DUMMYFUNCTION("IFERROR(TO_DATE(H3479), """")"),"NA")</f>
        <v>NA</v>
      </c>
      <c r="J3479" s="19" t="s">
        <v>11</v>
      </c>
      <c r="K3479" s="22">
        <f t="shared" si="2"/>
        <v>1</v>
      </c>
    </row>
    <row r="3480">
      <c r="A3480" s="18">
        <v>5788.0</v>
      </c>
      <c r="B3480" s="18" t="s">
        <v>32</v>
      </c>
      <c r="C3480" s="18">
        <v>154.0</v>
      </c>
      <c r="D3480" s="18" t="s">
        <v>33</v>
      </c>
      <c r="E3480" s="27">
        <v>42566.35556712963</v>
      </c>
      <c r="F3480" s="19">
        <f>IFERROR(__xludf.DUMMYFUNCTION("IFERROR(TO_DATE(E3480), """")"),42566.35556712963)</f>
        <v>42566.35557</v>
      </c>
      <c r="G3480" s="20">
        <f t="shared" si="1"/>
        <v>8</v>
      </c>
      <c r="H3480" s="18" t="s">
        <v>34</v>
      </c>
      <c r="I3480" s="19" t="str">
        <f>IFERROR(__xludf.DUMMYFUNCTION("IFERROR(TO_DATE(H3480), """")"),"NA")</f>
        <v>NA</v>
      </c>
      <c r="J3480" s="19" t="s">
        <v>14</v>
      </c>
      <c r="K3480" s="22">
        <f t="shared" si="2"/>
        <v>1</v>
      </c>
    </row>
    <row r="3481">
      <c r="A3481" s="18">
        <v>5792.0</v>
      </c>
      <c r="B3481" s="18" t="s">
        <v>32</v>
      </c>
      <c r="C3481" s="18">
        <v>154.0</v>
      </c>
      <c r="D3481" s="18" t="s">
        <v>33</v>
      </c>
      <c r="E3481" s="27">
        <v>42566.35986111111</v>
      </c>
      <c r="F3481" s="19">
        <f>IFERROR(__xludf.DUMMYFUNCTION("IFERROR(TO_DATE(E3481), """")"),42566.35986111111)</f>
        <v>42566.35986</v>
      </c>
      <c r="G3481" s="20">
        <f t="shared" si="1"/>
        <v>8</v>
      </c>
      <c r="H3481" s="18" t="s">
        <v>34</v>
      </c>
      <c r="I3481" s="19" t="str">
        <f>IFERROR(__xludf.DUMMYFUNCTION("IFERROR(TO_DATE(H3481), """")"),"NA")</f>
        <v>NA</v>
      </c>
      <c r="J3481" s="19" t="s">
        <v>14</v>
      </c>
      <c r="K3481" s="22">
        <f t="shared" si="2"/>
        <v>1</v>
      </c>
    </row>
    <row r="3482">
      <c r="A3482" s="18">
        <v>1172.0</v>
      </c>
      <c r="B3482" s="18" t="s">
        <v>30</v>
      </c>
      <c r="C3482" s="18">
        <v>155.0</v>
      </c>
      <c r="D3482" s="18" t="s">
        <v>33</v>
      </c>
      <c r="E3482" s="26">
        <v>42562.86736111111</v>
      </c>
      <c r="F3482" s="19">
        <f>IFERROR(__xludf.DUMMYFUNCTION("IFERROR(TO_DATE(E3482), """")"),42562.86736111111)</f>
        <v>42562.86736</v>
      </c>
      <c r="G3482" s="20">
        <f t="shared" si="1"/>
        <v>20</v>
      </c>
      <c r="H3482" s="18" t="s">
        <v>34</v>
      </c>
      <c r="I3482" s="19" t="str">
        <f>IFERROR(__xludf.DUMMYFUNCTION("IFERROR(TO_DATE(H3482), """")"),"NA")</f>
        <v>NA</v>
      </c>
      <c r="J3482" s="19" t="s">
        <v>13</v>
      </c>
      <c r="K3482" s="22">
        <f t="shared" si="2"/>
        <v>1</v>
      </c>
    </row>
    <row r="3483">
      <c r="A3483" s="18">
        <v>5860.0</v>
      </c>
      <c r="B3483" s="18" t="s">
        <v>32</v>
      </c>
      <c r="C3483" s="18">
        <v>155.0</v>
      </c>
      <c r="D3483" s="18" t="s">
        <v>33</v>
      </c>
      <c r="E3483" s="27">
        <v>42566.38459490741</v>
      </c>
      <c r="F3483" s="19">
        <f>IFERROR(__xludf.DUMMYFUNCTION("IFERROR(TO_DATE(E3483), """")"),42566.38459490741)</f>
        <v>42566.38459</v>
      </c>
      <c r="G3483" s="20">
        <f t="shared" si="1"/>
        <v>9</v>
      </c>
      <c r="H3483" s="18" t="s">
        <v>34</v>
      </c>
      <c r="I3483" s="19" t="str">
        <f>IFERROR(__xludf.DUMMYFUNCTION("IFERROR(TO_DATE(H3483), """")"),"NA")</f>
        <v>NA</v>
      </c>
      <c r="J3483" s="19" t="s">
        <v>14</v>
      </c>
      <c r="K3483" s="22">
        <f t="shared" si="2"/>
        <v>1</v>
      </c>
    </row>
    <row r="3484">
      <c r="A3484" s="18">
        <v>1245.0</v>
      </c>
      <c r="B3484" s="18" t="s">
        <v>30</v>
      </c>
      <c r="C3484" s="18">
        <v>156.0</v>
      </c>
      <c r="D3484" s="18" t="s">
        <v>33</v>
      </c>
      <c r="E3484" s="26">
        <v>42562.90347222222</v>
      </c>
      <c r="F3484" s="19">
        <f>IFERROR(__xludf.DUMMYFUNCTION("IFERROR(TO_DATE(E3484), """")"),42562.90347222222)</f>
        <v>42562.90347</v>
      </c>
      <c r="G3484" s="20">
        <f t="shared" si="1"/>
        <v>21</v>
      </c>
      <c r="H3484" s="18" t="s">
        <v>34</v>
      </c>
      <c r="I3484" s="19" t="str">
        <f>IFERROR(__xludf.DUMMYFUNCTION("IFERROR(TO_DATE(H3484), """")"),"NA")</f>
        <v>NA</v>
      </c>
      <c r="J3484" s="19" t="s">
        <v>13</v>
      </c>
      <c r="K3484" s="22">
        <f t="shared" si="2"/>
        <v>1</v>
      </c>
    </row>
    <row r="3485">
      <c r="A3485" s="18">
        <v>1544.0</v>
      </c>
      <c r="B3485" s="18" t="s">
        <v>32</v>
      </c>
      <c r="C3485" s="18">
        <v>157.0</v>
      </c>
      <c r="D3485" s="18" t="s">
        <v>33</v>
      </c>
      <c r="E3485" s="26">
        <v>42563.25277777778</v>
      </c>
      <c r="F3485" s="19">
        <f>IFERROR(__xludf.DUMMYFUNCTION("IFERROR(TO_DATE(E3485), """")"),42563.25277777778)</f>
        <v>42563.25278</v>
      </c>
      <c r="G3485" s="20">
        <f t="shared" si="1"/>
        <v>6</v>
      </c>
      <c r="H3485" s="18" t="s">
        <v>34</v>
      </c>
      <c r="I3485" s="19" t="str">
        <f>IFERROR(__xludf.DUMMYFUNCTION("IFERROR(TO_DATE(H3485), """")"),"NA")</f>
        <v>NA</v>
      </c>
      <c r="J3485" s="19" t="s">
        <v>11</v>
      </c>
      <c r="K3485" s="22">
        <f t="shared" si="2"/>
        <v>1</v>
      </c>
    </row>
    <row r="3486">
      <c r="A3486" s="18">
        <v>4287.0</v>
      </c>
      <c r="B3486" s="18" t="s">
        <v>32</v>
      </c>
      <c r="C3486" s="18">
        <v>157.0</v>
      </c>
      <c r="D3486" s="18" t="s">
        <v>33</v>
      </c>
      <c r="E3486" s="27">
        <v>42565.27307870371</v>
      </c>
      <c r="F3486" s="19">
        <f>IFERROR(__xludf.DUMMYFUNCTION("IFERROR(TO_DATE(E3486), """")"),42565.27307870371)</f>
        <v>42565.27308</v>
      </c>
      <c r="G3486" s="20">
        <f t="shared" si="1"/>
        <v>6</v>
      </c>
      <c r="H3486" s="18" t="s">
        <v>34</v>
      </c>
      <c r="I3486" s="19" t="str">
        <f>IFERROR(__xludf.DUMMYFUNCTION("IFERROR(TO_DATE(H3486), """")"),"NA")</f>
        <v>NA</v>
      </c>
      <c r="J3486" s="19" t="s">
        <v>11</v>
      </c>
      <c r="K3486" s="22">
        <f t="shared" si="2"/>
        <v>1</v>
      </c>
    </row>
    <row r="3487">
      <c r="A3487" s="18">
        <v>4308.0</v>
      </c>
      <c r="B3487" s="18" t="s">
        <v>32</v>
      </c>
      <c r="C3487" s="18">
        <v>157.0</v>
      </c>
      <c r="D3487" s="18" t="s">
        <v>33</v>
      </c>
      <c r="E3487" s="27">
        <v>42565.2840162037</v>
      </c>
      <c r="F3487" s="19">
        <f>IFERROR(__xludf.DUMMYFUNCTION("IFERROR(TO_DATE(E3487), """")"),42565.2840162037)</f>
        <v>42565.28402</v>
      </c>
      <c r="G3487" s="20">
        <f t="shared" si="1"/>
        <v>6</v>
      </c>
      <c r="H3487" s="18" t="s">
        <v>34</v>
      </c>
      <c r="I3487" s="19" t="str">
        <f>IFERROR(__xludf.DUMMYFUNCTION("IFERROR(TO_DATE(H3487), """")"),"NA")</f>
        <v>NA</v>
      </c>
      <c r="J3487" s="19" t="s">
        <v>11</v>
      </c>
      <c r="K3487" s="22">
        <f t="shared" si="2"/>
        <v>1</v>
      </c>
    </row>
    <row r="3488">
      <c r="A3488" s="18">
        <v>5577.0</v>
      </c>
      <c r="B3488" s="18" t="s">
        <v>32</v>
      </c>
      <c r="C3488" s="18">
        <v>157.0</v>
      </c>
      <c r="D3488" s="18" t="s">
        <v>33</v>
      </c>
      <c r="E3488" s="27">
        <v>42566.24685185185</v>
      </c>
      <c r="F3488" s="19">
        <f>IFERROR(__xludf.DUMMYFUNCTION("IFERROR(TO_DATE(E3488), """")"),42566.24685185185)</f>
        <v>42566.24685</v>
      </c>
      <c r="G3488" s="20">
        <f t="shared" si="1"/>
        <v>5</v>
      </c>
      <c r="H3488" s="18" t="s">
        <v>34</v>
      </c>
      <c r="I3488" s="19" t="str">
        <f>IFERROR(__xludf.DUMMYFUNCTION("IFERROR(TO_DATE(H3488), """")"),"NA")</f>
        <v>NA</v>
      </c>
      <c r="J3488" s="19" t="s">
        <v>11</v>
      </c>
      <c r="K3488" s="22">
        <f t="shared" si="2"/>
        <v>1</v>
      </c>
    </row>
    <row r="3489">
      <c r="A3489" s="18">
        <v>5760.0</v>
      </c>
      <c r="B3489" s="18" t="s">
        <v>32</v>
      </c>
      <c r="C3489" s="18">
        <v>157.0</v>
      </c>
      <c r="D3489" s="18" t="s">
        <v>33</v>
      </c>
      <c r="E3489" s="27">
        <v>42566.34340277778</v>
      </c>
      <c r="F3489" s="19">
        <f>IFERROR(__xludf.DUMMYFUNCTION("IFERROR(TO_DATE(E3489), """")"),42566.34340277778)</f>
        <v>42566.3434</v>
      </c>
      <c r="G3489" s="20">
        <f t="shared" si="1"/>
        <v>8</v>
      </c>
      <c r="H3489" s="18" t="s">
        <v>34</v>
      </c>
      <c r="I3489" s="19" t="str">
        <f>IFERROR(__xludf.DUMMYFUNCTION("IFERROR(TO_DATE(H3489), """")"),"NA")</f>
        <v>NA</v>
      </c>
      <c r="J3489" s="19" t="s">
        <v>14</v>
      </c>
      <c r="K3489" s="22">
        <f t="shared" si="2"/>
        <v>1</v>
      </c>
    </row>
    <row r="3490">
      <c r="A3490" s="18">
        <v>5855.0</v>
      </c>
      <c r="B3490" s="18" t="s">
        <v>32</v>
      </c>
      <c r="C3490" s="18">
        <v>157.0</v>
      </c>
      <c r="D3490" s="18" t="s">
        <v>33</v>
      </c>
      <c r="E3490" s="27">
        <v>42566.379699074074</v>
      </c>
      <c r="F3490" s="19">
        <f>IFERROR(__xludf.DUMMYFUNCTION("IFERROR(TO_DATE(E3490), """")"),42566.379699074074)</f>
        <v>42566.3797</v>
      </c>
      <c r="G3490" s="20">
        <f t="shared" si="1"/>
        <v>9</v>
      </c>
      <c r="H3490" s="18" t="s">
        <v>34</v>
      </c>
      <c r="I3490" s="19" t="str">
        <f>IFERROR(__xludf.DUMMYFUNCTION("IFERROR(TO_DATE(H3490), """")"),"NA")</f>
        <v>NA</v>
      </c>
      <c r="J3490" s="19" t="s">
        <v>14</v>
      </c>
      <c r="K3490" s="22">
        <f t="shared" si="2"/>
        <v>1</v>
      </c>
    </row>
    <row r="3491">
      <c r="A3491" s="18">
        <v>76.0</v>
      </c>
      <c r="B3491" s="18" t="s">
        <v>32</v>
      </c>
      <c r="C3491" s="18">
        <v>158.0</v>
      </c>
      <c r="D3491" s="18" t="s">
        <v>33</v>
      </c>
      <c r="E3491" s="26">
        <v>42562.197916666664</v>
      </c>
      <c r="F3491" s="19">
        <f>IFERROR(__xludf.DUMMYFUNCTION("IFERROR(TO_DATE(E3491), """")"),42562.197916666664)</f>
        <v>42562.19792</v>
      </c>
      <c r="G3491" s="20">
        <f t="shared" si="1"/>
        <v>4</v>
      </c>
      <c r="H3491" s="18" t="s">
        <v>34</v>
      </c>
      <c r="I3491" s="19" t="str">
        <f>IFERROR(__xludf.DUMMYFUNCTION("IFERROR(TO_DATE(H3491), """")"),"NA")</f>
        <v>NA</v>
      </c>
      <c r="J3491" s="19" t="s">
        <v>11</v>
      </c>
      <c r="K3491" s="22">
        <f t="shared" si="2"/>
        <v>1</v>
      </c>
    </row>
    <row r="3492">
      <c r="A3492" s="18">
        <v>366.0</v>
      </c>
      <c r="B3492" s="18" t="s">
        <v>32</v>
      </c>
      <c r="C3492" s="18">
        <v>158.0</v>
      </c>
      <c r="D3492" s="18" t="s">
        <v>33</v>
      </c>
      <c r="E3492" s="26">
        <v>42562.33611111111</v>
      </c>
      <c r="F3492" s="19">
        <f>IFERROR(__xludf.DUMMYFUNCTION("IFERROR(TO_DATE(E3492), """")"),42562.33611111111)</f>
        <v>42562.33611</v>
      </c>
      <c r="G3492" s="20">
        <f t="shared" si="1"/>
        <v>8</v>
      </c>
      <c r="H3492" s="18" t="s">
        <v>34</v>
      </c>
      <c r="I3492" s="19" t="str">
        <f>IFERROR(__xludf.DUMMYFUNCTION("IFERROR(TO_DATE(H3492), """")"),"NA")</f>
        <v>NA</v>
      </c>
      <c r="J3492" s="19" t="s">
        <v>14</v>
      </c>
      <c r="K3492" s="22">
        <f t="shared" si="2"/>
        <v>1</v>
      </c>
    </row>
    <row r="3493">
      <c r="A3493" s="18">
        <v>371.0</v>
      </c>
      <c r="B3493" s="18" t="s">
        <v>32</v>
      </c>
      <c r="C3493" s="18">
        <v>158.0</v>
      </c>
      <c r="D3493" s="18" t="s">
        <v>33</v>
      </c>
      <c r="E3493" s="26">
        <v>42562.33819444444</v>
      </c>
      <c r="F3493" s="19">
        <f>IFERROR(__xludf.DUMMYFUNCTION("IFERROR(TO_DATE(E3493), """")"),42562.33819444444)</f>
        <v>42562.33819</v>
      </c>
      <c r="G3493" s="20">
        <f t="shared" si="1"/>
        <v>8</v>
      </c>
      <c r="H3493" s="18" t="s">
        <v>34</v>
      </c>
      <c r="I3493" s="19" t="str">
        <f>IFERROR(__xludf.DUMMYFUNCTION("IFERROR(TO_DATE(H3493), """")"),"NA")</f>
        <v>NA</v>
      </c>
      <c r="J3493" s="19" t="s">
        <v>14</v>
      </c>
      <c r="K3493" s="22">
        <f t="shared" si="2"/>
        <v>1</v>
      </c>
    </row>
    <row r="3494">
      <c r="A3494" s="18">
        <v>3564.0</v>
      </c>
      <c r="B3494" s="18" t="s">
        <v>30</v>
      </c>
      <c r="C3494" s="18">
        <v>158.0</v>
      </c>
      <c r="D3494" s="18" t="s">
        <v>33</v>
      </c>
      <c r="E3494" s="27">
        <v>42564.7628125</v>
      </c>
      <c r="F3494" s="19">
        <f>IFERROR(__xludf.DUMMYFUNCTION("IFERROR(TO_DATE(E3494), """")"),42564.7628125)</f>
        <v>42564.76281</v>
      </c>
      <c r="G3494" s="20">
        <f t="shared" si="1"/>
        <v>18</v>
      </c>
      <c r="H3494" s="18" t="s">
        <v>34</v>
      </c>
      <c r="I3494" s="19" t="str">
        <f>IFERROR(__xludf.DUMMYFUNCTION("IFERROR(TO_DATE(H3494), """")"),"NA")</f>
        <v>NA</v>
      </c>
      <c r="J3494" s="19" t="s">
        <v>12</v>
      </c>
      <c r="K3494" s="22">
        <f t="shared" si="2"/>
        <v>1</v>
      </c>
    </row>
    <row r="3495">
      <c r="A3495" s="18">
        <v>181.0</v>
      </c>
      <c r="B3495" s="18" t="s">
        <v>32</v>
      </c>
      <c r="C3495" s="18">
        <v>159.0</v>
      </c>
      <c r="D3495" s="18" t="s">
        <v>33</v>
      </c>
      <c r="E3495" s="26">
        <v>42562.240277777775</v>
      </c>
      <c r="F3495" s="19">
        <f>IFERROR(__xludf.DUMMYFUNCTION("IFERROR(TO_DATE(E3495), """")"),42562.240277777775)</f>
        <v>42562.24028</v>
      </c>
      <c r="G3495" s="20">
        <f t="shared" si="1"/>
        <v>5</v>
      </c>
      <c r="H3495" s="18" t="s">
        <v>34</v>
      </c>
      <c r="I3495" s="19" t="str">
        <f>IFERROR(__xludf.DUMMYFUNCTION("IFERROR(TO_DATE(H3495), """")"),"NA")</f>
        <v>NA</v>
      </c>
      <c r="J3495" s="19" t="s">
        <v>11</v>
      </c>
      <c r="K3495" s="22">
        <f t="shared" si="2"/>
        <v>1</v>
      </c>
    </row>
    <row r="3496">
      <c r="A3496" s="18">
        <v>1503.0</v>
      </c>
      <c r="B3496" s="18" t="s">
        <v>32</v>
      </c>
      <c r="C3496" s="18">
        <v>159.0</v>
      </c>
      <c r="D3496" s="18" t="s">
        <v>33</v>
      </c>
      <c r="E3496" s="26">
        <v>42563.23541666667</v>
      </c>
      <c r="F3496" s="19">
        <f>IFERROR(__xludf.DUMMYFUNCTION("IFERROR(TO_DATE(E3496), """")"),42563.23541666667)</f>
        <v>42563.23542</v>
      </c>
      <c r="G3496" s="20">
        <f t="shared" si="1"/>
        <v>5</v>
      </c>
      <c r="H3496" s="18" t="s">
        <v>34</v>
      </c>
      <c r="I3496" s="19" t="str">
        <f>IFERROR(__xludf.DUMMYFUNCTION("IFERROR(TO_DATE(H3496), """")"),"NA")</f>
        <v>NA</v>
      </c>
      <c r="J3496" s="19" t="s">
        <v>11</v>
      </c>
      <c r="K3496" s="22">
        <f t="shared" si="2"/>
        <v>1</v>
      </c>
    </row>
    <row r="3497">
      <c r="A3497" s="18">
        <v>1863.0</v>
      </c>
      <c r="B3497" s="18" t="s">
        <v>32</v>
      </c>
      <c r="C3497" s="18">
        <v>159.0</v>
      </c>
      <c r="D3497" s="18" t="s">
        <v>33</v>
      </c>
      <c r="E3497" s="26">
        <v>42563.413194444445</v>
      </c>
      <c r="F3497" s="19">
        <f>IFERROR(__xludf.DUMMYFUNCTION("IFERROR(TO_DATE(E3497), """")"),42563.413194444445)</f>
        <v>42563.41319</v>
      </c>
      <c r="G3497" s="20">
        <f t="shared" si="1"/>
        <v>9</v>
      </c>
      <c r="H3497" s="18" t="s">
        <v>34</v>
      </c>
      <c r="I3497" s="19" t="str">
        <f>IFERROR(__xludf.DUMMYFUNCTION("IFERROR(TO_DATE(H3497), """")"),"NA")</f>
        <v>NA</v>
      </c>
      <c r="J3497" s="19" t="s">
        <v>14</v>
      </c>
      <c r="K3497" s="22">
        <f t="shared" si="2"/>
        <v>1</v>
      </c>
    </row>
    <row r="3498">
      <c r="A3498" s="18">
        <v>175.0</v>
      </c>
      <c r="B3498" s="18" t="s">
        <v>32</v>
      </c>
      <c r="C3498" s="18">
        <v>160.0</v>
      </c>
      <c r="D3498" s="18" t="s">
        <v>33</v>
      </c>
      <c r="E3498" s="26">
        <v>42562.239583333336</v>
      </c>
      <c r="F3498" s="19">
        <f>IFERROR(__xludf.DUMMYFUNCTION("IFERROR(TO_DATE(E3498), """")"),42562.239583333336)</f>
        <v>42562.23958</v>
      </c>
      <c r="G3498" s="20">
        <f t="shared" si="1"/>
        <v>5</v>
      </c>
      <c r="H3498" s="18" t="s">
        <v>34</v>
      </c>
      <c r="I3498" s="19" t="str">
        <f>IFERROR(__xludf.DUMMYFUNCTION("IFERROR(TO_DATE(H3498), """")"),"NA")</f>
        <v>NA</v>
      </c>
      <c r="J3498" s="19" t="s">
        <v>11</v>
      </c>
      <c r="K3498" s="22">
        <f t="shared" si="2"/>
        <v>1</v>
      </c>
    </row>
    <row r="3499">
      <c r="A3499" s="18">
        <v>1749.0</v>
      </c>
      <c r="B3499" s="18" t="s">
        <v>32</v>
      </c>
      <c r="C3499" s="18">
        <v>160.0</v>
      </c>
      <c r="D3499" s="18" t="s">
        <v>33</v>
      </c>
      <c r="E3499" s="26">
        <v>42563.35625</v>
      </c>
      <c r="F3499" s="19">
        <f>IFERROR(__xludf.DUMMYFUNCTION("IFERROR(TO_DATE(E3499), """")"),42563.35625)</f>
        <v>42563.35625</v>
      </c>
      <c r="G3499" s="20">
        <f t="shared" si="1"/>
        <v>8</v>
      </c>
      <c r="H3499" s="18" t="s">
        <v>34</v>
      </c>
      <c r="I3499" s="19" t="str">
        <f>IFERROR(__xludf.DUMMYFUNCTION("IFERROR(TO_DATE(H3499), """")"),"NA")</f>
        <v>NA</v>
      </c>
      <c r="J3499" s="19" t="s">
        <v>14</v>
      </c>
      <c r="K3499" s="22">
        <f t="shared" si="2"/>
        <v>1</v>
      </c>
    </row>
    <row r="3500">
      <c r="A3500" s="18">
        <v>2781.0</v>
      </c>
      <c r="B3500" s="18" t="s">
        <v>32</v>
      </c>
      <c r="C3500" s="18">
        <v>160.0</v>
      </c>
      <c r="D3500" s="18" t="s">
        <v>33</v>
      </c>
      <c r="E3500" s="27">
        <v>42564.196064814816</v>
      </c>
      <c r="F3500" s="19">
        <f>IFERROR(__xludf.DUMMYFUNCTION("IFERROR(TO_DATE(E3500), """")"),42564.196064814816)</f>
        <v>42564.19606</v>
      </c>
      <c r="G3500" s="20">
        <f t="shared" si="1"/>
        <v>4</v>
      </c>
      <c r="H3500" s="18" t="s">
        <v>34</v>
      </c>
      <c r="I3500" s="19" t="str">
        <f>IFERROR(__xludf.DUMMYFUNCTION("IFERROR(TO_DATE(H3500), """")"),"NA")</f>
        <v>NA</v>
      </c>
      <c r="J3500" s="19" t="s">
        <v>11</v>
      </c>
      <c r="K3500" s="22">
        <f t="shared" si="2"/>
        <v>1</v>
      </c>
    </row>
    <row r="3501">
      <c r="A3501" s="18">
        <v>319.0</v>
      </c>
      <c r="B3501" s="18" t="s">
        <v>32</v>
      </c>
      <c r="C3501" s="18">
        <v>161.0</v>
      </c>
      <c r="D3501" s="18" t="s">
        <v>33</v>
      </c>
      <c r="E3501" s="26">
        <v>42562.31458333333</v>
      </c>
      <c r="F3501" s="19">
        <f>IFERROR(__xludf.DUMMYFUNCTION("IFERROR(TO_DATE(E3501), """")"),42562.31458333333)</f>
        <v>42562.31458</v>
      </c>
      <c r="G3501" s="20">
        <f t="shared" si="1"/>
        <v>7</v>
      </c>
      <c r="H3501" s="18" t="s">
        <v>34</v>
      </c>
      <c r="I3501" s="19" t="str">
        <f>IFERROR(__xludf.DUMMYFUNCTION("IFERROR(TO_DATE(H3501), """")"),"NA")</f>
        <v>NA</v>
      </c>
      <c r="J3501" s="19" t="s">
        <v>11</v>
      </c>
      <c r="K3501" s="22">
        <f t="shared" si="2"/>
        <v>1</v>
      </c>
    </row>
    <row r="3502">
      <c r="A3502" s="18">
        <v>439.0</v>
      </c>
      <c r="B3502" s="18" t="s">
        <v>32</v>
      </c>
      <c r="C3502" s="18">
        <v>161.0</v>
      </c>
      <c r="D3502" s="18" t="s">
        <v>33</v>
      </c>
      <c r="E3502" s="26">
        <v>42562.37152777778</v>
      </c>
      <c r="F3502" s="19">
        <f>IFERROR(__xludf.DUMMYFUNCTION("IFERROR(TO_DATE(E3502), """")"),42562.37152777778)</f>
        <v>42562.37153</v>
      </c>
      <c r="G3502" s="20">
        <f t="shared" si="1"/>
        <v>8</v>
      </c>
      <c r="H3502" s="18" t="s">
        <v>34</v>
      </c>
      <c r="I3502" s="19" t="str">
        <f>IFERROR(__xludf.DUMMYFUNCTION("IFERROR(TO_DATE(H3502), """")"),"NA")</f>
        <v>NA</v>
      </c>
      <c r="J3502" s="19" t="s">
        <v>14</v>
      </c>
      <c r="K3502" s="22">
        <f t="shared" si="2"/>
        <v>1</v>
      </c>
    </row>
    <row r="3503">
      <c r="A3503" s="18">
        <v>4201.0</v>
      </c>
      <c r="B3503" s="18" t="s">
        <v>32</v>
      </c>
      <c r="C3503" s="18">
        <v>162.0</v>
      </c>
      <c r="D3503" s="18" t="s">
        <v>33</v>
      </c>
      <c r="E3503" s="27">
        <v>42565.230578703704</v>
      </c>
      <c r="F3503" s="19">
        <f>IFERROR(__xludf.DUMMYFUNCTION("IFERROR(TO_DATE(E3503), """")"),42565.230578703704)</f>
        <v>42565.23058</v>
      </c>
      <c r="G3503" s="20">
        <f t="shared" si="1"/>
        <v>5</v>
      </c>
      <c r="H3503" s="18" t="s">
        <v>34</v>
      </c>
      <c r="I3503" s="19" t="str">
        <f>IFERROR(__xludf.DUMMYFUNCTION("IFERROR(TO_DATE(H3503), """")"),"NA")</f>
        <v>NA</v>
      </c>
      <c r="J3503" s="19" t="s">
        <v>11</v>
      </c>
      <c r="K3503" s="22">
        <f t="shared" si="2"/>
        <v>1</v>
      </c>
    </row>
    <row r="3504">
      <c r="A3504" s="18">
        <v>736.0</v>
      </c>
      <c r="B3504" s="18" t="s">
        <v>32</v>
      </c>
      <c r="C3504" s="18">
        <v>163.0</v>
      </c>
      <c r="D3504" s="18" t="s">
        <v>33</v>
      </c>
      <c r="E3504" s="26">
        <v>42562.64375</v>
      </c>
      <c r="F3504" s="19">
        <f>IFERROR(__xludf.DUMMYFUNCTION("IFERROR(TO_DATE(E3504), """")"),42562.64375)</f>
        <v>42562.64375</v>
      </c>
      <c r="G3504" s="20">
        <f t="shared" si="1"/>
        <v>15</v>
      </c>
      <c r="H3504" s="18" t="s">
        <v>34</v>
      </c>
      <c r="I3504" s="19" t="str">
        <f>IFERROR(__xludf.DUMMYFUNCTION("IFERROR(TO_DATE(H3504), """")"),"NA")</f>
        <v>NA</v>
      </c>
      <c r="J3504" s="19" t="s">
        <v>10</v>
      </c>
      <c r="K3504" s="22">
        <f t="shared" si="2"/>
        <v>1</v>
      </c>
    </row>
    <row r="3505">
      <c r="A3505" s="18">
        <v>929.0</v>
      </c>
      <c r="B3505" s="18" t="s">
        <v>30</v>
      </c>
      <c r="C3505" s="18">
        <v>163.0</v>
      </c>
      <c r="D3505" s="18" t="s">
        <v>33</v>
      </c>
      <c r="E3505" s="26">
        <v>42562.76666666667</v>
      </c>
      <c r="F3505" s="19">
        <f>IFERROR(__xludf.DUMMYFUNCTION("IFERROR(TO_DATE(E3505), """")"),42562.76666666667)</f>
        <v>42562.76667</v>
      </c>
      <c r="G3505" s="20">
        <f t="shared" si="1"/>
        <v>18</v>
      </c>
      <c r="H3505" s="18" t="s">
        <v>34</v>
      </c>
      <c r="I3505" s="19" t="str">
        <f>IFERROR(__xludf.DUMMYFUNCTION("IFERROR(TO_DATE(H3505), """")"),"NA")</f>
        <v>NA</v>
      </c>
      <c r="J3505" s="19" t="s">
        <v>12</v>
      </c>
      <c r="K3505" s="22">
        <f t="shared" si="2"/>
        <v>1</v>
      </c>
    </row>
    <row r="3506">
      <c r="A3506" s="18">
        <v>1793.0</v>
      </c>
      <c r="B3506" s="18" t="s">
        <v>32</v>
      </c>
      <c r="C3506" s="18">
        <v>163.0</v>
      </c>
      <c r="D3506" s="18" t="s">
        <v>33</v>
      </c>
      <c r="E3506" s="26">
        <v>42563.38402777778</v>
      </c>
      <c r="F3506" s="19">
        <f>IFERROR(__xludf.DUMMYFUNCTION("IFERROR(TO_DATE(E3506), """")"),42563.38402777778)</f>
        <v>42563.38403</v>
      </c>
      <c r="G3506" s="20">
        <f t="shared" si="1"/>
        <v>9</v>
      </c>
      <c r="H3506" s="18" t="s">
        <v>34</v>
      </c>
      <c r="I3506" s="19" t="str">
        <f>IFERROR(__xludf.DUMMYFUNCTION("IFERROR(TO_DATE(H3506), """")"),"NA")</f>
        <v>NA</v>
      </c>
      <c r="J3506" s="19" t="s">
        <v>14</v>
      </c>
      <c r="K3506" s="22">
        <f t="shared" si="2"/>
        <v>1</v>
      </c>
    </row>
    <row r="3507">
      <c r="A3507" s="18">
        <v>5926.0</v>
      </c>
      <c r="B3507" s="18" t="s">
        <v>32</v>
      </c>
      <c r="C3507" s="18">
        <v>163.0</v>
      </c>
      <c r="D3507" s="18" t="s">
        <v>33</v>
      </c>
      <c r="E3507" s="27">
        <v>42566.42055555555</v>
      </c>
      <c r="F3507" s="19">
        <f>IFERROR(__xludf.DUMMYFUNCTION("IFERROR(TO_DATE(E3507), """")"),42566.42055555555)</f>
        <v>42566.42056</v>
      </c>
      <c r="G3507" s="20">
        <f t="shared" si="1"/>
        <v>10</v>
      </c>
      <c r="H3507" s="18" t="s">
        <v>34</v>
      </c>
      <c r="I3507" s="19" t="str">
        <f>IFERROR(__xludf.DUMMYFUNCTION("IFERROR(TO_DATE(H3507), """")"),"NA")</f>
        <v>NA</v>
      </c>
      <c r="J3507" s="19" t="s">
        <v>14</v>
      </c>
      <c r="K3507" s="22">
        <f t="shared" si="2"/>
        <v>1</v>
      </c>
    </row>
    <row r="3508">
      <c r="A3508" s="18">
        <v>345.0</v>
      </c>
      <c r="B3508" s="18" t="s">
        <v>32</v>
      </c>
      <c r="C3508" s="18">
        <v>164.0</v>
      </c>
      <c r="D3508" s="18" t="s">
        <v>33</v>
      </c>
      <c r="E3508" s="26">
        <v>42562.32777777778</v>
      </c>
      <c r="F3508" s="19">
        <f>IFERROR(__xludf.DUMMYFUNCTION("IFERROR(TO_DATE(E3508), """")"),42562.32777777778)</f>
        <v>42562.32778</v>
      </c>
      <c r="G3508" s="20">
        <f t="shared" si="1"/>
        <v>7</v>
      </c>
      <c r="H3508" s="18" t="s">
        <v>34</v>
      </c>
      <c r="I3508" s="19" t="str">
        <f>IFERROR(__xludf.DUMMYFUNCTION("IFERROR(TO_DATE(H3508), """")"),"NA")</f>
        <v>NA</v>
      </c>
      <c r="J3508" s="19" t="s">
        <v>11</v>
      </c>
      <c r="K3508" s="22">
        <f t="shared" si="2"/>
        <v>1</v>
      </c>
    </row>
    <row r="3509">
      <c r="A3509" s="18">
        <v>1051.0</v>
      </c>
      <c r="B3509" s="18" t="s">
        <v>30</v>
      </c>
      <c r="C3509" s="18">
        <v>164.0</v>
      </c>
      <c r="D3509" s="18" t="s">
        <v>33</v>
      </c>
      <c r="E3509" s="26">
        <v>42562.822222222225</v>
      </c>
      <c r="F3509" s="19">
        <f>IFERROR(__xludf.DUMMYFUNCTION("IFERROR(TO_DATE(E3509), """")"),42562.822222222225)</f>
        <v>42562.82222</v>
      </c>
      <c r="G3509" s="20">
        <f t="shared" si="1"/>
        <v>19</v>
      </c>
      <c r="H3509" s="18" t="s">
        <v>34</v>
      </c>
      <c r="I3509" s="19" t="str">
        <f>IFERROR(__xludf.DUMMYFUNCTION("IFERROR(TO_DATE(H3509), """")"),"NA")</f>
        <v>NA</v>
      </c>
      <c r="J3509" s="19" t="s">
        <v>12</v>
      </c>
      <c r="K3509" s="22">
        <f t="shared" si="2"/>
        <v>1</v>
      </c>
    </row>
    <row r="3510">
      <c r="A3510" s="18">
        <v>3213.0</v>
      </c>
      <c r="B3510" s="18" t="s">
        <v>32</v>
      </c>
      <c r="C3510" s="18">
        <v>164.0</v>
      </c>
      <c r="D3510" s="18" t="s">
        <v>33</v>
      </c>
      <c r="E3510" s="27">
        <v>42564.40592592592</v>
      </c>
      <c r="F3510" s="19">
        <f>IFERROR(__xludf.DUMMYFUNCTION("IFERROR(TO_DATE(E3510), """")"),42564.40592592592)</f>
        <v>42564.40593</v>
      </c>
      <c r="G3510" s="20">
        <f t="shared" si="1"/>
        <v>9</v>
      </c>
      <c r="H3510" s="18" t="s">
        <v>34</v>
      </c>
      <c r="I3510" s="19" t="str">
        <f>IFERROR(__xludf.DUMMYFUNCTION("IFERROR(TO_DATE(H3510), """")"),"NA")</f>
        <v>NA</v>
      </c>
      <c r="J3510" s="19" t="s">
        <v>14</v>
      </c>
      <c r="K3510" s="22">
        <f t="shared" si="2"/>
        <v>1</v>
      </c>
    </row>
    <row r="3511">
      <c r="A3511" s="18">
        <v>3841.0</v>
      </c>
      <c r="B3511" s="18" t="s">
        <v>30</v>
      </c>
      <c r="C3511" s="18">
        <v>164.0</v>
      </c>
      <c r="D3511" s="18" t="s">
        <v>33</v>
      </c>
      <c r="E3511" s="27">
        <v>42564.89818287037</v>
      </c>
      <c r="F3511" s="19">
        <f>IFERROR(__xludf.DUMMYFUNCTION("IFERROR(TO_DATE(E3511), """")"),42564.89818287037)</f>
        <v>42564.89818</v>
      </c>
      <c r="G3511" s="20">
        <f t="shared" si="1"/>
        <v>21</v>
      </c>
      <c r="H3511" s="18" t="s">
        <v>34</v>
      </c>
      <c r="I3511" s="19" t="str">
        <f>IFERROR(__xludf.DUMMYFUNCTION("IFERROR(TO_DATE(H3511), """")"),"NA")</f>
        <v>NA</v>
      </c>
      <c r="J3511" s="19" t="s">
        <v>13</v>
      </c>
      <c r="K3511" s="22">
        <f t="shared" si="2"/>
        <v>1</v>
      </c>
    </row>
    <row r="3512">
      <c r="A3512" s="18">
        <v>4168.0</v>
      </c>
      <c r="B3512" s="18" t="s">
        <v>32</v>
      </c>
      <c r="C3512" s="18">
        <v>164.0</v>
      </c>
      <c r="D3512" s="18" t="s">
        <v>33</v>
      </c>
      <c r="E3512" s="27">
        <v>42565.212164351855</v>
      </c>
      <c r="F3512" s="19">
        <f>IFERROR(__xludf.DUMMYFUNCTION("IFERROR(TO_DATE(E3512), """")"),42565.212164351855)</f>
        <v>42565.21216</v>
      </c>
      <c r="G3512" s="20">
        <f t="shared" si="1"/>
        <v>5</v>
      </c>
      <c r="H3512" s="18" t="s">
        <v>34</v>
      </c>
      <c r="I3512" s="19" t="str">
        <f>IFERROR(__xludf.DUMMYFUNCTION("IFERROR(TO_DATE(H3512), """")"),"NA")</f>
        <v>NA</v>
      </c>
      <c r="J3512" s="19" t="s">
        <v>11</v>
      </c>
      <c r="K3512" s="22">
        <f t="shared" si="2"/>
        <v>1</v>
      </c>
    </row>
    <row r="3513">
      <c r="A3513" s="18">
        <v>4657.0</v>
      </c>
      <c r="B3513" s="18" t="s">
        <v>30</v>
      </c>
      <c r="C3513" s="18">
        <v>164.0</v>
      </c>
      <c r="D3513" s="18" t="s">
        <v>33</v>
      </c>
      <c r="E3513" s="27">
        <v>42565.50037037037</v>
      </c>
      <c r="F3513" s="19">
        <f>IFERROR(__xludf.DUMMYFUNCTION("IFERROR(TO_DATE(E3513), """")"),42565.50037037037)</f>
        <v>42565.50037</v>
      </c>
      <c r="G3513" s="20">
        <f t="shared" si="1"/>
        <v>12</v>
      </c>
      <c r="H3513" s="18" t="s">
        <v>34</v>
      </c>
      <c r="I3513" s="19" t="str">
        <f>IFERROR(__xludf.DUMMYFUNCTION("IFERROR(TO_DATE(H3513), """")"),"NA")</f>
        <v>NA</v>
      </c>
      <c r="J3513" s="19" t="s">
        <v>10</v>
      </c>
      <c r="K3513" s="22">
        <f t="shared" si="2"/>
        <v>1</v>
      </c>
    </row>
    <row r="3514">
      <c r="A3514" s="18">
        <v>5272.0</v>
      </c>
      <c r="B3514" s="18" t="s">
        <v>32</v>
      </c>
      <c r="C3514" s="18">
        <v>164.0</v>
      </c>
      <c r="D3514" s="18" t="s">
        <v>33</v>
      </c>
      <c r="E3514" s="27">
        <v>42565.895949074074</v>
      </c>
      <c r="F3514" s="19">
        <f>IFERROR(__xludf.DUMMYFUNCTION("IFERROR(TO_DATE(E3514), """")"),42565.895949074074)</f>
        <v>42565.89595</v>
      </c>
      <c r="G3514" s="20">
        <f t="shared" si="1"/>
        <v>21</v>
      </c>
      <c r="H3514" s="18" t="s">
        <v>34</v>
      </c>
      <c r="I3514" s="19" t="str">
        <f>IFERROR(__xludf.DUMMYFUNCTION("IFERROR(TO_DATE(H3514), """")"),"NA")</f>
        <v>NA</v>
      </c>
      <c r="J3514" s="19" t="s">
        <v>13</v>
      </c>
      <c r="K3514" s="22">
        <f t="shared" si="2"/>
        <v>1</v>
      </c>
    </row>
    <row r="3515">
      <c r="A3515" s="18">
        <v>5765.0</v>
      </c>
      <c r="B3515" s="18" t="s">
        <v>32</v>
      </c>
      <c r="C3515" s="18">
        <v>164.0</v>
      </c>
      <c r="D3515" s="18" t="s">
        <v>33</v>
      </c>
      <c r="E3515" s="27">
        <v>42566.345983796295</v>
      </c>
      <c r="F3515" s="19">
        <f>IFERROR(__xludf.DUMMYFUNCTION("IFERROR(TO_DATE(E3515), """")"),42566.345983796295)</f>
        <v>42566.34598</v>
      </c>
      <c r="G3515" s="20">
        <f t="shared" si="1"/>
        <v>8</v>
      </c>
      <c r="H3515" s="18" t="s">
        <v>34</v>
      </c>
      <c r="I3515" s="19" t="str">
        <f>IFERROR(__xludf.DUMMYFUNCTION("IFERROR(TO_DATE(H3515), """")"),"NA")</f>
        <v>NA</v>
      </c>
      <c r="J3515" s="19" t="s">
        <v>14</v>
      </c>
      <c r="K3515" s="22">
        <f t="shared" si="2"/>
        <v>1</v>
      </c>
    </row>
    <row r="3516">
      <c r="A3516" s="18">
        <v>261.0</v>
      </c>
      <c r="B3516" s="18" t="s">
        <v>32</v>
      </c>
      <c r="C3516" s="18">
        <v>165.0</v>
      </c>
      <c r="D3516" s="18" t="s">
        <v>33</v>
      </c>
      <c r="E3516" s="26">
        <v>42562.27916666667</v>
      </c>
      <c r="F3516" s="19">
        <f>IFERROR(__xludf.DUMMYFUNCTION("IFERROR(TO_DATE(E3516), """")"),42562.27916666667)</f>
        <v>42562.27917</v>
      </c>
      <c r="G3516" s="20">
        <f t="shared" si="1"/>
        <v>6</v>
      </c>
      <c r="H3516" s="18" t="s">
        <v>34</v>
      </c>
      <c r="I3516" s="19" t="str">
        <f>IFERROR(__xludf.DUMMYFUNCTION("IFERROR(TO_DATE(H3516), """")"),"NA")</f>
        <v>NA</v>
      </c>
      <c r="J3516" s="19" t="s">
        <v>11</v>
      </c>
      <c r="K3516" s="22">
        <f t="shared" si="2"/>
        <v>1</v>
      </c>
    </row>
    <row r="3517">
      <c r="A3517" s="18">
        <v>525.0</v>
      </c>
      <c r="B3517" s="18" t="s">
        <v>32</v>
      </c>
      <c r="C3517" s="18">
        <v>165.0</v>
      </c>
      <c r="D3517" s="18" t="s">
        <v>33</v>
      </c>
      <c r="E3517" s="26">
        <v>42562.41111111111</v>
      </c>
      <c r="F3517" s="19">
        <f>IFERROR(__xludf.DUMMYFUNCTION("IFERROR(TO_DATE(E3517), """")"),42562.41111111111)</f>
        <v>42562.41111</v>
      </c>
      <c r="G3517" s="20">
        <f t="shared" si="1"/>
        <v>9</v>
      </c>
      <c r="H3517" s="18" t="s">
        <v>34</v>
      </c>
      <c r="I3517" s="19" t="str">
        <f>IFERROR(__xludf.DUMMYFUNCTION("IFERROR(TO_DATE(H3517), """")"),"NA")</f>
        <v>NA</v>
      </c>
      <c r="J3517" s="19" t="s">
        <v>14</v>
      </c>
      <c r="K3517" s="22">
        <f t="shared" si="2"/>
        <v>1</v>
      </c>
    </row>
    <row r="3518">
      <c r="A3518" s="18">
        <v>1500.0</v>
      </c>
      <c r="B3518" s="18" t="s">
        <v>32</v>
      </c>
      <c r="C3518" s="18">
        <v>165.0</v>
      </c>
      <c r="D3518" s="18" t="s">
        <v>33</v>
      </c>
      <c r="E3518" s="26">
        <v>42563.23055555556</v>
      </c>
      <c r="F3518" s="19">
        <f>IFERROR(__xludf.DUMMYFUNCTION("IFERROR(TO_DATE(E3518), """")"),42563.23055555556)</f>
        <v>42563.23056</v>
      </c>
      <c r="G3518" s="20">
        <f t="shared" si="1"/>
        <v>5</v>
      </c>
      <c r="H3518" s="18" t="s">
        <v>34</v>
      </c>
      <c r="I3518" s="19" t="str">
        <f>IFERROR(__xludf.DUMMYFUNCTION("IFERROR(TO_DATE(H3518), """")"),"NA")</f>
        <v>NA</v>
      </c>
      <c r="J3518" s="19" t="s">
        <v>11</v>
      </c>
      <c r="K3518" s="22">
        <f t="shared" si="2"/>
        <v>1</v>
      </c>
    </row>
    <row r="3519">
      <c r="A3519" s="18">
        <v>1640.0</v>
      </c>
      <c r="B3519" s="18" t="s">
        <v>32</v>
      </c>
      <c r="C3519" s="18">
        <v>165.0</v>
      </c>
      <c r="D3519" s="18" t="s">
        <v>33</v>
      </c>
      <c r="E3519" s="26">
        <v>42563.30416666667</v>
      </c>
      <c r="F3519" s="19">
        <f>IFERROR(__xludf.DUMMYFUNCTION("IFERROR(TO_DATE(E3519), """")"),42563.30416666667)</f>
        <v>42563.30417</v>
      </c>
      <c r="G3519" s="20">
        <f t="shared" si="1"/>
        <v>7</v>
      </c>
      <c r="H3519" s="18" t="s">
        <v>34</v>
      </c>
      <c r="I3519" s="19" t="str">
        <f>IFERROR(__xludf.DUMMYFUNCTION("IFERROR(TO_DATE(H3519), """")"),"NA")</f>
        <v>NA</v>
      </c>
      <c r="J3519" s="19" t="s">
        <v>11</v>
      </c>
      <c r="K3519" s="22">
        <f t="shared" si="2"/>
        <v>1</v>
      </c>
    </row>
    <row r="3520">
      <c r="A3520" s="18">
        <v>2885.0</v>
      </c>
      <c r="B3520" s="18" t="s">
        <v>32</v>
      </c>
      <c r="C3520" s="18">
        <v>165.0</v>
      </c>
      <c r="D3520" s="18" t="s">
        <v>33</v>
      </c>
      <c r="E3520" s="27">
        <v>42564.246469907404</v>
      </c>
      <c r="F3520" s="19">
        <f>IFERROR(__xludf.DUMMYFUNCTION("IFERROR(TO_DATE(E3520), """")"),42564.246469907404)</f>
        <v>42564.24647</v>
      </c>
      <c r="G3520" s="20">
        <f t="shared" si="1"/>
        <v>5</v>
      </c>
      <c r="H3520" s="18" t="s">
        <v>34</v>
      </c>
      <c r="I3520" s="19" t="str">
        <f>IFERROR(__xludf.DUMMYFUNCTION("IFERROR(TO_DATE(H3520), """")"),"NA")</f>
        <v>NA</v>
      </c>
      <c r="J3520" s="19" t="s">
        <v>11</v>
      </c>
      <c r="K3520" s="22">
        <f t="shared" si="2"/>
        <v>1</v>
      </c>
    </row>
    <row r="3521">
      <c r="A3521" s="18">
        <v>4386.0</v>
      </c>
      <c r="B3521" s="18" t="s">
        <v>32</v>
      </c>
      <c r="C3521" s="18">
        <v>165.0</v>
      </c>
      <c r="D3521" s="18" t="s">
        <v>33</v>
      </c>
      <c r="E3521" s="27">
        <v>42565.32528935185</v>
      </c>
      <c r="F3521" s="19">
        <f>IFERROR(__xludf.DUMMYFUNCTION("IFERROR(TO_DATE(E3521), """")"),42565.32528935185)</f>
        <v>42565.32529</v>
      </c>
      <c r="G3521" s="20">
        <f t="shared" si="1"/>
        <v>7</v>
      </c>
      <c r="H3521" s="18" t="s">
        <v>34</v>
      </c>
      <c r="I3521" s="19" t="str">
        <f>IFERROR(__xludf.DUMMYFUNCTION("IFERROR(TO_DATE(H3521), """")"),"NA")</f>
        <v>NA</v>
      </c>
      <c r="J3521" s="19" t="s">
        <v>11</v>
      </c>
      <c r="K3521" s="22">
        <f t="shared" si="2"/>
        <v>1</v>
      </c>
    </row>
    <row r="3522">
      <c r="A3522" s="18">
        <v>1190.0</v>
      </c>
      <c r="B3522" s="18" t="s">
        <v>30</v>
      </c>
      <c r="C3522" s="18">
        <v>166.0</v>
      </c>
      <c r="D3522" s="18" t="s">
        <v>33</v>
      </c>
      <c r="E3522" s="26">
        <v>42562.88402777778</v>
      </c>
      <c r="F3522" s="19">
        <f>IFERROR(__xludf.DUMMYFUNCTION("IFERROR(TO_DATE(E3522), """")"),42562.88402777778)</f>
        <v>42562.88403</v>
      </c>
      <c r="G3522" s="20">
        <f t="shared" si="1"/>
        <v>21</v>
      </c>
      <c r="H3522" s="18" t="s">
        <v>34</v>
      </c>
      <c r="I3522" s="19" t="str">
        <f>IFERROR(__xludf.DUMMYFUNCTION("IFERROR(TO_DATE(H3522), """")"),"NA")</f>
        <v>NA</v>
      </c>
      <c r="J3522" s="19" t="s">
        <v>13</v>
      </c>
      <c r="K3522" s="22">
        <f t="shared" si="2"/>
        <v>1</v>
      </c>
    </row>
    <row r="3523">
      <c r="A3523" s="18">
        <v>1549.0</v>
      </c>
      <c r="B3523" s="18" t="s">
        <v>32</v>
      </c>
      <c r="C3523" s="18">
        <v>166.0</v>
      </c>
      <c r="D3523" s="18" t="s">
        <v>33</v>
      </c>
      <c r="E3523" s="26">
        <v>42563.251388888886</v>
      </c>
      <c r="F3523" s="19">
        <f>IFERROR(__xludf.DUMMYFUNCTION("IFERROR(TO_DATE(E3523), """")"),42563.251388888886)</f>
        <v>42563.25139</v>
      </c>
      <c r="G3523" s="20">
        <f t="shared" si="1"/>
        <v>6</v>
      </c>
      <c r="H3523" s="18" t="s">
        <v>34</v>
      </c>
      <c r="I3523" s="19" t="str">
        <f>IFERROR(__xludf.DUMMYFUNCTION("IFERROR(TO_DATE(H3523), """")"),"NA")</f>
        <v>NA</v>
      </c>
      <c r="J3523" s="19" t="s">
        <v>11</v>
      </c>
      <c r="K3523" s="22">
        <f t="shared" si="2"/>
        <v>1</v>
      </c>
    </row>
    <row r="3524">
      <c r="A3524" s="18">
        <v>2834.0</v>
      </c>
      <c r="B3524" s="18" t="s">
        <v>32</v>
      </c>
      <c r="C3524" s="18">
        <v>166.0</v>
      </c>
      <c r="D3524" s="18" t="s">
        <v>33</v>
      </c>
      <c r="E3524" s="27">
        <v>42564.223958333336</v>
      </c>
      <c r="F3524" s="19">
        <f>IFERROR(__xludf.DUMMYFUNCTION("IFERROR(TO_DATE(E3524), """")"),42564.223958333336)</f>
        <v>42564.22396</v>
      </c>
      <c r="G3524" s="20">
        <f t="shared" si="1"/>
        <v>5</v>
      </c>
      <c r="H3524" s="18" t="s">
        <v>34</v>
      </c>
      <c r="I3524" s="19" t="str">
        <f>IFERROR(__xludf.DUMMYFUNCTION("IFERROR(TO_DATE(H3524), """")"),"NA")</f>
        <v>NA</v>
      </c>
      <c r="J3524" s="19" t="s">
        <v>11</v>
      </c>
      <c r="K3524" s="22">
        <f t="shared" si="2"/>
        <v>1</v>
      </c>
    </row>
    <row r="3525">
      <c r="A3525" s="18">
        <v>2862.0</v>
      </c>
      <c r="B3525" s="18" t="s">
        <v>32</v>
      </c>
      <c r="C3525" s="18">
        <v>166.0</v>
      </c>
      <c r="D3525" s="18" t="s">
        <v>33</v>
      </c>
      <c r="E3525" s="27">
        <v>42564.2371875</v>
      </c>
      <c r="F3525" s="19">
        <f>IFERROR(__xludf.DUMMYFUNCTION("IFERROR(TO_DATE(E3525), """")"),42564.2371875)</f>
        <v>42564.23719</v>
      </c>
      <c r="G3525" s="20">
        <f t="shared" si="1"/>
        <v>5</v>
      </c>
      <c r="H3525" s="18" t="s">
        <v>34</v>
      </c>
      <c r="I3525" s="19" t="str">
        <f>IFERROR(__xludf.DUMMYFUNCTION("IFERROR(TO_DATE(H3525), """")"),"NA")</f>
        <v>NA</v>
      </c>
      <c r="J3525" s="19" t="s">
        <v>11</v>
      </c>
      <c r="K3525" s="22">
        <f t="shared" si="2"/>
        <v>1</v>
      </c>
    </row>
    <row r="3526">
      <c r="A3526" s="18">
        <v>3054.0</v>
      </c>
      <c r="B3526" s="18" t="s">
        <v>32</v>
      </c>
      <c r="C3526" s="18">
        <v>166.0</v>
      </c>
      <c r="D3526" s="18" t="s">
        <v>33</v>
      </c>
      <c r="E3526" s="27">
        <v>42564.3253587963</v>
      </c>
      <c r="F3526" s="19">
        <f>IFERROR(__xludf.DUMMYFUNCTION("IFERROR(TO_DATE(E3526), """")"),42564.3253587963)</f>
        <v>42564.32536</v>
      </c>
      <c r="G3526" s="20">
        <f t="shared" si="1"/>
        <v>7</v>
      </c>
      <c r="H3526" s="18" t="s">
        <v>34</v>
      </c>
      <c r="I3526" s="19" t="str">
        <f>IFERROR(__xludf.DUMMYFUNCTION("IFERROR(TO_DATE(H3526), """")"),"NA")</f>
        <v>NA</v>
      </c>
      <c r="J3526" s="19" t="s">
        <v>11</v>
      </c>
      <c r="K3526" s="22">
        <f t="shared" si="2"/>
        <v>1</v>
      </c>
    </row>
    <row r="3527">
      <c r="A3527" s="18">
        <v>3405.0</v>
      </c>
      <c r="B3527" s="18" t="s">
        <v>30</v>
      </c>
      <c r="C3527" s="18">
        <v>166.0</v>
      </c>
      <c r="D3527" s="18" t="s">
        <v>33</v>
      </c>
      <c r="E3527" s="27">
        <v>42564.634571759256</v>
      </c>
      <c r="F3527" s="19">
        <f>IFERROR(__xludf.DUMMYFUNCTION("IFERROR(TO_DATE(E3527), """")"),42564.634571759256)</f>
        <v>42564.63457</v>
      </c>
      <c r="G3527" s="20">
        <f t="shared" si="1"/>
        <v>15</v>
      </c>
      <c r="H3527" s="18" t="s">
        <v>34</v>
      </c>
      <c r="I3527" s="19" t="str">
        <f>IFERROR(__xludf.DUMMYFUNCTION("IFERROR(TO_DATE(H3527), """")"),"NA")</f>
        <v>NA</v>
      </c>
      <c r="J3527" s="19" t="s">
        <v>10</v>
      </c>
      <c r="K3527" s="22">
        <f t="shared" si="2"/>
        <v>1</v>
      </c>
    </row>
    <row r="3528">
      <c r="A3528" s="18">
        <v>4153.0</v>
      </c>
      <c r="B3528" s="18" t="s">
        <v>32</v>
      </c>
      <c r="C3528" s="18">
        <v>166.0</v>
      </c>
      <c r="D3528" s="18" t="s">
        <v>33</v>
      </c>
      <c r="E3528" s="27">
        <v>42565.207824074074</v>
      </c>
      <c r="F3528" s="19">
        <f>IFERROR(__xludf.DUMMYFUNCTION("IFERROR(TO_DATE(E3528), """")"),42565.207824074074)</f>
        <v>42565.20782</v>
      </c>
      <c r="G3528" s="20">
        <f t="shared" si="1"/>
        <v>4</v>
      </c>
      <c r="H3528" s="18" t="s">
        <v>34</v>
      </c>
      <c r="I3528" s="19" t="str">
        <f>IFERROR(__xludf.DUMMYFUNCTION("IFERROR(TO_DATE(H3528), """")"),"NA")</f>
        <v>NA</v>
      </c>
      <c r="J3528" s="19" t="s">
        <v>11</v>
      </c>
      <c r="K3528" s="22">
        <f t="shared" si="2"/>
        <v>1</v>
      </c>
    </row>
    <row r="3529">
      <c r="A3529" s="18">
        <v>5424.0</v>
      </c>
      <c r="B3529" s="18" t="s">
        <v>32</v>
      </c>
      <c r="C3529" s="18">
        <v>166.0</v>
      </c>
      <c r="D3529" s="18" t="s">
        <v>33</v>
      </c>
      <c r="E3529" s="27">
        <v>42566.092453703706</v>
      </c>
      <c r="F3529" s="19">
        <f>IFERROR(__xludf.DUMMYFUNCTION("IFERROR(TO_DATE(E3529), """")"),42566.092453703706)</f>
        <v>42566.09245</v>
      </c>
      <c r="G3529" s="20">
        <f t="shared" si="1"/>
        <v>2</v>
      </c>
      <c r="H3529" s="18" t="s">
        <v>34</v>
      </c>
      <c r="I3529" s="19" t="str">
        <f>IFERROR(__xludf.DUMMYFUNCTION("IFERROR(TO_DATE(H3529), """")"),"NA")</f>
        <v>NA</v>
      </c>
      <c r="J3529" s="19" t="s">
        <v>15</v>
      </c>
      <c r="K3529" s="22">
        <f t="shared" si="2"/>
        <v>1</v>
      </c>
    </row>
    <row r="3530">
      <c r="A3530" s="18">
        <v>6561.0</v>
      </c>
      <c r="B3530" s="18" t="s">
        <v>30</v>
      </c>
      <c r="C3530" s="18">
        <v>166.0</v>
      </c>
      <c r="D3530" s="18" t="s">
        <v>33</v>
      </c>
      <c r="E3530" s="27">
        <v>42566.88103009259</v>
      </c>
      <c r="F3530" s="19">
        <f>IFERROR(__xludf.DUMMYFUNCTION("IFERROR(TO_DATE(E3530), """")"),42566.88103009259)</f>
        <v>42566.88103</v>
      </c>
      <c r="G3530" s="20">
        <f t="shared" si="1"/>
        <v>21</v>
      </c>
      <c r="H3530" s="18" t="s">
        <v>34</v>
      </c>
      <c r="I3530" s="19" t="str">
        <f>IFERROR(__xludf.DUMMYFUNCTION("IFERROR(TO_DATE(H3530), """")"),"NA")</f>
        <v>NA</v>
      </c>
      <c r="J3530" s="19" t="s">
        <v>13</v>
      </c>
      <c r="K3530" s="22">
        <f t="shared" si="2"/>
        <v>1</v>
      </c>
    </row>
    <row r="3531">
      <c r="A3531" s="18">
        <v>1623.0</v>
      </c>
      <c r="B3531" s="18" t="s">
        <v>32</v>
      </c>
      <c r="C3531" s="18">
        <v>167.0</v>
      </c>
      <c r="D3531" s="18" t="s">
        <v>33</v>
      </c>
      <c r="E3531" s="26">
        <v>42563.29027777778</v>
      </c>
      <c r="F3531" s="19">
        <f>IFERROR(__xludf.DUMMYFUNCTION("IFERROR(TO_DATE(E3531), """")"),42563.29027777778)</f>
        <v>42563.29028</v>
      </c>
      <c r="G3531" s="20">
        <f t="shared" si="1"/>
        <v>6</v>
      </c>
      <c r="H3531" s="18" t="s">
        <v>34</v>
      </c>
      <c r="I3531" s="19" t="str">
        <f>IFERROR(__xludf.DUMMYFUNCTION("IFERROR(TO_DATE(H3531), """")"),"NA")</f>
        <v>NA</v>
      </c>
      <c r="J3531" s="19" t="s">
        <v>11</v>
      </c>
      <c r="K3531" s="22">
        <f t="shared" si="2"/>
        <v>1</v>
      </c>
    </row>
    <row r="3532">
      <c r="A3532" s="18">
        <v>2061.0</v>
      </c>
      <c r="B3532" s="18" t="s">
        <v>32</v>
      </c>
      <c r="C3532" s="18">
        <v>167.0</v>
      </c>
      <c r="D3532" s="18" t="s">
        <v>33</v>
      </c>
      <c r="E3532" s="26">
        <v>42563.62847222222</v>
      </c>
      <c r="F3532" s="19">
        <f>IFERROR(__xludf.DUMMYFUNCTION("IFERROR(TO_DATE(E3532), """")"),42563.62847222222)</f>
        <v>42563.62847</v>
      </c>
      <c r="G3532" s="20">
        <f t="shared" si="1"/>
        <v>15</v>
      </c>
      <c r="H3532" s="18" t="s">
        <v>34</v>
      </c>
      <c r="I3532" s="19" t="str">
        <f>IFERROR(__xludf.DUMMYFUNCTION("IFERROR(TO_DATE(H3532), """")"),"NA")</f>
        <v>NA</v>
      </c>
      <c r="J3532" s="19" t="s">
        <v>10</v>
      </c>
      <c r="K3532" s="22">
        <f t="shared" si="2"/>
        <v>1</v>
      </c>
    </row>
    <row r="3533">
      <c r="A3533" s="18">
        <v>3183.0</v>
      </c>
      <c r="B3533" s="18" t="s">
        <v>32</v>
      </c>
      <c r="C3533" s="18">
        <v>167.0</v>
      </c>
      <c r="D3533" s="18" t="s">
        <v>33</v>
      </c>
      <c r="E3533" s="27">
        <v>42564.38949074074</v>
      </c>
      <c r="F3533" s="19">
        <f>IFERROR(__xludf.DUMMYFUNCTION("IFERROR(TO_DATE(E3533), """")"),42564.38949074074)</f>
        <v>42564.38949</v>
      </c>
      <c r="G3533" s="20">
        <f t="shared" si="1"/>
        <v>9</v>
      </c>
      <c r="H3533" s="18" t="s">
        <v>34</v>
      </c>
      <c r="I3533" s="19" t="str">
        <f>IFERROR(__xludf.DUMMYFUNCTION("IFERROR(TO_DATE(H3533), """")"),"NA")</f>
        <v>NA</v>
      </c>
      <c r="J3533" s="19" t="s">
        <v>14</v>
      </c>
      <c r="K3533" s="22">
        <f t="shared" si="2"/>
        <v>1</v>
      </c>
    </row>
    <row r="3534">
      <c r="A3534" s="18">
        <v>240.0</v>
      </c>
      <c r="B3534" s="18" t="s">
        <v>32</v>
      </c>
      <c r="C3534" s="18">
        <v>168.0</v>
      </c>
      <c r="D3534" s="18" t="s">
        <v>33</v>
      </c>
      <c r="E3534" s="26">
        <v>42562.27013888889</v>
      </c>
      <c r="F3534" s="19">
        <f>IFERROR(__xludf.DUMMYFUNCTION("IFERROR(TO_DATE(E3534), """")"),42562.27013888889)</f>
        <v>42562.27014</v>
      </c>
      <c r="G3534" s="20">
        <f t="shared" si="1"/>
        <v>6</v>
      </c>
      <c r="H3534" s="18" t="s">
        <v>34</v>
      </c>
      <c r="I3534" s="19" t="str">
        <f>IFERROR(__xludf.DUMMYFUNCTION("IFERROR(TO_DATE(H3534), """")"),"NA")</f>
        <v>NA</v>
      </c>
      <c r="J3534" s="19" t="s">
        <v>11</v>
      </c>
      <c r="K3534" s="22">
        <f t="shared" si="2"/>
        <v>1</v>
      </c>
    </row>
    <row r="3535">
      <c r="A3535" s="18">
        <v>1011.0</v>
      </c>
      <c r="B3535" s="18" t="s">
        <v>30</v>
      </c>
      <c r="C3535" s="18">
        <v>168.0</v>
      </c>
      <c r="D3535" s="18" t="s">
        <v>33</v>
      </c>
      <c r="E3535" s="26">
        <v>42562.79722222222</v>
      </c>
      <c r="F3535" s="19">
        <f>IFERROR(__xludf.DUMMYFUNCTION("IFERROR(TO_DATE(E3535), """")"),42562.79722222222)</f>
        <v>42562.79722</v>
      </c>
      <c r="G3535" s="20">
        <f t="shared" si="1"/>
        <v>19</v>
      </c>
      <c r="H3535" s="18" t="s">
        <v>34</v>
      </c>
      <c r="I3535" s="19" t="str">
        <f>IFERROR(__xludf.DUMMYFUNCTION("IFERROR(TO_DATE(H3535), """")"),"NA")</f>
        <v>NA</v>
      </c>
      <c r="J3535" s="19" t="s">
        <v>12</v>
      </c>
      <c r="K3535" s="22">
        <f t="shared" si="2"/>
        <v>1</v>
      </c>
    </row>
    <row r="3536">
      <c r="A3536" s="18">
        <v>1755.0</v>
      </c>
      <c r="B3536" s="18" t="s">
        <v>32</v>
      </c>
      <c r="C3536" s="18">
        <v>168.0</v>
      </c>
      <c r="D3536" s="18" t="s">
        <v>33</v>
      </c>
      <c r="E3536" s="26">
        <v>42563.36111111111</v>
      </c>
      <c r="F3536" s="19">
        <f>IFERROR(__xludf.DUMMYFUNCTION("IFERROR(TO_DATE(E3536), """")"),42563.36111111111)</f>
        <v>42563.36111</v>
      </c>
      <c r="G3536" s="20">
        <f t="shared" si="1"/>
        <v>8</v>
      </c>
      <c r="H3536" s="18" t="s">
        <v>34</v>
      </c>
      <c r="I3536" s="19" t="str">
        <f>IFERROR(__xludf.DUMMYFUNCTION("IFERROR(TO_DATE(H3536), """")"),"NA")</f>
        <v>NA</v>
      </c>
      <c r="J3536" s="19" t="s">
        <v>14</v>
      </c>
      <c r="K3536" s="22">
        <f t="shared" si="2"/>
        <v>1</v>
      </c>
    </row>
    <row r="3537">
      <c r="A3537" s="18">
        <v>1893.0</v>
      </c>
      <c r="B3537" s="18" t="s">
        <v>32</v>
      </c>
      <c r="C3537" s="18">
        <v>168.0</v>
      </c>
      <c r="D3537" s="18" t="s">
        <v>33</v>
      </c>
      <c r="E3537" s="26">
        <v>42563.42847222222</v>
      </c>
      <c r="F3537" s="19">
        <f>IFERROR(__xludf.DUMMYFUNCTION("IFERROR(TO_DATE(E3537), """")"),42563.42847222222)</f>
        <v>42563.42847</v>
      </c>
      <c r="G3537" s="20">
        <f t="shared" si="1"/>
        <v>10</v>
      </c>
      <c r="H3537" s="18" t="s">
        <v>34</v>
      </c>
      <c r="I3537" s="19" t="str">
        <f>IFERROR(__xludf.DUMMYFUNCTION("IFERROR(TO_DATE(H3537), """")"),"NA")</f>
        <v>NA</v>
      </c>
      <c r="J3537" s="19" t="s">
        <v>14</v>
      </c>
      <c r="K3537" s="22">
        <f t="shared" si="2"/>
        <v>1</v>
      </c>
    </row>
    <row r="3538">
      <c r="A3538" s="18">
        <v>177.0</v>
      </c>
      <c r="B3538" s="18" t="s">
        <v>32</v>
      </c>
      <c r="C3538" s="18">
        <v>169.0</v>
      </c>
      <c r="D3538" s="18" t="s">
        <v>33</v>
      </c>
      <c r="E3538" s="26">
        <v>42562.24166666667</v>
      </c>
      <c r="F3538" s="19">
        <f>IFERROR(__xludf.DUMMYFUNCTION("IFERROR(TO_DATE(E3538), """")"),42562.24166666667)</f>
        <v>42562.24167</v>
      </c>
      <c r="G3538" s="20">
        <f t="shared" si="1"/>
        <v>5</v>
      </c>
      <c r="H3538" s="18" t="s">
        <v>34</v>
      </c>
      <c r="I3538" s="19" t="str">
        <f>IFERROR(__xludf.DUMMYFUNCTION("IFERROR(TO_DATE(H3538), """")"),"NA")</f>
        <v>NA</v>
      </c>
      <c r="J3538" s="19" t="s">
        <v>11</v>
      </c>
      <c r="K3538" s="22">
        <f t="shared" si="2"/>
        <v>1</v>
      </c>
    </row>
    <row r="3539">
      <c r="A3539" s="18">
        <v>1162.0</v>
      </c>
      <c r="B3539" s="18" t="s">
        <v>30</v>
      </c>
      <c r="C3539" s="18">
        <v>169.0</v>
      </c>
      <c r="D3539" s="18" t="s">
        <v>33</v>
      </c>
      <c r="E3539" s="26">
        <v>42562.86319444444</v>
      </c>
      <c r="F3539" s="19">
        <f>IFERROR(__xludf.DUMMYFUNCTION("IFERROR(TO_DATE(E3539), """")"),42562.86319444444)</f>
        <v>42562.86319</v>
      </c>
      <c r="G3539" s="20">
        <f t="shared" si="1"/>
        <v>20</v>
      </c>
      <c r="H3539" s="18" t="s">
        <v>34</v>
      </c>
      <c r="I3539" s="19" t="str">
        <f>IFERROR(__xludf.DUMMYFUNCTION("IFERROR(TO_DATE(H3539), """")"),"NA")</f>
        <v>NA</v>
      </c>
      <c r="J3539" s="19" t="s">
        <v>13</v>
      </c>
      <c r="K3539" s="22">
        <f t="shared" si="2"/>
        <v>1</v>
      </c>
    </row>
    <row r="3540">
      <c r="A3540" s="18">
        <v>1456.0</v>
      </c>
      <c r="B3540" s="18" t="s">
        <v>32</v>
      </c>
      <c r="C3540" s="18">
        <v>169.0</v>
      </c>
      <c r="D3540" s="18" t="s">
        <v>33</v>
      </c>
      <c r="E3540" s="26">
        <v>42563.205555555556</v>
      </c>
      <c r="F3540" s="19">
        <f>IFERROR(__xludf.DUMMYFUNCTION("IFERROR(TO_DATE(E3540), """")"),42563.205555555556)</f>
        <v>42563.20556</v>
      </c>
      <c r="G3540" s="20">
        <f t="shared" si="1"/>
        <v>4</v>
      </c>
      <c r="H3540" s="18" t="s">
        <v>34</v>
      </c>
      <c r="I3540" s="19" t="str">
        <f>IFERROR(__xludf.DUMMYFUNCTION("IFERROR(TO_DATE(H3540), """")"),"NA")</f>
        <v>NA</v>
      </c>
      <c r="J3540" s="19" t="s">
        <v>11</v>
      </c>
      <c r="K3540" s="22">
        <f t="shared" si="2"/>
        <v>1</v>
      </c>
    </row>
    <row r="3541">
      <c r="A3541" s="18">
        <v>1472.0</v>
      </c>
      <c r="B3541" s="18" t="s">
        <v>32</v>
      </c>
      <c r="C3541" s="18">
        <v>169.0</v>
      </c>
      <c r="D3541" s="18" t="s">
        <v>33</v>
      </c>
      <c r="E3541" s="26">
        <v>42563.21388888889</v>
      </c>
      <c r="F3541" s="19">
        <f>IFERROR(__xludf.DUMMYFUNCTION("IFERROR(TO_DATE(E3541), """")"),42563.21388888889)</f>
        <v>42563.21389</v>
      </c>
      <c r="G3541" s="20">
        <f t="shared" si="1"/>
        <v>5</v>
      </c>
      <c r="H3541" s="18" t="s">
        <v>34</v>
      </c>
      <c r="I3541" s="19" t="str">
        <f>IFERROR(__xludf.DUMMYFUNCTION("IFERROR(TO_DATE(H3541), """")"),"NA")</f>
        <v>NA</v>
      </c>
      <c r="J3541" s="19" t="s">
        <v>11</v>
      </c>
      <c r="K3541" s="22">
        <f t="shared" si="2"/>
        <v>1</v>
      </c>
    </row>
    <row r="3542">
      <c r="A3542" s="18">
        <v>3024.0</v>
      </c>
      <c r="B3542" s="18" t="s">
        <v>32</v>
      </c>
      <c r="C3542" s="18">
        <v>169.0</v>
      </c>
      <c r="D3542" s="18" t="s">
        <v>33</v>
      </c>
      <c r="E3542" s="27">
        <v>42564.31395833333</v>
      </c>
      <c r="F3542" s="19">
        <f>IFERROR(__xludf.DUMMYFUNCTION("IFERROR(TO_DATE(E3542), """")"),42564.31395833333)</f>
        <v>42564.31396</v>
      </c>
      <c r="G3542" s="20">
        <f t="shared" si="1"/>
        <v>7</v>
      </c>
      <c r="H3542" s="18" t="s">
        <v>34</v>
      </c>
      <c r="I3542" s="19" t="str">
        <f>IFERROR(__xludf.DUMMYFUNCTION("IFERROR(TO_DATE(H3542), """")"),"NA")</f>
        <v>NA</v>
      </c>
      <c r="J3542" s="19" t="s">
        <v>11</v>
      </c>
      <c r="K3542" s="22">
        <f t="shared" si="2"/>
        <v>1</v>
      </c>
    </row>
    <row r="3543">
      <c r="A3543" s="18">
        <v>903.0</v>
      </c>
      <c r="B3543" s="18" t="s">
        <v>32</v>
      </c>
      <c r="C3543" s="18">
        <v>170.0</v>
      </c>
      <c r="D3543" s="18" t="s">
        <v>33</v>
      </c>
      <c r="E3543" s="26">
        <v>42562.759722222225</v>
      </c>
      <c r="F3543" s="19">
        <f>IFERROR(__xludf.DUMMYFUNCTION("IFERROR(TO_DATE(E3543), """")"),42562.759722222225)</f>
        <v>42562.75972</v>
      </c>
      <c r="G3543" s="20">
        <f t="shared" si="1"/>
        <v>18</v>
      </c>
      <c r="H3543" s="18" t="s">
        <v>34</v>
      </c>
      <c r="I3543" s="19" t="str">
        <f>IFERROR(__xludf.DUMMYFUNCTION("IFERROR(TO_DATE(H3543), """")"),"NA")</f>
        <v>NA</v>
      </c>
      <c r="J3543" s="19" t="s">
        <v>12</v>
      </c>
      <c r="K3543" s="22">
        <f t="shared" si="2"/>
        <v>1</v>
      </c>
    </row>
    <row r="3544">
      <c r="A3544" s="18">
        <v>1969.0</v>
      </c>
      <c r="B3544" s="18" t="s">
        <v>30</v>
      </c>
      <c r="C3544" s="18">
        <v>170.0</v>
      </c>
      <c r="D3544" s="18" t="s">
        <v>33</v>
      </c>
      <c r="E3544" s="26">
        <v>42563.50486111111</v>
      </c>
      <c r="F3544" s="19">
        <f>IFERROR(__xludf.DUMMYFUNCTION("IFERROR(TO_DATE(E3544), """")"),42563.50486111111)</f>
        <v>42563.50486</v>
      </c>
      <c r="G3544" s="20">
        <f t="shared" si="1"/>
        <v>12</v>
      </c>
      <c r="H3544" s="18" t="s">
        <v>34</v>
      </c>
      <c r="I3544" s="19" t="str">
        <f>IFERROR(__xludf.DUMMYFUNCTION("IFERROR(TO_DATE(H3544), """")"),"NA")</f>
        <v>NA</v>
      </c>
      <c r="J3544" s="19" t="s">
        <v>10</v>
      </c>
      <c r="K3544" s="22">
        <f t="shared" si="2"/>
        <v>1</v>
      </c>
    </row>
    <row r="3545">
      <c r="A3545" s="18">
        <v>3457.0</v>
      </c>
      <c r="B3545" s="18" t="s">
        <v>30</v>
      </c>
      <c r="C3545" s="18">
        <v>170.0</v>
      </c>
      <c r="D3545" s="18" t="s">
        <v>33</v>
      </c>
      <c r="E3545" s="27">
        <v>42564.708402777775</v>
      </c>
      <c r="F3545" s="19">
        <f>IFERROR(__xludf.DUMMYFUNCTION("IFERROR(TO_DATE(E3545), """")"),42564.708402777775)</f>
        <v>42564.7084</v>
      </c>
      <c r="G3545" s="20">
        <f t="shared" si="1"/>
        <v>17</v>
      </c>
      <c r="H3545" s="18" t="s">
        <v>34</v>
      </c>
      <c r="I3545" s="19" t="str">
        <f>IFERROR(__xludf.DUMMYFUNCTION("IFERROR(TO_DATE(H3545), """")"),"NA")</f>
        <v>NA</v>
      </c>
      <c r="J3545" s="19" t="s">
        <v>12</v>
      </c>
      <c r="K3545" s="22">
        <f t="shared" si="2"/>
        <v>1</v>
      </c>
    </row>
    <row r="3546">
      <c r="A3546" s="18">
        <v>4567.0</v>
      </c>
      <c r="B3546" s="18" t="s">
        <v>32</v>
      </c>
      <c r="C3546" s="18">
        <v>170.0</v>
      </c>
      <c r="D3546" s="18" t="s">
        <v>33</v>
      </c>
      <c r="E3546" s="27">
        <v>42565.40730324074</v>
      </c>
      <c r="F3546" s="19">
        <f>IFERROR(__xludf.DUMMYFUNCTION("IFERROR(TO_DATE(E3546), """")"),42565.40730324074)</f>
        <v>42565.4073</v>
      </c>
      <c r="G3546" s="20">
        <f t="shared" si="1"/>
        <v>9</v>
      </c>
      <c r="H3546" s="18" t="s">
        <v>34</v>
      </c>
      <c r="I3546" s="19" t="str">
        <f>IFERROR(__xludf.DUMMYFUNCTION("IFERROR(TO_DATE(H3546), """")"),"NA")</f>
        <v>NA</v>
      </c>
      <c r="J3546" s="19" t="s">
        <v>14</v>
      </c>
      <c r="K3546" s="22">
        <f t="shared" si="2"/>
        <v>1</v>
      </c>
    </row>
    <row r="3547">
      <c r="A3547" s="18">
        <v>4696.0</v>
      </c>
      <c r="B3547" s="18" t="s">
        <v>30</v>
      </c>
      <c r="C3547" s="18">
        <v>170.0</v>
      </c>
      <c r="D3547" s="18" t="s">
        <v>33</v>
      </c>
      <c r="E3547" s="27">
        <v>42565.545810185184</v>
      </c>
      <c r="F3547" s="19">
        <f>IFERROR(__xludf.DUMMYFUNCTION("IFERROR(TO_DATE(E3547), """")"),42565.545810185184)</f>
        <v>42565.54581</v>
      </c>
      <c r="G3547" s="20">
        <f t="shared" si="1"/>
        <v>13</v>
      </c>
      <c r="H3547" s="18" t="s">
        <v>34</v>
      </c>
      <c r="I3547" s="19" t="str">
        <f>IFERROR(__xludf.DUMMYFUNCTION("IFERROR(TO_DATE(H3547), """")"),"NA")</f>
        <v>NA</v>
      </c>
      <c r="J3547" s="19" t="s">
        <v>10</v>
      </c>
      <c r="K3547" s="22">
        <f t="shared" si="2"/>
        <v>1</v>
      </c>
    </row>
    <row r="3548">
      <c r="A3548" s="18">
        <v>4695.0</v>
      </c>
      <c r="B3548" s="18" t="s">
        <v>32</v>
      </c>
      <c r="C3548" s="18">
        <v>170.0</v>
      </c>
      <c r="D3548" s="18" t="s">
        <v>33</v>
      </c>
      <c r="E3548" s="27">
        <v>42565.54918981482</v>
      </c>
      <c r="F3548" s="19">
        <f>IFERROR(__xludf.DUMMYFUNCTION("IFERROR(TO_DATE(E3548), """")"),42565.54918981482)</f>
        <v>42565.54919</v>
      </c>
      <c r="G3548" s="20">
        <f t="shared" si="1"/>
        <v>13</v>
      </c>
      <c r="H3548" s="18" t="s">
        <v>34</v>
      </c>
      <c r="I3548" s="19" t="str">
        <f>IFERROR(__xludf.DUMMYFUNCTION("IFERROR(TO_DATE(H3548), """")"),"NA")</f>
        <v>NA</v>
      </c>
      <c r="J3548" s="19" t="s">
        <v>10</v>
      </c>
      <c r="K3548" s="22">
        <f t="shared" si="2"/>
        <v>1</v>
      </c>
    </row>
    <row r="3549">
      <c r="A3549" s="18">
        <v>77.0</v>
      </c>
      <c r="B3549" s="18" t="s">
        <v>32</v>
      </c>
      <c r="C3549" s="18">
        <v>171.0</v>
      </c>
      <c r="D3549" s="18" t="s">
        <v>33</v>
      </c>
      <c r="E3549" s="26">
        <v>42562.19861111111</v>
      </c>
      <c r="F3549" s="19">
        <f>IFERROR(__xludf.DUMMYFUNCTION("IFERROR(TO_DATE(E3549), """")"),42562.19861111111)</f>
        <v>42562.19861</v>
      </c>
      <c r="G3549" s="20">
        <f t="shared" si="1"/>
        <v>4</v>
      </c>
      <c r="H3549" s="18" t="s">
        <v>34</v>
      </c>
      <c r="I3549" s="19" t="str">
        <f>IFERROR(__xludf.DUMMYFUNCTION("IFERROR(TO_DATE(H3549), """")"),"NA")</f>
        <v>NA</v>
      </c>
      <c r="J3549" s="19" t="s">
        <v>11</v>
      </c>
      <c r="K3549" s="22">
        <f t="shared" si="2"/>
        <v>1</v>
      </c>
    </row>
    <row r="3550">
      <c r="A3550" s="18">
        <v>3118.0</v>
      </c>
      <c r="B3550" s="18" t="s">
        <v>32</v>
      </c>
      <c r="C3550" s="18">
        <v>171.0</v>
      </c>
      <c r="D3550" s="18" t="s">
        <v>33</v>
      </c>
      <c r="E3550" s="27">
        <v>42564.35988425926</v>
      </c>
      <c r="F3550" s="19">
        <f>IFERROR(__xludf.DUMMYFUNCTION("IFERROR(TO_DATE(E3550), """")"),42564.35988425926)</f>
        <v>42564.35988</v>
      </c>
      <c r="G3550" s="20">
        <f t="shared" si="1"/>
        <v>8</v>
      </c>
      <c r="H3550" s="18" t="s">
        <v>34</v>
      </c>
      <c r="I3550" s="19" t="str">
        <f>IFERROR(__xludf.DUMMYFUNCTION("IFERROR(TO_DATE(H3550), """")"),"NA")</f>
        <v>NA</v>
      </c>
      <c r="J3550" s="19" t="s">
        <v>14</v>
      </c>
      <c r="K3550" s="22">
        <f t="shared" si="2"/>
        <v>1</v>
      </c>
    </row>
    <row r="3551">
      <c r="A3551" s="18">
        <v>3329.0</v>
      </c>
      <c r="B3551" s="18" t="s">
        <v>30</v>
      </c>
      <c r="C3551" s="18">
        <v>171.0</v>
      </c>
      <c r="D3551" s="18" t="s">
        <v>33</v>
      </c>
      <c r="E3551" s="27">
        <v>42564.51730324074</v>
      </c>
      <c r="F3551" s="19">
        <f>IFERROR(__xludf.DUMMYFUNCTION("IFERROR(TO_DATE(E3551), """")"),42564.51730324074)</f>
        <v>42564.5173</v>
      </c>
      <c r="G3551" s="20">
        <f t="shared" si="1"/>
        <v>12</v>
      </c>
      <c r="H3551" s="18" t="s">
        <v>34</v>
      </c>
      <c r="I3551" s="19" t="str">
        <f>IFERROR(__xludf.DUMMYFUNCTION("IFERROR(TO_DATE(H3551), """")"),"NA")</f>
        <v>NA</v>
      </c>
      <c r="J3551" s="19" t="s">
        <v>10</v>
      </c>
      <c r="K3551" s="22">
        <f t="shared" si="2"/>
        <v>1</v>
      </c>
    </row>
    <row r="3552">
      <c r="A3552" s="18">
        <v>4403.0</v>
      </c>
      <c r="B3552" s="18" t="s">
        <v>32</v>
      </c>
      <c r="C3552" s="18">
        <v>171.0</v>
      </c>
      <c r="D3552" s="18" t="s">
        <v>33</v>
      </c>
      <c r="E3552" s="27">
        <v>42565.33414351852</v>
      </c>
      <c r="F3552" s="19">
        <f>IFERROR(__xludf.DUMMYFUNCTION("IFERROR(TO_DATE(E3552), """")"),42565.33414351852)</f>
        <v>42565.33414</v>
      </c>
      <c r="G3552" s="20">
        <f t="shared" si="1"/>
        <v>8</v>
      </c>
      <c r="H3552" s="18" t="s">
        <v>34</v>
      </c>
      <c r="I3552" s="19" t="str">
        <f>IFERROR(__xludf.DUMMYFUNCTION("IFERROR(TO_DATE(H3552), """")"),"NA")</f>
        <v>NA</v>
      </c>
      <c r="J3552" s="19" t="s">
        <v>14</v>
      </c>
      <c r="K3552" s="22">
        <f t="shared" si="2"/>
        <v>1</v>
      </c>
    </row>
    <row r="3553">
      <c r="A3553" s="18">
        <v>4406.0</v>
      </c>
      <c r="B3553" s="18" t="s">
        <v>32</v>
      </c>
      <c r="C3553" s="18">
        <v>171.0</v>
      </c>
      <c r="D3553" s="18" t="s">
        <v>33</v>
      </c>
      <c r="E3553" s="27">
        <v>42565.33516203704</v>
      </c>
      <c r="F3553" s="19">
        <f>IFERROR(__xludf.DUMMYFUNCTION("IFERROR(TO_DATE(E3553), """")"),42565.33516203704)</f>
        <v>42565.33516</v>
      </c>
      <c r="G3553" s="20">
        <f t="shared" si="1"/>
        <v>8</v>
      </c>
      <c r="H3553" s="18" t="s">
        <v>34</v>
      </c>
      <c r="I3553" s="19" t="str">
        <f>IFERROR(__xludf.DUMMYFUNCTION("IFERROR(TO_DATE(H3553), """")"),"NA")</f>
        <v>NA</v>
      </c>
      <c r="J3553" s="19" t="s">
        <v>14</v>
      </c>
      <c r="K3553" s="22">
        <f t="shared" si="2"/>
        <v>1</v>
      </c>
    </row>
    <row r="3554">
      <c r="A3554" s="18">
        <v>1828.0</v>
      </c>
      <c r="B3554" s="18" t="s">
        <v>32</v>
      </c>
      <c r="C3554" s="18">
        <v>172.0</v>
      </c>
      <c r="D3554" s="18" t="s">
        <v>33</v>
      </c>
      <c r="E3554" s="26">
        <v>42563.39791666667</v>
      </c>
      <c r="F3554" s="19">
        <f>IFERROR(__xludf.DUMMYFUNCTION("IFERROR(TO_DATE(E3554), """")"),42563.39791666667)</f>
        <v>42563.39792</v>
      </c>
      <c r="G3554" s="20">
        <f t="shared" si="1"/>
        <v>9</v>
      </c>
      <c r="H3554" s="18" t="s">
        <v>34</v>
      </c>
      <c r="I3554" s="19" t="str">
        <f>IFERROR(__xludf.DUMMYFUNCTION("IFERROR(TO_DATE(H3554), """")"),"NA")</f>
        <v>NA</v>
      </c>
      <c r="J3554" s="19" t="s">
        <v>14</v>
      </c>
      <c r="K3554" s="22">
        <f t="shared" si="2"/>
        <v>1</v>
      </c>
    </row>
    <row r="3555">
      <c r="A3555" s="18">
        <v>3084.0</v>
      </c>
      <c r="B3555" s="18" t="s">
        <v>32</v>
      </c>
      <c r="C3555" s="18">
        <v>172.0</v>
      </c>
      <c r="D3555" s="18" t="s">
        <v>33</v>
      </c>
      <c r="E3555" s="27">
        <v>42564.34185185185</v>
      </c>
      <c r="F3555" s="19">
        <f>IFERROR(__xludf.DUMMYFUNCTION("IFERROR(TO_DATE(E3555), """")"),42564.34185185185)</f>
        <v>42564.34185</v>
      </c>
      <c r="G3555" s="20">
        <f t="shared" si="1"/>
        <v>8</v>
      </c>
      <c r="H3555" s="18" t="s">
        <v>34</v>
      </c>
      <c r="I3555" s="19" t="str">
        <f>IFERROR(__xludf.DUMMYFUNCTION("IFERROR(TO_DATE(H3555), """")"),"NA")</f>
        <v>NA</v>
      </c>
      <c r="J3555" s="19" t="s">
        <v>14</v>
      </c>
      <c r="K3555" s="22">
        <f t="shared" si="2"/>
        <v>1</v>
      </c>
    </row>
    <row r="3556">
      <c r="A3556" s="18">
        <v>3890.0</v>
      </c>
      <c r="B3556" s="18" t="s">
        <v>30</v>
      </c>
      <c r="C3556" s="18">
        <v>172.0</v>
      </c>
      <c r="D3556" s="18" t="s">
        <v>33</v>
      </c>
      <c r="E3556" s="27">
        <v>42564.918032407404</v>
      </c>
      <c r="F3556" s="19">
        <f>IFERROR(__xludf.DUMMYFUNCTION("IFERROR(TO_DATE(E3556), """")"),42564.918032407404)</f>
        <v>42564.91803</v>
      </c>
      <c r="G3556" s="20">
        <f t="shared" si="1"/>
        <v>22</v>
      </c>
      <c r="H3556" s="18" t="s">
        <v>34</v>
      </c>
      <c r="I3556" s="19" t="str">
        <f>IFERROR(__xludf.DUMMYFUNCTION("IFERROR(TO_DATE(H3556), """")"),"NA")</f>
        <v>NA</v>
      </c>
      <c r="J3556" s="19" t="s">
        <v>13</v>
      </c>
      <c r="K3556" s="22">
        <f t="shared" si="2"/>
        <v>1</v>
      </c>
    </row>
    <row r="3557">
      <c r="A3557" s="18">
        <v>4410.0</v>
      </c>
      <c r="B3557" s="18" t="s">
        <v>32</v>
      </c>
      <c r="C3557" s="18">
        <v>172.0</v>
      </c>
      <c r="D3557" s="18" t="s">
        <v>33</v>
      </c>
      <c r="E3557" s="27">
        <v>42565.338055555556</v>
      </c>
      <c r="F3557" s="19">
        <f>IFERROR(__xludf.DUMMYFUNCTION("IFERROR(TO_DATE(E3557), """")"),42565.338055555556)</f>
        <v>42565.33806</v>
      </c>
      <c r="G3557" s="20">
        <f t="shared" si="1"/>
        <v>8</v>
      </c>
      <c r="H3557" s="18" t="s">
        <v>34</v>
      </c>
      <c r="I3557" s="19" t="str">
        <f>IFERROR(__xludf.DUMMYFUNCTION("IFERROR(TO_DATE(H3557), """")"),"NA")</f>
        <v>NA</v>
      </c>
      <c r="J3557" s="19" t="s">
        <v>14</v>
      </c>
      <c r="K3557" s="22">
        <f t="shared" si="2"/>
        <v>1</v>
      </c>
    </row>
    <row r="3558">
      <c r="A3558" s="18">
        <v>127.0</v>
      </c>
      <c r="B3558" s="18" t="s">
        <v>32</v>
      </c>
      <c r="C3558" s="18">
        <v>173.0</v>
      </c>
      <c r="D3558" s="18" t="s">
        <v>33</v>
      </c>
      <c r="E3558" s="26">
        <v>42562.21527777778</v>
      </c>
      <c r="F3558" s="19">
        <f>IFERROR(__xludf.DUMMYFUNCTION("IFERROR(TO_DATE(E3558), """")"),42562.21527777778)</f>
        <v>42562.21528</v>
      </c>
      <c r="G3558" s="20">
        <f t="shared" si="1"/>
        <v>5</v>
      </c>
      <c r="H3558" s="18" t="s">
        <v>34</v>
      </c>
      <c r="I3558" s="19" t="str">
        <f>IFERROR(__xludf.DUMMYFUNCTION("IFERROR(TO_DATE(H3558), """")"),"NA")</f>
        <v>NA</v>
      </c>
      <c r="J3558" s="19" t="s">
        <v>11</v>
      </c>
      <c r="K3558" s="22">
        <f t="shared" si="2"/>
        <v>1</v>
      </c>
    </row>
    <row r="3559">
      <c r="A3559" s="18">
        <v>3355.0</v>
      </c>
      <c r="B3559" s="18" t="s">
        <v>30</v>
      </c>
      <c r="C3559" s="18">
        <v>173.0</v>
      </c>
      <c r="D3559" s="18" t="s">
        <v>33</v>
      </c>
      <c r="E3559" s="27">
        <v>42564.56005787037</v>
      </c>
      <c r="F3559" s="19">
        <f>IFERROR(__xludf.DUMMYFUNCTION("IFERROR(TO_DATE(E3559), """")"),42564.56005787037)</f>
        <v>42564.56006</v>
      </c>
      <c r="G3559" s="20">
        <f t="shared" si="1"/>
        <v>13</v>
      </c>
      <c r="H3559" s="18" t="s">
        <v>34</v>
      </c>
      <c r="I3559" s="19" t="str">
        <f>IFERROR(__xludf.DUMMYFUNCTION("IFERROR(TO_DATE(H3559), """")"),"NA")</f>
        <v>NA</v>
      </c>
      <c r="J3559" s="19" t="s">
        <v>10</v>
      </c>
      <c r="K3559" s="22">
        <f t="shared" si="2"/>
        <v>1</v>
      </c>
    </row>
    <row r="3560">
      <c r="A3560" s="18">
        <v>86.0</v>
      </c>
      <c r="B3560" s="18" t="s">
        <v>32</v>
      </c>
      <c r="C3560" s="18">
        <v>174.0</v>
      </c>
      <c r="D3560" s="18" t="s">
        <v>33</v>
      </c>
      <c r="E3560" s="26">
        <v>42562.20208333333</v>
      </c>
      <c r="F3560" s="19">
        <f>IFERROR(__xludf.DUMMYFUNCTION("IFERROR(TO_DATE(E3560), """")"),42562.20208333333)</f>
        <v>42562.20208</v>
      </c>
      <c r="G3560" s="20">
        <f t="shared" si="1"/>
        <v>4</v>
      </c>
      <c r="H3560" s="18" t="s">
        <v>34</v>
      </c>
      <c r="I3560" s="19" t="str">
        <f>IFERROR(__xludf.DUMMYFUNCTION("IFERROR(TO_DATE(H3560), """")"),"NA")</f>
        <v>NA</v>
      </c>
      <c r="J3560" s="19" t="s">
        <v>11</v>
      </c>
      <c r="K3560" s="22">
        <f t="shared" si="2"/>
        <v>1</v>
      </c>
    </row>
    <row r="3561">
      <c r="A3561" s="18">
        <v>550.0</v>
      </c>
      <c r="B3561" s="18" t="s">
        <v>32</v>
      </c>
      <c r="C3561" s="18">
        <v>174.0</v>
      </c>
      <c r="D3561" s="18" t="s">
        <v>33</v>
      </c>
      <c r="E3561" s="26">
        <v>42562.419444444444</v>
      </c>
      <c r="F3561" s="19">
        <f>IFERROR(__xludf.DUMMYFUNCTION("IFERROR(TO_DATE(E3561), """")"),42562.419444444444)</f>
        <v>42562.41944</v>
      </c>
      <c r="G3561" s="20">
        <f t="shared" si="1"/>
        <v>10</v>
      </c>
      <c r="H3561" s="18" t="s">
        <v>34</v>
      </c>
      <c r="I3561" s="19" t="str">
        <f>IFERROR(__xludf.DUMMYFUNCTION("IFERROR(TO_DATE(H3561), """")"),"NA")</f>
        <v>NA</v>
      </c>
      <c r="J3561" s="19" t="s">
        <v>14</v>
      </c>
      <c r="K3561" s="22">
        <f t="shared" si="2"/>
        <v>1</v>
      </c>
    </row>
    <row r="3562">
      <c r="A3562" s="18">
        <v>2275.0</v>
      </c>
      <c r="B3562" s="18" t="s">
        <v>32</v>
      </c>
      <c r="C3562" s="18">
        <v>175.0</v>
      </c>
      <c r="D3562" s="18" t="s">
        <v>33</v>
      </c>
      <c r="E3562" s="26">
        <v>42563.77361111111</v>
      </c>
      <c r="F3562" s="19">
        <f>IFERROR(__xludf.DUMMYFUNCTION("IFERROR(TO_DATE(E3562), """")"),42563.77361111111)</f>
        <v>42563.77361</v>
      </c>
      <c r="G3562" s="20">
        <f t="shared" si="1"/>
        <v>18</v>
      </c>
      <c r="H3562" s="18" t="s">
        <v>34</v>
      </c>
      <c r="I3562" s="19" t="str">
        <f>IFERROR(__xludf.DUMMYFUNCTION("IFERROR(TO_DATE(H3562), """")"),"NA")</f>
        <v>NA</v>
      </c>
      <c r="J3562" s="19" t="s">
        <v>12</v>
      </c>
      <c r="K3562" s="22">
        <f t="shared" si="2"/>
        <v>1</v>
      </c>
    </row>
    <row r="3563">
      <c r="A3563" s="18">
        <v>4399.0</v>
      </c>
      <c r="B3563" s="18" t="s">
        <v>32</v>
      </c>
      <c r="C3563" s="18">
        <v>175.0</v>
      </c>
      <c r="D3563" s="18" t="s">
        <v>33</v>
      </c>
      <c r="E3563" s="27">
        <v>42565.335231481484</v>
      </c>
      <c r="F3563" s="19">
        <f>IFERROR(__xludf.DUMMYFUNCTION("IFERROR(TO_DATE(E3563), """")"),42565.335231481484)</f>
        <v>42565.33523</v>
      </c>
      <c r="G3563" s="20">
        <f t="shared" si="1"/>
        <v>8</v>
      </c>
      <c r="H3563" s="18" t="s">
        <v>34</v>
      </c>
      <c r="I3563" s="19" t="str">
        <f>IFERROR(__xludf.DUMMYFUNCTION("IFERROR(TO_DATE(H3563), """")"),"NA")</f>
        <v>NA</v>
      </c>
      <c r="J3563" s="19" t="s">
        <v>14</v>
      </c>
      <c r="K3563" s="22">
        <f t="shared" si="2"/>
        <v>1</v>
      </c>
    </row>
    <row r="3564">
      <c r="A3564" s="18">
        <v>5598.0</v>
      </c>
      <c r="B3564" s="18" t="s">
        <v>32</v>
      </c>
      <c r="C3564" s="18">
        <v>175.0</v>
      </c>
      <c r="D3564" s="18" t="s">
        <v>33</v>
      </c>
      <c r="E3564" s="27">
        <v>42566.259618055556</v>
      </c>
      <c r="F3564" s="19">
        <f>IFERROR(__xludf.DUMMYFUNCTION("IFERROR(TO_DATE(E3564), """")"),42566.259618055556)</f>
        <v>42566.25962</v>
      </c>
      <c r="G3564" s="20">
        <f t="shared" si="1"/>
        <v>6</v>
      </c>
      <c r="H3564" s="18" t="s">
        <v>34</v>
      </c>
      <c r="I3564" s="19" t="str">
        <f>IFERROR(__xludf.DUMMYFUNCTION("IFERROR(TO_DATE(H3564), """")"),"NA")</f>
        <v>NA</v>
      </c>
      <c r="J3564" s="19" t="s">
        <v>11</v>
      </c>
      <c r="K3564" s="22">
        <f t="shared" si="2"/>
        <v>1</v>
      </c>
    </row>
    <row r="3565">
      <c r="A3565" s="18">
        <v>293.0</v>
      </c>
      <c r="B3565" s="18" t="s">
        <v>32</v>
      </c>
      <c r="C3565" s="18">
        <v>176.0</v>
      </c>
      <c r="D3565" s="18" t="s">
        <v>33</v>
      </c>
      <c r="E3565" s="26">
        <v>42562.29652777778</v>
      </c>
      <c r="F3565" s="19">
        <f>IFERROR(__xludf.DUMMYFUNCTION("IFERROR(TO_DATE(E3565), """")"),42562.29652777778)</f>
        <v>42562.29653</v>
      </c>
      <c r="G3565" s="20">
        <f t="shared" si="1"/>
        <v>7</v>
      </c>
      <c r="H3565" s="18" t="s">
        <v>34</v>
      </c>
      <c r="I3565" s="19" t="str">
        <f>IFERROR(__xludf.DUMMYFUNCTION("IFERROR(TO_DATE(H3565), """")"),"NA")</f>
        <v>NA</v>
      </c>
      <c r="J3565" s="19" t="s">
        <v>11</v>
      </c>
      <c r="K3565" s="22">
        <f t="shared" si="2"/>
        <v>1</v>
      </c>
    </row>
    <row r="3566">
      <c r="A3566" s="18">
        <v>355.0</v>
      </c>
      <c r="B3566" s="18" t="s">
        <v>32</v>
      </c>
      <c r="C3566" s="18">
        <v>176.0</v>
      </c>
      <c r="D3566" s="18" t="s">
        <v>33</v>
      </c>
      <c r="E3566" s="26">
        <v>42562.32916666667</v>
      </c>
      <c r="F3566" s="19">
        <f>IFERROR(__xludf.DUMMYFUNCTION("IFERROR(TO_DATE(E3566), """")"),42562.32916666667)</f>
        <v>42562.32917</v>
      </c>
      <c r="G3566" s="20">
        <f t="shared" si="1"/>
        <v>7</v>
      </c>
      <c r="H3566" s="18" t="s">
        <v>34</v>
      </c>
      <c r="I3566" s="19" t="str">
        <f>IFERROR(__xludf.DUMMYFUNCTION("IFERROR(TO_DATE(H3566), """")"),"NA")</f>
        <v>NA</v>
      </c>
      <c r="J3566" s="19" t="s">
        <v>11</v>
      </c>
      <c r="K3566" s="22">
        <f t="shared" si="2"/>
        <v>1</v>
      </c>
    </row>
    <row r="3567">
      <c r="A3567" s="18">
        <v>683.0</v>
      </c>
      <c r="B3567" s="18" t="s">
        <v>30</v>
      </c>
      <c r="C3567" s="18">
        <v>176.0</v>
      </c>
      <c r="D3567" s="18" t="s">
        <v>33</v>
      </c>
      <c r="E3567" s="26">
        <v>42562.569444444445</v>
      </c>
      <c r="F3567" s="19">
        <f>IFERROR(__xludf.DUMMYFUNCTION("IFERROR(TO_DATE(E3567), """")"),42562.569444444445)</f>
        <v>42562.56944</v>
      </c>
      <c r="G3567" s="20">
        <f t="shared" si="1"/>
        <v>13</v>
      </c>
      <c r="H3567" s="18" t="s">
        <v>34</v>
      </c>
      <c r="I3567" s="19" t="str">
        <f>IFERROR(__xludf.DUMMYFUNCTION("IFERROR(TO_DATE(H3567), """")"),"NA")</f>
        <v>NA</v>
      </c>
      <c r="J3567" s="19" t="s">
        <v>10</v>
      </c>
      <c r="K3567" s="22">
        <f t="shared" si="2"/>
        <v>1</v>
      </c>
    </row>
    <row r="3568">
      <c r="A3568" s="18">
        <v>1490.0</v>
      </c>
      <c r="B3568" s="18" t="s">
        <v>32</v>
      </c>
      <c r="C3568" s="18">
        <v>176.0</v>
      </c>
      <c r="D3568" s="18" t="s">
        <v>33</v>
      </c>
      <c r="E3568" s="26">
        <v>42563.222916666666</v>
      </c>
      <c r="F3568" s="19">
        <f>IFERROR(__xludf.DUMMYFUNCTION("IFERROR(TO_DATE(E3568), """")"),42563.222916666666)</f>
        <v>42563.22292</v>
      </c>
      <c r="G3568" s="20">
        <f t="shared" si="1"/>
        <v>5</v>
      </c>
      <c r="H3568" s="18" t="s">
        <v>34</v>
      </c>
      <c r="I3568" s="19" t="str">
        <f>IFERROR(__xludf.DUMMYFUNCTION("IFERROR(TO_DATE(H3568), """")"),"NA")</f>
        <v>NA</v>
      </c>
      <c r="J3568" s="19" t="s">
        <v>11</v>
      </c>
      <c r="K3568" s="22">
        <f t="shared" si="2"/>
        <v>1</v>
      </c>
    </row>
    <row r="3569">
      <c r="A3569" s="18">
        <v>1796.0</v>
      </c>
      <c r="B3569" s="18" t="s">
        <v>32</v>
      </c>
      <c r="C3569" s="18">
        <v>176.0</v>
      </c>
      <c r="D3569" s="18" t="s">
        <v>33</v>
      </c>
      <c r="E3569" s="26">
        <v>42563.379166666666</v>
      </c>
      <c r="F3569" s="19">
        <f>IFERROR(__xludf.DUMMYFUNCTION("IFERROR(TO_DATE(E3569), """")"),42563.379166666666)</f>
        <v>42563.37917</v>
      </c>
      <c r="G3569" s="20">
        <f t="shared" si="1"/>
        <v>9</v>
      </c>
      <c r="H3569" s="18" t="s">
        <v>34</v>
      </c>
      <c r="I3569" s="19" t="str">
        <f>IFERROR(__xludf.DUMMYFUNCTION("IFERROR(TO_DATE(H3569), """")"),"NA")</f>
        <v>NA</v>
      </c>
      <c r="J3569" s="19" t="s">
        <v>14</v>
      </c>
      <c r="K3569" s="22">
        <f t="shared" si="2"/>
        <v>1</v>
      </c>
    </row>
    <row r="3570">
      <c r="A3570" s="18">
        <v>4529.0</v>
      </c>
      <c r="B3570" s="18" t="s">
        <v>32</v>
      </c>
      <c r="C3570" s="18">
        <v>176.0</v>
      </c>
      <c r="D3570" s="18" t="s">
        <v>33</v>
      </c>
      <c r="E3570" s="27">
        <v>42565.395891203705</v>
      </c>
      <c r="F3570" s="19">
        <f>IFERROR(__xludf.DUMMYFUNCTION("IFERROR(TO_DATE(E3570), """")"),42565.395891203705)</f>
        <v>42565.39589</v>
      </c>
      <c r="G3570" s="20">
        <f t="shared" si="1"/>
        <v>9</v>
      </c>
      <c r="H3570" s="18" t="s">
        <v>34</v>
      </c>
      <c r="I3570" s="19" t="str">
        <f>IFERROR(__xludf.DUMMYFUNCTION("IFERROR(TO_DATE(H3570), """")"),"NA")</f>
        <v>NA</v>
      </c>
      <c r="J3570" s="19" t="s">
        <v>14</v>
      </c>
      <c r="K3570" s="22">
        <f t="shared" si="2"/>
        <v>1</v>
      </c>
    </row>
    <row r="3571">
      <c r="A3571" s="18">
        <v>4536.0</v>
      </c>
      <c r="B3571" s="18" t="s">
        <v>32</v>
      </c>
      <c r="C3571" s="18">
        <v>176.0</v>
      </c>
      <c r="D3571" s="18" t="s">
        <v>33</v>
      </c>
      <c r="E3571" s="27">
        <v>42565.40241898148</v>
      </c>
      <c r="F3571" s="19">
        <f>IFERROR(__xludf.DUMMYFUNCTION("IFERROR(TO_DATE(E3571), """")"),42565.40241898148)</f>
        <v>42565.40242</v>
      </c>
      <c r="G3571" s="20">
        <f t="shared" si="1"/>
        <v>9</v>
      </c>
      <c r="H3571" s="18" t="s">
        <v>34</v>
      </c>
      <c r="I3571" s="19" t="str">
        <f>IFERROR(__xludf.DUMMYFUNCTION("IFERROR(TO_DATE(H3571), """")"),"NA")</f>
        <v>NA</v>
      </c>
      <c r="J3571" s="19" t="s">
        <v>14</v>
      </c>
      <c r="K3571" s="22">
        <f t="shared" si="2"/>
        <v>1</v>
      </c>
    </row>
    <row r="3572">
      <c r="A3572" s="18">
        <v>433.0</v>
      </c>
      <c r="B3572" s="18" t="s">
        <v>32</v>
      </c>
      <c r="C3572" s="18">
        <v>177.0</v>
      </c>
      <c r="D3572" s="18" t="s">
        <v>33</v>
      </c>
      <c r="E3572" s="26">
        <v>42562.37291666667</v>
      </c>
      <c r="F3572" s="19">
        <f>IFERROR(__xludf.DUMMYFUNCTION("IFERROR(TO_DATE(E3572), """")"),42562.37291666667)</f>
        <v>42562.37292</v>
      </c>
      <c r="G3572" s="20">
        <f t="shared" si="1"/>
        <v>8</v>
      </c>
      <c r="H3572" s="18" t="s">
        <v>34</v>
      </c>
      <c r="I3572" s="19" t="str">
        <f>IFERROR(__xludf.DUMMYFUNCTION("IFERROR(TO_DATE(H3572), """")"),"NA")</f>
        <v>NA</v>
      </c>
      <c r="J3572" s="19" t="s">
        <v>14</v>
      </c>
      <c r="K3572" s="22">
        <f t="shared" si="2"/>
        <v>1</v>
      </c>
    </row>
    <row r="3573">
      <c r="A3573" s="18">
        <v>1607.0</v>
      </c>
      <c r="B3573" s="18" t="s">
        <v>32</v>
      </c>
      <c r="C3573" s="18">
        <v>177.0</v>
      </c>
      <c r="D3573" s="18" t="s">
        <v>33</v>
      </c>
      <c r="E3573" s="26">
        <v>42563.27847222222</v>
      </c>
      <c r="F3573" s="19">
        <f>IFERROR(__xludf.DUMMYFUNCTION("IFERROR(TO_DATE(E3573), """")"),42563.27847222222)</f>
        <v>42563.27847</v>
      </c>
      <c r="G3573" s="20">
        <f t="shared" si="1"/>
        <v>6</v>
      </c>
      <c r="H3573" s="18" t="s">
        <v>34</v>
      </c>
      <c r="I3573" s="19" t="str">
        <f>IFERROR(__xludf.DUMMYFUNCTION("IFERROR(TO_DATE(H3573), """")"),"NA")</f>
        <v>NA</v>
      </c>
      <c r="J3573" s="19" t="s">
        <v>11</v>
      </c>
      <c r="K3573" s="22">
        <f t="shared" si="2"/>
        <v>1</v>
      </c>
    </row>
    <row r="3574">
      <c r="A3574" s="18">
        <v>3189.0</v>
      </c>
      <c r="B3574" s="18" t="s">
        <v>32</v>
      </c>
      <c r="C3574" s="18">
        <v>177.0</v>
      </c>
      <c r="D3574" s="18" t="s">
        <v>33</v>
      </c>
      <c r="E3574" s="27">
        <v>42564.39778935185</v>
      </c>
      <c r="F3574" s="19">
        <f>IFERROR(__xludf.DUMMYFUNCTION("IFERROR(TO_DATE(E3574), """")"),42564.39778935185)</f>
        <v>42564.39779</v>
      </c>
      <c r="G3574" s="20">
        <f t="shared" si="1"/>
        <v>9</v>
      </c>
      <c r="H3574" s="18" t="s">
        <v>34</v>
      </c>
      <c r="I3574" s="19" t="str">
        <f>IFERROR(__xludf.DUMMYFUNCTION("IFERROR(TO_DATE(H3574), """")"),"NA")</f>
        <v>NA</v>
      </c>
      <c r="J3574" s="19" t="s">
        <v>14</v>
      </c>
      <c r="K3574" s="22">
        <f t="shared" si="2"/>
        <v>1</v>
      </c>
    </row>
    <row r="3575">
      <c r="A3575" s="18">
        <v>4128.0</v>
      </c>
      <c r="B3575" s="18" t="s">
        <v>32</v>
      </c>
      <c r="C3575" s="18">
        <v>177.0</v>
      </c>
      <c r="D3575" s="18" t="s">
        <v>33</v>
      </c>
      <c r="E3575" s="27">
        <v>42565.19627314815</v>
      </c>
      <c r="F3575" s="19">
        <f>IFERROR(__xludf.DUMMYFUNCTION("IFERROR(TO_DATE(E3575), """")"),42565.19627314815)</f>
        <v>42565.19627</v>
      </c>
      <c r="G3575" s="20">
        <f t="shared" si="1"/>
        <v>4</v>
      </c>
      <c r="H3575" s="18" t="s">
        <v>34</v>
      </c>
      <c r="I3575" s="19" t="str">
        <f>IFERROR(__xludf.DUMMYFUNCTION("IFERROR(TO_DATE(H3575), """")"),"NA")</f>
        <v>NA</v>
      </c>
      <c r="J3575" s="19" t="s">
        <v>11</v>
      </c>
      <c r="K3575" s="22">
        <f t="shared" si="2"/>
        <v>1</v>
      </c>
    </row>
    <row r="3576">
      <c r="A3576" s="18">
        <v>4197.0</v>
      </c>
      <c r="B3576" s="18" t="s">
        <v>32</v>
      </c>
      <c r="C3576" s="18">
        <v>177.0</v>
      </c>
      <c r="D3576" s="18" t="s">
        <v>33</v>
      </c>
      <c r="E3576" s="27">
        <v>42565.22723379629</v>
      </c>
      <c r="F3576" s="19">
        <f>IFERROR(__xludf.DUMMYFUNCTION("IFERROR(TO_DATE(E3576), """")"),42565.22723379629)</f>
        <v>42565.22723</v>
      </c>
      <c r="G3576" s="20">
        <f t="shared" si="1"/>
        <v>5</v>
      </c>
      <c r="H3576" s="18" t="s">
        <v>34</v>
      </c>
      <c r="I3576" s="19" t="str">
        <f>IFERROR(__xludf.DUMMYFUNCTION("IFERROR(TO_DATE(H3576), """")"),"NA")</f>
        <v>NA</v>
      </c>
      <c r="J3576" s="19" t="s">
        <v>11</v>
      </c>
      <c r="K3576" s="22">
        <f t="shared" si="2"/>
        <v>1</v>
      </c>
    </row>
    <row r="3577">
      <c r="A3577" s="18">
        <v>4524.0</v>
      </c>
      <c r="B3577" s="18" t="s">
        <v>32</v>
      </c>
      <c r="C3577" s="18">
        <v>177.0</v>
      </c>
      <c r="D3577" s="18" t="s">
        <v>33</v>
      </c>
      <c r="E3577" s="27">
        <v>42565.39319444444</v>
      </c>
      <c r="F3577" s="19">
        <f>IFERROR(__xludf.DUMMYFUNCTION("IFERROR(TO_DATE(E3577), """")"),42565.39319444444)</f>
        <v>42565.39319</v>
      </c>
      <c r="G3577" s="20">
        <f t="shared" si="1"/>
        <v>9</v>
      </c>
      <c r="H3577" s="18" t="s">
        <v>34</v>
      </c>
      <c r="I3577" s="19" t="str">
        <f>IFERROR(__xludf.DUMMYFUNCTION("IFERROR(TO_DATE(H3577), """")"),"NA")</f>
        <v>NA</v>
      </c>
      <c r="J3577" s="19" t="s">
        <v>14</v>
      </c>
      <c r="K3577" s="22">
        <f t="shared" si="2"/>
        <v>1</v>
      </c>
    </row>
    <row r="3578">
      <c r="A3578" s="18">
        <v>5871.0</v>
      </c>
      <c r="B3578" s="18" t="s">
        <v>32</v>
      </c>
      <c r="C3578" s="18">
        <v>177.0</v>
      </c>
      <c r="D3578" s="18" t="s">
        <v>33</v>
      </c>
      <c r="E3578" s="27">
        <v>42566.391435185185</v>
      </c>
      <c r="F3578" s="19">
        <f>IFERROR(__xludf.DUMMYFUNCTION("IFERROR(TO_DATE(E3578), """")"),42566.391435185185)</f>
        <v>42566.39144</v>
      </c>
      <c r="G3578" s="20">
        <f t="shared" si="1"/>
        <v>9</v>
      </c>
      <c r="H3578" s="18" t="s">
        <v>34</v>
      </c>
      <c r="I3578" s="19" t="str">
        <f>IFERROR(__xludf.DUMMYFUNCTION("IFERROR(TO_DATE(H3578), """")"),"NA")</f>
        <v>NA</v>
      </c>
      <c r="J3578" s="19" t="s">
        <v>14</v>
      </c>
      <c r="K3578" s="22">
        <f t="shared" si="2"/>
        <v>1</v>
      </c>
    </row>
    <row r="3579">
      <c r="A3579" s="18">
        <v>5912.0</v>
      </c>
      <c r="B3579" s="18" t="s">
        <v>32</v>
      </c>
      <c r="C3579" s="18">
        <v>177.0</v>
      </c>
      <c r="D3579" s="18" t="s">
        <v>33</v>
      </c>
      <c r="E3579" s="27">
        <v>42566.41722222222</v>
      </c>
      <c r="F3579" s="19">
        <f>IFERROR(__xludf.DUMMYFUNCTION("IFERROR(TO_DATE(E3579), """")"),42566.41722222222)</f>
        <v>42566.41722</v>
      </c>
      <c r="G3579" s="20">
        <f t="shared" si="1"/>
        <v>10</v>
      </c>
      <c r="H3579" s="18" t="s">
        <v>34</v>
      </c>
      <c r="I3579" s="19" t="str">
        <f>IFERROR(__xludf.DUMMYFUNCTION("IFERROR(TO_DATE(H3579), """")"),"NA")</f>
        <v>NA</v>
      </c>
      <c r="J3579" s="19" t="s">
        <v>14</v>
      </c>
      <c r="K3579" s="22">
        <f t="shared" si="2"/>
        <v>1</v>
      </c>
    </row>
    <row r="3580">
      <c r="A3580" s="18">
        <v>2466.0</v>
      </c>
      <c r="B3580" s="18" t="s">
        <v>30</v>
      </c>
      <c r="C3580" s="18">
        <v>178.0</v>
      </c>
      <c r="D3580" s="18" t="s">
        <v>33</v>
      </c>
      <c r="E3580" s="26">
        <v>42563.856944444444</v>
      </c>
      <c r="F3580" s="19">
        <f>IFERROR(__xludf.DUMMYFUNCTION("IFERROR(TO_DATE(E3580), """")"),42563.856944444444)</f>
        <v>42563.85694</v>
      </c>
      <c r="G3580" s="20">
        <f t="shared" si="1"/>
        <v>20</v>
      </c>
      <c r="H3580" s="18" t="s">
        <v>34</v>
      </c>
      <c r="I3580" s="19" t="str">
        <f>IFERROR(__xludf.DUMMYFUNCTION("IFERROR(TO_DATE(H3580), """")"),"NA")</f>
        <v>NA</v>
      </c>
      <c r="J3580" s="19" t="s">
        <v>13</v>
      </c>
      <c r="K3580" s="22">
        <f t="shared" si="2"/>
        <v>1</v>
      </c>
    </row>
    <row r="3581">
      <c r="A3581" s="18">
        <v>2886.0</v>
      </c>
      <c r="B3581" s="18" t="s">
        <v>32</v>
      </c>
      <c r="C3581" s="18">
        <v>178.0</v>
      </c>
      <c r="D3581" s="18" t="s">
        <v>33</v>
      </c>
      <c r="E3581" s="27">
        <v>42564.25109953704</v>
      </c>
      <c r="F3581" s="19">
        <f>IFERROR(__xludf.DUMMYFUNCTION("IFERROR(TO_DATE(E3581), """")"),42564.25109953704)</f>
        <v>42564.2511</v>
      </c>
      <c r="G3581" s="20">
        <f t="shared" si="1"/>
        <v>6</v>
      </c>
      <c r="H3581" s="18" t="s">
        <v>34</v>
      </c>
      <c r="I3581" s="19" t="str">
        <f>IFERROR(__xludf.DUMMYFUNCTION("IFERROR(TO_DATE(H3581), """")"),"NA")</f>
        <v>NA</v>
      </c>
      <c r="J3581" s="19" t="s">
        <v>11</v>
      </c>
      <c r="K3581" s="22">
        <f t="shared" si="2"/>
        <v>1</v>
      </c>
    </row>
    <row r="3582">
      <c r="A3582" s="18">
        <v>5225.0</v>
      </c>
      <c r="B3582" s="18" t="s">
        <v>32</v>
      </c>
      <c r="C3582" s="18">
        <v>178.0</v>
      </c>
      <c r="D3582" s="18" t="s">
        <v>33</v>
      </c>
      <c r="E3582" s="27">
        <v>42565.879849537036</v>
      </c>
      <c r="F3582" s="19">
        <f>IFERROR(__xludf.DUMMYFUNCTION("IFERROR(TO_DATE(E3582), """")"),42565.879849537036)</f>
        <v>42565.87985</v>
      </c>
      <c r="G3582" s="20">
        <f t="shared" si="1"/>
        <v>21</v>
      </c>
      <c r="H3582" s="18" t="s">
        <v>34</v>
      </c>
      <c r="I3582" s="19" t="str">
        <f>IFERROR(__xludf.DUMMYFUNCTION("IFERROR(TO_DATE(H3582), """")"),"NA")</f>
        <v>NA</v>
      </c>
      <c r="J3582" s="19" t="s">
        <v>13</v>
      </c>
      <c r="K3582" s="22">
        <f t="shared" si="2"/>
        <v>1</v>
      </c>
    </row>
    <row r="3583">
      <c r="A3583" s="18">
        <v>6505.0</v>
      </c>
      <c r="B3583" s="18" t="s">
        <v>32</v>
      </c>
      <c r="C3583" s="18">
        <v>178.0</v>
      </c>
      <c r="D3583" s="18" t="s">
        <v>33</v>
      </c>
      <c r="E3583" s="27">
        <v>42566.85770833334</v>
      </c>
      <c r="F3583" s="19">
        <f>IFERROR(__xludf.DUMMYFUNCTION("IFERROR(TO_DATE(E3583), """")"),42566.85770833334)</f>
        <v>42566.85771</v>
      </c>
      <c r="G3583" s="20">
        <f t="shared" si="1"/>
        <v>20</v>
      </c>
      <c r="H3583" s="18" t="s">
        <v>34</v>
      </c>
      <c r="I3583" s="19" t="str">
        <f>IFERROR(__xludf.DUMMYFUNCTION("IFERROR(TO_DATE(H3583), """")"),"NA")</f>
        <v>NA</v>
      </c>
      <c r="J3583" s="19" t="s">
        <v>13</v>
      </c>
      <c r="K3583" s="22">
        <f t="shared" si="2"/>
        <v>1</v>
      </c>
    </row>
    <row r="3584">
      <c r="A3584" s="18">
        <v>2785.0</v>
      </c>
      <c r="B3584" s="18" t="s">
        <v>32</v>
      </c>
      <c r="C3584" s="18">
        <v>179.0</v>
      </c>
      <c r="D3584" s="18" t="s">
        <v>33</v>
      </c>
      <c r="E3584" s="27">
        <v>42564.20186342593</v>
      </c>
      <c r="F3584" s="19">
        <f>IFERROR(__xludf.DUMMYFUNCTION("IFERROR(TO_DATE(E3584), """")"),42564.20186342593)</f>
        <v>42564.20186</v>
      </c>
      <c r="G3584" s="20">
        <f t="shared" si="1"/>
        <v>4</v>
      </c>
      <c r="H3584" s="18" t="s">
        <v>34</v>
      </c>
      <c r="I3584" s="19" t="str">
        <f>IFERROR(__xludf.DUMMYFUNCTION("IFERROR(TO_DATE(H3584), """")"),"NA")</f>
        <v>NA</v>
      </c>
      <c r="J3584" s="19" t="s">
        <v>11</v>
      </c>
      <c r="K3584" s="22">
        <f t="shared" si="2"/>
        <v>1</v>
      </c>
    </row>
    <row r="3585">
      <c r="A3585" s="18">
        <v>2806.0</v>
      </c>
      <c r="B3585" s="18" t="s">
        <v>32</v>
      </c>
      <c r="C3585" s="18">
        <v>179.0</v>
      </c>
      <c r="D3585" s="18" t="s">
        <v>33</v>
      </c>
      <c r="E3585" s="27">
        <v>42564.208449074074</v>
      </c>
      <c r="F3585" s="19">
        <f>IFERROR(__xludf.DUMMYFUNCTION("IFERROR(TO_DATE(E3585), """")"),42564.208449074074)</f>
        <v>42564.20845</v>
      </c>
      <c r="G3585" s="20">
        <f t="shared" si="1"/>
        <v>5</v>
      </c>
      <c r="H3585" s="18" t="s">
        <v>34</v>
      </c>
      <c r="I3585" s="19" t="str">
        <f>IFERROR(__xludf.DUMMYFUNCTION("IFERROR(TO_DATE(H3585), """")"),"NA")</f>
        <v>NA</v>
      </c>
      <c r="J3585" s="19" t="s">
        <v>11</v>
      </c>
      <c r="K3585" s="22">
        <f t="shared" si="2"/>
        <v>1</v>
      </c>
    </row>
    <row r="3586">
      <c r="A3586" s="18">
        <v>4459.0</v>
      </c>
      <c r="B3586" s="18" t="s">
        <v>32</v>
      </c>
      <c r="C3586" s="18">
        <v>179.0</v>
      </c>
      <c r="D3586" s="18" t="s">
        <v>33</v>
      </c>
      <c r="E3586" s="27">
        <v>42565.35940972222</v>
      </c>
      <c r="F3586" s="19">
        <f>IFERROR(__xludf.DUMMYFUNCTION("IFERROR(TO_DATE(E3586), """")"),42565.35940972222)</f>
        <v>42565.35941</v>
      </c>
      <c r="G3586" s="20">
        <f t="shared" si="1"/>
        <v>8</v>
      </c>
      <c r="H3586" s="18" t="s">
        <v>34</v>
      </c>
      <c r="I3586" s="19" t="str">
        <f>IFERROR(__xludf.DUMMYFUNCTION("IFERROR(TO_DATE(H3586), """")"),"NA")</f>
        <v>NA</v>
      </c>
      <c r="J3586" s="19" t="s">
        <v>14</v>
      </c>
      <c r="K3586" s="22">
        <f t="shared" si="2"/>
        <v>1</v>
      </c>
    </row>
    <row r="3587">
      <c r="A3587" s="18">
        <v>5653.0</v>
      </c>
      <c r="B3587" s="18" t="s">
        <v>32</v>
      </c>
      <c r="C3587" s="18">
        <v>179.0</v>
      </c>
      <c r="D3587" s="18" t="s">
        <v>33</v>
      </c>
      <c r="E3587" s="27">
        <v>42566.29059027778</v>
      </c>
      <c r="F3587" s="19">
        <f>IFERROR(__xludf.DUMMYFUNCTION("IFERROR(TO_DATE(E3587), """")"),42566.29059027778)</f>
        <v>42566.29059</v>
      </c>
      <c r="G3587" s="20">
        <f t="shared" si="1"/>
        <v>6</v>
      </c>
      <c r="H3587" s="18" t="s">
        <v>34</v>
      </c>
      <c r="I3587" s="19" t="str">
        <f>IFERROR(__xludf.DUMMYFUNCTION("IFERROR(TO_DATE(H3587), """")"),"NA")</f>
        <v>NA</v>
      </c>
      <c r="J3587" s="19" t="s">
        <v>11</v>
      </c>
      <c r="K3587" s="22">
        <f t="shared" si="2"/>
        <v>1</v>
      </c>
    </row>
    <row r="3588">
      <c r="A3588" s="18">
        <v>1650.0</v>
      </c>
      <c r="B3588" s="18" t="s">
        <v>32</v>
      </c>
      <c r="C3588" s="18">
        <v>180.0</v>
      </c>
      <c r="D3588" s="18" t="s">
        <v>33</v>
      </c>
      <c r="E3588" s="26">
        <v>42563.30138888889</v>
      </c>
      <c r="F3588" s="19">
        <f>IFERROR(__xludf.DUMMYFUNCTION("IFERROR(TO_DATE(E3588), """")"),42563.30138888889)</f>
        <v>42563.30139</v>
      </c>
      <c r="G3588" s="20">
        <f t="shared" si="1"/>
        <v>7</v>
      </c>
      <c r="H3588" s="18" t="s">
        <v>34</v>
      </c>
      <c r="I3588" s="19" t="str">
        <f>IFERROR(__xludf.DUMMYFUNCTION("IFERROR(TO_DATE(H3588), """")"),"NA")</f>
        <v>NA</v>
      </c>
      <c r="J3588" s="19" t="s">
        <v>11</v>
      </c>
      <c r="K3588" s="22">
        <f t="shared" si="2"/>
        <v>1</v>
      </c>
    </row>
    <row r="3589">
      <c r="A3589" s="18">
        <v>3745.0</v>
      </c>
      <c r="B3589" s="18" t="s">
        <v>30</v>
      </c>
      <c r="C3589" s="18">
        <v>180.0</v>
      </c>
      <c r="D3589" s="18" t="s">
        <v>33</v>
      </c>
      <c r="E3589" s="27">
        <v>42564.852268518516</v>
      </c>
      <c r="F3589" s="19">
        <f>IFERROR(__xludf.DUMMYFUNCTION("IFERROR(TO_DATE(E3589), """")"),42564.852268518516)</f>
        <v>42564.85227</v>
      </c>
      <c r="G3589" s="20">
        <f t="shared" si="1"/>
        <v>20</v>
      </c>
      <c r="H3589" s="18" t="s">
        <v>34</v>
      </c>
      <c r="I3589" s="19" t="str">
        <f>IFERROR(__xludf.DUMMYFUNCTION("IFERROR(TO_DATE(H3589), """")"),"NA")</f>
        <v>NA</v>
      </c>
      <c r="J3589" s="19" t="s">
        <v>13</v>
      </c>
      <c r="K3589" s="22">
        <f t="shared" si="2"/>
        <v>1</v>
      </c>
    </row>
    <row r="3590">
      <c r="A3590" s="18">
        <v>4796.0</v>
      </c>
      <c r="B3590" s="18" t="s">
        <v>30</v>
      </c>
      <c r="C3590" s="18">
        <v>180.0</v>
      </c>
      <c r="D3590" s="18" t="s">
        <v>33</v>
      </c>
      <c r="E3590" s="27">
        <v>42565.70474537037</v>
      </c>
      <c r="F3590" s="19">
        <f>IFERROR(__xludf.DUMMYFUNCTION("IFERROR(TO_DATE(E3590), """")"),42565.70474537037)</f>
        <v>42565.70475</v>
      </c>
      <c r="G3590" s="20">
        <f t="shared" si="1"/>
        <v>16</v>
      </c>
      <c r="H3590" s="18" t="s">
        <v>34</v>
      </c>
      <c r="I3590" s="19" t="str">
        <f>IFERROR(__xludf.DUMMYFUNCTION("IFERROR(TO_DATE(H3590), """")"),"NA")</f>
        <v>NA</v>
      </c>
      <c r="J3590" s="19" t="s">
        <v>12</v>
      </c>
      <c r="K3590" s="22">
        <f t="shared" si="2"/>
        <v>1</v>
      </c>
    </row>
    <row r="3591">
      <c r="A3591" s="18">
        <v>2119.0</v>
      </c>
      <c r="B3591" s="18" t="s">
        <v>32</v>
      </c>
      <c r="C3591" s="18">
        <v>181.0</v>
      </c>
      <c r="D3591" s="18" t="s">
        <v>33</v>
      </c>
      <c r="E3591" s="26">
        <v>42563.69513888889</v>
      </c>
      <c r="F3591" s="19">
        <f>IFERROR(__xludf.DUMMYFUNCTION("IFERROR(TO_DATE(E3591), """")"),42563.69513888889)</f>
        <v>42563.69514</v>
      </c>
      <c r="G3591" s="20">
        <f t="shared" si="1"/>
        <v>16</v>
      </c>
      <c r="H3591" s="18" t="s">
        <v>34</v>
      </c>
      <c r="I3591" s="19" t="str">
        <f>IFERROR(__xludf.DUMMYFUNCTION("IFERROR(TO_DATE(H3591), """")"),"NA")</f>
        <v>NA</v>
      </c>
      <c r="J3591" s="19" t="s">
        <v>12</v>
      </c>
      <c r="K3591" s="22">
        <f t="shared" si="2"/>
        <v>1</v>
      </c>
    </row>
    <row r="3592">
      <c r="A3592" s="18">
        <v>3013.0</v>
      </c>
      <c r="B3592" s="18" t="s">
        <v>32</v>
      </c>
      <c r="C3592" s="18">
        <v>181.0</v>
      </c>
      <c r="D3592" s="18" t="s">
        <v>33</v>
      </c>
      <c r="E3592" s="27">
        <v>42564.31324074074</v>
      </c>
      <c r="F3592" s="19">
        <f>IFERROR(__xludf.DUMMYFUNCTION("IFERROR(TO_DATE(E3592), """")"),42564.31324074074)</f>
        <v>42564.31324</v>
      </c>
      <c r="G3592" s="20">
        <f t="shared" si="1"/>
        <v>7</v>
      </c>
      <c r="H3592" s="18" t="s">
        <v>34</v>
      </c>
      <c r="I3592" s="19" t="str">
        <f>IFERROR(__xludf.DUMMYFUNCTION("IFERROR(TO_DATE(H3592), """")"),"NA")</f>
        <v>NA</v>
      </c>
      <c r="J3592" s="19" t="s">
        <v>11</v>
      </c>
      <c r="K3592" s="22">
        <f t="shared" si="2"/>
        <v>1</v>
      </c>
    </row>
    <row r="3593">
      <c r="A3593" s="18">
        <v>3126.0</v>
      </c>
      <c r="B3593" s="18" t="s">
        <v>32</v>
      </c>
      <c r="C3593" s="18">
        <v>181.0</v>
      </c>
      <c r="D3593" s="18" t="s">
        <v>33</v>
      </c>
      <c r="E3593" s="27">
        <v>42564.363391203704</v>
      </c>
      <c r="F3593" s="19">
        <f>IFERROR(__xludf.DUMMYFUNCTION("IFERROR(TO_DATE(E3593), """")"),42564.363391203704)</f>
        <v>42564.36339</v>
      </c>
      <c r="G3593" s="20">
        <f t="shared" si="1"/>
        <v>8</v>
      </c>
      <c r="H3593" s="18" t="s">
        <v>34</v>
      </c>
      <c r="I3593" s="19" t="str">
        <f>IFERROR(__xludf.DUMMYFUNCTION("IFERROR(TO_DATE(H3593), """")"),"NA")</f>
        <v>NA</v>
      </c>
      <c r="J3593" s="19" t="s">
        <v>14</v>
      </c>
      <c r="K3593" s="22">
        <f t="shared" si="2"/>
        <v>1</v>
      </c>
    </row>
    <row r="3594">
      <c r="A3594" s="18">
        <v>4235.0</v>
      </c>
      <c r="B3594" s="18" t="s">
        <v>32</v>
      </c>
      <c r="C3594" s="18">
        <v>181.0</v>
      </c>
      <c r="D3594" s="18" t="s">
        <v>33</v>
      </c>
      <c r="E3594" s="27">
        <v>42565.24438657407</v>
      </c>
      <c r="F3594" s="19">
        <f>IFERROR(__xludf.DUMMYFUNCTION("IFERROR(TO_DATE(E3594), """")"),42565.24438657407)</f>
        <v>42565.24439</v>
      </c>
      <c r="G3594" s="20">
        <f t="shared" si="1"/>
        <v>5</v>
      </c>
      <c r="H3594" s="18" t="s">
        <v>34</v>
      </c>
      <c r="I3594" s="19" t="str">
        <f>IFERROR(__xludf.DUMMYFUNCTION("IFERROR(TO_DATE(H3594), """")"),"NA")</f>
        <v>NA</v>
      </c>
      <c r="J3594" s="19" t="s">
        <v>11</v>
      </c>
      <c r="K3594" s="22">
        <f t="shared" si="2"/>
        <v>1</v>
      </c>
    </row>
    <row r="3595">
      <c r="A3595" s="18">
        <v>105.0</v>
      </c>
      <c r="B3595" s="18" t="s">
        <v>32</v>
      </c>
      <c r="C3595" s="18">
        <v>182.0</v>
      </c>
      <c r="D3595" s="18" t="s">
        <v>33</v>
      </c>
      <c r="E3595" s="26">
        <v>42562.20694444444</v>
      </c>
      <c r="F3595" s="19">
        <f>IFERROR(__xludf.DUMMYFUNCTION("IFERROR(TO_DATE(E3595), """")"),42562.20694444444)</f>
        <v>42562.20694</v>
      </c>
      <c r="G3595" s="20">
        <f t="shared" si="1"/>
        <v>4</v>
      </c>
      <c r="H3595" s="18" t="s">
        <v>34</v>
      </c>
      <c r="I3595" s="19" t="str">
        <f>IFERROR(__xludf.DUMMYFUNCTION("IFERROR(TO_DATE(H3595), """")"),"NA")</f>
        <v>NA</v>
      </c>
      <c r="J3595" s="19" t="s">
        <v>11</v>
      </c>
      <c r="K3595" s="22">
        <f t="shared" si="2"/>
        <v>1</v>
      </c>
    </row>
    <row r="3596">
      <c r="A3596" s="18">
        <v>1747.0</v>
      </c>
      <c r="B3596" s="18" t="s">
        <v>32</v>
      </c>
      <c r="C3596" s="18">
        <v>182.0</v>
      </c>
      <c r="D3596" s="18" t="s">
        <v>33</v>
      </c>
      <c r="E3596" s="26">
        <v>42563.35208333333</v>
      </c>
      <c r="F3596" s="19">
        <f>IFERROR(__xludf.DUMMYFUNCTION("IFERROR(TO_DATE(E3596), """")"),42563.35208333333)</f>
        <v>42563.35208</v>
      </c>
      <c r="G3596" s="20">
        <f t="shared" si="1"/>
        <v>8</v>
      </c>
      <c r="H3596" s="18" t="s">
        <v>34</v>
      </c>
      <c r="I3596" s="19" t="str">
        <f>IFERROR(__xludf.DUMMYFUNCTION("IFERROR(TO_DATE(H3596), """")"),"NA")</f>
        <v>NA</v>
      </c>
      <c r="J3596" s="19" t="s">
        <v>14</v>
      </c>
      <c r="K3596" s="22">
        <f t="shared" si="2"/>
        <v>1</v>
      </c>
    </row>
    <row r="3597">
      <c r="A3597" s="18">
        <v>4134.0</v>
      </c>
      <c r="B3597" s="18" t="s">
        <v>32</v>
      </c>
      <c r="C3597" s="18">
        <v>182.0</v>
      </c>
      <c r="D3597" s="18" t="s">
        <v>33</v>
      </c>
      <c r="E3597" s="27">
        <v>42565.19818287037</v>
      </c>
      <c r="F3597" s="19">
        <f>IFERROR(__xludf.DUMMYFUNCTION("IFERROR(TO_DATE(E3597), """")"),42565.19818287037)</f>
        <v>42565.19818</v>
      </c>
      <c r="G3597" s="20">
        <f t="shared" si="1"/>
        <v>4</v>
      </c>
      <c r="H3597" s="18" t="s">
        <v>34</v>
      </c>
      <c r="I3597" s="19" t="str">
        <f>IFERROR(__xludf.DUMMYFUNCTION("IFERROR(TO_DATE(H3597), """")"),"NA")</f>
        <v>NA</v>
      </c>
      <c r="J3597" s="19" t="s">
        <v>11</v>
      </c>
      <c r="K3597" s="22">
        <f t="shared" si="2"/>
        <v>1</v>
      </c>
    </row>
    <row r="3598">
      <c r="A3598" s="18">
        <v>217.0</v>
      </c>
      <c r="B3598" s="18" t="s">
        <v>32</v>
      </c>
      <c r="C3598" s="18">
        <v>183.0</v>
      </c>
      <c r="D3598" s="18" t="s">
        <v>33</v>
      </c>
      <c r="E3598" s="26">
        <v>42562.25833333333</v>
      </c>
      <c r="F3598" s="19">
        <f>IFERROR(__xludf.DUMMYFUNCTION("IFERROR(TO_DATE(E3598), """")"),42562.25833333333)</f>
        <v>42562.25833</v>
      </c>
      <c r="G3598" s="20">
        <f t="shared" si="1"/>
        <v>6</v>
      </c>
      <c r="H3598" s="18" t="s">
        <v>34</v>
      </c>
      <c r="I3598" s="19" t="str">
        <f>IFERROR(__xludf.DUMMYFUNCTION("IFERROR(TO_DATE(H3598), """")"),"NA")</f>
        <v>NA</v>
      </c>
      <c r="J3598" s="19" t="s">
        <v>11</v>
      </c>
      <c r="K3598" s="22">
        <f t="shared" si="2"/>
        <v>1</v>
      </c>
    </row>
    <row r="3599">
      <c r="A3599" s="18">
        <v>4478.0</v>
      </c>
      <c r="B3599" s="18" t="s">
        <v>32</v>
      </c>
      <c r="C3599" s="18">
        <v>183.0</v>
      </c>
      <c r="D3599" s="18" t="s">
        <v>33</v>
      </c>
      <c r="E3599" s="27">
        <v>42565.36456018518</v>
      </c>
      <c r="F3599" s="19">
        <f>IFERROR(__xludf.DUMMYFUNCTION("IFERROR(TO_DATE(E3599), """")"),42565.36456018518)</f>
        <v>42565.36456</v>
      </c>
      <c r="G3599" s="20">
        <f t="shared" si="1"/>
        <v>8</v>
      </c>
      <c r="H3599" s="18" t="s">
        <v>34</v>
      </c>
      <c r="I3599" s="19" t="str">
        <f>IFERROR(__xludf.DUMMYFUNCTION("IFERROR(TO_DATE(H3599), """")"),"NA")</f>
        <v>NA</v>
      </c>
      <c r="J3599" s="19" t="s">
        <v>14</v>
      </c>
      <c r="K3599" s="22">
        <f t="shared" si="2"/>
        <v>1</v>
      </c>
    </row>
    <row r="3600">
      <c r="A3600" s="18">
        <v>5248.0</v>
      </c>
      <c r="B3600" s="18" t="s">
        <v>32</v>
      </c>
      <c r="C3600" s="18">
        <v>183.0</v>
      </c>
      <c r="D3600" s="18" t="s">
        <v>33</v>
      </c>
      <c r="E3600" s="27">
        <v>42565.887766203705</v>
      </c>
      <c r="F3600" s="19">
        <f>IFERROR(__xludf.DUMMYFUNCTION("IFERROR(TO_DATE(E3600), """")"),42565.887766203705)</f>
        <v>42565.88777</v>
      </c>
      <c r="G3600" s="20">
        <f t="shared" si="1"/>
        <v>21</v>
      </c>
      <c r="H3600" s="18" t="s">
        <v>34</v>
      </c>
      <c r="I3600" s="19" t="str">
        <f>IFERROR(__xludf.DUMMYFUNCTION("IFERROR(TO_DATE(H3600), """")"),"NA")</f>
        <v>NA</v>
      </c>
      <c r="J3600" s="19" t="s">
        <v>13</v>
      </c>
      <c r="K3600" s="22">
        <f t="shared" si="2"/>
        <v>1</v>
      </c>
    </row>
    <row r="3601">
      <c r="A3601" s="18">
        <v>6032.0</v>
      </c>
      <c r="B3601" s="18" t="s">
        <v>30</v>
      </c>
      <c r="C3601" s="18">
        <v>183.0</v>
      </c>
      <c r="D3601" s="18" t="s">
        <v>33</v>
      </c>
      <c r="E3601" s="27">
        <v>42566.5421412037</v>
      </c>
      <c r="F3601" s="19">
        <f>IFERROR(__xludf.DUMMYFUNCTION("IFERROR(TO_DATE(E3601), """")"),42566.5421412037)</f>
        <v>42566.54214</v>
      </c>
      <c r="G3601" s="20">
        <f t="shared" si="1"/>
        <v>13</v>
      </c>
      <c r="H3601" s="18" t="s">
        <v>34</v>
      </c>
      <c r="I3601" s="19" t="str">
        <f>IFERROR(__xludf.DUMMYFUNCTION("IFERROR(TO_DATE(H3601), """")"),"NA")</f>
        <v>NA</v>
      </c>
      <c r="J3601" s="19" t="s">
        <v>10</v>
      </c>
      <c r="K3601" s="22">
        <f t="shared" si="2"/>
        <v>1</v>
      </c>
    </row>
    <row r="3602">
      <c r="A3602" s="18">
        <v>4206.0</v>
      </c>
      <c r="B3602" s="18" t="s">
        <v>32</v>
      </c>
      <c r="C3602" s="18">
        <v>184.0</v>
      </c>
      <c r="D3602" s="18" t="s">
        <v>33</v>
      </c>
      <c r="E3602" s="27">
        <v>42565.23259259259</v>
      </c>
      <c r="F3602" s="19">
        <f>IFERROR(__xludf.DUMMYFUNCTION("IFERROR(TO_DATE(E3602), """")"),42565.23259259259)</f>
        <v>42565.23259</v>
      </c>
      <c r="G3602" s="20">
        <f t="shared" si="1"/>
        <v>5</v>
      </c>
      <c r="H3602" s="18" t="s">
        <v>34</v>
      </c>
      <c r="I3602" s="19" t="str">
        <f>IFERROR(__xludf.DUMMYFUNCTION("IFERROR(TO_DATE(H3602), """")"),"NA")</f>
        <v>NA</v>
      </c>
      <c r="J3602" s="19" t="s">
        <v>11</v>
      </c>
      <c r="K3602" s="22">
        <f t="shared" si="2"/>
        <v>1</v>
      </c>
    </row>
    <row r="3603">
      <c r="A3603" s="18">
        <v>4387.0</v>
      </c>
      <c r="B3603" s="18" t="s">
        <v>32</v>
      </c>
      <c r="C3603" s="18">
        <v>184.0</v>
      </c>
      <c r="D3603" s="18" t="s">
        <v>33</v>
      </c>
      <c r="E3603" s="27">
        <v>42565.329375</v>
      </c>
      <c r="F3603" s="19">
        <f>IFERROR(__xludf.DUMMYFUNCTION("IFERROR(TO_DATE(E3603), """")"),42565.329375)</f>
        <v>42565.32938</v>
      </c>
      <c r="G3603" s="20">
        <f t="shared" si="1"/>
        <v>7</v>
      </c>
      <c r="H3603" s="18" t="s">
        <v>34</v>
      </c>
      <c r="I3603" s="19" t="str">
        <f>IFERROR(__xludf.DUMMYFUNCTION("IFERROR(TO_DATE(H3603), """")"),"NA")</f>
        <v>NA</v>
      </c>
      <c r="J3603" s="19" t="s">
        <v>11</v>
      </c>
      <c r="K3603" s="22">
        <f t="shared" si="2"/>
        <v>1</v>
      </c>
    </row>
    <row r="3604">
      <c r="A3604" s="18">
        <v>113.0</v>
      </c>
      <c r="B3604" s="18" t="s">
        <v>32</v>
      </c>
      <c r="C3604" s="18">
        <v>185.0</v>
      </c>
      <c r="D3604" s="18" t="s">
        <v>33</v>
      </c>
      <c r="E3604" s="26">
        <v>42562.214583333334</v>
      </c>
      <c r="F3604" s="19">
        <f>IFERROR(__xludf.DUMMYFUNCTION("IFERROR(TO_DATE(E3604), """")"),42562.214583333334)</f>
        <v>42562.21458</v>
      </c>
      <c r="G3604" s="20">
        <f t="shared" si="1"/>
        <v>5</v>
      </c>
      <c r="H3604" s="18" t="s">
        <v>34</v>
      </c>
      <c r="I3604" s="19" t="str">
        <f>IFERROR(__xludf.DUMMYFUNCTION("IFERROR(TO_DATE(H3604), """")"),"NA")</f>
        <v>NA</v>
      </c>
      <c r="J3604" s="19" t="s">
        <v>11</v>
      </c>
      <c r="K3604" s="22">
        <f t="shared" si="2"/>
        <v>1</v>
      </c>
    </row>
    <row r="3605">
      <c r="A3605" s="18">
        <v>1558.0</v>
      </c>
      <c r="B3605" s="18" t="s">
        <v>32</v>
      </c>
      <c r="C3605" s="18">
        <v>185.0</v>
      </c>
      <c r="D3605" s="18" t="s">
        <v>33</v>
      </c>
      <c r="E3605" s="26">
        <v>42563.25902777778</v>
      </c>
      <c r="F3605" s="19">
        <f>IFERROR(__xludf.DUMMYFUNCTION("IFERROR(TO_DATE(E3605), """")"),42563.25902777778)</f>
        <v>42563.25903</v>
      </c>
      <c r="G3605" s="20">
        <f t="shared" si="1"/>
        <v>6</v>
      </c>
      <c r="H3605" s="18" t="s">
        <v>34</v>
      </c>
      <c r="I3605" s="19" t="str">
        <f>IFERROR(__xludf.DUMMYFUNCTION("IFERROR(TO_DATE(H3605), """")"),"NA")</f>
        <v>NA</v>
      </c>
      <c r="J3605" s="19" t="s">
        <v>11</v>
      </c>
      <c r="K3605" s="22">
        <f t="shared" si="2"/>
        <v>1</v>
      </c>
    </row>
    <row r="3606">
      <c r="A3606" s="18">
        <v>2180.0</v>
      </c>
      <c r="B3606" s="18" t="s">
        <v>30</v>
      </c>
      <c r="C3606" s="18">
        <v>185.0</v>
      </c>
      <c r="D3606" s="18" t="s">
        <v>33</v>
      </c>
      <c r="E3606" s="26">
        <v>42563.7375</v>
      </c>
      <c r="F3606" s="19">
        <f>IFERROR(__xludf.DUMMYFUNCTION("IFERROR(TO_DATE(E3606), """")"),42563.7375)</f>
        <v>42563.7375</v>
      </c>
      <c r="G3606" s="20">
        <f t="shared" si="1"/>
        <v>17</v>
      </c>
      <c r="H3606" s="18" t="s">
        <v>34</v>
      </c>
      <c r="I3606" s="19" t="str">
        <f>IFERROR(__xludf.DUMMYFUNCTION("IFERROR(TO_DATE(H3606), """")"),"NA")</f>
        <v>NA</v>
      </c>
      <c r="J3606" s="19" t="s">
        <v>12</v>
      </c>
      <c r="K3606" s="22">
        <f t="shared" si="2"/>
        <v>1</v>
      </c>
    </row>
    <row r="3607">
      <c r="A3607" s="18">
        <v>3661.0</v>
      </c>
      <c r="B3607" s="18" t="s">
        <v>30</v>
      </c>
      <c r="C3607" s="18">
        <v>185.0</v>
      </c>
      <c r="D3607" s="18" t="s">
        <v>33</v>
      </c>
      <c r="E3607" s="27">
        <v>42564.8116087963</v>
      </c>
      <c r="F3607" s="19">
        <f>IFERROR(__xludf.DUMMYFUNCTION("IFERROR(TO_DATE(E3607), """")"),42564.8116087963)</f>
        <v>42564.81161</v>
      </c>
      <c r="G3607" s="20">
        <f t="shared" si="1"/>
        <v>19</v>
      </c>
      <c r="H3607" s="18" t="s">
        <v>34</v>
      </c>
      <c r="I3607" s="19" t="str">
        <f>IFERROR(__xludf.DUMMYFUNCTION("IFERROR(TO_DATE(H3607), """")"),"NA")</f>
        <v>NA</v>
      </c>
      <c r="J3607" s="19" t="s">
        <v>12</v>
      </c>
      <c r="K3607" s="22">
        <f t="shared" si="2"/>
        <v>1</v>
      </c>
    </row>
    <row r="3608">
      <c r="A3608" s="18">
        <v>378.0</v>
      </c>
      <c r="B3608" s="18" t="s">
        <v>32</v>
      </c>
      <c r="C3608" s="18">
        <v>186.0</v>
      </c>
      <c r="D3608" s="18" t="s">
        <v>33</v>
      </c>
      <c r="E3608" s="26">
        <v>42562.33888888889</v>
      </c>
      <c r="F3608" s="19">
        <f>IFERROR(__xludf.DUMMYFUNCTION("IFERROR(TO_DATE(E3608), """")"),42562.33888888889)</f>
        <v>42562.33889</v>
      </c>
      <c r="G3608" s="20">
        <f t="shared" si="1"/>
        <v>8</v>
      </c>
      <c r="H3608" s="18" t="s">
        <v>34</v>
      </c>
      <c r="I3608" s="19" t="str">
        <f>IFERROR(__xludf.DUMMYFUNCTION("IFERROR(TO_DATE(H3608), """")"),"NA")</f>
        <v>NA</v>
      </c>
      <c r="J3608" s="19" t="s">
        <v>14</v>
      </c>
      <c r="K3608" s="22">
        <f t="shared" si="2"/>
        <v>1</v>
      </c>
    </row>
    <row r="3609">
      <c r="A3609" s="18">
        <v>790.0</v>
      </c>
      <c r="B3609" s="18" t="s">
        <v>30</v>
      </c>
      <c r="C3609" s="18">
        <v>186.0</v>
      </c>
      <c r="D3609" s="18" t="s">
        <v>33</v>
      </c>
      <c r="E3609" s="26">
        <v>42562.705555555556</v>
      </c>
      <c r="F3609" s="19">
        <f>IFERROR(__xludf.DUMMYFUNCTION("IFERROR(TO_DATE(E3609), """")"),42562.705555555556)</f>
        <v>42562.70556</v>
      </c>
      <c r="G3609" s="20">
        <f t="shared" si="1"/>
        <v>16</v>
      </c>
      <c r="H3609" s="18" t="s">
        <v>34</v>
      </c>
      <c r="I3609" s="19" t="str">
        <f>IFERROR(__xludf.DUMMYFUNCTION("IFERROR(TO_DATE(H3609), """")"),"NA")</f>
        <v>NA</v>
      </c>
      <c r="J3609" s="19" t="s">
        <v>12</v>
      </c>
      <c r="K3609" s="22">
        <f t="shared" si="2"/>
        <v>1</v>
      </c>
    </row>
    <row r="3610">
      <c r="A3610" s="18">
        <v>1700.0</v>
      </c>
      <c r="B3610" s="18" t="s">
        <v>32</v>
      </c>
      <c r="C3610" s="18">
        <v>186.0</v>
      </c>
      <c r="D3610" s="18" t="s">
        <v>33</v>
      </c>
      <c r="E3610" s="26">
        <v>42563.33194444444</v>
      </c>
      <c r="F3610" s="19">
        <f>IFERROR(__xludf.DUMMYFUNCTION("IFERROR(TO_DATE(E3610), """")"),42563.33194444444)</f>
        <v>42563.33194</v>
      </c>
      <c r="G3610" s="20">
        <f t="shared" si="1"/>
        <v>7</v>
      </c>
      <c r="H3610" s="18" t="s">
        <v>34</v>
      </c>
      <c r="I3610" s="19" t="str">
        <f>IFERROR(__xludf.DUMMYFUNCTION("IFERROR(TO_DATE(H3610), """")"),"NA")</f>
        <v>NA</v>
      </c>
      <c r="J3610" s="19" t="s">
        <v>11</v>
      </c>
      <c r="K3610" s="22">
        <f t="shared" si="2"/>
        <v>1</v>
      </c>
    </row>
    <row r="3611">
      <c r="A3611" s="18">
        <v>3788.0</v>
      </c>
      <c r="B3611" s="18" t="s">
        <v>30</v>
      </c>
      <c r="C3611" s="18">
        <v>186.0</v>
      </c>
      <c r="D3611" s="18" t="s">
        <v>33</v>
      </c>
      <c r="E3611" s="27">
        <v>42564.86829861111</v>
      </c>
      <c r="F3611" s="19">
        <f>IFERROR(__xludf.DUMMYFUNCTION("IFERROR(TO_DATE(E3611), """")"),42564.86829861111)</f>
        <v>42564.8683</v>
      </c>
      <c r="G3611" s="20">
        <f t="shared" si="1"/>
        <v>20</v>
      </c>
      <c r="H3611" s="18" t="s">
        <v>34</v>
      </c>
      <c r="I3611" s="19" t="str">
        <f>IFERROR(__xludf.DUMMYFUNCTION("IFERROR(TO_DATE(H3611), """")"),"NA")</f>
        <v>NA</v>
      </c>
      <c r="J3611" s="19" t="s">
        <v>13</v>
      </c>
      <c r="K3611" s="22">
        <f t="shared" si="2"/>
        <v>1</v>
      </c>
    </row>
    <row r="3612">
      <c r="A3612" s="18">
        <v>480.0</v>
      </c>
      <c r="B3612" s="18" t="s">
        <v>32</v>
      </c>
      <c r="C3612" s="18">
        <v>187.0</v>
      </c>
      <c r="D3612" s="18" t="s">
        <v>33</v>
      </c>
      <c r="E3612" s="26">
        <v>42562.393055555556</v>
      </c>
      <c r="F3612" s="19">
        <f>IFERROR(__xludf.DUMMYFUNCTION("IFERROR(TO_DATE(E3612), """")"),42562.393055555556)</f>
        <v>42562.39306</v>
      </c>
      <c r="G3612" s="20">
        <f t="shared" si="1"/>
        <v>9</v>
      </c>
      <c r="H3612" s="18" t="s">
        <v>34</v>
      </c>
      <c r="I3612" s="19" t="str">
        <f>IFERROR(__xludf.DUMMYFUNCTION("IFERROR(TO_DATE(H3612), """")"),"NA")</f>
        <v>NA</v>
      </c>
      <c r="J3612" s="19" t="s">
        <v>14</v>
      </c>
      <c r="K3612" s="22">
        <f t="shared" si="2"/>
        <v>1</v>
      </c>
    </row>
    <row r="3613">
      <c r="A3613" s="18">
        <v>1632.0</v>
      </c>
      <c r="B3613" s="18" t="s">
        <v>32</v>
      </c>
      <c r="C3613" s="18">
        <v>187.0</v>
      </c>
      <c r="D3613" s="18" t="s">
        <v>33</v>
      </c>
      <c r="E3613" s="26">
        <v>42563.29583333333</v>
      </c>
      <c r="F3613" s="19">
        <f>IFERROR(__xludf.DUMMYFUNCTION("IFERROR(TO_DATE(E3613), """")"),42563.29583333333)</f>
        <v>42563.29583</v>
      </c>
      <c r="G3613" s="20">
        <f t="shared" si="1"/>
        <v>7</v>
      </c>
      <c r="H3613" s="18" t="s">
        <v>34</v>
      </c>
      <c r="I3613" s="19" t="str">
        <f>IFERROR(__xludf.DUMMYFUNCTION("IFERROR(TO_DATE(H3613), """")"),"NA")</f>
        <v>NA</v>
      </c>
      <c r="J3613" s="19" t="s">
        <v>11</v>
      </c>
      <c r="K3613" s="22">
        <f t="shared" si="2"/>
        <v>1</v>
      </c>
    </row>
    <row r="3614">
      <c r="A3614" s="18">
        <v>3101.0</v>
      </c>
      <c r="B3614" s="18" t="s">
        <v>32</v>
      </c>
      <c r="C3614" s="18">
        <v>187.0</v>
      </c>
      <c r="D3614" s="18" t="s">
        <v>33</v>
      </c>
      <c r="E3614" s="27">
        <v>42564.35277777778</v>
      </c>
      <c r="F3614" s="19">
        <f>IFERROR(__xludf.DUMMYFUNCTION("IFERROR(TO_DATE(E3614), """")"),42564.35277777778)</f>
        <v>42564.35278</v>
      </c>
      <c r="G3614" s="20">
        <f t="shared" si="1"/>
        <v>8</v>
      </c>
      <c r="H3614" s="18" t="s">
        <v>34</v>
      </c>
      <c r="I3614" s="19" t="str">
        <f>IFERROR(__xludf.DUMMYFUNCTION("IFERROR(TO_DATE(H3614), """")"),"NA")</f>
        <v>NA</v>
      </c>
      <c r="J3614" s="19" t="s">
        <v>14</v>
      </c>
      <c r="K3614" s="22">
        <f t="shared" si="2"/>
        <v>1</v>
      </c>
    </row>
    <row r="3615">
      <c r="A3615" s="18">
        <v>5706.0</v>
      </c>
      <c r="B3615" s="18" t="s">
        <v>32</v>
      </c>
      <c r="C3615" s="18">
        <v>187.0</v>
      </c>
      <c r="D3615" s="18" t="s">
        <v>33</v>
      </c>
      <c r="E3615" s="27">
        <v>42566.31810185185</v>
      </c>
      <c r="F3615" s="19">
        <f>IFERROR(__xludf.DUMMYFUNCTION("IFERROR(TO_DATE(E3615), """")"),42566.31810185185)</f>
        <v>42566.3181</v>
      </c>
      <c r="G3615" s="20">
        <f t="shared" si="1"/>
        <v>7</v>
      </c>
      <c r="H3615" s="18" t="s">
        <v>34</v>
      </c>
      <c r="I3615" s="19" t="str">
        <f>IFERROR(__xludf.DUMMYFUNCTION("IFERROR(TO_DATE(H3615), """")"),"NA")</f>
        <v>NA</v>
      </c>
      <c r="J3615" s="19" t="s">
        <v>11</v>
      </c>
      <c r="K3615" s="22">
        <f t="shared" si="2"/>
        <v>1</v>
      </c>
    </row>
    <row r="3616">
      <c r="A3616" s="18">
        <v>5772.0</v>
      </c>
      <c r="B3616" s="18" t="s">
        <v>32</v>
      </c>
      <c r="C3616" s="18">
        <v>188.0</v>
      </c>
      <c r="D3616" s="18" t="s">
        <v>33</v>
      </c>
      <c r="E3616" s="27">
        <v>42566.34929398148</v>
      </c>
      <c r="F3616" s="19">
        <f>IFERROR(__xludf.DUMMYFUNCTION("IFERROR(TO_DATE(E3616), """")"),42566.34929398148)</f>
        <v>42566.34929</v>
      </c>
      <c r="G3616" s="20">
        <f t="shared" si="1"/>
        <v>8</v>
      </c>
      <c r="H3616" s="18" t="s">
        <v>34</v>
      </c>
      <c r="I3616" s="19" t="str">
        <f>IFERROR(__xludf.DUMMYFUNCTION("IFERROR(TO_DATE(H3616), """")"),"NA")</f>
        <v>NA</v>
      </c>
      <c r="J3616" s="19" t="s">
        <v>14</v>
      </c>
      <c r="K3616" s="22">
        <f t="shared" si="2"/>
        <v>1</v>
      </c>
    </row>
    <row r="3617">
      <c r="A3617" s="18">
        <v>129.0</v>
      </c>
      <c r="B3617" s="18" t="s">
        <v>32</v>
      </c>
      <c r="C3617" s="18">
        <v>189.0</v>
      </c>
      <c r="D3617" s="18" t="s">
        <v>33</v>
      </c>
      <c r="E3617" s="26">
        <v>42562.21527777778</v>
      </c>
      <c r="F3617" s="19">
        <f>IFERROR(__xludf.DUMMYFUNCTION("IFERROR(TO_DATE(E3617), """")"),42562.21527777778)</f>
        <v>42562.21528</v>
      </c>
      <c r="G3617" s="20">
        <f t="shared" si="1"/>
        <v>5</v>
      </c>
      <c r="H3617" s="18" t="s">
        <v>34</v>
      </c>
      <c r="I3617" s="19" t="str">
        <f>IFERROR(__xludf.DUMMYFUNCTION("IFERROR(TO_DATE(H3617), """")"),"NA")</f>
        <v>NA</v>
      </c>
      <c r="J3617" s="19" t="s">
        <v>11</v>
      </c>
      <c r="K3617" s="22">
        <f t="shared" si="2"/>
        <v>1</v>
      </c>
    </row>
    <row r="3618">
      <c r="A3618" s="18">
        <v>3119.0</v>
      </c>
      <c r="B3618" s="18" t="s">
        <v>32</v>
      </c>
      <c r="C3618" s="18">
        <v>189.0</v>
      </c>
      <c r="D3618" s="18" t="s">
        <v>33</v>
      </c>
      <c r="E3618" s="27">
        <v>42564.35802083334</v>
      </c>
      <c r="F3618" s="19">
        <f>IFERROR(__xludf.DUMMYFUNCTION("IFERROR(TO_DATE(E3618), """")"),42564.35802083334)</f>
        <v>42564.35802</v>
      </c>
      <c r="G3618" s="20">
        <f t="shared" si="1"/>
        <v>8</v>
      </c>
      <c r="H3618" s="18" t="s">
        <v>34</v>
      </c>
      <c r="I3618" s="19" t="str">
        <f>IFERROR(__xludf.DUMMYFUNCTION("IFERROR(TO_DATE(H3618), """")"),"NA")</f>
        <v>NA</v>
      </c>
      <c r="J3618" s="19" t="s">
        <v>14</v>
      </c>
      <c r="K3618" s="22">
        <f t="shared" si="2"/>
        <v>1</v>
      </c>
    </row>
    <row r="3619">
      <c r="A3619" s="18">
        <v>3228.0</v>
      </c>
      <c r="B3619" s="18" t="s">
        <v>32</v>
      </c>
      <c r="C3619" s="18">
        <v>189.0</v>
      </c>
      <c r="D3619" s="18" t="s">
        <v>33</v>
      </c>
      <c r="E3619" s="27">
        <v>42564.415601851855</v>
      </c>
      <c r="F3619" s="19">
        <f>IFERROR(__xludf.DUMMYFUNCTION("IFERROR(TO_DATE(E3619), """")"),42564.415601851855)</f>
        <v>42564.4156</v>
      </c>
      <c r="G3619" s="20">
        <f t="shared" si="1"/>
        <v>9</v>
      </c>
      <c r="H3619" s="18" t="s">
        <v>34</v>
      </c>
      <c r="I3619" s="19" t="str">
        <f>IFERROR(__xludf.DUMMYFUNCTION("IFERROR(TO_DATE(H3619), """")"),"NA")</f>
        <v>NA</v>
      </c>
      <c r="J3619" s="19" t="s">
        <v>14</v>
      </c>
      <c r="K3619" s="22">
        <f t="shared" si="2"/>
        <v>1</v>
      </c>
    </row>
    <row r="3620">
      <c r="A3620" s="18">
        <v>1569.0</v>
      </c>
      <c r="B3620" s="18" t="s">
        <v>32</v>
      </c>
      <c r="C3620" s="18">
        <v>190.0</v>
      </c>
      <c r="D3620" s="18" t="s">
        <v>33</v>
      </c>
      <c r="E3620" s="26">
        <v>42563.26458333333</v>
      </c>
      <c r="F3620" s="19">
        <f>IFERROR(__xludf.DUMMYFUNCTION("IFERROR(TO_DATE(E3620), """")"),42563.26458333333)</f>
        <v>42563.26458</v>
      </c>
      <c r="G3620" s="20">
        <f t="shared" si="1"/>
        <v>6</v>
      </c>
      <c r="H3620" s="18" t="s">
        <v>34</v>
      </c>
      <c r="I3620" s="19" t="str">
        <f>IFERROR(__xludf.DUMMYFUNCTION("IFERROR(TO_DATE(H3620), """")"),"NA")</f>
        <v>NA</v>
      </c>
      <c r="J3620" s="19" t="s">
        <v>11</v>
      </c>
      <c r="K3620" s="22">
        <f t="shared" si="2"/>
        <v>1</v>
      </c>
    </row>
    <row r="3621">
      <c r="A3621" s="18">
        <v>1820.0</v>
      </c>
      <c r="B3621" s="18" t="s">
        <v>32</v>
      </c>
      <c r="C3621" s="18">
        <v>190.0</v>
      </c>
      <c r="D3621" s="18" t="s">
        <v>33</v>
      </c>
      <c r="E3621" s="26">
        <v>42563.39166666667</v>
      </c>
      <c r="F3621" s="19">
        <f>IFERROR(__xludf.DUMMYFUNCTION("IFERROR(TO_DATE(E3621), """")"),42563.39166666667)</f>
        <v>42563.39167</v>
      </c>
      <c r="G3621" s="20">
        <f t="shared" si="1"/>
        <v>9</v>
      </c>
      <c r="H3621" s="18" t="s">
        <v>34</v>
      </c>
      <c r="I3621" s="19" t="str">
        <f>IFERROR(__xludf.DUMMYFUNCTION("IFERROR(TO_DATE(H3621), """")"),"NA")</f>
        <v>NA</v>
      </c>
      <c r="J3621" s="19" t="s">
        <v>14</v>
      </c>
      <c r="K3621" s="22">
        <f t="shared" si="2"/>
        <v>1</v>
      </c>
    </row>
    <row r="3622">
      <c r="A3622" s="18">
        <v>1840.0</v>
      </c>
      <c r="B3622" s="18" t="s">
        <v>32</v>
      </c>
      <c r="C3622" s="18">
        <v>190.0</v>
      </c>
      <c r="D3622" s="18" t="s">
        <v>33</v>
      </c>
      <c r="E3622" s="26">
        <v>42563.40069444444</v>
      </c>
      <c r="F3622" s="19">
        <f>IFERROR(__xludf.DUMMYFUNCTION("IFERROR(TO_DATE(E3622), """")"),42563.40069444444)</f>
        <v>42563.40069</v>
      </c>
      <c r="G3622" s="20">
        <f t="shared" si="1"/>
        <v>9</v>
      </c>
      <c r="H3622" s="18" t="s">
        <v>34</v>
      </c>
      <c r="I3622" s="19" t="str">
        <f>IFERROR(__xludf.DUMMYFUNCTION("IFERROR(TO_DATE(H3622), """")"),"NA")</f>
        <v>NA</v>
      </c>
      <c r="J3622" s="19" t="s">
        <v>14</v>
      </c>
      <c r="K3622" s="22">
        <f t="shared" si="2"/>
        <v>1</v>
      </c>
    </row>
    <row r="3623">
      <c r="A3623" s="18">
        <v>4323.0</v>
      </c>
      <c r="B3623" s="18" t="s">
        <v>32</v>
      </c>
      <c r="C3623" s="18">
        <v>190.0</v>
      </c>
      <c r="D3623" s="18" t="s">
        <v>33</v>
      </c>
      <c r="E3623" s="27">
        <v>42565.29180555556</v>
      </c>
      <c r="F3623" s="19">
        <f>IFERROR(__xludf.DUMMYFUNCTION("IFERROR(TO_DATE(E3623), """")"),42565.29180555556)</f>
        <v>42565.29181</v>
      </c>
      <c r="G3623" s="20">
        <f t="shared" si="1"/>
        <v>7</v>
      </c>
      <c r="H3623" s="18" t="s">
        <v>34</v>
      </c>
      <c r="I3623" s="19" t="str">
        <f>IFERROR(__xludf.DUMMYFUNCTION("IFERROR(TO_DATE(H3623), """")"),"NA")</f>
        <v>NA</v>
      </c>
      <c r="J3623" s="19" t="s">
        <v>11</v>
      </c>
      <c r="K3623" s="22">
        <f t="shared" si="2"/>
        <v>1</v>
      </c>
    </row>
    <row r="3624">
      <c r="A3624" s="18">
        <v>4346.0</v>
      </c>
      <c r="B3624" s="18" t="s">
        <v>32</v>
      </c>
      <c r="C3624" s="18">
        <v>190.0</v>
      </c>
      <c r="D3624" s="18" t="s">
        <v>33</v>
      </c>
      <c r="E3624" s="27">
        <v>42565.30631944445</v>
      </c>
      <c r="F3624" s="19">
        <f>IFERROR(__xludf.DUMMYFUNCTION("IFERROR(TO_DATE(E3624), """")"),42565.30631944445)</f>
        <v>42565.30632</v>
      </c>
      <c r="G3624" s="20">
        <f t="shared" si="1"/>
        <v>7</v>
      </c>
      <c r="H3624" s="18" t="s">
        <v>34</v>
      </c>
      <c r="I3624" s="19" t="str">
        <f>IFERROR(__xludf.DUMMYFUNCTION("IFERROR(TO_DATE(H3624), """")"),"NA")</f>
        <v>NA</v>
      </c>
      <c r="J3624" s="19" t="s">
        <v>11</v>
      </c>
      <c r="K3624" s="22">
        <f t="shared" si="2"/>
        <v>1</v>
      </c>
    </row>
    <row r="3625">
      <c r="A3625" s="18">
        <v>5785.0</v>
      </c>
      <c r="B3625" s="18" t="s">
        <v>32</v>
      </c>
      <c r="C3625" s="18">
        <v>190.0</v>
      </c>
      <c r="D3625" s="18" t="s">
        <v>33</v>
      </c>
      <c r="E3625" s="27">
        <v>42566.35612268518</v>
      </c>
      <c r="F3625" s="19">
        <f>IFERROR(__xludf.DUMMYFUNCTION("IFERROR(TO_DATE(E3625), """")"),42566.35612268518)</f>
        <v>42566.35612</v>
      </c>
      <c r="G3625" s="20">
        <f t="shared" si="1"/>
        <v>8</v>
      </c>
      <c r="H3625" s="18" t="s">
        <v>34</v>
      </c>
      <c r="I3625" s="19" t="str">
        <f>IFERROR(__xludf.DUMMYFUNCTION("IFERROR(TO_DATE(H3625), """")"),"NA")</f>
        <v>NA</v>
      </c>
      <c r="J3625" s="19" t="s">
        <v>14</v>
      </c>
      <c r="K3625" s="22">
        <f t="shared" si="2"/>
        <v>1</v>
      </c>
    </row>
    <row r="3626">
      <c r="A3626" s="18">
        <v>6400.0</v>
      </c>
      <c r="B3626" s="18" t="s">
        <v>32</v>
      </c>
      <c r="C3626" s="18">
        <v>190.0</v>
      </c>
      <c r="D3626" s="18" t="s">
        <v>33</v>
      </c>
      <c r="E3626" s="27">
        <v>42566.804756944446</v>
      </c>
      <c r="F3626" s="19">
        <f>IFERROR(__xludf.DUMMYFUNCTION("IFERROR(TO_DATE(E3626), """")"),42566.804756944446)</f>
        <v>42566.80476</v>
      </c>
      <c r="G3626" s="20">
        <f t="shared" si="1"/>
        <v>19</v>
      </c>
      <c r="H3626" s="18" t="s">
        <v>34</v>
      </c>
      <c r="I3626" s="19" t="str">
        <f>IFERROR(__xludf.DUMMYFUNCTION("IFERROR(TO_DATE(H3626), """")"),"NA")</f>
        <v>NA</v>
      </c>
      <c r="J3626" s="19" t="s">
        <v>12</v>
      </c>
      <c r="K3626" s="22">
        <f t="shared" si="2"/>
        <v>1</v>
      </c>
    </row>
    <row r="3627">
      <c r="A3627" s="18">
        <v>224.0</v>
      </c>
      <c r="B3627" s="18" t="s">
        <v>32</v>
      </c>
      <c r="C3627" s="18">
        <v>191.0</v>
      </c>
      <c r="D3627" s="18" t="s">
        <v>33</v>
      </c>
      <c r="E3627" s="26">
        <v>42562.26180555556</v>
      </c>
      <c r="F3627" s="19">
        <f>IFERROR(__xludf.DUMMYFUNCTION("IFERROR(TO_DATE(E3627), """")"),42562.26180555556)</f>
        <v>42562.26181</v>
      </c>
      <c r="G3627" s="20">
        <f t="shared" si="1"/>
        <v>6</v>
      </c>
      <c r="H3627" s="18" t="s">
        <v>34</v>
      </c>
      <c r="I3627" s="19" t="str">
        <f>IFERROR(__xludf.DUMMYFUNCTION("IFERROR(TO_DATE(H3627), """")"),"NA")</f>
        <v>NA</v>
      </c>
      <c r="J3627" s="19" t="s">
        <v>11</v>
      </c>
      <c r="K3627" s="22">
        <f t="shared" si="2"/>
        <v>1</v>
      </c>
    </row>
    <row r="3628">
      <c r="A3628" s="18">
        <v>5913.0</v>
      </c>
      <c r="B3628" s="18" t="s">
        <v>32</v>
      </c>
      <c r="C3628" s="18">
        <v>191.0</v>
      </c>
      <c r="D3628" s="18" t="s">
        <v>33</v>
      </c>
      <c r="E3628" s="27">
        <v>42566.415868055556</v>
      </c>
      <c r="F3628" s="19">
        <f>IFERROR(__xludf.DUMMYFUNCTION("IFERROR(TO_DATE(E3628), """")"),42566.415868055556)</f>
        <v>42566.41587</v>
      </c>
      <c r="G3628" s="20">
        <f t="shared" si="1"/>
        <v>9</v>
      </c>
      <c r="H3628" s="18" t="s">
        <v>34</v>
      </c>
      <c r="I3628" s="19" t="str">
        <f>IFERROR(__xludf.DUMMYFUNCTION("IFERROR(TO_DATE(H3628), """")"),"NA")</f>
        <v>NA</v>
      </c>
      <c r="J3628" s="19" t="s">
        <v>14</v>
      </c>
      <c r="K3628" s="22">
        <f t="shared" si="2"/>
        <v>1</v>
      </c>
    </row>
    <row r="3629">
      <c r="A3629" s="18">
        <v>1833.0</v>
      </c>
      <c r="B3629" s="18" t="s">
        <v>32</v>
      </c>
      <c r="C3629" s="18">
        <v>192.0</v>
      </c>
      <c r="D3629" s="18" t="s">
        <v>33</v>
      </c>
      <c r="E3629" s="26">
        <v>42563.39861111111</v>
      </c>
      <c r="F3629" s="19">
        <f>IFERROR(__xludf.DUMMYFUNCTION("IFERROR(TO_DATE(E3629), """")"),42563.39861111111)</f>
        <v>42563.39861</v>
      </c>
      <c r="G3629" s="20">
        <f t="shared" si="1"/>
        <v>9</v>
      </c>
      <c r="H3629" s="18" t="s">
        <v>34</v>
      </c>
      <c r="I3629" s="19" t="str">
        <f>IFERROR(__xludf.DUMMYFUNCTION("IFERROR(TO_DATE(H3629), """")"),"NA")</f>
        <v>NA</v>
      </c>
      <c r="J3629" s="19" t="s">
        <v>14</v>
      </c>
      <c r="K3629" s="22">
        <f t="shared" si="2"/>
        <v>1</v>
      </c>
    </row>
    <row r="3630">
      <c r="A3630" s="18">
        <v>2902.0</v>
      </c>
      <c r="B3630" s="18" t="s">
        <v>32</v>
      </c>
      <c r="C3630" s="18">
        <v>192.0</v>
      </c>
      <c r="D3630" s="18" t="s">
        <v>33</v>
      </c>
      <c r="E3630" s="27">
        <v>42564.249756944446</v>
      </c>
      <c r="F3630" s="19">
        <f>IFERROR(__xludf.DUMMYFUNCTION("IFERROR(TO_DATE(E3630), """")"),42564.249756944446)</f>
        <v>42564.24976</v>
      </c>
      <c r="G3630" s="20">
        <f t="shared" si="1"/>
        <v>5</v>
      </c>
      <c r="H3630" s="18" t="s">
        <v>34</v>
      </c>
      <c r="I3630" s="19" t="str">
        <f>IFERROR(__xludf.DUMMYFUNCTION("IFERROR(TO_DATE(H3630), """")"),"NA")</f>
        <v>NA</v>
      </c>
      <c r="J3630" s="19" t="s">
        <v>11</v>
      </c>
      <c r="K3630" s="22">
        <f t="shared" si="2"/>
        <v>1</v>
      </c>
    </row>
    <row r="3631">
      <c r="A3631" s="18">
        <v>4239.0</v>
      </c>
      <c r="B3631" s="18" t="s">
        <v>32</v>
      </c>
      <c r="C3631" s="18">
        <v>192.0</v>
      </c>
      <c r="D3631" s="18" t="s">
        <v>33</v>
      </c>
      <c r="E3631" s="27">
        <v>42565.24726851852</v>
      </c>
      <c r="F3631" s="19">
        <f>IFERROR(__xludf.DUMMYFUNCTION("IFERROR(TO_DATE(E3631), """")"),42565.24726851852)</f>
        <v>42565.24727</v>
      </c>
      <c r="G3631" s="20">
        <f t="shared" si="1"/>
        <v>5</v>
      </c>
      <c r="H3631" s="18" t="s">
        <v>34</v>
      </c>
      <c r="I3631" s="19" t="str">
        <f>IFERROR(__xludf.DUMMYFUNCTION("IFERROR(TO_DATE(H3631), """")"),"NA")</f>
        <v>NA</v>
      </c>
      <c r="J3631" s="19" t="s">
        <v>11</v>
      </c>
      <c r="K3631" s="22">
        <f t="shared" si="2"/>
        <v>1</v>
      </c>
    </row>
    <row r="3632">
      <c r="A3632" s="18">
        <v>265.0</v>
      </c>
      <c r="B3632" s="18" t="s">
        <v>32</v>
      </c>
      <c r="C3632" s="18">
        <v>193.0</v>
      </c>
      <c r="D3632" s="18" t="s">
        <v>33</v>
      </c>
      <c r="E3632" s="26">
        <v>42562.282638888886</v>
      </c>
      <c r="F3632" s="19">
        <f>IFERROR(__xludf.DUMMYFUNCTION("IFERROR(TO_DATE(E3632), """")"),42562.282638888886)</f>
        <v>42562.28264</v>
      </c>
      <c r="G3632" s="20">
        <f t="shared" si="1"/>
        <v>6</v>
      </c>
      <c r="H3632" s="18" t="s">
        <v>34</v>
      </c>
      <c r="I3632" s="19" t="str">
        <f>IFERROR(__xludf.DUMMYFUNCTION("IFERROR(TO_DATE(H3632), """")"),"NA")</f>
        <v>NA</v>
      </c>
      <c r="J3632" s="19" t="s">
        <v>11</v>
      </c>
      <c r="K3632" s="22">
        <f t="shared" si="2"/>
        <v>1</v>
      </c>
    </row>
    <row r="3633">
      <c r="A3633" s="18">
        <v>833.0</v>
      </c>
      <c r="B3633" s="18" t="s">
        <v>30</v>
      </c>
      <c r="C3633" s="18">
        <v>193.0</v>
      </c>
      <c r="D3633" s="18" t="s">
        <v>33</v>
      </c>
      <c r="E3633" s="26">
        <v>42562.73402777778</v>
      </c>
      <c r="F3633" s="19">
        <f>IFERROR(__xludf.DUMMYFUNCTION("IFERROR(TO_DATE(E3633), """")"),42562.73402777778)</f>
        <v>42562.73403</v>
      </c>
      <c r="G3633" s="20">
        <f t="shared" si="1"/>
        <v>17</v>
      </c>
      <c r="H3633" s="18" t="s">
        <v>34</v>
      </c>
      <c r="I3633" s="19" t="str">
        <f>IFERROR(__xludf.DUMMYFUNCTION("IFERROR(TO_DATE(H3633), """")"),"NA")</f>
        <v>NA</v>
      </c>
      <c r="J3633" s="19" t="s">
        <v>12</v>
      </c>
      <c r="K3633" s="22">
        <f t="shared" si="2"/>
        <v>1</v>
      </c>
    </row>
    <row r="3634">
      <c r="A3634" s="18">
        <v>3249.0</v>
      </c>
      <c r="B3634" s="18" t="s">
        <v>32</v>
      </c>
      <c r="C3634" s="18">
        <v>193.0</v>
      </c>
      <c r="D3634" s="18" t="s">
        <v>33</v>
      </c>
      <c r="E3634" s="27">
        <v>42564.42637731481</v>
      </c>
      <c r="F3634" s="19">
        <f>IFERROR(__xludf.DUMMYFUNCTION("IFERROR(TO_DATE(E3634), """")"),42564.42637731481)</f>
        <v>42564.42638</v>
      </c>
      <c r="G3634" s="20">
        <f t="shared" si="1"/>
        <v>10</v>
      </c>
      <c r="H3634" s="18" t="s">
        <v>34</v>
      </c>
      <c r="I3634" s="19" t="str">
        <f>IFERROR(__xludf.DUMMYFUNCTION("IFERROR(TO_DATE(H3634), """")"),"NA")</f>
        <v>NA</v>
      </c>
      <c r="J3634" s="19" t="s">
        <v>14</v>
      </c>
      <c r="K3634" s="22">
        <f t="shared" si="2"/>
        <v>1</v>
      </c>
    </row>
    <row r="3635">
      <c r="A3635" s="18">
        <v>4226.0</v>
      </c>
      <c r="B3635" s="18" t="s">
        <v>32</v>
      </c>
      <c r="C3635" s="18">
        <v>193.0</v>
      </c>
      <c r="D3635" s="18" t="s">
        <v>33</v>
      </c>
      <c r="E3635" s="27">
        <v>42565.24086805555</v>
      </c>
      <c r="F3635" s="19">
        <f>IFERROR(__xludf.DUMMYFUNCTION("IFERROR(TO_DATE(E3635), """")"),42565.24086805555)</f>
        <v>42565.24087</v>
      </c>
      <c r="G3635" s="20">
        <f t="shared" si="1"/>
        <v>5</v>
      </c>
      <c r="H3635" s="18" t="s">
        <v>34</v>
      </c>
      <c r="I3635" s="19" t="str">
        <f>IFERROR(__xludf.DUMMYFUNCTION("IFERROR(TO_DATE(H3635), """")"),"NA")</f>
        <v>NA</v>
      </c>
      <c r="J3635" s="19" t="s">
        <v>11</v>
      </c>
      <c r="K3635" s="22">
        <f t="shared" si="2"/>
        <v>1</v>
      </c>
    </row>
    <row r="3636">
      <c r="A3636" s="18">
        <v>5867.0</v>
      </c>
      <c r="B3636" s="18" t="s">
        <v>32</v>
      </c>
      <c r="C3636" s="18">
        <v>193.0</v>
      </c>
      <c r="D3636" s="18" t="s">
        <v>33</v>
      </c>
      <c r="E3636" s="27">
        <v>42566.38857638889</v>
      </c>
      <c r="F3636" s="19">
        <f>IFERROR(__xludf.DUMMYFUNCTION("IFERROR(TO_DATE(E3636), """")"),42566.38857638889)</f>
        <v>42566.38858</v>
      </c>
      <c r="G3636" s="20">
        <f t="shared" si="1"/>
        <v>9</v>
      </c>
      <c r="H3636" s="18" t="s">
        <v>34</v>
      </c>
      <c r="I3636" s="19" t="str">
        <f>IFERROR(__xludf.DUMMYFUNCTION("IFERROR(TO_DATE(H3636), """")"),"NA")</f>
        <v>NA</v>
      </c>
      <c r="J3636" s="19" t="s">
        <v>14</v>
      </c>
      <c r="K3636" s="22">
        <f t="shared" si="2"/>
        <v>1</v>
      </c>
    </row>
    <row r="3637">
      <c r="A3637" s="18">
        <v>684.0</v>
      </c>
      <c r="B3637" s="18" t="s">
        <v>32</v>
      </c>
      <c r="C3637" s="18">
        <v>194.0</v>
      </c>
      <c r="D3637" s="18" t="s">
        <v>33</v>
      </c>
      <c r="E3637" s="26">
        <v>42562.563888888886</v>
      </c>
      <c r="F3637" s="19">
        <f>IFERROR(__xludf.DUMMYFUNCTION("IFERROR(TO_DATE(E3637), """")"),42562.563888888886)</f>
        <v>42562.56389</v>
      </c>
      <c r="G3637" s="20">
        <f t="shared" si="1"/>
        <v>13</v>
      </c>
      <c r="H3637" s="18" t="s">
        <v>34</v>
      </c>
      <c r="I3637" s="19" t="str">
        <f>IFERROR(__xludf.DUMMYFUNCTION("IFERROR(TO_DATE(H3637), """")"),"NA")</f>
        <v>NA</v>
      </c>
      <c r="J3637" s="19" t="s">
        <v>10</v>
      </c>
      <c r="K3637" s="22">
        <f t="shared" si="2"/>
        <v>1</v>
      </c>
    </row>
    <row r="3638">
      <c r="A3638" s="18">
        <v>718.0</v>
      </c>
      <c r="B3638" s="18" t="s">
        <v>32</v>
      </c>
      <c r="C3638" s="18">
        <v>194.0</v>
      </c>
      <c r="D3638" s="18" t="s">
        <v>33</v>
      </c>
      <c r="E3638" s="26">
        <v>42562.61875</v>
      </c>
      <c r="F3638" s="19">
        <f>IFERROR(__xludf.DUMMYFUNCTION("IFERROR(TO_DATE(E3638), """")"),42562.61875)</f>
        <v>42562.61875</v>
      </c>
      <c r="G3638" s="20">
        <f t="shared" si="1"/>
        <v>14</v>
      </c>
      <c r="H3638" s="18" t="s">
        <v>34</v>
      </c>
      <c r="I3638" s="19" t="str">
        <f>IFERROR(__xludf.DUMMYFUNCTION("IFERROR(TO_DATE(H3638), """")"),"NA")</f>
        <v>NA</v>
      </c>
      <c r="J3638" s="19" t="s">
        <v>10</v>
      </c>
      <c r="K3638" s="22">
        <f t="shared" si="2"/>
        <v>1</v>
      </c>
    </row>
    <row r="3639">
      <c r="A3639" s="18">
        <v>4145.0</v>
      </c>
      <c r="B3639" s="18" t="s">
        <v>32</v>
      </c>
      <c r="C3639" s="18">
        <v>194.0</v>
      </c>
      <c r="D3639" s="18" t="s">
        <v>33</v>
      </c>
      <c r="E3639" s="27">
        <v>42565.20612268519</v>
      </c>
      <c r="F3639" s="19">
        <f>IFERROR(__xludf.DUMMYFUNCTION("IFERROR(TO_DATE(E3639), """")"),42565.20612268519)</f>
        <v>42565.20612</v>
      </c>
      <c r="G3639" s="20">
        <f t="shared" si="1"/>
        <v>4</v>
      </c>
      <c r="H3639" s="18" t="s">
        <v>34</v>
      </c>
      <c r="I3639" s="19" t="str">
        <f>IFERROR(__xludf.DUMMYFUNCTION("IFERROR(TO_DATE(H3639), """")"),"NA")</f>
        <v>NA</v>
      </c>
      <c r="J3639" s="19" t="s">
        <v>11</v>
      </c>
      <c r="K3639" s="22">
        <f t="shared" si="2"/>
        <v>1</v>
      </c>
    </row>
    <row r="3640">
      <c r="A3640" s="18">
        <v>5489.0</v>
      </c>
      <c r="B3640" s="18" t="s">
        <v>32</v>
      </c>
      <c r="C3640" s="18">
        <v>194.0</v>
      </c>
      <c r="D3640" s="18" t="s">
        <v>33</v>
      </c>
      <c r="E3640" s="27">
        <v>42566.20322916667</v>
      </c>
      <c r="F3640" s="19">
        <f>IFERROR(__xludf.DUMMYFUNCTION("IFERROR(TO_DATE(E3640), """")"),42566.20322916667)</f>
        <v>42566.20323</v>
      </c>
      <c r="G3640" s="20">
        <f t="shared" si="1"/>
        <v>4</v>
      </c>
      <c r="H3640" s="18" t="s">
        <v>34</v>
      </c>
      <c r="I3640" s="19" t="str">
        <f>IFERROR(__xludf.DUMMYFUNCTION("IFERROR(TO_DATE(H3640), """")"),"NA")</f>
        <v>NA</v>
      </c>
      <c r="J3640" s="19" t="s">
        <v>11</v>
      </c>
      <c r="K3640" s="22">
        <f t="shared" si="2"/>
        <v>1</v>
      </c>
    </row>
    <row r="3641">
      <c r="A3641" s="18">
        <v>5651.0</v>
      </c>
      <c r="B3641" s="18" t="s">
        <v>32</v>
      </c>
      <c r="C3641" s="18">
        <v>194.0</v>
      </c>
      <c r="D3641" s="18" t="s">
        <v>33</v>
      </c>
      <c r="E3641" s="27">
        <v>42566.29175925926</v>
      </c>
      <c r="F3641" s="19">
        <f>IFERROR(__xludf.DUMMYFUNCTION("IFERROR(TO_DATE(E3641), """")"),42566.29175925926)</f>
        <v>42566.29176</v>
      </c>
      <c r="G3641" s="20">
        <f t="shared" si="1"/>
        <v>7</v>
      </c>
      <c r="H3641" s="18" t="s">
        <v>34</v>
      </c>
      <c r="I3641" s="19" t="str">
        <f>IFERROR(__xludf.DUMMYFUNCTION("IFERROR(TO_DATE(H3641), """")"),"NA")</f>
        <v>NA</v>
      </c>
      <c r="J3641" s="19" t="s">
        <v>11</v>
      </c>
      <c r="K3641" s="22">
        <f t="shared" si="2"/>
        <v>1</v>
      </c>
    </row>
    <row r="3642">
      <c r="A3642" s="18">
        <v>290.0</v>
      </c>
      <c r="B3642" s="18" t="s">
        <v>32</v>
      </c>
      <c r="C3642" s="18">
        <v>195.0</v>
      </c>
      <c r="D3642" s="18" t="s">
        <v>33</v>
      </c>
      <c r="E3642" s="26">
        <v>42562.30069444444</v>
      </c>
      <c r="F3642" s="19">
        <f>IFERROR(__xludf.DUMMYFUNCTION("IFERROR(TO_DATE(E3642), """")"),42562.30069444444)</f>
        <v>42562.30069</v>
      </c>
      <c r="G3642" s="20">
        <f t="shared" si="1"/>
        <v>7</v>
      </c>
      <c r="H3642" s="18" t="s">
        <v>34</v>
      </c>
      <c r="I3642" s="19" t="str">
        <f>IFERROR(__xludf.DUMMYFUNCTION("IFERROR(TO_DATE(H3642), """")"),"NA")</f>
        <v>NA</v>
      </c>
      <c r="J3642" s="19" t="s">
        <v>11</v>
      </c>
      <c r="K3642" s="22">
        <f t="shared" si="2"/>
        <v>1</v>
      </c>
    </row>
    <row r="3643">
      <c r="A3643" s="18">
        <v>1030.0</v>
      </c>
      <c r="B3643" s="18" t="s">
        <v>30</v>
      </c>
      <c r="C3643" s="18">
        <v>195.0</v>
      </c>
      <c r="D3643" s="18" t="s">
        <v>33</v>
      </c>
      <c r="E3643" s="26">
        <v>42562.80138888889</v>
      </c>
      <c r="F3643" s="19">
        <f>IFERROR(__xludf.DUMMYFUNCTION("IFERROR(TO_DATE(E3643), """")"),42562.80138888889)</f>
        <v>42562.80139</v>
      </c>
      <c r="G3643" s="20">
        <f t="shared" si="1"/>
        <v>19</v>
      </c>
      <c r="H3643" s="18" t="s">
        <v>34</v>
      </c>
      <c r="I3643" s="19" t="str">
        <f>IFERROR(__xludf.DUMMYFUNCTION("IFERROR(TO_DATE(H3643), """")"),"NA")</f>
        <v>NA</v>
      </c>
      <c r="J3643" s="19" t="s">
        <v>12</v>
      </c>
      <c r="K3643" s="22">
        <f t="shared" si="2"/>
        <v>1</v>
      </c>
    </row>
    <row r="3644">
      <c r="A3644" s="18">
        <v>3062.0</v>
      </c>
      <c r="B3644" s="18" t="s">
        <v>32</v>
      </c>
      <c r="C3644" s="18">
        <v>195.0</v>
      </c>
      <c r="D3644" s="18" t="s">
        <v>33</v>
      </c>
      <c r="E3644" s="27">
        <v>42564.32680555555</v>
      </c>
      <c r="F3644" s="19">
        <f>IFERROR(__xludf.DUMMYFUNCTION("IFERROR(TO_DATE(E3644), """")"),42564.32680555555)</f>
        <v>42564.32681</v>
      </c>
      <c r="G3644" s="20">
        <f t="shared" si="1"/>
        <v>7</v>
      </c>
      <c r="H3644" s="18" t="s">
        <v>34</v>
      </c>
      <c r="I3644" s="19" t="str">
        <f>IFERROR(__xludf.DUMMYFUNCTION("IFERROR(TO_DATE(H3644), """")"),"NA")</f>
        <v>NA</v>
      </c>
      <c r="J3644" s="19" t="s">
        <v>11</v>
      </c>
      <c r="K3644" s="22">
        <f t="shared" si="2"/>
        <v>1</v>
      </c>
    </row>
    <row r="3645">
      <c r="A3645" s="18">
        <v>5635.0</v>
      </c>
      <c r="B3645" s="18" t="s">
        <v>32</v>
      </c>
      <c r="C3645" s="18">
        <v>195.0</v>
      </c>
      <c r="D3645" s="18" t="s">
        <v>33</v>
      </c>
      <c r="E3645" s="27">
        <v>42566.27990740741</v>
      </c>
      <c r="F3645" s="19">
        <f>IFERROR(__xludf.DUMMYFUNCTION("IFERROR(TO_DATE(E3645), """")"),42566.27990740741)</f>
        <v>42566.27991</v>
      </c>
      <c r="G3645" s="20">
        <f t="shared" si="1"/>
        <v>6</v>
      </c>
      <c r="H3645" s="18" t="s">
        <v>34</v>
      </c>
      <c r="I3645" s="19" t="str">
        <f>IFERROR(__xludf.DUMMYFUNCTION("IFERROR(TO_DATE(H3645), """")"),"NA")</f>
        <v>NA</v>
      </c>
      <c r="J3645" s="19" t="s">
        <v>11</v>
      </c>
      <c r="K3645" s="22">
        <f t="shared" si="2"/>
        <v>1</v>
      </c>
    </row>
    <row r="3646">
      <c r="A3646" s="18">
        <v>5828.0</v>
      </c>
      <c r="B3646" s="18" t="s">
        <v>32</v>
      </c>
      <c r="C3646" s="18">
        <v>195.0</v>
      </c>
      <c r="D3646" s="18" t="s">
        <v>33</v>
      </c>
      <c r="E3646" s="27">
        <v>42566.375069444446</v>
      </c>
      <c r="F3646" s="19">
        <f>IFERROR(__xludf.DUMMYFUNCTION("IFERROR(TO_DATE(E3646), """")"),42566.375069444446)</f>
        <v>42566.37507</v>
      </c>
      <c r="G3646" s="20">
        <f t="shared" si="1"/>
        <v>9</v>
      </c>
      <c r="H3646" s="18" t="s">
        <v>34</v>
      </c>
      <c r="I3646" s="19" t="str">
        <f>IFERROR(__xludf.DUMMYFUNCTION("IFERROR(TO_DATE(H3646), """")"),"NA")</f>
        <v>NA</v>
      </c>
      <c r="J3646" s="19" t="s">
        <v>14</v>
      </c>
      <c r="K3646" s="22">
        <f t="shared" si="2"/>
        <v>1</v>
      </c>
    </row>
    <row r="3647">
      <c r="A3647" s="18">
        <v>2823.0</v>
      </c>
      <c r="B3647" s="18" t="s">
        <v>32</v>
      </c>
      <c r="C3647" s="18">
        <v>196.0</v>
      </c>
      <c r="D3647" s="18" t="s">
        <v>33</v>
      </c>
      <c r="E3647" s="27">
        <v>42564.21925925926</v>
      </c>
      <c r="F3647" s="19">
        <f>IFERROR(__xludf.DUMMYFUNCTION("IFERROR(TO_DATE(E3647), """")"),42564.21925925926)</f>
        <v>42564.21926</v>
      </c>
      <c r="G3647" s="20">
        <f t="shared" si="1"/>
        <v>5</v>
      </c>
      <c r="H3647" s="18" t="s">
        <v>34</v>
      </c>
      <c r="I3647" s="19" t="str">
        <f>IFERROR(__xludf.DUMMYFUNCTION("IFERROR(TO_DATE(H3647), """")"),"NA")</f>
        <v>NA</v>
      </c>
      <c r="J3647" s="19" t="s">
        <v>11</v>
      </c>
      <c r="K3647" s="22">
        <f t="shared" si="2"/>
        <v>1</v>
      </c>
    </row>
    <row r="3648">
      <c r="A3648" s="18">
        <v>4558.0</v>
      </c>
      <c r="B3648" s="18" t="s">
        <v>32</v>
      </c>
      <c r="C3648" s="18">
        <v>196.0</v>
      </c>
      <c r="D3648" s="18" t="s">
        <v>33</v>
      </c>
      <c r="E3648" s="27">
        <v>42565.41048611111</v>
      </c>
      <c r="F3648" s="19">
        <f>IFERROR(__xludf.DUMMYFUNCTION("IFERROR(TO_DATE(E3648), """")"),42565.41048611111)</f>
        <v>42565.41049</v>
      </c>
      <c r="G3648" s="20">
        <f t="shared" si="1"/>
        <v>9</v>
      </c>
      <c r="H3648" s="18" t="s">
        <v>34</v>
      </c>
      <c r="I3648" s="19" t="str">
        <f>IFERROR(__xludf.DUMMYFUNCTION("IFERROR(TO_DATE(H3648), """")"),"NA")</f>
        <v>NA</v>
      </c>
      <c r="J3648" s="19" t="s">
        <v>14</v>
      </c>
      <c r="K3648" s="22">
        <f t="shared" si="2"/>
        <v>1</v>
      </c>
    </row>
    <row r="3649">
      <c r="A3649" s="18">
        <v>5494.0</v>
      </c>
      <c r="B3649" s="18" t="s">
        <v>32</v>
      </c>
      <c r="C3649" s="18">
        <v>196.0</v>
      </c>
      <c r="D3649" s="18" t="s">
        <v>33</v>
      </c>
      <c r="E3649" s="27">
        <v>42566.20568287037</v>
      </c>
      <c r="F3649" s="19">
        <f>IFERROR(__xludf.DUMMYFUNCTION("IFERROR(TO_DATE(E3649), """")"),42566.20568287037)</f>
        <v>42566.20568</v>
      </c>
      <c r="G3649" s="20">
        <f t="shared" si="1"/>
        <v>4</v>
      </c>
      <c r="H3649" s="18" t="s">
        <v>34</v>
      </c>
      <c r="I3649" s="19" t="str">
        <f>IFERROR(__xludf.DUMMYFUNCTION("IFERROR(TO_DATE(H3649), """")"),"NA")</f>
        <v>NA</v>
      </c>
      <c r="J3649" s="19" t="s">
        <v>11</v>
      </c>
      <c r="K3649" s="22">
        <f t="shared" si="2"/>
        <v>1</v>
      </c>
    </row>
    <row r="3650">
      <c r="A3650" s="18">
        <v>5501.0</v>
      </c>
      <c r="B3650" s="18" t="s">
        <v>32</v>
      </c>
      <c r="C3650" s="18">
        <v>196.0</v>
      </c>
      <c r="D3650" s="18" t="s">
        <v>33</v>
      </c>
      <c r="E3650" s="27">
        <v>42566.21361111111</v>
      </c>
      <c r="F3650" s="19">
        <f>IFERROR(__xludf.DUMMYFUNCTION("IFERROR(TO_DATE(E3650), """")"),42566.21361111111)</f>
        <v>42566.21361</v>
      </c>
      <c r="G3650" s="20">
        <f t="shared" si="1"/>
        <v>5</v>
      </c>
      <c r="H3650" s="18" t="s">
        <v>34</v>
      </c>
      <c r="I3650" s="19" t="str">
        <f>IFERROR(__xludf.DUMMYFUNCTION("IFERROR(TO_DATE(H3650), """")"),"NA")</f>
        <v>NA</v>
      </c>
      <c r="J3650" s="19" t="s">
        <v>11</v>
      </c>
      <c r="K3650" s="22">
        <f t="shared" si="2"/>
        <v>1</v>
      </c>
    </row>
    <row r="3651">
      <c r="A3651" s="18">
        <v>526.0</v>
      </c>
      <c r="B3651" s="18" t="s">
        <v>32</v>
      </c>
      <c r="C3651" s="18">
        <v>197.0</v>
      </c>
      <c r="D3651" s="18" t="s">
        <v>33</v>
      </c>
      <c r="E3651" s="26">
        <v>42562.40694444445</v>
      </c>
      <c r="F3651" s="19">
        <f>IFERROR(__xludf.DUMMYFUNCTION("IFERROR(TO_DATE(E3651), """")"),42562.40694444445)</f>
        <v>42562.40694</v>
      </c>
      <c r="G3651" s="20">
        <f t="shared" si="1"/>
        <v>9</v>
      </c>
      <c r="H3651" s="18" t="s">
        <v>34</v>
      </c>
      <c r="I3651" s="19" t="str">
        <f>IFERROR(__xludf.DUMMYFUNCTION("IFERROR(TO_DATE(H3651), """")"),"NA")</f>
        <v>NA</v>
      </c>
      <c r="J3651" s="19" t="s">
        <v>14</v>
      </c>
      <c r="K3651" s="22">
        <f t="shared" si="2"/>
        <v>1</v>
      </c>
    </row>
    <row r="3652">
      <c r="A3652" s="18">
        <v>1887.0</v>
      </c>
      <c r="B3652" s="18" t="s">
        <v>32</v>
      </c>
      <c r="C3652" s="18">
        <v>197.0</v>
      </c>
      <c r="D3652" s="18" t="s">
        <v>33</v>
      </c>
      <c r="E3652" s="26">
        <v>42563.42222222222</v>
      </c>
      <c r="F3652" s="19">
        <f>IFERROR(__xludf.DUMMYFUNCTION("IFERROR(TO_DATE(E3652), """")"),42563.42222222222)</f>
        <v>42563.42222</v>
      </c>
      <c r="G3652" s="20">
        <f t="shared" si="1"/>
        <v>10</v>
      </c>
      <c r="H3652" s="18" t="s">
        <v>34</v>
      </c>
      <c r="I3652" s="19" t="str">
        <f>IFERROR(__xludf.DUMMYFUNCTION("IFERROR(TO_DATE(H3652), """")"),"NA")</f>
        <v>NA</v>
      </c>
      <c r="J3652" s="19" t="s">
        <v>14</v>
      </c>
      <c r="K3652" s="22">
        <f t="shared" si="2"/>
        <v>1</v>
      </c>
    </row>
    <row r="3653">
      <c r="A3653" s="18">
        <v>2944.0</v>
      </c>
      <c r="B3653" s="18" t="s">
        <v>32</v>
      </c>
      <c r="C3653" s="18">
        <v>197.0</v>
      </c>
      <c r="D3653" s="18" t="s">
        <v>33</v>
      </c>
      <c r="E3653" s="27">
        <v>42564.273414351854</v>
      </c>
      <c r="F3653" s="19">
        <f>IFERROR(__xludf.DUMMYFUNCTION("IFERROR(TO_DATE(E3653), """")"),42564.273414351854)</f>
        <v>42564.27341</v>
      </c>
      <c r="G3653" s="20">
        <f t="shared" si="1"/>
        <v>6</v>
      </c>
      <c r="H3653" s="18" t="s">
        <v>34</v>
      </c>
      <c r="I3653" s="19" t="str">
        <f>IFERROR(__xludf.DUMMYFUNCTION("IFERROR(TO_DATE(H3653), """")"),"NA")</f>
        <v>NA</v>
      </c>
      <c r="J3653" s="19" t="s">
        <v>11</v>
      </c>
      <c r="K3653" s="22">
        <f t="shared" si="2"/>
        <v>1</v>
      </c>
    </row>
    <row r="3654">
      <c r="A3654" s="18">
        <v>4413.0</v>
      </c>
      <c r="B3654" s="18" t="s">
        <v>32</v>
      </c>
      <c r="C3654" s="18">
        <v>197.0</v>
      </c>
      <c r="D3654" s="18" t="s">
        <v>33</v>
      </c>
      <c r="E3654" s="27">
        <v>42565.3387037037</v>
      </c>
      <c r="F3654" s="19">
        <f>IFERROR(__xludf.DUMMYFUNCTION("IFERROR(TO_DATE(E3654), """")"),42565.3387037037)</f>
        <v>42565.3387</v>
      </c>
      <c r="G3654" s="20">
        <f t="shared" si="1"/>
        <v>8</v>
      </c>
      <c r="H3654" s="18" t="s">
        <v>34</v>
      </c>
      <c r="I3654" s="19" t="str">
        <f>IFERROR(__xludf.DUMMYFUNCTION("IFERROR(TO_DATE(H3654), """")"),"NA")</f>
        <v>NA</v>
      </c>
      <c r="J3654" s="19" t="s">
        <v>14</v>
      </c>
      <c r="K3654" s="22">
        <f t="shared" si="2"/>
        <v>1</v>
      </c>
    </row>
    <row r="3655">
      <c r="A3655" s="18">
        <v>4420.0</v>
      </c>
      <c r="B3655" s="18" t="s">
        <v>32</v>
      </c>
      <c r="C3655" s="18">
        <v>197.0</v>
      </c>
      <c r="D3655" s="18" t="s">
        <v>33</v>
      </c>
      <c r="E3655" s="27">
        <v>42565.342939814815</v>
      </c>
      <c r="F3655" s="19">
        <f>IFERROR(__xludf.DUMMYFUNCTION("IFERROR(TO_DATE(E3655), """")"),42565.342939814815)</f>
        <v>42565.34294</v>
      </c>
      <c r="G3655" s="20">
        <f t="shared" si="1"/>
        <v>8</v>
      </c>
      <c r="H3655" s="18" t="s">
        <v>34</v>
      </c>
      <c r="I3655" s="19" t="str">
        <f>IFERROR(__xludf.DUMMYFUNCTION("IFERROR(TO_DATE(H3655), """")"),"NA")</f>
        <v>NA</v>
      </c>
      <c r="J3655" s="19" t="s">
        <v>14</v>
      </c>
      <c r="K3655" s="22">
        <f t="shared" si="2"/>
        <v>1</v>
      </c>
    </row>
    <row r="3656">
      <c r="A3656" s="18">
        <v>5486.0</v>
      </c>
      <c r="B3656" s="18" t="s">
        <v>32</v>
      </c>
      <c r="C3656" s="18">
        <v>197.0</v>
      </c>
      <c r="D3656" s="18" t="s">
        <v>33</v>
      </c>
      <c r="E3656" s="27">
        <v>42566.20228009259</v>
      </c>
      <c r="F3656" s="19">
        <f>IFERROR(__xludf.DUMMYFUNCTION("IFERROR(TO_DATE(E3656), """")"),42566.20228009259)</f>
        <v>42566.20228</v>
      </c>
      <c r="G3656" s="20">
        <f t="shared" si="1"/>
        <v>4</v>
      </c>
      <c r="H3656" s="18" t="s">
        <v>34</v>
      </c>
      <c r="I3656" s="19" t="str">
        <f>IFERROR(__xludf.DUMMYFUNCTION("IFERROR(TO_DATE(H3656), """")"),"NA")</f>
        <v>NA</v>
      </c>
      <c r="J3656" s="19" t="s">
        <v>11</v>
      </c>
      <c r="K3656" s="22">
        <f t="shared" si="2"/>
        <v>1</v>
      </c>
    </row>
    <row r="3657">
      <c r="A3657" s="18">
        <v>6010.0</v>
      </c>
      <c r="B3657" s="18" t="s">
        <v>32</v>
      </c>
      <c r="C3657" s="18">
        <v>197.0</v>
      </c>
      <c r="D3657" s="18" t="s">
        <v>33</v>
      </c>
      <c r="E3657" s="27">
        <v>42566.517604166664</v>
      </c>
      <c r="F3657" s="19">
        <f>IFERROR(__xludf.DUMMYFUNCTION("IFERROR(TO_DATE(E3657), """")"),42566.517604166664)</f>
        <v>42566.5176</v>
      </c>
      <c r="G3657" s="20">
        <f t="shared" si="1"/>
        <v>12</v>
      </c>
      <c r="H3657" s="18" t="s">
        <v>34</v>
      </c>
      <c r="I3657" s="19" t="str">
        <f>IFERROR(__xludf.DUMMYFUNCTION("IFERROR(TO_DATE(H3657), """")"),"NA")</f>
        <v>NA</v>
      </c>
      <c r="J3657" s="19" t="s">
        <v>10</v>
      </c>
      <c r="K3657" s="22">
        <f t="shared" si="2"/>
        <v>1</v>
      </c>
    </row>
    <row r="3658">
      <c r="A3658" s="18">
        <v>277.0</v>
      </c>
      <c r="B3658" s="18" t="s">
        <v>32</v>
      </c>
      <c r="C3658" s="18">
        <v>198.0</v>
      </c>
      <c r="D3658" s="18" t="s">
        <v>33</v>
      </c>
      <c r="E3658" s="26">
        <v>42562.290972222225</v>
      </c>
      <c r="F3658" s="19">
        <f>IFERROR(__xludf.DUMMYFUNCTION("IFERROR(TO_DATE(E3658), """")"),42562.290972222225)</f>
        <v>42562.29097</v>
      </c>
      <c r="G3658" s="20">
        <f t="shared" si="1"/>
        <v>6</v>
      </c>
      <c r="H3658" s="18" t="s">
        <v>34</v>
      </c>
      <c r="I3658" s="19" t="str">
        <f>IFERROR(__xludf.DUMMYFUNCTION("IFERROR(TO_DATE(H3658), """")"),"NA")</f>
        <v>NA</v>
      </c>
      <c r="J3658" s="19" t="s">
        <v>11</v>
      </c>
      <c r="K3658" s="22">
        <f t="shared" si="2"/>
        <v>1</v>
      </c>
    </row>
    <row r="3659">
      <c r="A3659" s="18">
        <v>2148.0</v>
      </c>
      <c r="B3659" s="18" t="s">
        <v>32</v>
      </c>
      <c r="C3659" s="18">
        <v>198.0</v>
      </c>
      <c r="D3659" s="18" t="s">
        <v>33</v>
      </c>
      <c r="E3659" s="26">
        <v>42563.72361111111</v>
      </c>
      <c r="F3659" s="19">
        <f>IFERROR(__xludf.DUMMYFUNCTION("IFERROR(TO_DATE(E3659), """")"),42563.72361111111)</f>
        <v>42563.72361</v>
      </c>
      <c r="G3659" s="20">
        <f t="shared" si="1"/>
        <v>17</v>
      </c>
      <c r="H3659" s="18" t="s">
        <v>34</v>
      </c>
      <c r="I3659" s="19" t="str">
        <f>IFERROR(__xludf.DUMMYFUNCTION("IFERROR(TO_DATE(H3659), """")"),"NA")</f>
        <v>NA</v>
      </c>
      <c r="J3659" s="19" t="s">
        <v>12</v>
      </c>
      <c r="K3659" s="22">
        <f t="shared" si="2"/>
        <v>1</v>
      </c>
    </row>
    <row r="3660">
      <c r="A3660" s="18">
        <v>2802.0</v>
      </c>
      <c r="B3660" s="18" t="s">
        <v>32</v>
      </c>
      <c r="C3660" s="18">
        <v>198.0</v>
      </c>
      <c r="D3660" s="18" t="s">
        <v>33</v>
      </c>
      <c r="E3660" s="27">
        <v>42564.202569444446</v>
      </c>
      <c r="F3660" s="19">
        <f>IFERROR(__xludf.DUMMYFUNCTION("IFERROR(TO_DATE(E3660), """")"),42564.202569444446)</f>
        <v>42564.20257</v>
      </c>
      <c r="G3660" s="20">
        <f t="shared" si="1"/>
        <v>4</v>
      </c>
      <c r="H3660" s="18" t="s">
        <v>34</v>
      </c>
      <c r="I3660" s="19" t="str">
        <f>IFERROR(__xludf.DUMMYFUNCTION("IFERROR(TO_DATE(H3660), """")"),"NA")</f>
        <v>NA</v>
      </c>
      <c r="J3660" s="19" t="s">
        <v>11</v>
      </c>
      <c r="K3660" s="22">
        <f t="shared" si="2"/>
        <v>1</v>
      </c>
    </row>
    <row r="3661">
      <c r="A3661" s="18">
        <v>4445.0</v>
      </c>
      <c r="B3661" s="18" t="s">
        <v>32</v>
      </c>
      <c r="C3661" s="18">
        <v>198.0</v>
      </c>
      <c r="D3661" s="18" t="s">
        <v>33</v>
      </c>
      <c r="E3661" s="27">
        <v>42565.35884259259</v>
      </c>
      <c r="F3661" s="19">
        <f>IFERROR(__xludf.DUMMYFUNCTION("IFERROR(TO_DATE(E3661), """")"),42565.35884259259)</f>
        <v>42565.35884</v>
      </c>
      <c r="G3661" s="20">
        <f t="shared" si="1"/>
        <v>8</v>
      </c>
      <c r="H3661" s="18" t="s">
        <v>34</v>
      </c>
      <c r="I3661" s="19" t="str">
        <f>IFERROR(__xludf.DUMMYFUNCTION("IFERROR(TO_DATE(H3661), """")"),"NA")</f>
        <v>NA</v>
      </c>
      <c r="J3661" s="19" t="s">
        <v>14</v>
      </c>
      <c r="K3661" s="22">
        <f t="shared" si="2"/>
        <v>1</v>
      </c>
    </row>
    <row r="3662">
      <c r="A3662" s="18">
        <v>546.0</v>
      </c>
      <c r="B3662" s="18" t="s">
        <v>32</v>
      </c>
      <c r="C3662" s="18">
        <v>199.0</v>
      </c>
      <c r="D3662" s="18" t="s">
        <v>33</v>
      </c>
      <c r="E3662" s="26">
        <v>42562.419444444444</v>
      </c>
      <c r="F3662" s="19">
        <f>IFERROR(__xludf.DUMMYFUNCTION("IFERROR(TO_DATE(E3662), """")"),42562.419444444444)</f>
        <v>42562.41944</v>
      </c>
      <c r="G3662" s="20">
        <f t="shared" si="1"/>
        <v>10</v>
      </c>
      <c r="H3662" s="18" t="s">
        <v>34</v>
      </c>
      <c r="I3662" s="19" t="str">
        <f>IFERROR(__xludf.DUMMYFUNCTION("IFERROR(TO_DATE(H3662), """")"),"NA")</f>
        <v>NA</v>
      </c>
      <c r="J3662" s="19" t="s">
        <v>14</v>
      </c>
      <c r="K3662" s="22">
        <f t="shared" si="2"/>
        <v>1</v>
      </c>
    </row>
    <row r="3663">
      <c r="A3663" s="18">
        <v>1115.0</v>
      </c>
      <c r="B3663" s="18" t="s">
        <v>30</v>
      </c>
      <c r="C3663" s="18">
        <v>199.0</v>
      </c>
      <c r="D3663" s="18" t="s">
        <v>33</v>
      </c>
      <c r="E3663" s="26">
        <v>42562.84930555556</v>
      </c>
      <c r="F3663" s="19">
        <f>IFERROR(__xludf.DUMMYFUNCTION("IFERROR(TO_DATE(E3663), """")"),42562.84930555556)</f>
        <v>42562.84931</v>
      </c>
      <c r="G3663" s="20">
        <f t="shared" si="1"/>
        <v>20</v>
      </c>
      <c r="H3663" s="18" t="s">
        <v>34</v>
      </c>
      <c r="I3663" s="19" t="str">
        <f>IFERROR(__xludf.DUMMYFUNCTION("IFERROR(TO_DATE(H3663), """")"),"NA")</f>
        <v>NA</v>
      </c>
      <c r="J3663" s="19" t="s">
        <v>13</v>
      </c>
      <c r="K3663" s="22">
        <f t="shared" si="2"/>
        <v>1</v>
      </c>
    </row>
    <row r="3664">
      <c r="A3664" s="18">
        <v>3177.0</v>
      </c>
      <c r="B3664" s="18" t="s">
        <v>32</v>
      </c>
      <c r="C3664" s="18">
        <v>199.0</v>
      </c>
      <c r="D3664" s="18" t="s">
        <v>33</v>
      </c>
      <c r="E3664" s="27">
        <v>42564.38416666666</v>
      </c>
      <c r="F3664" s="19">
        <f>IFERROR(__xludf.DUMMYFUNCTION("IFERROR(TO_DATE(E3664), """")"),42564.38416666666)</f>
        <v>42564.38417</v>
      </c>
      <c r="G3664" s="20">
        <f t="shared" si="1"/>
        <v>9</v>
      </c>
      <c r="H3664" s="18" t="s">
        <v>34</v>
      </c>
      <c r="I3664" s="19" t="str">
        <f>IFERROR(__xludf.DUMMYFUNCTION("IFERROR(TO_DATE(H3664), """")"),"NA")</f>
        <v>NA</v>
      </c>
      <c r="J3664" s="19" t="s">
        <v>14</v>
      </c>
      <c r="K3664" s="22">
        <f t="shared" si="2"/>
        <v>1</v>
      </c>
    </row>
    <row r="3665">
      <c r="A3665" s="18">
        <v>5587.0</v>
      </c>
      <c r="B3665" s="18" t="s">
        <v>32</v>
      </c>
      <c r="C3665" s="18">
        <v>199.0</v>
      </c>
      <c r="D3665" s="18" t="s">
        <v>33</v>
      </c>
      <c r="E3665" s="27">
        <v>42566.249189814815</v>
      </c>
      <c r="F3665" s="19">
        <f>IFERROR(__xludf.DUMMYFUNCTION("IFERROR(TO_DATE(E3665), """")"),42566.249189814815)</f>
        <v>42566.24919</v>
      </c>
      <c r="G3665" s="20">
        <f t="shared" si="1"/>
        <v>5</v>
      </c>
      <c r="H3665" s="18" t="s">
        <v>34</v>
      </c>
      <c r="I3665" s="19" t="str">
        <f>IFERROR(__xludf.DUMMYFUNCTION("IFERROR(TO_DATE(H3665), """")"),"NA")</f>
        <v>NA</v>
      </c>
      <c r="J3665" s="19" t="s">
        <v>11</v>
      </c>
      <c r="K3665" s="22">
        <f t="shared" si="2"/>
        <v>1</v>
      </c>
    </row>
    <row r="3666">
      <c r="A3666" s="18">
        <v>5628.0</v>
      </c>
      <c r="B3666" s="18" t="s">
        <v>32</v>
      </c>
      <c r="C3666" s="18">
        <v>199.0</v>
      </c>
      <c r="D3666" s="18" t="s">
        <v>33</v>
      </c>
      <c r="E3666" s="27">
        <v>42566.27407407408</v>
      </c>
      <c r="F3666" s="19">
        <f>IFERROR(__xludf.DUMMYFUNCTION("IFERROR(TO_DATE(E3666), """")"),42566.27407407408)</f>
        <v>42566.27407</v>
      </c>
      <c r="G3666" s="20">
        <f t="shared" si="1"/>
        <v>6</v>
      </c>
      <c r="H3666" s="18" t="s">
        <v>34</v>
      </c>
      <c r="I3666" s="19" t="str">
        <f>IFERROR(__xludf.DUMMYFUNCTION("IFERROR(TO_DATE(H3666), """")"),"NA")</f>
        <v>NA</v>
      </c>
      <c r="J3666" s="19" t="s">
        <v>11</v>
      </c>
      <c r="K3666" s="22">
        <f t="shared" si="2"/>
        <v>1</v>
      </c>
    </row>
    <row r="3667">
      <c r="A3667" s="18">
        <v>6173.0</v>
      </c>
      <c r="B3667" s="18" t="s">
        <v>32</v>
      </c>
      <c r="C3667" s="18">
        <v>199.0</v>
      </c>
      <c r="D3667" s="18" t="s">
        <v>33</v>
      </c>
      <c r="E3667" s="27">
        <v>42566.698217592595</v>
      </c>
      <c r="F3667" s="19">
        <f>IFERROR(__xludf.DUMMYFUNCTION("IFERROR(TO_DATE(E3667), """")"),42566.698217592595)</f>
        <v>42566.69822</v>
      </c>
      <c r="G3667" s="20">
        <f t="shared" si="1"/>
        <v>16</v>
      </c>
      <c r="H3667" s="18" t="s">
        <v>34</v>
      </c>
      <c r="I3667" s="19" t="str">
        <f>IFERROR(__xludf.DUMMYFUNCTION("IFERROR(TO_DATE(H3667), """")"),"NA")</f>
        <v>NA</v>
      </c>
      <c r="J3667" s="19" t="s">
        <v>12</v>
      </c>
      <c r="K3667" s="22">
        <f t="shared" si="2"/>
        <v>1</v>
      </c>
    </row>
    <row r="3668">
      <c r="A3668" s="18">
        <v>383.0</v>
      </c>
      <c r="B3668" s="18" t="s">
        <v>32</v>
      </c>
      <c r="C3668" s="18">
        <v>200.0</v>
      </c>
      <c r="D3668" s="18" t="s">
        <v>33</v>
      </c>
      <c r="E3668" s="26">
        <v>42562.347916666666</v>
      </c>
      <c r="F3668" s="19">
        <f>IFERROR(__xludf.DUMMYFUNCTION("IFERROR(TO_DATE(E3668), """")"),42562.347916666666)</f>
        <v>42562.34792</v>
      </c>
      <c r="G3668" s="20">
        <f t="shared" si="1"/>
        <v>8</v>
      </c>
      <c r="H3668" s="18" t="s">
        <v>34</v>
      </c>
      <c r="I3668" s="19" t="str">
        <f>IFERROR(__xludf.DUMMYFUNCTION("IFERROR(TO_DATE(H3668), """")"),"NA")</f>
        <v>NA</v>
      </c>
      <c r="J3668" s="19" t="s">
        <v>14</v>
      </c>
      <c r="K3668" s="22">
        <f t="shared" si="2"/>
        <v>1</v>
      </c>
    </row>
    <row r="3669">
      <c r="A3669" s="18">
        <v>749.0</v>
      </c>
      <c r="B3669" s="18" t="s">
        <v>30</v>
      </c>
      <c r="C3669" s="18">
        <v>200.0</v>
      </c>
      <c r="D3669" s="18" t="s">
        <v>33</v>
      </c>
      <c r="E3669" s="26">
        <v>42562.65833333333</v>
      </c>
      <c r="F3669" s="19">
        <f>IFERROR(__xludf.DUMMYFUNCTION("IFERROR(TO_DATE(E3669), """")"),42562.65833333333)</f>
        <v>42562.65833</v>
      </c>
      <c r="G3669" s="20">
        <f t="shared" si="1"/>
        <v>15</v>
      </c>
      <c r="H3669" s="18" t="s">
        <v>34</v>
      </c>
      <c r="I3669" s="19" t="str">
        <f>IFERROR(__xludf.DUMMYFUNCTION("IFERROR(TO_DATE(H3669), """")"),"NA")</f>
        <v>NA</v>
      </c>
      <c r="J3669" s="19" t="s">
        <v>10</v>
      </c>
      <c r="K3669" s="22">
        <f t="shared" si="2"/>
        <v>1</v>
      </c>
    </row>
    <row r="3670">
      <c r="A3670" s="18">
        <v>5733.0</v>
      </c>
      <c r="B3670" s="18" t="s">
        <v>32</v>
      </c>
      <c r="C3670" s="18">
        <v>200.0</v>
      </c>
      <c r="D3670" s="18" t="s">
        <v>33</v>
      </c>
      <c r="E3670" s="27">
        <v>42566.3272337963</v>
      </c>
      <c r="F3670" s="19">
        <f>IFERROR(__xludf.DUMMYFUNCTION("IFERROR(TO_DATE(E3670), """")"),42566.3272337963)</f>
        <v>42566.32723</v>
      </c>
      <c r="G3670" s="20">
        <f t="shared" si="1"/>
        <v>7</v>
      </c>
      <c r="H3670" s="18" t="s">
        <v>34</v>
      </c>
      <c r="I3670" s="19" t="str">
        <f>IFERROR(__xludf.DUMMYFUNCTION("IFERROR(TO_DATE(H3670), """")"),"NA")</f>
        <v>NA</v>
      </c>
      <c r="J3670" s="19" t="s">
        <v>11</v>
      </c>
      <c r="K3670" s="22">
        <f t="shared" si="2"/>
        <v>1</v>
      </c>
    </row>
    <row r="3671">
      <c r="A3671" s="18">
        <v>18.0</v>
      </c>
      <c r="B3671" s="18" t="s">
        <v>32</v>
      </c>
      <c r="C3671" s="18">
        <v>201.0</v>
      </c>
      <c r="D3671" s="18" t="s">
        <v>33</v>
      </c>
      <c r="E3671" s="26">
        <v>42562.052777777775</v>
      </c>
      <c r="F3671" s="19">
        <f>IFERROR(__xludf.DUMMYFUNCTION("IFERROR(TO_DATE(E3671), """")"),42562.052777777775)</f>
        <v>42562.05278</v>
      </c>
      <c r="G3671" s="20">
        <f t="shared" si="1"/>
        <v>1</v>
      </c>
      <c r="H3671" s="18" t="s">
        <v>34</v>
      </c>
      <c r="I3671" s="19" t="str">
        <f>IFERROR(__xludf.DUMMYFUNCTION("IFERROR(TO_DATE(H3671), """")"),"NA")</f>
        <v>NA</v>
      </c>
      <c r="J3671" s="19" t="s">
        <v>15</v>
      </c>
      <c r="K3671" s="22">
        <f t="shared" si="2"/>
        <v>1</v>
      </c>
    </row>
    <row r="3672">
      <c r="A3672" s="18">
        <v>2125.0</v>
      </c>
      <c r="B3672" s="18" t="s">
        <v>30</v>
      </c>
      <c r="C3672" s="18">
        <v>201.0</v>
      </c>
      <c r="D3672" s="18" t="s">
        <v>33</v>
      </c>
      <c r="E3672" s="26">
        <v>42563.70277777778</v>
      </c>
      <c r="F3672" s="19">
        <f>IFERROR(__xludf.DUMMYFUNCTION("IFERROR(TO_DATE(E3672), """")"),42563.70277777778)</f>
        <v>42563.70278</v>
      </c>
      <c r="G3672" s="20">
        <f t="shared" si="1"/>
        <v>16</v>
      </c>
      <c r="H3672" s="18" t="s">
        <v>34</v>
      </c>
      <c r="I3672" s="19" t="str">
        <f>IFERROR(__xludf.DUMMYFUNCTION("IFERROR(TO_DATE(H3672), """")"),"NA")</f>
        <v>NA</v>
      </c>
      <c r="J3672" s="19" t="s">
        <v>12</v>
      </c>
      <c r="K3672" s="22">
        <f t="shared" si="2"/>
        <v>1</v>
      </c>
    </row>
    <row r="3673">
      <c r="A3673" s="18">
        <v>5522.0</v>
      </c>
      <c r="B3673" s="18" t="s">
        <v>32</v>
      </c>
      <c r="C3673" s="18">
        <v>201.0</v>
      </c>
      <c r="D3673" s="18" t="s">
        <v>33</v>
      </c>
      <c r="E3673" s="27">
        <v>42566.223344907405</v>
      </c>
      <c r="F3673" s="19">
        <f>IFERROR(__xludf.DUMMYFUNCTION("IFERROR(TO_DATE(E3673), """")"),42566.223344907405)</f>
        <v>42566.22334</v>
      </c>
      <c r="G3673" s="20">
        <f t="shared" si="1"/>
        <v>5</v>
      </c>
      <c r="H3673" s="18" t="s">
        <v>34</v>
      </c>
      <c r="I3673" s="19" t="str">
        <f>IFERROR(__xludf.DUMMYFUNCTION("IFERROR(TO_DATE(H3673), """")"),"NA")</f>
        <v>NA</v>
      </c>
      <c r="J3673" s="19" t="s">
        <v>11</v>
      </c>
      <c r="K3673" s="22">
        <f t="shared" si="2"/>
        <v>1</v>
      </c>
    </row>
    <row r="3674">
      <c r="A3674" s="18">
        <v>5895.0</v>
      </c>
      <c r="B3674" s="18" t="s">
        <v>32</v>
      </c>
      <c r="C3674" s="18">
        <v>201.0</v>
      </c>
      <c r="D3674" s="18" t="s">
        <v>33</v>
      </c>
      <c r="E3674" s="27">
        <v>42566.409270833334</v>
      </c>
      <c r="F3674" s="19">
        <f>IFERROR(__xludf.DUMMYFUNCTION("IFERROR(TO_DATE(E3674), """")"),42566.409270833334)</f>
        <v>42566.40927</v>
      </c>
      <c r="G3674" s="20">
        <f t="shared" si="1"/>
        <v>9</v>
      </c>
      <c r="H3674" s="18" t="s">
        <v>34</v>
      </c>
      <c r="I3674" s="19" t="str">
        <f>IFERROR(__xludf.DUMMYFUNCTION("IFERROR(TO_DATE(H3674), """")"),"NA")</f>
        <v>NA</v>
      </c>
      <c r="J3674" s="19" t="s">
        <v>14</v>
      </c>
      <c r="K3674" s="22">
        <f t="shared" si="2"/>
        <v>1</v>
      </c>
    </row>
    <row r="3675">
      <c r="A3675" s="18">
        <v>192.0</v>
      </c>
      <c r="B3675" s="18" t="s">
        <v>32</v>
      </c>
      <c r="C3675" s="18">
        <v>202.0</v>
      </c>
      <c r="D3675" s="18" t="s">
        <v>33</v>
      </c>
      <c r="E3675" s="26">
        <v>42562.24722222222</v>
      </c>
      <c r="F3675" s="19">
        <f>IFERROR(__xludf.DUMMYFUNCTION("IFERROR(TO_DATE(E3675), """")"),42562.24722222222)</f>
        <v>42562.24722</v>
      </c>
      <c r="G3675" s="20">
        <f t="shared" si="1"/>
        <v>5</v>
      </c>
      <c r="H3675" s="18" t="s">
        <v>34</v>
      </c>
      <c r="I3675" s="19" t="str">
        <f>IFERROR(__xludf.DUMMYFUNCTION("IFERROR(TO_DATE(H3675), """")"),"NA")</f>
        <v>NA</v>
      </c>
      <c r="J3675" s="19" t="s">
        <v>11</v>
      </c>
      <c r="K3675" s="22">
        <f t="shared" si="2"/>
        <v>1</v>
      </c>
    </row>
    <row r="3676">
      <c r="A3676" s="18">
        <v>1469.0</v>
      </c>
      <c r="B3676" s="18" t="s">
        <v>32</v>
      </c>
      <c r="C3676" s="18">
        <v>202.0</v>
      </c>
      <c r="D3676" s="18" t="s">
        <v>33</v>
      </c>
      <c r="E3676" s="26">
        <v>42563.211805555555</v>
      </c>
      <c r="F3676" s="19">
        <f>IFERROR(__xludf.DUMMYFUNCTION("IFERROR(TO_DATE(E3676), """")"),42563.211805555555)</f>
        <v>42563.21181</v>
      </c>
      <c r="G3676" s="20">
        <f t="shared" si="1"/>
        <v>5</v>
      </c>
      <c r="H3676" s="18" t="s">
        <v>34</v>
      </c>
      <c r="I3676" s="19" t="str">
        <f>IFERROR(__xludf.DUMMYFUNCTION("IFERROR(TO_DATE(H3676), """")"),"NA")</f>
        <v>NA</v>
      </c>
      <c r="J3676" s="19" t="s">
        <v>11</v>
      </c>
      <c r="K3676" s="22">
        <f t="shared" si="2"/>
        <v>1</v>
      </c>
    </row>
    <row r="3677">
      <c r="A3677" s="18">
        <v>1486.0</v>
      </c>
      <c r="B3677" s="18" t="s">
        <v>32</v>
      </c>
      <c r="C3677" s="18">
        <v>202.0</v>
      </c>
      <c r="D3677" s="18" t="s">
        <v>33</v>
      </c>
      <c r="E3677" s="26">
        <v>42563.22222222222</v>
      </c>
      <c r="F3677" s="19">
        <f>IFERROR(__xludf.DUMMYFUNCTION("IFERROR(TO_DATE(E3677), """")"),42563.22222222222)</f>
        <v>42563.22222</v>
      </c>
      <c r="G3677" s="20">
        <f t="shared" si="1"/>
        <v>5</v>
      </c>
      <c r="H3677" s="18" t="s">
        <v>34</v>
      </c>
      <c r="I3677" s="19" t="str">
        <f>IFERROR(__xludf.DUMMYFUNCTION("IFERROR(TO_DATE(H3677), """")"),"NA")</f>
        <v>NA</v>
      </c>
      <c r="J3677" s="19" t="s">
        <v>11</v>
      </c>
      <c r="K3677" s="22">
        <f t="shared" si="2"/>
        <v>1</v>
      </c>
    </row>
    <row r="3678">
      <c r="A3678" s="18">
        <v>2971.0</v>
      </c>
      <c r="B3678" s="18" t="s">
        <v>32</v>
      </c>
      <c r="C3678" s="18">
        <v>202.0</v>
      </c>
      <c r="D3678" s="18" t="s">
        <v>33</v>
      </c>
      <c r="E3678" s="27">
        <v>42564.28680555556</v>
      </c>
      <c r="F3678" s="19">
        <f>IFERROR(__xludf.DUMMYFUNCTION("IFERROR(TO_DATE(E3678), """")"),42564.28680555556)</f>
        <v>42564.28681</v>
      </c>
      <c r="G3678" s="20">
        <f t="shared" si="1"/>
        <v>6</v>
      </c>
      <c r="H3678" s="18" t="s">
        <v>34</v>
      </c>
      <c r="I3678" s="19" t="str">
        <f>IFERROR(__xludf.DUMMYFUNCTION("IFERROR(TO_DATE(H3678), """")"),"NA")</f>
        <v>NA</v>
      </c>
      <c r="J3678" s="19" t="s">
        <v>11</v>
      </c>
      <c r="K3678" s="22">
        <f t="shared" si="2"/>
        <v>1</v>
      </c>
    </row>
    <row r="3679">
      <c r="A3679" s="18">
        <v>4331.0</v>
      </c>
      <c r="B3679" s="18" t="s">
        <v>32</v>
      </c>
      <c r="C3679" s="18">
        <v>202.0</v>
      </c>
      <c r="D3679" s="18" t="s">
        <v>33</v>
      </c>
      <c r="E3679" s="27">
        <v>42565.29914351852</v>
      </c>
      <c r="F3679" s="19">
        <f>IFERROR(__xludf.DUMMYFUNCTION("IFERROR(TO_DATE(E3679), """")"),42565.29914351852)</f>
        <v>42565.29914</v>
      </c>
      <c r="G3679" s="20">
        <f t="shared" si="1"/>
        <v>7</v>
      </c>
      <c r="H3679" s="18" t="s">
        <v>34</v>
      </c>
      <c r="I3679" s="19" t="str">
        <f>IFERROR(__xludf.DUMMYFUNCTION("IFERROR(TO_DATE(H3679), """")"),"NA")</f>
        <v>NA</v>
      </c>
      <c r="J3679" s="19" t="s">
        <v>11</v>
      </c>
      <c r="K3679" s="22">
        <f t="shared" si="2"/>
        <v>1</v>
      </c>
    </row>
    <row r="3680">
      <c r="A3680" s="18">
        <v>1739.0</v>
      </c>
      <c r="B3680" s="18" t="s">
        <v>32</v>
      </c>
      <c r="C3680" s="18">
        <v>203.0</v>
      </c>
      <c r="D3680" s="18" t="s">
        <v>33</v>
      </c>
      <c r="E3680" s="26">
        <v>42563.354166666664</v>
      </c>
      <c r="F3680" s="19">
        <f>IFERROR(__xludf.DUMMYFUNCTION("IFERROR(TO_DATE(E3680), """")"),42563.354166666664)</f>
        <v>42563.35417</v>
      </c>
      <c r="G3680" s="20">
        <f t="shared" si="1"/>
        <v>8</v>
      </c>
      <c r="H3680" s="18" t="s">
        <v>34</v>
      </c>
      <c r="I3680" s="19" t="str">
        <f>IFERROR(__xludf.DUMMYFUNCTION("IFERROR(TO_DATE(H3680), """")"),"NA")</f>
        <v>NA</v>
      </c>
      <c r="J3680" s="19" t="s">
        <v>14</v>
      </c>
      <c r="K3680" s="22">
        <f t="shared" si="2"/>
        <v>1</v>
      </c>
    </row>
    <row r="3681">
      <c r="A3681" s="18">
        <v>5679.0</v>
      </c>
      <c r="B3681" s="18" t="s">
        <v>32</v>
      </c>
      <c r="C3681" s="18">
        <v>203.0</v>
      </c>
      <c r="D3681" s="18" t="s">
        <v>33</v>
      </c>
      <c r="E3681" s="27">
        <v>42566.298055555555</v>
      </c>
      <c r="F3681" s="19">
        <f>IFERROR(__xludf.DUMMYFUNCTION("IFERROR(TO_DATE(E3681), """")"),42566.298055555555)</f>
        <v>42566.29806</v>
      </c>
      <c r="G3681" s="20">
        <f t="shared" si="1"/>
        <v>7</v>
      </c>
      <c r="H3681" s="18" t="s">
        <v>34</v>
      </c>
      <c r="I3681" s="19" t="str">
        <f>IFERROR(__xludf.DUMMYFUNCTION("IFERROR(TO_DATE(H3681), """")"),"NA")</f>
        <v>NA</v>
      </c>
      <c r="J3681" s="19" t="s">
        <v>11</v>
      </c>
      <c r="K3681" s="22">
        <f t="shared" si="2"/>
        <v>1</v>
      </c>
    </row>
    <row r="3682">
      <c r="A3682" s="18">
        <v>5750.0</v>
      </c>
      <c r="B3682" s="18" t="s">
        <v>32</v>
      </c>
      <c r="C3682" s="18">
        <v>203.0</v>
      </c>
      <c r="D3682" s="18" t="s">
        <v>33</v>
      </c>
      <c r="E3682" s="27">
        <v>42566.335625</v>
      </c>
      <c r="F3682" s="19">
        <f>IFERROR(__xludf.DUMMYFUNCTION("IFERROR(TO_DATE(E3682), """")"),42566.335625)</f>
        <v>42566.33563</v>
      </c>
      <c r="G3682" s="20">
        <f t="shared" si="1"/>
        <v>8</v>
      </c>
      <c r="H3682" s="18" t="s">
        <v>34</v>
      </c>
      <c r="I3682" s="19" t="str">
        <f>IFERROR(__xludf.DUMMYFUNCTION("IFERROR(TO_DATE(H3682), """")"),"NA")</f>
        <v>NA</v>
      </c>
      <c r="J3682" s="19" t="s">
        <v>14</v>
      </c>
      <c r="K3682" s="22">
        <f t="shared" si="2"/>
        <v>1</v>
      </c>
    </row>
    <row r="3683">
      <c r="A3683" s="18">
        <v>5856.0</v>
      </c>
      <c r="B3683" s="18" t="s">
        <v>32</v>
      </c>
      <c r="C3683" s="18">
        <v>203.0</v>
      </c>
      <c r="D3683" s="18" t="s">
        <v>33</v>
      </c>
      <c r="E3683" s="27">
        <v>42566.381053240744</v>
      </c>
      <c r="F3683" s="19">
        <f>IFERROR(__xludf.DUMMYFUNCTION("IFERROR(TO_DATE(E3683), """")"),42566.381053240744)</f>
        <v>42566.38105</v>
      </c>
      <c r="G3683" s="20">
        <f t="shared" si="1"/>
        <v>9</v>
      </c>
      <c r="H3683" s="18" t="s">
        <v>34</v>
      </c>
      <c r="I3683" s="19" t="str">
        <f>IFERROR(__xludf.DUMMYFUNCTION("IFERROR(TO_DATE(H3683), """")"),"NA")</f>
        <v>NA</v>
      </c>
      <c r="J3683" s="19" t="s">
        <v>14</v>
      </c>
      <c r="K3683" s="22">
        <f t="shared" si="2"/>
        <v>1</v>
      </c>
    </row>
    <row r="3684">
      <c r="A3684" s="18">
        <v>6033.0</v>
      </c>
      <c r="B3684" s="18" t="s">
        <v>30</v>
      </c>
      <c r="C3684" s="18">
        <v>203.0</v>
      </c>
      <c r="D3684" s="18" t="s">
        <v>33</v>
      </c>
      <c r="E3684" s="27">
        <v>42566.53886574074</v>
      </c>
      <c r="F3684" s="19">
        <f>IFERROR(__xludf.DUMMYFUNCTION("IFERROR(TO_DATE(E3684), """")"),42566.53886574074)</f>
        <v>42566.53887</v>
      </c>
      <c r="G3684" s="20">
        <f t="shared" si="1"/>
        <v>12</v>
      </c>
      <c r="H3684" s="18" t="s">
        <v>34</v>
      </c>
      <c r="I3684" s="19" t="str">
        <f>IFERROR(__xludf.DUMMYFUNCTION("IFERROR(TO_DATE(H3684), """")"),"NA")</f>
        <v>NA</v>
      </c>
      <c r="J3684" s="19" t="s">
        <v>10</v>
      </c>
      <c r="K3684" s="22">
        <f t="shared" si="2"/>
        <v>1</v>
      </c>
    </row>
    <row r="3685">
      <c r="A3685" s="18">
        <v>119.0</v>
      </c>
      <c r="B3685" s="18" t="s">
        <v>32</v>
      </c>
      <c r="C3685" s="18">
        <v>204.0</v>
      </c>
      <c r="D3685" s="18" t="s">
        <v>33</v>
      </c>
      <c r="E3685" s="26">
        <v>42562.21527777778</v>
      </c>
      <c r="F3685" s="19">
        <f>IFERROR(__xludf.DUMMYFUNCTION("IFERROR(TO_DATE(E3685), """")"),42562.21527777778)</f>
        <v>42562.21528</v>
      </c>
      <c r="G3685" s="20">
        <f t="shared" si="1"/>
        <v>5</v>
      </c>
      <c r="H3685" s="18" t="s">
        <v>34</v>
      </c>
      <c r="I3685" s="19" t="str">
        <f>IFERROR(__xludf.DUMMYFUNCTION("IFERROR(TO_DATE(H3685), """")"),"NA")</f>
        <v>NA</v>
      </c>
      <c r="J3685" s="19" t="s">
        <v>11</v>
      </c>
      <c r="K3685" s="22">
        <f t="shared" si="2"/>
        <v>1</v>
      </c>
    </row>
    <row r="3686">
      <c r="A3686" s="18">
        <v>641.0</v>
      </c>
      <c r="B3686" s="18" t="s">
        <v>32</v>
      </c>
      <c r="C3686" s="18">
        <v>204.0</v>
      </c>
      <c r="D3686" s="18" t="s">
        <v>33</v>
      </c>
      <c r="E3686" s="26">
        <v>42562.521527777775</v>
      </c>
      <c r="F3686" s="19">
        <f>IFERROR(__xludf.DUMMYFUNCTION("IFERROR(TO_DATE(E3686), """")"),42562.521527777775)</f>
        <v>42562.52153</v>
      </c>
      <c r="G3686" s="20">
        <f t="shared" si="1"/>
        <v>12</v>
      </c>
      <c r="H3686" s="18" t="s">
        <v>34</v>
      </c>
      <c r="I3686" s="19" t="str">
        <f>IFERROR(__xludf.DUMMYFUNCTION("IFERROR(TO_DATE(H3686), """")"),"NA")</f>
        <v>NA</v>
      </c>
      <c r="J3686" s="19" t="s">
        <v>10</v>
      </c>
      <c r="K3686" s="22">
        <f t="shared" si="2"/>
        <v>1</v>
      </c>
    </row>
    <row r="3687">
      <c r="A3687" s="18">
        <v>3144.0</v>
      </c>
      <c r="B3687" s="18" t="s">
        <v>32</v>
      </c>
      <c r="C3687" s="18">
        <v>204.0</v>
      </c>
      <c r="D3687" s="18" t="s">
        <v>33</v>
      </c>
      <c r="E3687" s="27">
        <v>42564.372025462966</v>
      </c>
      <c r="F3687" s="19">
        <f>IFERROR(__xludf.DUMMYFUNCTION("IFERROR(TO_DATE(E3687), """")"),42564.372025462966)</f>
        <v>42564.37203</v>
      </c>
      <c r="G3687" s="20">
        <f t="shared" si="1"/>
        <v>8</v>
      </c>
      <c r="H3687" s="18" t="s">
        <v>34</v>
      </c>
      <c r="I3687" s="19" t="str">
        <f>IFERROR(__xludf.DUMMYFUNCTION("IFERROR(TO_DATE(H3687), """")"),"NA")</f>
        <v>NA</v>
      </c>
      <c r="J3687" s="19" t="s">
        <v>14</v>
      </c>
      <c r="K3687" s="22">
        <f t="shared" si="2"/>
        <v>1</v>
      </c>
    </row>
    <row r="3688">
      <c r="A3688" s="18">
        <v>3404.0</v>
      </c>
      <c r="B3688" s="18" t="s">
        <v>30</v>
      </c>
      <c r="C3688" s="18">
        <v>204.0</v>
      </c>
      <c r="D3688" s="18" t="s">
        <v>33</v>
      </c>
      <c r="E3688" s="27">
        <v>42564.63788194444</v>
      </c>
      <c r="F3688" s="19">
        <f>IFERROR(__xludf.DUMMYFUNCTION("IFERROR(TO_DATE(E3688), """")"),42564.63788194444)</f>
        <v>42564.63788</v>
      </c>
      <c r="G3688" s="20">
        <f t="shared" si="1"/>
        <v>15</v>
      </c>
      <c r="H3688" s="18" t="s">
        <v>34</v>
      </c>
      <c r="I3688" s="19" t="str">
        <f>IFERROR(__xludf.DUMMYFUNCTION("IFERROR(TO_DATE(H3688), """")"),"NA")</f>
        <v>NA</v>
      </c>
      <c r="J3688" s="19" t="s">
        <v>10</v>
      </c>
      <c r="K3688" s="22">
        <f t="shared" si="2"/>
        <v>1</v>
      </c>
    </row>
    <row r="3689">
      <c r="A3689" s="18">
        <v>4185.0</v>
      </c>
      <c r="B3689" s="18" t="s">
        <v>32</v>
      </c>
      <c r="C3689" s="18">
        <v>204.0</v>
      </c>
      <c r="D3689" s="18" t="s">
        <v>33</v>
      </c>
      <c r="E3689" s="27">
        <v>42565.219930555555</v>
      </c>
      <c r="F3689" s="19">
        <f>IFERROR(__xludf.DUMMYFUNCTION("IFERROR(TO_DATE(E3689), """")"),42565.219930555555)</f>
        <v>42565.21993</v>
      </c>
      <c r="G3689" s="20">
        <f t="shared" si="1"/>
        <v>5</v>
      </c>
      <c r="H3689" s="18" t="s">
        <v>34</v>
      </c>
      <c r="I3689" s="19" t="str">
        <f>IFERROR(__xludf.DUMMYFUNCTION("IFERROR(TO_DATE(H3689), """")"),"NA")</f>
        <v>NA</v>
      </c>
      <c r="J3689" s="19" t="s">
        <v>11</v>
      </c>
      <c r="K3689" s="22">
        <f t="shared" si="2"/>
        <v>1</v>
      </c>
    </row>
    <row r="3690">
      <c r="A3690" s="18">
        <v>5918.0</v>
      </c>
      <c r="B3690" s="18" t="s">
        <v>32</v>
      </c>
      <c r="C3690" s="18">
        <v>204.0</v>
      </c>
      <c r="D3690" s="18" t="s">
        <v>33</v>
      </c>
      <c r="E3690" s="27">
        <v>42566.41758101852</v>
      </c>
      <c r="F3690" s="19">
        <f>IFERROR(__xludf.DUMMYFUNCTION("IFERROR(TO_DATE(E3690), """")"),42566.41758101852)</f>
        <v>42566.41758</v>
      </c>
      <c r="G3690" s="20">
        <f t="shared" si="1"/>
        <v>10</v>
      </c>
      <c r="H3690" s="18" t="s">
        <v>34</v>
      </c>
      <c r="I3690" s="19" t="str">
        <f>IFERROR(__xludf.DUMMYFUNCTION("IFERROR(TO_DATE(H3690), """")"),"NA")</f>
        <v>NA</v>
      </c>
      <c r="J3690" s="19" t="s">
        <v>14</v>
      </c>
      <c r="K3690" s="22">
        <f t="shared" si="2"/>
        <v>1</v>
      </c>
    </row>
    <row r="3691">
      <c r="A3691" s="18">
        <v>98.0</v>
      </c>
      <c r="B3691" s="18" t="s">
        <v>32</v>
      </c>
      <c r="C3691" s="18">
        <v>205.0</v>
      </c>
      <c r="D3691" s="18" t="s">
        <v>33</v>
      </c>
      <c r="E3691" s="26">
        <v>42562.20694444444</v>
      </c>
      <c r="F3691" s="19">
        <f>IFERROR(__xludf.DUMMYFUNCTION("IFERROR(TO_DATE(E3691), """")"),42562.20694444444)</f>
        <v>42562.20694</v>
      </c>
      <c r="G3691" s="20">
        <f t="shared" si="1"/>
        <v>4</v>
      </c>
      <c r="H3691" s="18" t="s">
        <v>34</v>
      </c>
      <c r="I3691" s="19" t="str">
        <f>IFERROR(__xludf.DUMMYFUNCTION("IFERROR(TO_DATE(H3691), """")"),"NA")</f>
        <v>NA</v>
      </c>
      <c r="J3691" s="19" t="s">
        <v>11</v>
      </c>
      <c r="K3691" s="22">
        <f t="shared" si="2"/>
        <v>1</v>
      </c>
    </row>
    <row r="3692">
      <c r="A3692" s="18">
        <v>1541.0</v>
      </c>
      <c r="B3692" s="18" t="s">
        <v>32</v>
      </c>
      <c r="C3692" s="18">
        <v>205.0</v>
      </c>
      <c r="D3692" s="18" t="s">
        <v>33</v>
      </c>
      <c r="E3692" s="26">
        <v>42563.25277777778</v>
      </c>
      <c r="F3692" s="19">
        <f>IFERROR(__xludf.DUMMYFUNCTION("IFERROR(TO_DATE(E3692), """")"),42563.25277777778)</f>
        <v>42563.25278</v>
      </c>
      <c r="G3692" s="20">
        <f t="shared" si="1"/>
        <v>6</v>
      </c>
      <c r="H3692" s="18" t="s">
        <v>34</v>
      </c>
      <c r="I3692" s="19" t="str">
        <f>IFERROR(__xludf.DUMMYFUNCTION("IFERROR(TO_DATE(H3692), """")"),"NA")</f>
        <v>NA</v>
      </c>
      <c r="J3692" s="19" t="s">
        <v>11</v>
      </c>
      <c r="K3692" s="22">
        <f t="shared" si="2"/>
        <v>1</v>
      </c>
    </row>
    <row r="3693">
      <c r="A3693" s="18">
        <v>2872.0</v>
      </c>
      <c r="B3693" s="18" t="s">
        <v>32</v>
      </c>
      <c r="C3693" s="18">
        <v>205.0</v>
      </c>
      <c r="D3693" s="18" t="s">
        <v>33</v>
      </c>
      <c r="E3693" s="27">
        <v>42564.23730324074</v>
      </c>
      <c r="F3693" s="19">
        <f>IFERROR(__xludf.DUMMYFUNCTION("IFERROR(TO_DATE(E3693), """")"),42564.23730324074)</f>
        <v>42564.2373</v>
      </c>
      <c r="G3693" s="20">
        <f t="shared" si="1"/>
        <v>5</v>
      </c>
      <c r="H3693" s="18" t="s">
        <v>34</v>
      </c>
      <c r="I3693" s="19" t="str">
        <f>IFERROR(__xludf.DUMMYFUNCTION("IFERROR(TO_DATE(H3693), """")"),"NA")</f>
        <v>NA</v>
      </c>
      <c r="J3693" s="19" t="s">
        <v>11</v>
      </c>
      <c r="K3693" s="22">
        <f t="shared" si="2"/>
        <v>1</v>
      </c>
    </row>
    <row r="3694">
      <c r="A3694" s="18">
        <v>3498.0</v>
      </c>
      <c r="B3694" s="18" t="s">
        <v>32</v>
      </c>
      <c r="C3694" s="18">
        <v>205.0</v>
      </c>
      <c r="D3694" s="18" t="s">
        <v>33</v>
      </c>
      <c r="E3694" s="27">
        <v>42564.73395833333</v>
      </c>
      <c r="F3694" s="19">
        <f>IFERROR(__xludf.DUMMYFUNCTION("IFERROR(TO_DATE(E3694), """")"),42564.73395833333)</f>
        <v>42564.73396</v>
      </c>
      <c r="G3694" s="20">
        <f t="shared" si="1"/>
        <v>17</v>
      </c>
      <c r="H3694" s="18" t="s">
        <v>34</v>
      </c>
      <c r="I3694" s="19" t="str">
        <f>IFERROR(__xludf.DUMMYFUNCTION("IFERROR(TO_DATE(H3694), """")"),"NA")</f>
        <v>NA</v>
      </c>
      <c r="J3694" s="19" t="s">
        <v>12</v>
      </c>
      <c r="K3694" s="22">
        <f t="shared" si="2"/>
        <v>1</v>
      </c>
    </row>
    <row r="3695">
      <c r="A3695" s="18">
        <v>5646.0</v>
      </c>
      <c r="B3695" s="18" t="s">
        <v>32</v>
      </c>
      <c r="C3695" s="18">
        <v>205.0</v>
      </c>
      <c r="D3695" s="18" t="s">
        <v>33</v>
      </c>
      <c r="E3695" s="27">
        <v>42566.28673611111</v>
      </c>
      <c r="F3695" s="19">
        <f>IFERROR(__xludf.DUMMYFUNCTION("IFERROR(TO_DATE(E3695), """")"),42566.28673611111)</f>
        <v>42566.28674</v>
      </c>
      <c r="G3695" s="20">
        <f t="shared" si="1"/>
        <v>6</v>
      </c>
      <c r="H3695" s="18" t="s">
        <v>34</v>
      </c>
      <c r="I3695" s="19" t="str">
        <f>IFERROR(__xludf.DUMMYFUNCTION("IFERROR(TO_DATE(H3695), """")"),"NA")</f>
        <v>NA</v>
      </c>
      <c r="J3695" s="19" t="s">
        <v>11</v>
      </c>
      <c r="K3695" s="22">
        <f t="shared" si="2"/>
        <v>1</v>
      </c>
    </row>
    <row r="3696">
      <c r="A3696" s="18">
        <v>5656.0</v>
      </c>
      <c r="B3696" s="18" t="s">
        <v>32</v>
      </c>
      <c r="C3696" s="18">
        <v>205.0</v>
      </c>
      <c r="D3696" s="18" t="s">
        <v>33</v>
      </c>
      <c r="E3696" s="27">
        <v>42566.28755787037</v>
      </c>
      <c r="F3696" s="19">
        <f>IFERROR(__xludf.DUMMYFUNCTION("IFERROR(TO_DATE(E3696), """")"),42566.28755787037)</f>
        <v>42566.28756</v>
      </c>
      <c r="G3696" s="20">
        <f t="shared" si="1"/>
        <v>6</v>
      </c>
      <c r="H3696" s="18" t="s">
        <v>34</v>
      </c>
      <c r="I3696" s="19" t="str">
        <f>IFERROR(__xludf.DUMMYFUNCTION("IFERROR(TO_DATE(H3696), """")"),"NA")</f>
        <v>NA</v>
      </c>
      <c r="J3696" s="19" t="s">
        <v>11</v>
      </c>
      <c r="K3696" s="22">
        <f t="shared" si="2"/>
        <v>1</v>
      </c>
    </row>
    <row r="3697">
      <c r="A3697" s="18">
        <v>130.0</v>
      </c>
      <c r="B3697" s="18" t="s">
        <v>32</v>
      </c>
      <c r="C3697" s="18">
        <v>206.0</v>
      </c>
      <c r="D3697" s="18" t="s">
        <v>33</v>
      </c>
      <c r="E3697" s="26">
        <v>42562.21666666667</v>
      </c>
      <c r="F3697" s="19">
        <f>IFERROR(__xludf.DUMMYFUNCTION("IFERROR(TO_DATE(E3697), """")"),42562.21666666667)</f>
        <v>42562.21667</v>
      </c>
      <c r="G3697" s="20">
        <f t="shared" si="1"/>
        <v>5</v>
      </c>
      <c r="H3697" s="18" t="s">
        <v>34</v>
      </c>
      <c r="I3697" s="19" t="str">
        <f>IFERROR(__xludf.DUMMYFUNCTION("IFERROR(TO_DATE(H3697), """")"),"NA")</f>
        <v>NA</v>
      </c>
      <c r="J3697" s="19" t="s">
        <v>11</v>
      </c>
      <c r="K3697" s="22">
        <f t="shared" si="2"/>
        <v>1</v>
      </c>
    </row>
    <row r="3698">
      <c r="A3698" s="18">
        <v>268.0</v>
      </c>
      <c r="B3698" s="18" t="s">
        <v>32</v>
      </c>
      <c r="C3698" s="18">
        <v>206.0</v>
      </c>
      <c r="D3698" s="18" t="s">
        <v>33</v>
      </c>
      <c r="E3698" s="26">
        <v>42562.28611111111</v>
      </c>
      <c r="F3698" s="19">
        <f>IFERROR(__xludf.DUMMYFUNCTION("IFERROR(TO_DATE(E3698), """")"),42562.28611111111)</f>
        <v>42562.28611</v>
      </c>
      <c r="G3698" s="20">
        <f t="shared" si="1"/>
        <v>6</v>
      </c>
      <c r="H3698" s="18" t="s">
        <v>34</v>
      </c>
      <c r="I3698" s="19" t="str">
        <f>IFERROR(__xludf.DUMMYFUNCTION("IFERROR(TO_DATE(H3698), """")"),"NA")</f>
        <v>NA</v>
      </c>
      <c r="J3698" s="19" t="s">
        <v>11</v>
      </c>
      <c r="K3698" s="22">
        <f t="shared" si="2"/>
        <v>1</v>
      </c>
    </row>
    <row r="3699">
      <c r="A3699" s="18">
        <v>644.0</v>
      </c>
      <c r="B3699" s="18" t="s">
        <v>30</v>
      </c>
      <c r="C3699" s="18">
        <v>206.0</v>
      </c>
      <c r="D3699" s="18" t="s">
        <v>33</v>
      </c>
      <c r="E3699" s="26">
        <v>42562.52013888889</v>
      </c>
      <c r="F3699" s="19">
        <f>IFERROR(__xludf.DUMMYFUNCTION("IFERROR(TO_DATE(E3699), """")"),42562.52013888889)</f>
        <v>42562.52014</v>
      </c>
      <c r="G3699" s="20">
        <f t="shared" si="1"/>
        <v>12</v>
      </c>
      <c r="H3699" s="18" t="s">
        <v>34</v>
      </c>
      <c r="I3699" s="19" t="str">
        <f>IFERROR(__xludf.DUMMYFUNCTION("IFERROR(TO_DATE(H3699), """")"),"NA")</f>
        <v>NA</v>
      </c>
      <c r="J3699" s="19" t="s">
        <v>10</v>
      </c>
      <c r="K3699" s="22">
        <f t="shared" si="2"/>
        <v>1</v>
      </c>
    </row>
    <row r="3700">
      <c r="A3700" s="18">
        <v>1572.0</v>
      </c>
      <c r="B3700" s="18" t="s">
        <v>32</v>
      </c>
      <c r="C3700" s="18">
        <v>206.0</v>
      </c>
      <c r="D3700" s="18" t="s">
        <v>33</v>
      </c>
      <c r="E3700" s="26">
        <v>42563.26527777778</v>
      </c>
      <c r="F3700" s="19">
        <f>IFERROR(__xludf.DUMMYFUNCTION("IFERROR(TO_DATE(E3700), """")"),42563.26527777778)</f>
        <v>42563.26528</v>
      </c>
      <c r="G3700" s="20">
        <f t="shared" si="1"/>
        <v>6</v>
      </c>
      <c r="H3700" s="18" t="s">
        <v>34</v>
      </c>
      <c r="I3700" s="19" t="str">
        <f>IFERROR(__xludf.DUMMYFUNCTION("IFERROR(TO_DATE(H3700), """")"),"NA")</f>
        <v>NA</v>
      </c>
      <c r="J3700" s="19" t="s">
        <v>11</v>
      </c>
      <c r="K3700" s="22">
        <f t="shared" si="2"/>
        <v>1</v>
      </c>
    </row>
    <row r="3701">
      <c r="A3701" s="18">
        <v>1619.0</v>
      </c>
      <c r="B3701" s="18" t="s">
        <v>32</v>
      </c>
      <c r="C3701" s="18">
        <v>206.0</v>
      </c>
      <c r="D3701" s="18" t="s">
        <v>33</v>
      </c>
      <c r="E3701" s="26">
        <v>42563.28680555556</v>
      </c>
      <c r="F3701" s="19">
        <f>IFERROR(__xludf.DUMMYFUNCTION("IFERROR(TO_DATE(E3701), """")"),42563.28680555556)</f>
        <v>42563.28681</v>
      </c>
      <c r="G3701" s="20">
        <f t="shared" si="1"/>
        <v>6</v>
      </c>
      <c r="H3701" s="18" t="s">
        <v>34</v>
      </c>
      <c r="I3701" s="19" t="str">
        <f>IFERROR(__xludf.DUMMYFUNCTION("IFERROR(TO_DATE(H3701), """")"),"NA")</f>
        <v>NA</v>
      </c>
      <c r="J3701" s="19" t="s">
        <v>11</v>
      </c>
      <c r="K3701" s="22">
        <f t="shared" si="2"/>
        <v>1</v>
      </c>
    </row>
    <row r="3702">
      <c r="A3702" s="18">
        <v>1668.0</v>
      </c>
      <c r="B3702" s="18" t="s">
        <v>32</v>
      </c>
      <c r="C3702" s="18">
        <v>206.0</v>
      </c>
      <c r="D3702" s="18" t="s">
        <v>33</v>
      </c>
      <c r="E3702" s="26">
        <v>42563.31597222222</v>
      </c>
      <c r="F3702" s="19">
        <f>IFERROR(__xludf.DUMMYFUNCTION("IFERROR(TO_DATE(E3702), """")"),42563.31597222222)</f>
        <v>42563.31597</v>
      </c>
      <c r="G3702" s="20">
        <f t="shared" si="1"/>
        <v>7</v>
      </c>
      <c r="H3702" s="18" t="s">
        <v>34</v>
      </c>
      <c r="I3702" s="19" t="str">
        <f>IFERROR(__xludf.DUMMYFUNCTION("IFERROR(TO_DATE(H3702), """")"),"NA")</f>
        <v>NA</v>
      </c>
      <c r="J3702" s="19" t="s">
        <v>11</v>
      </c>
      <c r="K3702" s="22">
        <f t="shared" si="2"/>
        <v>1</v>
      </c>
    </row>
    <row r="3703">
      <c r="A3703" s="18">
        <v>1707.0</v>
      </c>
      <c r="B3703" s="18" t="s">
        <v>32</v>
      </c>
      <c r="C3703" s="18">
        <v>206.0</v>
      </c>
      <c r="D3703" s="18" t="s">
        <v>33</v>
      </c>
      <c r="E3703" s="26">
        <v>42563.34027777778</v>
      </c>
      <c r="F3703" s="19">
        <f>IFERROR(__xludf.DUMMYFUNCTION("IFERROR(TO_DATE(E3703), """")"),42563.34027777778)</f>
        <v>42563.34028</v>
      </c>
      <c r="G3703" s="20">
        <f t="shared" si="1"/>
        <v>8</v>
      </c>
      <c r="H3703" s="18" t="s">
        <v>34</v>
      </c>
      <c r="I3703" s="19" t="str">
        <f>IFERROR(__xludf.DUMMYFUNCTION("IFERROR(TO_DATE(H3703), """")"),"NA")</f>
        <v>NA</v>
      </c>
      <c r="J3703" s="19" t="s">
        <v>14</v>
      </c>
      <c r="K3703" s="22">
        <f t="shared" si="2"/>
        <v>1</v>
      </c>
    </row>
    <row r="3704">
      <c r="A3704" s="18">
        <v>2113.0</v>
      </c>
      <c r="B3704" s="18" t="s">
        <v>30</v>
      </c>
      <c r="C3704" s="18">
        <v>206.0</v>
      </c>
      <c r="D3704" s="18" t="s">
        <v>33</v>
      </c>
      <c r="E3704" s="26">
        <v>42563.68680555555</v>
      </c>
      <c r="F3704" s="19">
        <f>IFERROR(__xludf.DUMMYFUNCTION("IFERROR(TO_DATE(E3704), """")"),42563.68680555555)</f>
        <v>42563.68681</v>
      </c>
      <c r="G3704" s="20">
        <f t="shared" si="1"/>
        <v>16</v>
      </c>
      <c r="H3704" s="18" t="s">
        <v>34</v>
      </c>
      <c r="I3704" s="19" t="str">
        <f>IFERROR(__xludf.DUMMYFUNCTION("IFERROR(TO_DATE(H3704), """")"),"NA")</f>
        <v>NA</v>
      </c>
      <c r="J3704" s="19" t="s">
        <v>12</v>
      </c>
      <c r="K3704" s="22">
        <f t="shared" si="2"/>
        <v>1</v>
      </c>
    </row>
    <row r="3705">
      <c r="A3705" s="18">
        <v>4581.0</v>
      </c>
      <c r="B3705" s="18" t="s">
        <v>32</v>
      </c>
      <c r="C3705" s="18">
        <v>206.0</v>
      </c>
      <c r="D3705" s="18" t="s">
        <v>33</v>
      </c>
      <c r="E3705" s="27">
        <v>42565.41988425926</v>
      </c>
      <c r="F3705" s="19">
        <f>IFERROR(__xludf.DUMMYFUNCTION("IFERROR(TO_DATE(E3705), """")"),42565.41988425926)</f>
        <v>42565.41988</v>
      </c>
      <c r="G3705" s="20">
        <f t="shared" si="1"/>
        <v>10</v>
      </c>
      <c r="H3705" s="18" t="s">
        <v>34</v>
      </c>
      <c r="I3705" s="19" t="str">
        <f>IFERROR(__xludf.DUMMYFUNCTION("IFERROR(TO_DATE(H3705), """")"),"NA")</f>
        <v>NA</v>
      </c>
      <c r="J3705" s="19" t="s">
        <v>14</v>
      </c>
      <c r="K3705" s="22">
        <f t="shared" si="2"/>
        <v>1</v>
      </c>
    </row>
    <row r="3706">
      <c r="A3706" s="18">
        <v>5626.0</v>
      </c>
      <c r="B3706" s="18" t="s">
        <v>32</v>
      </c>
      <c r="C3706" s="18">
        <v>206.0</v>
      </c>
      <c r="D3706" s="18" t="s">
        <v>33</v>
      </c>
      <c r="E3706" s="27">
        <v>42566.273414351854</v>
      </c>
      <c r="F3706" s="19">
        <f>IFERROR(__xludf.DUMMYFUNCTION("IFERROR(TO_DATE(E3706), """")"),42566.273414351854)</f>
        <v>42566.27341</v>
      </c>
      <c r="G3706" s="20">
        <f t="shared" si="1"/>
        <v>6</v>
      </c>
      <c r="H3706" s="18" t="s">
        <v>34</v>
      </c>
      <c r="I3706" s="19" t="str">
        <f>IFERROR(__xludf.DUMMYFUNCTION("IFERROR(TO_DATE(H3706), """")"),"NA")</f>
        <v>NA</v>
      </c>
      <c r="J3706" s="19" t="s">
        <v>11</v>
      </c>
      <c r="K3706" s="22">
        <f t="shared" si="2"/>
        <v>1</v>
      </c>
    </row>
    <row r="3707">
      <c r="A3707" s="18">
        <v>4255.0</v>
      </c>
      <c r="B3707" s="18" t="s">
        <v>32</v>
      </c>
      <c r="C3707" s="18">
        <v>207.0</v>
      </c>
      <c r="D3707" s="18" t="s">
        <v>33</v>
      </c>
      <c r="E3707" s="27">
        <v>42565.25555555556</v>
      </c>
      <c r="F3707" s="19">
        <f>IFERROR(__xludf.DUMMYFUNCTION("IFERROR(TO_DATE(E3707), """")"),42565.25555555556)</f>
        <v>42565.25556</v>
      </c>
      <c r="G3707" s="20">
        <f t="shared" si="1"/>
        <v>6</v>
      </c>
      <c r="H3707" s="18" t="s">
        <v>34</v>
      </c>
      <c r="I3707" s="19" t="str">
        <f>IFERROR(__xludf.DUMMYFUNCTION("IFERROR(TO_DATE(H3707), """")"),"NA")</f>
        <v>NA</v>
      </c>
      <c r="J3707" s="19" t="s">
        <v>11</v>
      </c>
      <c r="K3707" s="22">
        <f t="shared" si="2"/>
        <v>1</v>
      </c>
    </row>
    <row r="3708">
      <c r="A3708" s="18">
        <v>5794.0</v>
      </c>
      <c r="B3708" s="18" t="s">
        <v>32</v>
      </c>
      <c r="C3708" s="18">
        <v>207.0</v>
      </c>
      <c r="D3708" s="18" t="s">
        <v>33</v>
      </c>
      <c r="E3708" s="27">
        <v>42566.360138888886</v>
      </c>
      <c r="F3708" s="19">
        <f>IFERROR(__xludf.DUMMYFUNCTION("IFERROR(TO_DATE(E3708), """")"),42566.360138888886)</f>
        <v>42566.36014</v>
      </c>
      <c r="G3708" s="20">
        <f t="shared" si="1"/>
        <v>8</v>
      </c>
      <c r="H3708" s="18" t="s">
        <v>34</v>
      </c>
      <c r="I3708" s="19" t="str">
        <f>IFERROR(__xludf.DUMMYFUNCTION("IFERROR(TO_DATE(H3708), """")"),"NA")</f>
        <v>NA</v>
      </c>
      <c r="J3708" s="19" t="s">
        <v>14</v>
      </c>
      <c r="K3708" s="22">
        <f t="shared" si="2"/>
        <v>1</v>
      </c>
    </row>
    <row r="3709">
      <c r="A3709" s="18">
        <v>6103.0</v>
      </c>
      <c r="B3709" s="18" t="s">
        <v>30</v>
      </c>
      <c r="C3709" s="18">
        <v>208.0</v>
      </c>
      <c r="D3709" s="18" t="s">
        <v>33</v>
      </c>
      <c r="E3709" s="27">
        <v>42566.62012731482</v>
      </c>
      <c r="F3709" s="19">
        <f>IFERROR(__xludf.DUMMYFUNCTION("IFERROR(TO_DATE(E3709), """")"),42566.62012731482)</f>
        <v>42566.62013</v>
      </c>
      <c r="G3709" s="20">
        <f t="shared" si="1"/>
        <v>14</v>
      </c>
      <c r="H3709" s="18" t="s">
        <v>34</v>
      </c>
      <c r="I3709" s="19" t="str">
        <f>IFERROR(__xludf.DUMMYFUNCTION("IFERROR(TO_DATE(H3709), """")"),"NA")</f>
        <v>NA</v>
      </c>
      <c r="J3709" s="19" t="s">
        <v>10</v>
      </c>
      <c r="K3709" s="22">
        <f t="shared" si="2"/>
        <v>1</v>
      </c>
    </row>
    <row r="3710">
      <c r="A3710" s="18">
        <v>302.0</v>
      </c>
      <c r="B3710" s="18" t="s">
        <v>32</v>
      </c>
      <c r="C3710" s="18">
        <v>209.0</v>
      </c>
      <c r="D3710" s="18" t="s">
        <v>33</v>
      </c>
      <c r="E3710" s="26">
        <v>42562.30347222222</v>
      </c>
      <c r="F3710" s="19">
        <f>IFERROR(__xludf.DUMMYFUNCTION("IFERROR(TO_DATE(E3710), """")"),42562.30347222222)</f>
        <v>42562.30347</v>
      </c>
      <c r="G3710" s="20">
        <f t="shared" si="1"/>
        <v>7</v>
      </c>
      <c r="H3710" s="18" t="s">
        <v>34</v>
      </c>
      <c r="I3710" s="19" t="str">
        <f>IFERROR(__xludf.DUMMYFUNCTION("IFERROR(TO_DATE(H3710), """")"),"NA")</f>
        <v>NA</v>
      </c>
      <c r="J3710" s="19" t="s">
        <v>11</v>
      </c>
      <c r="K3710" s="22">
        <f t="shared" si="2"/>
        <v>1</v>
      </c>
    </row>
    <row r="3711">
      <c r="A3711" s="18">
        <v>1137.0</v>
      </c>
      <c r="B3711" s="18" t="s">
        <v>32</v>
      </c>
      <c r="C3711" s="18">
        <v>209.0</v>
      </c>
      <c r="D3711" s="18" t="s">
        <v>33</v>
      </c>
      <c r="E3711" s="26">
        <v>42562.85555555556</v>
      </c>
      <c r="F3711" s="19">
        <f>IFERROR(__xludf.DUMMYFUNCTION("IFERROR(TO_DATE(E3711), """")"),42562.85555555556)</f>
        <v>42562.85556</v>
      </c>
      <c r="G3711" s="20">
        <f t="shared" si="1"/>
        <v>20</v>
      </c>
      <c r="H3711" s="18" t="s">
        <v>34</v>
      </c>
      <c r="I3711" s="19" t="str">
        <f>IFERROR(__xludf.DUMMYFUNCTION("IFERROR(TO_DATE(H3711), """")"),"NA")</f>
        <v>NA</v>
      </c>
      <c r="J3711" s="19" t="s">
        <v>13</v>
      </c>
      <c r="K3711" s="22">
        <f t="shared" si="2"/>
        <v>1</v>
      </c>
    </row>
    <row r="3712">
      <c r="A3712" s="18">
        <v>4304.0</v>
      </c>
      <c r="B3712" s="18" t="s">
        <v>32</v>
      </c>
      <c r="C3712" s="18">
        <v>209.0</v>
      </c>
      <c r="D3712" s="18" t="s">
        <v>33</v>
      </c>
      <c r="E3712" s="27">
        <v>42565.285208333335</v>
      </c>
      <c r="F3712" s="19">
        <f>IFERROR(__xludf.DUMMYFUNCTION("IFERROR(TO_DATE(E3712), """")"),42565.285208333335)</f>
        <v>42565.28521</v>
      </c>
      <c r="G3712" s="20">
        <f t="shared" si="1"/>
        <v>6</v>
      </c>
      <c r="H3712" s="18" t="s">
        <v>34</v>
      </c>
      <c r="I3712" s="19" t="str">
        <f>IFERROR(__xludf.DUMMYFUNCTION("IFERROR(TO_DATE(H3712), """")"),"NA")</f>
        <v>NA</v>
      </c>
      <c r="J3712" s="19" t="s">
        <v>11</v>
      </c>
      <c r="K3712" s="22">
        <f t="shared" si="2"/>
        <v>1</v>
      </c>
    </row>
    <row r="3713">
      <c r="A3713" s="18">
        <v>1702.0</v>
      </c>
      <c r="B3713" s="18" t="s">
        <v>32</v>
      </c>
      <c r="C3713" s="18">
        <v>210.0</v>
      </c>
      <c r="D3713" s="18" t="s">
        <v>33</v>
      </c>
      <c r="E3713" s="26">
        <v>42563.33472222222</v>
      </c>
      <c r="F3713" s="19">
        <f>IFERROR(__xludf.DUMMYFUNCTION("IFERROR(TO_DATE(E3713), """")"),42563.33472222222)</f>
        <v>42563.33472</v>
      </c>
      <c r="G3713" s="20">
        <f t="shared" si="1"/>
        <v>8</v>
      </c>
      <c r="H3713" s="18" t="s">
        <v>34</v>
      </c>
      <c r="I3713" s="19" t="str">
        <f>IFERROR(__xludf.DUMMYFUNCTION("IFERROR(TO_DATE(H3713), """")"),"NA")</f>
        <v>NA</v>
      </c>
      <c r="J3713" s="19" t="s">
        <v>14</v>
      </c>
      <c r="K3713" s="22">
        <f t="shared" si="2"/>
        <v>1</v>
      </c>
    </row>
    <row r="3714">
      <c r="A3714" s="18">
        <v>1762.0</v>
      </c>
      <c r="B3714" s="18" t="s">
        <v>32</v>
      </c>
      <c r="C3714" s="18">
        <v>210.0</v>
      </c>
      <c r="D3714" s="18" t="s">
        <v>33</v>
      </c>
      <c r="E3714" s="26">
        <v>42563.368055555555</v>
      </c>
      <c r="F3714" s="19">
        <f>IFERROR(__xludf.DUMMYFUNCTION("IFERROR(TO_DATE(E3714), """")"),42563.368055555555)</f>
        <v>42563.36806</v>
      </c>
      <c r="G3714" s="20">
        <f t="shared" si="1"/>
        <v>8</v>
      </c>
      <c r="H3714" s="18" t="s">
        <v>34</v>
      </c>
      <c r="I3714" s="19" t="str">
        <f>IFERROR(__xludf.DUMMYFUNCTION("IFERROR(TO_DATE(H3714), """")"),"NA")</f>
        <v>NA</v>
      </c>
      <c r="J3714" s="19" t="s">
        <v>14</v>
      </c>
      <c r="K3714" s="22">
        <f t="shared" si="2"/>
        <v>1</v>
      </c>
    </row>
    <row r="3715">
      <c r="A3715" s="18">
        <v>2373.0</v>
      </c>
      <c r="B3715" s="18" t="s">
        <v>30</v>
      </c>
      <c r="C3715" s="18">
        <v>210.0</v>
      </c>
      <c r="D3715" s="18" t="s">
        <v>33</v>
      </c>
      <c r="E3715" s="26">
        <v>42563.816666666666</v>
      </c>
      <c r="F3715" s="19">
        <f>IFERROR(__xludf.DUMMYFUNCTION("IFERROR(TO_DATE(E3715), """")"),42563.816666666666)</f>
        <v>42563.81667</v>
      </c>
      <c r="G3715" s="20">
        <f t="shared" si="1"/>
        <v>19</v>
      </c>
      <c r="H3715" s="18" t="s">
        <v>34</v>
      </c>
      <c r="I3715" s="19" t="str">
        <f>IFERROR(__xludf.DUMMYFUNCTION("IFERROR(TO_DATE(H3715), """")"),"NA")</f>
        <v>NA</v>
      </c>
      <c r="J3715" s="19" t="s">
        <v>12</v>
      </c>
      <c r="K3715" s="22">
        <f t="shared" si="2"/>
        <v>1</v>
      </c>
    </row>
    <row r="3716">
      <c r="A3716" s="18">
        <v>3005.0</v>
      </c>
      <c r="B3716" s="18" t="s">
        <v>32</v>
      </c>
      <c r="C3716" s="18">
        <v>210.0</v>
      </c>
      <c r="D3716" s="18" t="s">
        <v>33</v>
      </c>
      <c r="E3716" s="27">
        <v>42564.30248842593</v>
      </c>
      <c r="F3716" s="19">
        <f>IFERROR(__xludf.DUMMYFUNCTION("IFERROR(TO_DATE(E3716), """")"),42564.30248842593)</f>
        <v>42564.30249</v>
      </c>
      <c r="G3716" s="20">
        <f t="shared" si="1"/>
        <v>7</v>
      </c>
      <c r="H3716" s="18" t="s">
        <v>34</v>
      </c>
      <c r="I3716" s="19" t="str">
        <f>IFERROR(__xludf.DUMMYFUNCTION("IFERROR(TO_DATE(H3716), """")"),"NA")</f>
        <v>NA</v>
      </c>
      <c r="J3716" s="19" t="s">
        <v>11</v>
      </c>
      <c r="K3716" s="22">
        <f t="shared" si="2"/>
        <v>1</v>
      </c>
    </row>
    <row r="3717">
      <c r="A3717" s="18">
        <v>3131.0</v>
      </c>
      <c r="B3717" s="18" t="s">
        <v>32</v>
      </c>
      <c r="C3717" s="18">
        <v>210.0</v>
      </c>
      <c r="D3717" s="18" t="s">
        <v>33</v>
      </c>
      <c r="E3717" s="27">
        <v>42564.36168981482</v>
      </c>
      <c r="F3717" s="19">
        <f>IFERROR(__xludf.DUMMYFUNCTION("IFERROR(TO_DATE(E3717), """")"),42564.36168981482)</f>
        <v>42564.36169</v>
      </c>
      <c r="G3717" s="20">
        <f t="shared" si="1"/>
        <v>8</v>
      </c>
      <c r="H3717" s="18" t="s">
        <v>34</v>
      </c>
      <c r="I3717" s="19" t="str">
        <f>IFERROR(__xludf.DUMMYFUNCTION("IFERROR(TO_DATE(H3717), """")"),"NA")</f>
        <v>NA</v>
      </c>
      <c r="J3717" s="19" t="s">
        <v>14</v>
      </c>
      <c r="K3717" s="22">
        <f t="shared" si="2"/>
        <v>1</v>
      </c>
    </row>
    <row r="3718">
      <c r="A3718" s="18">
        <v>3883.0</v>
      </c>
      <c r="B3718" s="18" t="s">
        <v>30</v>
      </c>
      <c r="C3718" s="18">
        <v>210.0</v>
      </c>
      <c r="D3718" s="18" t="s">
        <v>33</v>
      </c>
      <c r="E3718" s="27">
        <v>42564.91394675926</v>
      </c>
      <c r="F3718" s="19">
        <f>IFERROR(__xludf.DUMMYFUNCTION("IFERROR(TO_DATE(E3718), """")"),42564.91394675926)</f>
        <v>42564.91395</v>
      </c>
      <c r="G3718" s="20">
        <f t="shared" si="1"/>
        <v>21</v>
      </c>
      <c r="H3718" s="18" t="s">
        <v>34</v>
      </c>
      <c r="I3718" s="19" t="str">
        <f>IFERROR(__xludf.DUMMYFUNCTION("IFERROR(TO_DATE(H3718), """")"),"NA")</f>
        <v>NA</v>
      </c>
      <c r="J3718" s="19" t="s">
        <v>13</v>
      </c>
      <c r="K3718" s="22">
        <f t="shared" si="2"/>
        <v>1</v>
      </c>
    </row>
    <row r="3719">
      <c r="A3719" s="18">
        <v>6131.0</v>
      </c>
      <c r="B3719" s="18" t="s">
        <v>30</v>
      </c>
      <c r="C3719" s="18">
        <v>210.0</v>
      </c>
      <c r="D3719" s="18" t="s">
        <v>33</v>
      </c>
      <c r="E3719" s="27">
        <v>42566.651655092595</v>
      </c>
      <c r="F3719" s="19">
        <f>IFERROR(__xludf.DUMMYFUNCTION("IFERROR(TO_DATE(E3719), """")"),42566.651655092595)</f>
        <v>42566.65166</v>
      </c>
      <c r="G3719" s="20">
        <f t="shared" si="1"/>
        <v>15</v>
      </c>
      <c r="H3719" s="18" t="s">
        <v>34</v>
      </c>
      <c r="I3719" s="19" t="str">
        <f>IFERROR(__xludf.DUMMYFUNCTION("IFERROR(TO_DATE(H3719), """")"),"NA")</f>
        <v>NA</v>
      </c>
      <c r="J3719" s="19" t="s">
        <v>10</v>
      </c>
      <c r="K3719" s="22">
        <f t="shared" si="2"/>
        <v>1</v>
      </c>
    </row>
    <row r="3720">
      <c r="A3720" s="18">
        <v>6302.0</v>
      </c>
      <c r="B3720" s="18" t="s">
        <v>30</v>
      </c>
      <c r="C3720" s="18">
        <v>210.0</v>
      </c>
      <c r="D3720" s="18" t="s">
        <v>33</v>
      </c>
      <c r="E3720" s="27">
        <v>42566.7703587963</v>
      </c>
      <c r="F3720" s="19">
        <f>IFERROR(__xludf.DUMMYFUNCTION("IFERROR(TO_DATE(E3720), """")"),42566.7703587963)</f>
        <v>42566.77036</v>
      </c>
      <c r="G3720" s="20">
        <f t="shared" si="1"/>
        <v>18</v>
      </c>
      <c r="H3720" s="18" t="s">
        <v>34</v>
      </c>
      <c r="I3720" s="19" t="str">
        <f>IFERROR(__xludf.DUMMYFUNCTION("IFERROR(TO_DATE(H3720), """")"),"NA")</f>
        <v>NA</v>
      </c>
      <c r="J3720" s="19" t="s">
        <v>12</v>
      </c>
      <c r="K3720" s="22">
        <f t="shared" si="2"/>
        <v>1</v>
      </c>
    </row>
    <row r="3721">
      <c r="A3721" s="18">
        <v>6538.0</v>
      </c>
      <c r="B3721" s="18" t="s">
        <v>30</v>
      </c>
      <c r="C3721" s="18">
        <v>210.0</v>
      </c>
      <c r="D3721" s="18" t="s">
        <v>33</v>
      </c>
      <c r="E3721" s="27">
        <v>42566.871469907404</v>
      </c>
      <c r="F3721" s="19">
        <f>IFERROR(__xludf.DUMMYFUNCTION("IFERROR(TO_DATE(E3721), """")"),42566.871469907404)</f>
        <v>42566.87147</v>
      </c>
      <c r="G3721" s="20">
        <f t="shared" si="1"/>
        <v>20</v>
      </c>
      <c r="H3721" s="18" t="s">
        <v>34</v>
      </c>
      <c r="I3721" s="19" t="str">
        <f>IFERROR(__xludf.DUMMYFUNCTION("IFERROR(TO_DATE(H3721), """")"),"NA")</f>
        <v>NA</v>
      </c>
      <c r="J3721" s="19" t="s">
        <v>13</v>
      </c>
      <c r="K3721" s="22">
        <f t="shared" si="2"/>
        <v>1</v>
      </c>
    </row>
    <row r="3722">
      <c r="A3722" s="18">
        <v>244.0</v>
      </c>
      <c r="B3722" s="18" t="s">
        <v>32</v>
      </c>
      <c r="C3722" s="18">
        <v>211.0</v>
      </c>
      <c r="D3722" s="18" t="s">
        <v>33</v>
      </c>
      <c r="E3722" s="26">
        <v>42562.271527777775</v>
      </c>
      <c r="F3722" s="19">
        <f>IFERROR(__xludf.DUMMYFUNCTION("IFERROR(TO_DATE(E3722), """")"),42562.271527777775)</f>
        <v>42562.27153</v>
      </c>
      <c r="G3722" s="20">
        <f t="shared" si="1"/>
        <v>6</v>
      </c>
      <c r="H3722" s="18" t="s">
        <v>34</v>
      </c>
      <c r="I3722" s="19" t="str">
        <f>IFERROR(__xludf.DUMMYFUNCTION("IFERROR(TO_DATE(H3722), """")"),"NA")</f>
        <v>NA</v>
      </c>
      <c r="J3722" s="19" t="s">
        <v>11</v>
      </c>
      <c r="K3722" s="22">
        <f t="shared" si="2"/>
        <v>1</v>
      </c>
    </row>
    <row r="3723">
      <c r="A3723" s="18">
        <v>1216.0</v>
      </c>
      <c r="B3723" s="18" t="s">
        <v>30</v>
      </c>
      <c r="C3723" s="18">
        <v>211.0</v>
      </c>
      <c r="D3723" s="18" t="s">
        <v>33</v>
      </c>
      <c r="E3723" s="26">
        <v>42562.89722222222</v>
      </c>
      <c r="F3723" s="19">
        <f>IFERROR(__xludf.DUMMYFUNCTION("IFERROR(TO_DATE(E3723), """")"),42562.89722222222)</f>
        <v>42562.89722</v>
      </c>
      <c r="G3723" s="20">
        <f t="shared" si="1"/>
        <v>21</v>
      </c>
      <c r="H3723" s="18" t="s">
        <v>34</v>
      </c>
      <c r="I3723" s="19" t="str">
        <f>IFERROR(__xludf.DUMMYFUNCTION("IFERROR(TO_DATE(H3723), """")"),"NA")</f>
        <v>NA</v>
      </c>
      <c r="J3723" s="19" t="s">
        <v>13</v>
      </c>
      <c r="K3723" s="22">
        <f t="shared" si="2"/>
        <v>1</v>
      </c>
    </row>
    <row r="3724">
      <c r="A3724" s="18">
        <v>4154.0</v>
      </c>
      <c r="B3724" s="18" t="s">
        <v>32</v>
      </c>
      <c r="C3724" s="18">
        <v>211.0</v>
      </c>
      <c r="D3724" s="18" t="s">
        <v>33</v>
      </c>
      <c r="E3724" s="27">
        <v>42565.21319444444</v>
      </c>
      <c r="F3724" s="19">
        <f>IFERROR(__xludf.DUMMYFUNCTION("IFERROR(TO_DATE(E3724), """")"),42565.21319444444)</f>
        <v>42565.21319</v>
      </c>
      <c r="G3724" s="20">
        <f t="shared" si="1"/>
        <v>5</v>
      </c>
      <c r="H3724" s="18" t="s">
        <v>34</v>
      </c>
      <c r="I3724" s="19" t="str">
        <f>IFERROR(__xludf.DUMMYFUNCTION("IFERROR(TO_DATE(H3724), """")"),"NA")</f>
        <v>NA</v>
      </c>
      <c r="J3724" s="19" t="s">
        <v>11</v>
      </c>
      <c r="K3724" s="22">
        <f t="shared" si="2"/>
        <v>1</v>
      </c>
    </row>
    <row r="3725">
      <c r="A3725" s="18">
        <v>393.0</v>
      </c>
      <c r="B3725" s="18" t="s">
        <v>32</v>
      </c>
      <c r="C3725" s="18">
        <v>212.0</v>
      </c>
      <c r="D3725" s="18" t="s">
        <v>33</v>
      </c>
      <c r="E3725" s="26">
        <v>42562.35208333333</v>
      </c>
      <c r="F3725" s="19">
        <f>IFERROR(__xludf.DUMMYFUNCTION("IFERROR(TO_DATE(E3725), """")"),42562.35208333333)</f>
        <v>42562.35208</v>
      </c>
      <c r="G3725" s="20">
        <f t="shared" si="1"/>
        <v>8</v>
      </c>
      <c r="H3725" s="18" t="s">
        <v>34</v>
      </c>
      <c r="I3725" s="19" t="str">
        <f>IFERROR(__xludf.DUMMYFUNCTION("IFERROR(TO_DATE(H3725), """")"),"NA")</f>
        <v>NA</v>
      </c>
      <c r="J3725" s="19" t="s">
        <v>14</v>
      </c>
      <c r="K3725" s="22">
        <f t="shared" si="2"/>
        <v>1</v>
      </c>
    </row>
    <row r="3726">
      <c r="A3726" s="18">
        <v>419.0</v>
      </c>
      <c r="B3726" s="18" t="s">
        <v>32</v>
      </c>
      <c r="C3726" s="18">
        <v>212.0</v>
      </c>
      <c r="D3726" s="18" t="s">
        <v>33</v>
      </c>
      <c r="E3726" s="26">
        <v>42562.3625</v>
      </c>
      <c r="F3726" s="19">
        <f>IFERROR(__xludf.DUMMYFUNCTION("IFERROR(TO_DATE(E3726), """")"),42562.3625)</f>
        <v>42562.3625</v>
      </c>
      <c r="G3726" s="20">
        <f t="shared" si="1"/>
        <v>8</v>
      </c>
      <c r="H3726" s="18" t="s">
        <v>34</v>
      </c>
      <c r="I3726" s="19" t="str">
        <f>IFERROR(__xludf.DUMMYFUNCTION("IFERROR(TO_DATE(H3726), """")"),"NA")</f>
        <v>NA</v>
      </c>
      <c r="J3726" s="19" t="s">
        <v>14</v>
      </c>
      <c r="K3726" s="22">
        <f t="shared" si="2"/>
        <v>1</v>
      </c>
    </row>
    <row r="3727">
      <c r="A3727" s="18">
        <v>4311.0</v>
      </c>
      <c r="B3727" s="18" t="s">
        <v>32</v>
      </c>
      <c r="C3727" s="18">
        <v>212.0</v>
      </c>
      <c r="D3727" s="18" t="s">
        <v>33</v>
      </c>
      <c r="E3727" s="27">
        <v>42565.28668981481</v>
      </c>
      <c r="F3727" s="19">
        <f>IFERROR(__xludf.DUMMYFUNCTION("IFERROR(TO_DATE(E3727), """")"),42565.28668981481)</f>
        <v>42565.28669</v>
      </c>
      <c r="G3727" s="20">
        <f t="shared" si="1"/>
        <v>6</v>
      </c>
      <c r="H3727" s="18" t="s">
        <v>34</v>
      </c>
      <c r="I3727" s="19" t="str">
        <f>IFERROR(__xludf.DUMMYFUNCTION("IFERROR(TO_DATE(H3727), """")"),"NA")</f>
        <v>NA</v>
      </c>
      <c r="J3727" s="19" t="s">
        <v>11</v>
      </c>
      <c r="K3727" s="22">
        <f t="shared" si="2"/>
        <v>1</v>
      </c>
    </row>
    <row r="3728">
      <c r="A3728" s="18">
        <v>4404.0</v>
      </c>
      <c r="B3728" s="18" t="s">
        <v>32</v>
      </c>
      <c r="C3728" s="18">
        <v>212.0</v>
      </c>
      <c r="D3728" s="18" t="s">
        <v>33</v>
      </c>
      <c r="E3728" s="27">
        <v>42565.32986111111</v>
      </c>
      <c r="F3728" s="19">
        <f>IFERROR(__xludf.DUMMYFUNCTION("IFERROR(TO_DATE(E3728), """")"),42565.32986111111)</f>
        <v>42565.32986</v>
      </c>
      <c r="G3728" s="20">
        <f t="shared" si="1"/>
        <v>7</v>
      </c>
      <c r="H3728" s="18" t="s">
        <v>34</v>
      </c>
      <c r="I3728" s="19" t="str">
        <f>IFERROR(__xludf.DUMMYFUNCTION("IFERROR(TO_DATE(H3728), """")"),"NA")</f>
        <v>NA</v>
      </c>
      <c r="J3728" s="19" t="s">
        <v>11</v>
      </c>
      <c r="K3728" s="22">
        <f t="shared" si="2"/>
        <v>1</v>
      </c>
    </row>
    <row r="3729">
      <c r="A3729" s="18">
        <v>5675.0</v>
      </c>
      <c r="B3729" s="18" t="s">
        <v>32</v>
      </c>
      <c r="C3729" s="18">
        <v>212.0</v>
      </c>
      <c r="D3729" s="18" t="s">
        <v>33</v>
      </c>
      <c r="E3729" s="27">
        <v>42566.29789351852</v>
      </c>
      <c r="F3729" s="19">
        <f>IFERROR(__xludf.DUMMYFUNCTION("IFERROR(TO_DATE(E3729), """")"),42566.29789351852)</f>
        <v>42566.29789</v>
      </c>
      <c r="G3729" s="20">
        <f t="shared" si="1"/>
        <v>7</v>
      </c>
      <c r="H3729" s="18" t="s">
        <v>34</v>
      </c>
      <c r="I3729" s="19" t="str">
        <f>IFERROR(__xludf.DUMMYFUNCTION("IFERROR(TO_DATE(H3729), """")"),"NA")</f>
        <v>NA</v>
      </c>
      <c r="J3729" s="19" t="s">
        <v>11</v>
      </c>
      <c r="K3729" s="22">
        <f t="shared" si="2"/>
        <v>1</v>
      </c>
    </row>
    <row r="3730">
      <c r="A3730" s="18">
        <v>193.0</v>
      </c>
      <c r="B3730" s="18" t="s">
        <v>32</v>
      </c>
      <c r="C3730" s="18">
        <v>213.0</v>
      </c>
      <c r="D3730" s="18" t="s">
        <v>33</v>
      </c>
      <c r="E3730" s="26">
        <v>42562.248611111114</v>
      </c>
      <c r="F3730" s="19">
        <f>IFERROR(__xludf.DUMMYFUNCTION("IFERROR(TO_DATE(E3730), """")"),42562.248611111114)</f>
        <v>42562.24861</v>
      </c>
      <c r="G3730" s="20">
        <f t="shared" si="1"/>
        <v>5</v>
      </c>
      <c r="H3730" s="18" t="s">
        <v>34</v>
      </c>
      <c r="I3730" s="19" t="str">
        <f>IFERROR(__xludf.DUMMYFUNCTION("IFERROR(TO_DATE(H3730), """")"),"NA")</f>
        <v>NA</v>
      </c>
      <c r="J3730" s="19" t="s">
        <v>11</v>
      </c>
      <c r="K3730" s="22">
        <f t="shared" si="2"/>
        <v>1</v>
      </c>
    </row>
    <row r="3731">
      <c r="A3731" s="18">
        <v>1825.0</v>
      </c>
      <c r="B3731" s="18" t="s">
        <v>32</v>
      </c>
      <c r="C3731" s="18">
        <v>213.0</v>
      </c>
      <c r="D3731" s="18" t="s">
        <v>33</v>
      </c>
      <c r="E3731" s="26">
        <v>42563.399305555555</v>
      </c>
      <c r="F3731" s="19">
        <f>IFERROR(__xludf.DUMMYFUNCTION("IFERROR(TO_DATE(E3731), """")"),42563.399305555555)</f>
        <v>42563.39931</v>
      </c>
      <c r="G3731" s="20">
        <f t="shared" si="1"/>
        <v>9</v>
      </c>
      <c r="H3731" s="18" t="s">
        <v>34</v>
      </c>
      <c r="I3731" s="19" t="str">
        <f>IFERROR(__xludf.DUMMYFUNCTION("IFERROR(TO_DATE(H3731), """")"),"NA")</f>
        <v>NA</v>
      </c>
      <c r="J3731" s="19" t="s">
        <v>14</v>
      </c>
      <c r="K3731" s="22">
        <f t="shared" si="2"/>
        <v>1</v>
      </c>
    </row>
    <row r="3732">
      <c r="A3732" s="18">
        <v>3111.0</v>
      </c>
      <c r="B3732" s="18" t="s">
        <v>32</v>
      </c>
      <c r="C3732" s="18">
        <v>213.0</v>
      </c>
      <c r="D3732" s="18" t="s">
        <v>33</v>
      </c>
      <c r="E3732" s="27">
        <v>42564.35533564815</v>
      </c>
      <c r="F3732" s="19">
        <f>IFERROR(__xludf.DUMMYFUNCTION("IFERROR(TO_DATE(E3732), """")"),42564.35533564815)</f>
        <v>42564.35534</v>
      </c>
      <c r="G3732" s="20">
        <f t="shared" si="1"/>
        <v>8</v>
      </c>
      <c r="H3732" s="18" t="s">
        <v>34</v>
      </c>
      <c r="I3732" s="19" t="str">
        <f>IFERROR(__xludf.DUMMYFUNCTION("IFERROR(TO_DATE(H3732), """")"),"NA")</f>
        <v>NA</v>
      </c>
      <c r="J3732" s="19" t="s">
        <v>14</v>
      </c>
      <c r="K3732" s="22">
        <f t="shared" si="2"/>
        <v>1</v>
      </c>
    </row>
    <row r="3733">
      <c r="A3733" s="18">
        <v>4160.0</v>
      </c>
      <c r="B3733" s="18" t="s">
        <v>32</v>
      </c>
      <c r="C3733" s="18">
        <v>213.0</v>
      </c>
      <c r="D3733" s="18" t="s">
        <v>33</v>
      </c>
      <c r="E3733" s="27">
        <v>42565.21194444445</v>
      </c>
      <c r="F3733" s="19">
        <f>IFERROR(__xludf.DUMMYFUNCTION("IFERROR(TO_DATE(E3733), """")"),42565.21194444445)</f>
        <v>42565.21194</v>
      </c>
      <c r="G3733" s="20">
        <f t="shared" si="1"/>
        <v>5</v>
      </c>
      <c r="H3733" s="18" t="s">
        <v>34</v>
      </c>
      <c r="I3733" s="19" t="str">
        <f>IFERROR(__xludf.DUMMYFUNCTION("IFERROR(TO_DATE(H3733), """")"),"NA")</f>
        <v>NA</v>
      </c>
      <c r="J3733" s="19" t="s">
        <v>11</v>
      </c>
      <c r="K3733" s="22">
        <f t="shared" si="2"/>
        <v>1</v>
      </c>
    </row>
    <row r="3734">
      <c r="A3734" s="18">
        <v>2846.0</v>
      </c>
      <c r="B3734" s="18" t="s">
        <v>32</v>
      </c>
      <c r="C3734" s="18">
        <v>214.0</v>
      </c>
      <c r="D3734" s="18" t="s">
        <v>33</v>
      </c>
      <c r="E3734" s="27">
        <v>42564.22519675926</v>
      </c>
      <c r="F3734" s="19">
        <f>IFERROR(__xludf.DUMMYFUNCTION("IFERROR(TO_DATE(E3734), """")"),42564.22519675926)</f>
        <v>42564.2252</v>
      </c>
      <c r="G3734" s="20">
        <f t="shared" si="1"/>
        <v>5</v>
      </c>
      <c r="H3734" s="18" t="s">
        <v>34</v>
      </c>
      <c r="I3734" s="19" t="str">
        <f>IFERROR(__xludf.DUMMYFUNCTION("IFERROR(TO_DATE(H3734), """")"),"NA")</f>
        <v>NA</v>
      </c>
      <c r="J3734" s="19" t="s">
        <v>11</v>
      </c>
      <c r="K3734" s="22">
        <f t="shared" si="2"/>
        <v>1</v>
      </c>
    </row>
    <row r="3735">
      <c r="A3735" s="18">
        <v>3163.0</v>
      </c>
      <c r="B3735" s="18" t="s">
        <v>32</v>
      </c>
      <c r="C3735" s="18">
        <v>214.0</v>
      </c>
      <c r="D3735" s="18" t="s">
        <v>33</v>
      </c>
      <c r="E3735" s="27">
        <v>42564.3778125</v>
      </c>
      <c r="F3735" s="19">
        <f>IFERROR(__xludf.DUMMYFUNCTION("IFERROR(TO_DATE(E3735), """")"),42564.3778125)</f>
        <v>42564.37781</v>
      </c>
      <c r="G3735" s="20">
        <f t="shared" si="1"/>
        <v>9</v>
      </c>
      <c r="H3735" s="18" t="s">
        <v>34</v>
      </c>
      <c r="I3735" s="19" t="str">
        <f>IFERROR(__xludf.DUMMYFUNCTION("IFERROR(TO_DATE(H3735), """")"),"NA")</f>
        <v>NA</v>
      </c>
      <c r="J3735" s="19" t="s">
        <v>14</v>
      </c>
      <c r="K3735" s="22">
        <f t="shared" si="2"/>
        <v>1</v>
      </c>
    </row>
    <row r="3736">
      <c r="A3736" s="18">
        <v>3446.0</v>
      </c>
      <c r="B3736" s="18" t="s">
        <v>32</v>
      </c>
      <c r="C3736" s="18">
        <v>214.0</v>
      </c>
      <c r="D3736" s="18" t="s">
        <v>33</v>
      </c>
      <c r="E3736" s="27">
        <v>42564.69416666667</v>
      </c>
      <c r="F3736" s="19">
        <f>IFERROR(__xludf.DUMMYFUNCTION("IFERROR(TO_DATE(E3736), """")"),42564.69416666667)</f>
        <v>42564.69417</v>
      </c>
      <c r="G3736" s="20">
        <f t="shared" si="1"/>
        <v>16</v>
      </c>
      <c r="H3736" s="18" t="s">
        <v>34</v>
      </c>
      <c r="I3736" s="19" t="str">
        <f>IFERROR(__xludf.DUMMYFUNCTION("IFERROR(TO_DATE(H3736), """")"),"NA")</f>
        <v>NA</v>
      </c>
      <c r="J3736" s="19" t="s">
        <v>12</v>
      </c>
      <c r="K3736" s="22">
        <f t="shared" si="2"/>
        <v>1</v>
      </c>
    </row>
    <row r="3737">
      <c r="A3737" s="18">
        <v>4543.0</v>
      </c>
      <c r="B3737" s="18" t="s">
        <v>32</v>
      </c>
      <c r="C3737" s="18">
        <v>214.0</v>
      </c>
      <c r="D3737" s="18" t="s">
        <v>33</v>
      </c>
      <c r="E3737" s="27">
        <v>42565.40042824074</v>
      </c>
      <c r="F3737" s="19">
        <f>IFERROR(__xludf.DUMMYFUNCTION("IFERROR(TO_DATE(E3737), """")"),42565.40042824074)</f>
        <v>42565.40043</v>
      </c>
      <c r="G3737" s="20">
        <f t="shared" si="1"/>
        <v>9</v>
      </c>
      <c r="H3737" s="18" t="s">
        <v>34</v>
      </c>
      <c r="I3737" s="19" t="str">
        <f>IFERROR(__xludf.DUMMYFUNCTION("IFERROR(TO_DATE(H3737), """")"),"NA")</f>
        <v>NA</v>
      </c>
      <c r="J3737" s="19" t="s">
        <v>14</v>
      </c>
      <c r="K3737" s="22">
        <f t="shared" si="2"/>
        <v>1</v>
      </c>
    </row>
    <row r="3738">
      <c r="A3738" s="18">
        <v>4800.0</v>
      </c>
      <c r="B3738" s="18" t="s">
        <v>30</v>
      </c>
      <c r="C3738" s="18">
        <v>214.0</v>
      </c>
      <c r="D3738" s="18" t="s">
        <v>33</v>
      </c>
      <c r="E3738" s="27">
        <v>42565.70789351852</v>
      </c>
      <c r="F3738" s="19">
        <f>IFERROR(__xludf.DUMMYFUNCTION("IFERROR(TO_DATE(E3738), """")"),42565.70789351852)</f>
        <v>42565.70789</v>
      </c>
      <c r="G3738" s="20">
        <f t="shared" si="1"/>
        <v>16</v>
      </c>
      <c r="H3738" s="18" t="s">
        <v>34</v>
      </c>
      <c r="I3738" s="19" t="str">
        <f>IFERROR(__xludf.DUMMYFUNCTION("IFERROR(TO_DATE(H3738), """")"),"NA")</f>
        <v>NA</v>
      </c>
      <c r="J3738" s="19" t="s">
        <v>12</v>
      </c>
      <c r="K3738" s="22">
        <f t="shared" si="2"/>
        <v>1</v>
      </c>
    </row>
    <row r="3739">
      <c r="A3739" s="18">
        <v>107.0</v>
      </c>
      <c r="B3739" s="18" t="s">
        <v>32</v>
      </c>
      <c r="C3739" s="18">
        <v>215.0</v>
      </c>
      <c r="D3739" s="18" t="s">
        <v>33</v>
      </c>
      <c r="E3739" s="26">
        <v>42562.20972222222</v>
      </c>
      <c r="F3739" s="19">
        <f>IFERROR(__xludf.DUMMYFUNCTION("IFERROR(TO_DATE(E3739), """")"),42562.20972222222)</f>
        <v>42562.20972</v>
      </c>
      <c r="G3739" s="20">
        <f t="shared" si="1"/>
        <v>5</v>
      </c>
      <c r="H3739" s="18" t="s">
        <v>34</v>
      </c>
      <c r="I3739" s="19" t="str">
        <f>IFERROR(__xludf.DUMMYFUNCTION("IFERROR(TO_DATE(H3739), """")"),"NA")</f>
        <v>NA</v>
      </c>
      <c r="J3739" s="19" t="s">
        <v>11</v>
      </c>
      <c r="K3739" s="22">
        <f t="shared" si="2"/>
        <v>1</v>
      </c>
    </row>
    <row r="3740">
      <c r="A3740" s="18">
        <v>1594.0</v>
      </c>
      <c r="B3740" s="18" t="s">
        <v>32</v>
      </c>
      <c r="C3740" s="18">
        <v>215.0</v>
      </c>
      <c r="D3740" s="18" t="s">
        <v>33</v>
      </c>
      <c r="E3740" s="26">
        <v>42563.27847222222</v>
      </c>
      <c r="F3740" s="19">
        <f>IFERROR(__xludf.DUMMYFUNCTION("IFERROR(TO_DATE(E3740), """")"),42563.27847222222)</f>
        <v>42563.27847</v>
      </c>
      <c r="G3740" s="20">
        <f t="shared" si="1"/>
        <v>6</v>
      </c>
      <c r="H3740" s="18" t="s">
        <v>34</v>
      </c>
      <c r="I3740" s="19" t="str">
        <f>IFERROR(__xludf.DUMMYFUNCTION("IFERROR(TO_DATE(H3740), """")"),"NA")</f>
        <v>NA</v>
      </c>
      <c r="J3740" s="19" t="s">
        <v>11</v>
      </c>
      <c r="K3740" s="22">
        <f t="shared" si="2"/>
        <v>1</v>
      </c>
    </row>
    <row r="3741">
      <c r="A3741" s="18">
        <v>1791.0</v>
      </c>
      <c r="B3741" s="18" t="s">
        <v>32</v>
      </c>
      <c r="C3741" s="18">
        <v>215.0</v>
      </c>
      <c r="D3741" s="18" t="s">
        <v>33</v>
      </c>
      <c r="E3741" s="26">
        <v>42563.38055555556</v>
      </c>
      <c r="F3741" s="19">
        <f>IFERROR(__xludf.DUMMYFUNCTION("IFERROR(TO_DATE(E3741), """")"),42563.38055555556)</f>
        <v>42563.38056</v>
      </c>
      <c r="G3741" s="20">
        <f t="shared" si="1"/>
        <v>9</v>
      </c>
      <c r="H3741" s="18" t="s">
        <v>34</v>
      </c>
      <c r="I3741" s="19" t="str">
        <f>IFERROR(__xludf.DUMMYFUNCTION("IFERROR(TO_DATE(H3741), """")"),"NA")</f>
        <v>NA</v>
      </c>
      <c r="J3741" s="19" t="s">
        <v>14</v>
      </c>
      <c r="K3741" s="22">
        <f t="shared" si="2"/>
        <v>1</v>
      </c>
    </row>
    <row r="3742">
      <c r="A3742" s="18">
        <v>6050.0</v>
      </c>
      <c r="B3742" s="18" t="s">
        <v>32</v>
      </c>
      <c r="C3742" s="18">
        <v>215.0</v>
      </c>
      <c r="D3742" s="18" t="s">
        <v>33</v>
      </c>
      <c r="E3742" s="27">
        <v>42566.56600694444</v>
      </c>
      <c r="F3742" s="19">
        <f>IFERROR(__xludf.DUMMYFUNCTION("IFERROR(TO_DATE(E3742), """")"),42566.56600694444)</f>
        <v>42566.56601</v>
      </c>
      <c r="G3742" s="20">
        <f t="shared" si="1"/>
        <v>13</v>
      </c>
      <c r="H3742" s="18" t="s">
        <v>34</v>
      </c>
      <c r="I3742" s="19" t="str">
        <f>IFERROR(__xludf.DUMMYFUNCTION("IFERROR(TO_DATE(H3742), """")"),"NA")</f>
        <v>NA</v>
      </c>
      <c r="J3742" s="19" t="s">
        <v>10</v>
      </c>
      <c r="K3742" s="22">
        <f t="shared" si="2"/>
        <v>1</v>
      </c>
    </row>
    <row r="3743">
      <c r="A3743" s="18">
        <v>409.0</v>
      </c>
      <c r="B3743" s="18" t="s">
        <v>32</v>
      </c>
      <c r="C3743" s="18">
        <v>216.0</v>
      </c>
      <c r="D3743" s="18" t="s">
        <v>33</v>
      </c>
      <c r="E3743" s="26">
        <v>42562.356944444444</v>
      </c>
      <c r="F3743" s="19">
        <f>IFERROR(__xludf.DUMMYFUNCTION("IFERROR(TO_DATE(E3743), """")"),42562.356944444444)</f>
        <v>42562.35694</v>
      </c>
      <c r="G3743" s="20">
        <f t="shared" si="1"/>
        <v>8</v>
      </c>
      <c r="H3743" s="18" t="s">
        <v>34</v>
      </c>
      <c r="I3743" s="19" t="str">
        <f>IFERROR(__xludf.DUMMYFUNCTION("IFERROR(TO_DATE(H3743), """")"),"NA")</f>
        <v>NA</v>
      </c>
      <c r="J3743" s="19" t="s">
        <v>14</v>
      </c>
      <c r="K3743" s="22">
        <f t="shared" si="2"/>
        <v>1</v>
      </c>
    </row>
    <row r="3744">
      <c r="A3744" s="18">
        <v>3137.0</v>
      </c>
      <c r="B3744" s="18" t="s">
        <v>32</v>
      </c>
      <c r="C3744" s="18">
        <v>216.0</v>
      </c>
      <c r="D3744" s="18" t="s">
        <v>33</v>
      </c>
      <c r="E3744" s="27">
        <v>42564.369791666664</v>
      </c>
      <c r="F3744" s="19">
        <f>IFERROR(__xludf.DUMMYFUNCTION("IFERROR(TO_DATE(E3744), """")"),42564.369791666664)</f>
        <v>42564.36979</v>
      </c>
      <c r="G3744" s="20">
        <f t="shared" si="1"/>
        <v>8</v>
      </c>
      <c r="H3744" s="18" t="s">
        <v>34</v>
      </c>
      <c r="I3744" s="19" t="str">
        <f>IFERROR(__xludf.DUMMYFUNCTION("IFERROR(TO_DATE(H3744), """")"),"NA")</f>
        <v>NA</v>
      </c>
      <c r="J3744" s="19" t="s">
        <v>14</v>
      </c>
      <c r="K3744" s="22">
        <f t="shared" si="2"/>
        <v>1</v>
      </c>
    </row>
    <row r="3745">
      <c r="A3745" s="18">
        <v>4532.0</v>
      </c>
      <c r="B3745" s="18" t="s">
        <v>32</v>
      </c>
      <c r="C3745" s="18">
        <v>216.0</v>
      </c>
      <c r="D3745" s="18" t="s">
        <v>33</v>
      </c>
      <c r="E3745" s="27">
        <v>42565.39974537037</v>
      </c>
      <c r="F3745" s="19">
        <f>IFERROR(__xludf.DUMMYFUNCTION("IFERROR(TO_DATE(E3745), """")"),42565.39974537037)</f>
        <v>42565.39975</v>
      </c>
      <c r="G3745" s="20">
        <f t="shared" si="1"/>
        <v>9</v>
      </c>
      <c r="H3745" s="18" t="s">
        <v>34</v>
      </c>
      <c r="I3745" s="19" t="str">
        <f>IFERROR(__xludf.DUMMYFUNCTION("IFERROR(TO_DATE(H3745), """")"),"NA")</f>
        <v>NA</v>
      </c>
      <c r="J3745" s="19" t="s">
        <v>14</v>
      </c>
      <c r="K3745" s="22">
        <f t="shared" si="2"/>
        <v>1</v>
      </c>
    </row>
    <row r="3746">
      <c r="A3746" s="18">
        <v>5914.0</v>
      </c>
      <c r="B3746" s="18" t="s">
        <v>32</v>
      </c>
      <c r="C3746" s="18">
        <v>216.0</v>
      </c>
      <c r="D3746" s="18" t="s">
        <v>33</v>
      </c>
      <c r="E3746" s="27">
        <v>42566.41570601852</v>
      </c>
      <c r="F3746" s="19">
        <f>IFERROR(__xludf.DUMMYFUNCTION("IFERROR(TO_DATE(E3746), """")"),42566.41570601852)</f>
        <v>42566.41571</v>
      </c>
      <c r="G3746" s="20">
        <f t="shared" si="1"/>
        <v>9</v>
      </c>
      <c r="H3746" s="18" t="s">
        <v>34</v>
      </c>
      <c r="I3746" s="19" t="str">
        <f>IFERROR(__xludf.DUMMYFUNCTION("IFERROR(TO_DATE(H3746), """")"),"NA")</f>
        <v>NA</v>
      </c>
      <c r="J3746" s="19" t="s">
        <v>14</v>
      </c>
      <c r="K3746" s="22">
        <f t="shared" si="2"/>
        <v>1</v>
      </c>
    </row>
    <row r="3747">
      <c r="A3747" s="18">
        <v>5618.0</v>
      </c>
      <c r="B3747" s="18" t="s">
        <v>32</v>
      </c>
      <c r="C3747" s="18">
        <v>217.0</v>
      </c>
      <c r="D3747" s="18" t="s">
        <v>33</v>
      </c>
      <c r="E3747" s="27">
        <v>42566.26783564815</v>
      </c>
      <c r="F3747" s="19">
        <f>IFERROR(__xludf.DUMMYFUNCTION("IFERROR(TO_DATE(E3747), """")"),42566.26783564815)</f>
        <v>42566.26784</v>
      </c>
      <c r="G3747" s="20">
        <f t="shared" si="1"/>
        <v>6</v>
      </c>
      <c r="H3747" s="18" t="s">
        <v>34</v>
      </c>
      <c r="I3747" s="19" t="str">
        <f>IFERROR(__xludf.DUMMYFUNCTION("IFERROR(TO_DATE(H3747), """")"),"NA")</f>
        <v>NA</v>
      </c>
      <c r="J3747" s="19" t="s">
        <v>11</v>
      </c>
      <c r="K3747" s="22">
        <f t="shared" si="2"/>
        <v>1</v>
      </c>
    </row>
    <row r="3748">
      <c r="A3748" s="18">
        <v>5688.0</v>
      </c>
      <c r="B3748" s="18" t="s">
        <v>32</v>
      </c>
      <c r="C3748" s="18">
        <v>217.0</v>
      </c>
      <c r="D3748" s="18" t="s">
        <v>33</v>
      </c>
      <c r="E3748" s="27">
        <v>42566.30846064815</v>
      </c>
      <c r="F3748" s="19">
        <f>IFERROR(__xludf.DUMMYFUNCTION("IFERROR(TO_DATE(E3748), """")"),42566.30846064815)</f>
        <v>42566.30846</v>
      </c>
      <c r="G3748" s="20">
        <f t="shared" si="1"/>
        <v>7</v>
      </c>
      <c r="H3748" s="18" t="s">
        <v>34</v>
      </c>
      <c r="I3748" s="19" t="str">
        <f>IFERROR(__xludf.DUMMYFUNCTION("IFERROR(TO_DATE(H3748), """")"),"NA")</f>
        <v>NA</v>
      </c>
      <c r="J3748" s="19" t="s">
        <v>11</v>
      </c>
      <c r="K3748" s="22">
        <f t="shared" si="2"/>
        <v>1</v>
      </c>
    </row>
    <row r="3749">
      <c r="A3749" s="18">
        <v>6419.0</v>
      </c>
      <c r="B3749" s="18" t="s">
        <v>32</v>
      </c>
      <c r="C3749" s="18">
        <v>217.0</v>
      </c>
      <c r="D3749" s="18" t="s">
        <v>33</v>
      </c>
      <c r="E3749" s="27">
        <v>42566.82475694444</v>
      </c>
      <c r="F3749" s="19">
        <f>IFERROR(__xludf.DUMMYFUNCTION("IFERROR(TO_DATE(E3749), """")"),42566.82475694444)</f>
        <v>42566.82476</v>
      </c>
      <c r="G3749" s="20">
        <f t="shared" si="1"/>
        <v>19</v>
      </c>
      <c r="H3749" s="18" t="s">
        <v>34</v>
      </c>
      <c r="I3749" s="19" t="str">
        <f>IFERROR(__xludf.DUMMYFUNCTION("IFERROR(TO_DATE(H3749), """")"),"NA")</f>
        <v>NA</v>
      </c>
      <c r="J3749" s="19" t="s">
        <v>12</v>
      </c>
      <c r="K3749" s="22">
        <f t="shared" si="2"/>
        <v>1</v>
      </c>
    </row>
    <row r="3750">
      <c r="A3750" s="18">
        <v>711.0</v>
      </c>
      <c r="B3750" s="18" t="s">
        <v>32</v>
      </c>
      <c r="C3750" s="18">
        <v>218.0</v>
      </c>
      <c r="D3750" s="18" t="s">
        <v>33</v>
      </c>
      <c r="E3750" s="26">
        <v>42562.59861111111</v>
      </c>
      <c r="F3750" s="19">
        <f>IFERROR(__xludf.DUMMYFUNCTION("IFERROR(TO_DATE(E3750), """")"),42562.59861111111)</f>
        <v>42562.59861</v>
      </c>
      <c r="G3750" s="20">
        <f t="shared" si="1"/>
        <v>14</v>
      </c>
      <c r="H3750" s="18" t="s">
        <v>34</v>
      </c>
      <c r="I3750" s="19" t="str">
        <f>IFERROR(__xludf.DUMMYFUNCTION("IFERROR(TO_DATE(H3750), """")"),"NA")</f>
        <v>NA</v>
      </c>
      <c r="J3750" s="19" t="s">
        <v>10</v>
      </c>
      <c r="K3750" s="22">
        <f t="shared" si="2"/>
        <v>1</v>
      </c>
    </row>
    <row r="3751">
      <c r="A3751" s="18">
        <v>4415.0</v>
      </c>
      <c r="B3751" s="18" t="s">
        <v>32</v>
      </c>
      <c r="C3751" s="18">
        <v>218.0</v>
      </c>
      <c r="D3751" s="18" t="s">
        <v>33</v>
      </c>
      <c r="E3751" s="27">
        <v>42565.34138888889</v>
      </c>
      <c r="F3751" s="19">
        <f>IFERROR(__xludf.DUMMYFUNCTION("IFERROR(TO_DATE(E3751), """")"),42565.34138888889)</f>
        <v>42565.34139</v>
      </c>
      <c r="G3751" s="20">
        <f t="shared" si="1"/>
        <v>8</v>
      </c>
      <c r="H3751" s="18" t="s">
        <v>34</v>
      </c>
      <c r="I3751" s="19" t="str">
        <f>IFERROR(__xludf.DUMMYFUNCTION("IFERROR(TO_DATE(H3751), """")"),"NA")</f>
        <v>NA</v>
      </c>
      <c r="J3751" s="19" t="s">
        <v>14</v>
      </c>
      <c r="K3751" s="22">
        <f t="shared" si="2"/>
        <v>1</v>
      </c>
    </row>
    <row r="3752">
      <c r="A3752" s="18">
        <v>4544.0</v>
      </c>
      <c r="B3752" s="18" t="s">
        <v>32</v>
      </c>
      <c r="C3752" s="18">
        <v>218.0</v>
      </c>
      <c r="D3752" s="18" t="s">
        <v>33</v>
      </c>
      <c r="E3752" s="27">
        <v>42565.39824074074</v>
      </c>
      <c r="F3752" s="19">
        <f>IFERROR(__xludf.DUMMYFUNCTION("IFERROR(TO_DATE(E3752), """")"),42565.39824074074)</f>
        <v>42565.39824</v>
      </c>
      <c r="G3752" s="20">
        <f t="shared" si="1"/>
        <v>9</v>
      </c>
      <c r="H3752" s="18" t="s">
        <v>34</v>
      </c>
      <c r="I3752" s="19" t="str">
        <f>IFERROR(__xludf.DUMMYFUNCTION("IFERROR(TO_DATE(H3752), """")"),"NA")</f>
        <v>NA</v>
      </c>
      <c r="J3752" s="19" t="s">
        <v>14</v>
      </c>
      <c r="K3752" s="22">
        <f t="shared" si="2"/>
        <v>1</v>
      </c>
    </row>
    <row r="3753">
      <c r="A3753" s="18">
        <v>3173.0</v>
      </c>
      <c r="B3753" s="18" t="s">
        <v>32</v>
      </c>
      <c r="C3753" s="18">
        <v>219.0</v>
      </c>
      <c r="D3753" s="18" t="s">
        <v>33</v>
      </c>
      <c r="E3753" s="27">
        <v>42564.38355324074</v>
      </c>
      <c r="F3753" s="19">
        <f>IFERROR(__xludf.DUMMYFUNCTION("IFERROR(TO_DATE(E3753), """")"),42564.38355324074)</f>
        <v>42564.38355</v>
      </c>
      <c r="G3753" s="20">
        <f t="shared" si="1"/>
        <v>9</v>
      </c>
      <c r="H3753" s="18" t="s">
        <v>34</v>
      </c>
      <c r="I3753" s="19" t="str">
        <f>IFERROR(__xludf.DUMMYFUNCTION("IFERROR(TO_DATE(H3753), """")"),"NA")</f>
        <v>NA</v>
      </c>
      <c r="J3753" s="19" t="s">
        <v>14</v>
      </c>
      <c r="K3753" s="22">
        <f t="shared" si="2"/>
        <v>1</v>
      </c>
    </row>
    <row r="3754">
      <c r="A3754" s="18">
        <v>6262.0</v>
      </c>
      <c r="B3754" s="18" t="s">
        <v>30</v>
      </c>
      <c r="C3754" s="18">
        <v>219.0</v>
      </c>
      <c r="D3754" s="18" t="s">
        <v>33</v>
      </c>
      <c r="E3754" s="27">
        <v>42566.753900462965</v>
      </c>
      <c r="F3754" s="19">
        <f>IFERROR(__xludf.DUMMYFUNCTION("IFERROR(TO_DATE(E3754), """")"),42566.753900462965)</f>
        <v>42566.7539</v>
      </c>
      <c r="G3754" s="20">
        <f t="shared" si="1"/>
        <v>18</v>
      </c>
      <c r="H3754" s="18" t="s">
        <v>34</v>
      </c>
      <c r="I3754" s="19" t="str">
        <f>IFERROR(__xludf.DUMMYFUNCTION("IFERROR(TO_DATE(H3754), """")"),"NA")</f>
        <v>NA</v>
      </c>
      <c r="J3754" s="19" t="s">
        <v>12</v>
      </c>
      <c r="K3754" s="22">
        <f t="shared" si="2"/>
        <v>1</v>
      </c>
    </row>
    <row r="3755">
      <c r="A3755" s="18">
        <v>262.0</v>
      </c>
      <c r="B3755" s="18" t="s">
        <v>32</v>
      </c>
      <c r="C3755" s="18">
        <v>220.0</v>
      </c>
      <c r="D3755" s="18" t="s">
        <v>33</v>
      </c>
      <c r="E3755" s="26">
        <v>42562.27847222222</v>
      </c>
      <c r="F3755" s="19">
        <f>IFERROR(__xludf.DUMMYFUNCTION("IFERROR(TO_DATE(E3755), """")"),42562.27847222222)</f>
        <v>42562.27847</v>
      </c>
      <c r="G3755" s="20">
        <f t="shared" si="1"/>
        <v>6</v>
      </c>
      <c r="H3755" s="18" t="s">
        <v>34</v>
      </c>
      <c r="I3755" s="19" t="str">
        <f>IFERROR(__xludf.DUMMYFUNCTION("IFERROR(TO_DATE(H3755), """")"),"NA")</f>
        <v>NA</v>
      </c>
      <c r="J3755" s="19" t="s">
        <v>11</v>
      </c>
      <c r="K3755" s="22">
        <f t="shared" si="2"/>
        <v>1</v>
      </c>
    </row>
    <row r="3756">
      <c r="A3756" s="18">
        <v>529.0</v>
      </c>
      <c r="B3756" s="18" t="s">
        <v>32</v>
      </c>
      <c r="C3756" s="18">
        <v>220.0</v>
      </c>
      <c r="D3756" s="18" t="s">
        <v>33</v>
      </c>
      <c r="E3756" s="26">
        <v>42562.4125</v>
      </c>
      <c r="F3756" s="19">
        <f>IFERROR(__xludf.DUMMYFUNCTION("IFERROR(TO_DATE(E3756), """")"),42562.4125)</f>
        <v>42562.4125</v>
      </c>
      <c r="G3756" s="20">
        <f t="shared" si="1"/>
        <v>9</v>
      </c>
      <c r="H3756" s="18" t="s">
        <v>34</v>
      </c>
      <c r="I3756" s="19" t="str">
        <f>IFERROR(__xludf.DUMMYFUNCTION("IFERROR(TO_DATE(H3756), """")"),"NA")</f>
        <v>NA</v>
      </c>
      <c r="J3756" s="19" t="s">
        <v>14</v>
      </c>
      <c r="K3756" s="22">
        <f t="shared" si="2"/>
        <v>1</v>
      </c>
    </row>
    <row r="3757">
      <c r="A3757" s="18">
        <v>1537.0</v>
      </c>
      <c r="B3757" s="18" t="s">
        <v>32</v>
      </c>
      <c r="C3757" s="18">
        <v>220.0</v>
      </c>
      <c r="D3757" s="18" t="s">
        <v>33</v>
      </c>
      <c r="E3757" s="26">
        <v>42563.24652777778</v>
      </c>
      <c r="F3757" s="19">
        <f>IFERROR(__xludf.DUMMYFUNCTION("IFERROR(TO_DATE(E3757), """")"),42563.24652777778)</f>
        <v>42563.24653</v>
      </c>
      <c r="G3757" s="20">
        <f t="shared" si="1"/>
        <v>5</v>
      </c>
      <c r="H3757" s="18" t="s">
        <v>34</v>
      </c>
      <c r="I3757" s="19" t="str">
        <f>IFERROR(__xludf.DUMMYFUNCTION("IFERROR(TO_DATE(H3757), """")"),"NA")</f>
        <v>NA</v>
      </c>
      <c r="J3757" s="19" t="s">
        <v>11</v>
      </c>
      <c r="K3757" s="22">
        <f t="shared" si="2"/>
        <v>1</v>
      </c>
    </row>
    <row r="3758">
      <c r="A3758" s="18">
        <v>1788.0</v>
      </c>
      <c r="B3758" s="18" t="s">
        <v>32</v>
      </c>
      <c r="C3758" s="18">
        <v>220.0</v>
      </c>
      <c r="D3758" s="18" t="s">
        <v>33</v>
      </c>
      <c r="E3758" s="26">
        <v>42563.38055555556</v>
      </c>
      <c r="F3758" s="19">
        <f>IFERROR(__xludf.DUMMYFUNCTION("IFERROR(TO_DATE(E3758), """")"),42563.38055555556)</f>
        <v>42563.38056</v>
      </c>
      <c r="G3758" s="20">
        <f t="shared" si="1"/>
        <v>9</v>
      </c>
      <c r="H3758" s="18" t="s">
        <v>34</v>
      </c>
      <c r="I3758" s="19" t="str">
        <f>IFERROR(__xludf.DUMMYFUNCTION("IFERROR(TO_DATE(H3758), """")"),"NA")</f>
        <v>NA</v>
      </c>
      <c r="J3758" s="19" t="s">
        <v>14</v>
      </c>
      <c r="K3758" s="22">
        <f t="shared" si="2"/>
        <v>1</v>
      </c>
    </row>
    <row r="3759">
      <c r="A3759" s="18">
        <v>5816.0</v>
      </c>
      <c r="B3759" s="18" t="s">
        <v>32</v>
      </c>
      <c r="C3759" s="18">
        <v>220.0</v>
      </c>
      <c r="D3759" s="18" t="s">
        <v>33</v>
      </c>
      <c r="E3759" s="27">
        <v>42566.36456018518</v>
      </c>
      <c r="F3759" s="19">
        <f>IFERROR(__xludf.DUMMYFUNCTION("IFERROR(TO_DATE(E3759), """")"),42566.36456018518)</f>
        <v>42566.36456</v>
      </c>
      <c r="G3759" s="20">
        <f t="shared" si="1"/>
        <v>8</v>
      </c>
      <c r="H3759" s="18" t="s">
        <v>34</v>
      </c>
      <c r="I3759" s="19" t="str">
        <f>IFERROR(__xludf.DUMMYFUNCTION("IFERROR(TO_DATE(H3759), """")"),"NA")</f>
        <v>NA</v>
      </c>
      <c r="J3759" s="19" t="s">
        <v>14</v>
      </c>
      <c r="K3759" s="22">
        <f t="shared" si="2"/>
        <v>1</v>
      </c>
    </row>
    <row r="3760">
      <c r="A3760" s="18">
        <v>3260.0</v>
      </c>
      <c r="B3760" s="18" t="s">
        <v>32</v>
      </c>
      <c r="C3760" s="18">
        <v>221.0</v>
      </c>
      <c r="D3760" s="18" t="s">
        <v>33</v>
      </c>
      <c r="E3760" s="27">
        <v>42564.425983796296</v>
      </c>
      <c r="F3760" s="19">
        <f>IFERROR(__xludf.DUMMYFUNCTION("IFERROR(TO_DATE(E3760), """")"),42564.425983796296)</f>
        <v>42564.42598</v>
      </c>
      <c r="G3760" s="20">
        <f t="shared" si="1"/>
        <v>10</v>
      </c>
      <c r="H3760" s="18" t="s">
        <v>34</v>
      </c>
      <c r="I3760" s="19" t="str">
        <f>IFERROR(__xludf.DUMMYFUNCTION("IFERROR(TO_DATE(H3760), """")"),"NA")</f>
        <v>NA</v>
      </c>
      <c r="J3760" s="19" t="s">
        <v>14</v>
      </c>
      <c r="K3760" s="22">
        <f t="shared" si="2"/>
        <v>1</v>
      </c>
    </row>
    <row r="3761">
      <c r="A3761" s="18">
        <v>4008.0</v>
      </c>
      <c r="B3761" s="18" t="s">
        <v>32</v>
      </c>
      <c r="C3761" s="18">
        <v>221.0</v>
      </c>
      <c r="D3761" s="18" t="s">
        <v>33</v>
      </c>
      <c r="E3761" s="27">
        <v>42564.988229166665</v>
      </c>
      <c r="F3761" s="19">
        <f>IFERROR(__xludf.DUMMYFUNCTION("IFERROR(TO_DATE(E3761), """")"),42564.988229166665)</f>
        <v>42564.98823</v>
      </c>
      <c r="G3761" s="20">
        <f t="shared" si="1"/>
        <v>23</v>
      </c>
      <c r="H3761" s="18" t="s">
        <v>34</v>
      </c>
      <c r="I3761" s="19" t="str">
        <f>IFERROR(__xludf.DUMMYFUNCTION("IFERROR(TO_DATE(H3761), """")"),"NA")</f>
        <v>NA</v>
      </c>
      <c r="J3761" s="19" t="s">
        <v>13</v>
      </c>
      <c r="K3761" s="22">
        <f t="shared" si="2"/>
        <v>1</v>
      </c>
    </row>
    <row r="3762">
      <c r="A3762" s="18">
        <v>4574.0</v>
      </c>
      <c r="B3762" s="18" t="s">
        <v>32</v>
      </c>
      <c r="C3762" s="18">
        <v>221.0</v>
      </c>
      <c r="D3762" s="18" t="s">
        <v>33</v>
      </c>
      <c r="E3762" s="27">
        <v>42565.41202546296</v>
      </c>
      <c r="F3762" s="19">
        <f>IFERROR(__xludf.DUMMYFUNCTION("IFERROR(TO_DATE(E3762), """")"),42565.41202546296)</f>
        <v>42565.41203</v>
      </c>
      <c r="G3762" s="20">
        <f t="shared" si="1"/>
        <v>9</v>
      </c>
      <c r="H3762" s="18" t="s">
        <v>34</v>
      </c>
      <c r="I3762" s="19" t="str">
        <f>IFERROR(__xludf.DUMMYFUNCTION("IFERROR(TO_DATE(H3762), """")"),"NA")</f>
        <v>NA</v>
      </c>
      <c r="J3762" s="19" t="s">
        <v>14</v>
      </c>
      <c r="K3762" s="22">
        <f t="shared" si="2"/>
        <v>1</v>
      </c>
    </row>
    <row r="3763">
      <c r="A3763" s="18">
        <v>1730.0</v>
      </c>
      <c r="B3763" s="18" t="s">
        <v>32</v>
      </c>
      <c r="C3763" s="18">
        <v>222.0</v>
      </c>
      <c r="D3763" s="18" t="s">
        <v>33</v>
      </c>
      <c r="E3763" s="26">
        <v>42563.350694444445</v>
      </c>
      <c r="F3763" s="19">
        <f>IFERROR(__xludf.DUMMYFUNCTION("IFERROR(TO_DATE(E3763), """")"),42563.350694444445)</f>
        <v>42563.35069</v>
      </c>
      <c r="G3763" s="20">
        <f t="shared" si="1"/>
        <v>8</v>
      </c>
      <c r="H3763" s="18" t="s">
        <v>34</v>
      </c>
      <c r="I3763" s="19" t="str">
        <f>IFERROR(__xludf.DUMMYFUNCTION("IFERROR(TO_DATE(H3763), """")"),"NA")</f>
        <v>NA</v>
      </c>
      <c r="J3763" s="19" t="s">
        <v>14</v>
      </c>
      <c r="K3763" s="22">
        <f t="shared" si="2"/>
        <v>1</v>
      </c>
    </row>
    <row r="3764">
      <c r="A3764" s="18">
        <v>2448.0</v>
      </c>
      <c r="B3764" s="18" t="s">
        <v>30</v>
      </c>
      <c r="C3764" s="18">
        <v>222.0</v>
      </c>
      <c r="D3764" s="18" t="s">
        <v>33</v>
      </c>
      <c r="E3764" s="26">
        <v>42563.85138888889</v>
      </c>
      <c r="F3764" s="19">
        <f>IFERROR(__xludf.DUMMYFUNCTION("IFERROR(TO_DATE(E3764), """")"),42563.85138888889)</f>
        <v>42563.85139</v>
      </c>
      <c r="G3764" s="20">
        <f t="shared" si="1"/>
        <v>20</v>
      </c>
      <c r="H3764" s="18" t="s">
        <v>34</v>
      </c>
      <c r="I3764" s="19" t="str">
        <f>IFERROR(__xludf.DUMMYFUNCTION("IFERROR(TO_DATE(H3764), """")"),"NA")</f>
        <v>NA</v>
      </c>
      <c r="J3764" s="19" t="s">
        <v>13</v>
      </c>
      <c r="K3764" s="22">
        <f t="shared" si="2"/>
        <v>1</v>
      </c>
    </row>
    <row r="3765">
      <c r="A3765" s="18">
        <v>4570.0</v>
      </c>
      <c r="B3765" s="18" t="s">
        <v>32</v>
      </c>
      <c r="C3765" s="18">
        <v>222.0</v>
      </c>
      <c r="D3765" s="18" t="s">
        <v>33</v>
      </c>
      <c r="E3765" s="27">
        <v>42565.41049768519</v>
      </c>
      <c r="F3765" s="19">
        <f>IFERROR(__xludf.DUMMYFUNCTION("IFERROR(TO_DATE(E3765), """")"),42565.41049768519)</f>
        <v>42565.4105</v>
      </c>
      <c r="G3765" s="20">
        <f t="shared" si="1"/>
        <v>9</v>
      </c>
      <c r="H3765" s="18" t="s">
        <v>34</v>
      </c>
      <c r="I3765" s="19" t="str">
        <f>IFERROR(__xludf.DUMMYFUNCTION("IFERROR(TO_DATE(H3765), """")"),"NA")</f>
        <v>NA</v>
      </c>
      <c r="J3765" s="19" t="s">
        <v>14</v>
      </c>
      <c r="K3765" s="22">
        <f t="shared" si="2"/>
        <v>1</v>
      </c>
    </row>
    <row r="3766">
      <c r="A3766" s="18">
        <v>5529.0</v>
      </c>
      <c r="B3766" s="18" t="s">
        <v>32</v>
      </c>
      <c r="C3766" s="18">
        <v>222.0</v>
      </c>
      <c r="D3766" s="18" t="s">
        <v>33</v>
      </c>
      <c r="E3766" s="27">
        <v>42566.225023148145</v>
      </c>
      <c r="F3766" s="19">
        <f>IFERROR(__xludf.DUMMYFUNCTION("IFERROR(TO_DATE(E3766), """")"),42566.225023148145)</f>
        <v>42566.22502</v>
      </c>
      <c r="G3766" s="20">
        <f t="shared" si="1"/>
        <v>5</v>
      </c>
      <c r="H3766" s="18" t="s">
        <v>34</v>
      </c>
      <c r="I3766" s="19" t="str">
        <f>IFERROR(__xludf.DUMMYFUNCTION("IFERROR(TO_DATE(H3766), """")"),"NA")</f>
        <v>NA</v>
      </c>
      <c r="J3766" s="19" t="s">
        <v>11</v>
      </c>
      <c r="K3766" s="22">
        <f t="shared" si="2"/>
        <v>1</v>
      </c>
    </row>
    <row r="3767">
      <c r="A3767" s="18">
        <v>1506.0</v>
      </c>
      <c r="B3767" s="18" t="s">
        <v>32</v>
      </c>
      <c r="C3767" s="18">
        <v>223.0</v>
      </c>
      <c r="D3767" s="18" t="s">
        <v>33</v>
      </c>
      <c r="E3767" s="26">
        <v>42563.23402777778</v>
      </c>
      <c r="F3767" s="19">
        <f>IFERROR(__xludf.DUMMYFUNCTION("IFERROR(TO_DATE(E3767), """")"),42563.23402777778)</f>
        <v>42563.23403</v>
      </c>
      <c r="G3767" s="20">
        <f t="shared" si="1"/>
        <v>5</v>
      </c>
      <c r="H3767" s="18" t="s">
        <v>34</v>
      </c>
      <c r="I3767" s="19" t="str">
        <f>IFERROR(__xludf.DUMMYFUNCTION("IFERROR(TO_DATE(H3767), """")"),"NA")</f>
        <v>NA</v>
      </c>
      <c r="J3767" s="19" t="s">
        <v>11</v>
      </c>
      <c r="K3767" s="22">
        <f t="shared" si="2"/>
        <v>1</v>
      </c>
    </row>
    <row r="3768">
      <c r="A3768" s="18">
        <v>2651.0</v>
      </c>
      <c r="B3768" s="18" t="s">
        <v>32</v>
      </c>
      <c r="C3768" s="18">
        <v>223.0</v>
      </c>
      <c r="D3768" s="18" t="s">
        <v>33</v>
      </c>
      <c r="E3768" s="26">
        <v>42563.955555555556</v>
      </c>
      <c r="F3768" s="19">
        <f>IFERROR(__xludf.DUMMYFUNCTION("IFERROR(TO_DATE(E3768), """")"),42563.955555555556)</f>
        <v>42563.95556</v>
      </c>
      <c r="G3768" s="20">
        <f t="shared" si="1"/>
        <v>22</v>
      </c>
      <c r="H3768" s="18" t="s">
        <v>34</v>
      </c>
      <c r="I3768" s="19" t="str">
        <f>IFERROR(__xludf.DUMMYFUNCTION("IFERROR(TO_DATE(H3768), """")"),"NA")</f>
        <v>NA</v>
      </c>
      <c r="J3768" s="19" t="s">
        <v>13</v>
      </c>
      <c r="K3768" s="22">
        <f t="shared" si="2"/>
        <v>1</v>
      </c>
    </row>
    <row r="3769">
      <c r="A3769" s="18">
        <v>3185.0</v>
      </c>
      <c r="B3769" s="18" t="s">
        <v>32</v>
      </c>
      <c r="C3769" s="18">
        <v>223.0</v>
      </c>
      <c r="D3769" s="18" t="s">
        <v>33</v>
      </c>
      <c r="E3769" s="27">
        <v>42564.39219907407</v>
      </c>
      <c r="F3769" s="19">
        <f>IFERROR(__xludf.DUMMYFUNCTION("IFERROR(TO_DATE(E3769), """")"),42564.39219907407)</f>
        <v>42564.3922</v>
      </c>
      <c r="G3769" s="20">
        <f t="shared" si="1"/>
        <v>9</v>
      </c>
      <c r="H3769" s="18" t="s">
        <v>34</v>
      </c>
      <c r="I3769" s="19" t="str">
        <f>IFERROR(__xludf.DUMMYFUNCTION("IFERROR(TO_DATE(H3769), """")"),"NA")</f>
        <v>NA</v>
      </c>
      <c r="J3769" s="19" t="s">
        <v>14</v>
      </c>
      <c r="K3769" s="22">
        <f t="shared" si="2"/>
        <v>1</v>
      </c>
    </row>
    <row r="3770">
      <c r="A3770" s="18">
        <v>3421.0</v>
      </c>
      <c r="B3770" s="18" t="s">
        <v>32</v>
      </c>
      <c r="C3770" s="18">
        <v>223.0</v>
      </c>
      <c r="D3770" s="18" t="s">
        <v>33</v>
      </c>
      <c r="E3770" s="27">
        <v>42564.65458333334</v>
      </c>
      <c r="F3770" s="19">
        <f>IFERROR(__xludf.DUMMYFUNCTION("IFERROR(TO_DATE(E3770), """")"),42564.65458333334)</f>
        <v>42564.65458</v>
      </c>
      <c r="G3770" s="20">
        <f t="shared" si="1"/>
        <v>15</v>
      </c>
      <c r="H3770" s="18" t="s">
        <v>34</v>
      </c>
      <c r="I3770" s="19" t="str">
        <f>IFERROR(__xludf.DUMMYFUNCTION("IFERROR(TO_DATE(H3770), """")"),"NA")</f>
        <v>NA</v>
      </c>
      <c r="J3770" s="19" t="s">
        <v>10</v>
      </c>
      <c r="K3770" s="22">
        <f t="shared" si="2"/>
        <v>1</v>
      </c>
    </row>
    <row r="3771">
      <c r="A3771" s="18">
        <v>291.0</v>
      </c>
      <c r="B3771" s="18" t="s">
        <v>32</v>
      </c>
      <c r="C3771" s="18">
        <v>224.0</v>
      </c>
      <c r="D3771" s="18" t="s">
        <v>33</v>
      </c>
      <c r="E3771" s="26">
        <v>42562.29583333333</v>
      </c>
      <c r="F3771" s="19">
        <f>IFERROR(__xludf.DUMMYFUNCTION("IFERROR(TO_DATE(E3771), """")"),42562.29583333333)</f>
        <v>42562.29583</v>
      </c>
      <c r="G3771" s="20">
        <f t="shared" si="1"/>
        <v>7</v>
      </c>
      <c r="H3771" s="18" t="s">
        <v>34</v>
      </c>
      <c r="I3771" s="19" t="str">
        <f>IFERROR(__xludf.DUMMYFUNCTION("IFERROR(TO_DATE(H3771), """")"),"NA")</f>
        <v>NA</v>
      </c>
      <c r="J3771" s="19" t="s">
        <v>11</v>
      </c>
      <c r="K3771" s="22">
        <f t="shared" si="2"/>
        <v>1</v>
      </c>
    </row>
    <row r="3772">
      <c r="A3772" s="18">
        <v>1669.0</v>
      </c>
      <c r="B3772" s="18" t="s">
        <v>32</v>
      </c>
      <c r="C3772" s="18">
        <v>224.0</v>
      </c>
      <c r="D3772" s="18" t="s">
        <v>33</v>
      </c>
      <c r="E3772" s="26">
        <v>42563.31875</v>
      </c>
      <c r="F3772" s="19">
        <f>IFERROR(__xludf.DUMMYFUNCTION("IFERROR(TO_DATE(E3772), """")"),42563.31875)</f>
        <v>42563.31875</v>
      </c>
      <c r="G3772" s="20">
        <f t="shared" si="1"/>
        <v>7</v>
      </c>
      <c r="H3772" s="18" t="s">
        <v>34</v>
      </c>
      <c r="I3772" s="19" t="str">
        <f>IFERROR(__xludf.DUMMYFUNCTION("IFERROR(TO_DATE(H3772), """")"),"NA")</f>
        <v>NA</v>
      </c>
      <c r="J3772" s="19" t="s">
        <v>11</v>
      </c>
      <c r="K3772" s="22">
        <f t="shared" si="2"/>
        <v>1</v>
      </c>
    </row>
    <row r="3773">
      <c r="A3773" s="18">
        <v>3974.0</v>
      </c>
      <c r="B3773" s="18" t="s">
        <v>32</v>
      </c>
      <c r="C3773" s="18">
        <v>224.0</v>
      </c>
      <c r="D3773" s="18" t="s">
        <v>33</v>
      </c>
      <c r="E3773" s="27">
        <v>42564.96127314815</v>
      </c>
      <c r="F3773" s="19">
        <f>IFERROR(__xludf.DUMMYFUNCTION("IFERROR(TO_DATE(E3773), """")"),42564.96127314815)</f>
        <v>42564.96127</v>
      </c>
      <c r="G3773" s="20">
        <f t="shared" si="1"/>
        <v>23</v>
      </c>
      <c r="H3773" s="18" t="s">
        <v>34</v>
      </c>
      <c r="I3773" s="19" t="str">
        <f>IFERROR(__xludf.DUMMYFUNCTION("IFERROR(TO_DATE(H3773), """")"),"NA")</f>
        <v>NA</v>
      </c>
      <c r="J3773" s="19" t="s">
        <v>13</v>
      </c>
      <c r="K3773" s="22">
        <f t="shared" si="2"/>
        <v>1</v>
      </c>
    </row>
    <row r="3774">
      <c r="A3774" s="18">
        <v>4349.0</v>
      </c>
      <c r="B3774" s="18" t="s">
        <v>32</v>
      </c>
      <c r="C3774" s="18">
        <v>224.0</v>
      </c>
      <c r="D3774" s="18" t="s">
        <v>33</v>
      </c>
      <c r="E3774" s="27">
        <v>42565.30438657408</v>
      </c>
      <c r="F3774" s="19">
        <f>IFERROR(__xludf.DUMMYFUNCTION("IFERROR(TO_DATE(E3774), """")"),42565.30438657408)</f>
        <v>42565.30439</v>
      </c>
      <c r="G3774" s="20">
        <f t="shared" si="1"/>
        <v>7</v>
      </c>
      <c r="H3774" s="18" t="s">
        <v>34</v>
      </c>
      <c r="I3774" s="19" t="str">
        <f>IFERROR(__xludf.DUMMYFUNCTION("IFERROR(TO_DATE(H3774), """")"),"NA")</f>
        <v>NA</v>
      </c>
      <c r="J3774" s="19" t="s">
        <v>11</v>
      </c>
      <c r="K3774" s="22">
        <f t="shared" si="2"/>
        <v>1</v>
      </c>
    </row>
    <row r="3775">
      <c r="A3775" s="18">
        <v>4442.0</v>
      </c>
      <c r="B3775" s="18" t="s">
        <v>32</v>
      </c>
      <c r="C3775" s="18">
        <v>224.0</v>
      </c>
      <c r="D3775" s="18" t="s">
        <v>33</v>
      </c>
      <c r="E3775" s="27">
        <v>42565.35636574074</v>
      </c>
      <c r="F3775" s="19">
        <f>IFERROR(__xludf.DUMMYFUNCTION("IFERROR(TO_DATE(E3775), """")"),42565.35636574074)</f>
        <v>42565.35637</v>
      </c>
      <c r="G3775" s="20">
        <f t="shared" si="1"/>
        <v>8</v>
      </c>
      <c r="H3775" s="18" t="s">
        <v>34</v>
      </c>
      <c r="I3775" s="19" t="str">
        <f>IFERROR(__xludf.DUMMYFUNCTION("IFERROR(TO_DATE(H3775), """")"),"NA")</f>
        <v>NA</v>
      </c>
      <c r="J3775" s="19" t="s">
        <v>14</v>
      </c>
      <c r="K3775" s="22">
        <f t="shared" si="2"/>
        <v>1</v>
      </c>
    </row>
    <row r="3776">
      <c r="A3776" s="18">
        <v>5327.0</v>
      </c>
      <c r="B3776" s="18" t="s">
        <v>30</v>
      </c>
      <c r="C3776" s="18">
        <v>224.0</v>
      </c>
      <c r="D3776" s="18" t="s">
        <v>33</v>
      </c>
      <c r="E3776" s="27">
        <v>42565.925405092596</v>
      </c>
      <c r="F3776" s="19">
        <f>IFERROR(__xludf.DUMMYFUNCTION("IFERROR(TO_DATE(E3776), """")"),42565.925405092596)</f>
        <v>42565.92541</v>
      </c>
      <c r="G3776" s="20">
        <f t="shared" si="1"/>
        <v>22</v>
      </c>
      <c r="H3776" s="18" t="s">
        <v>34</v>
      </c>
      <c r="I3776" s="19" t="str">
        <f>IFERROR(__xludf.DUMMYFUNCTION("IFERROR(TO_DATE(H3776), """")"),"NA")</f>
        <v>NA</v>
      </c>
      <c r="J3776" s="19" t="s">
        <v>13</v>
      </c>
      <c r="K3776" s="22">
        <f t="shared" si="2"/>
        <v>1</v>
      </c>
    </row>
    <row r="3777">
      <c r="A3777" s="18">
        <v>2929.0</v>
      </c>
      <c r="B3777" s="18" t="s">
        <v>32</v>
      </c>
      <c r="C3777" s="18">
        <v>225.0</v>
      </c>
      <c r="D3777" s="18" t="s">
        <v>33</v>
      </c>
      <c r="E3777" s="27">
        <v>42564.26991898148</v>
      </c>
      <c r="F3777" s="19">
        <f>IFERROR(__xludf.DUMMYFUNCTION("IFERROR(TO_DATE(E3777), """")"),42564.26991898148)</f>
        <v>42564.26992</v>
      </c>
      <c r="G3777" s="20">
        <f t="shared" si="1"/>
        <v>6</v>
      </c>
      <c r="H3777" s="18" t="s">
        <v>34</v>
      </c>
      <c r="I3777" s="19" t="str">
        <f>IFERROR(__xludf.DUMMYFUNCTION("IFERROR(TO_DATE(H3777), """")"),"NA")</f>
        <v>NA</v>
      </c>
      <c r="J3777" s="19" t="s">
        <v>11</v>
      </c>
      <c r="K3777" s="22">
        <f t="shared" si="2"/>
        <v>1</v>
      </c>
    </row>
    <row r="3778">
      <c r="A3778" s="18">
        <v>3186.0</v>
      </c>
      <c r="B3778" s="18" t="s">
        <v>32</v>
      </c>
      <c r="C3778" s="18">
        <v>225.0</v>
      </c>
      <c r="D3778" s="18" t="s">
        <v>33</v>
      </c>
      <c r="E3778" s="27">
        <v>42564.394780092596</v>
      </c>
      <c r="F3778" s="19">
        <f>IFERROR(__xludf.DUMMYFUNCTION("IFERROR(TO_DATE(E3778), """")"),42564.394780092596)</f>
        <v>42564.39478</v>
      </c>
      <c r="G3778" s="20">
        <f t="shared" si="1"/>
        <v>9</v>
      </c>
      <c r="H3778" s="18" t="s">
        <v>34</v>
      </c>
      <c r="I3778" s="19" t="str">
        <f>IFERROR(__xludf.DUMMYFUNCTION("IFERROR(TO_DATE(H3778), """")"),"NA")</f>
        <v>NA</v>
      </c>
      <c r="J3778" s="19" t="s">
        <v>14</v>
      </c>
      <c r="K3778" s="22">
        <f t="shared" si="2"/>
        <v>1</v>
      </c>
    </row>
    <row r="3779">
      <c r="A3779" s="18">
        <v>4211.0</v>
      </c>
      <c r="B3779" s="18" t="s">
        <v>32</v>
      </c>
      <c r="C3779" s="18">
        <v>225.0</v>
      </c>
      <c r="D3779" s="18" t="s">
        <v>33</v>
      </c>
      <c r="E3779" s="27">
        <v>42565.23440972222</v>
      </c>
      <c r="F3779" s="19">
        <f>IFERROR(__xludf.DUMMYFUNCTION("IFERROR(TO_DATE(E3779), """")"),42565.23440972222)</f>
        <v>42565.23441</v>
      </c>
      <c r="G3779" s="20">
        <f t="shared" si="1"/>
        <v>5</v>
      </c>
      <c r="H3779" s="18" t="s">
        <v>34</v>
      </c>
      <c r="I3779" s="19" t="str">
        <f>IFERROR(__xludf.DUMMYFUNCTION("IFERROR(TO_DATE(H3779), """")"),"NA")</f>
        <v>NA</v>
      </c>
      <c r="J3779" s="19" t="s">
        <v>11</v>
      </c>
      <c r="K3779" s="22">
        <f t="shared" si="2"/>
        <v>1</v>
      </c>
    </row>
    <row r="3780">
      <c r="A3780" s="18">
        <v>5273.0</v>
      </c>
      <c r="B3780" s="18" t="s">
        <v>30</v>
      </c>
      <c r="C3780" s="18">
        <v>225.0</v>
      </c>
      <c r="D3780" s="18" t="s">
        <v>33</v>
      </c>
      <c r="E3780" s="27">
        <v>42565.89555555556</v>
      </c>
      <c r="F3780" s="19">
        <f>IFERROR(__xludf.DUMMYFUNCTION("IFERROR(TO_DATE(E3780), """")"),42565.89555555556)</f>
        <v>42565.89556</v>
      </c>
      <c r="G3780" s="20">
        <f t="shared" si="1"/>
        <v>21</v>
      </c>
      <c r="H3780" s="18" t="s">
        <v>34</v>
      </c>
      <c r="I3780" s="19" t="str">
        <f>IFERROR(__xludf.DUMMYFUNCTION("IFERROR(TO_DATE(H3780), """")"),"NA")</f>
        <v>NA</v>
      </c>
      <c r="J3780" s="19" t="s">
        <v>13</v>
      </c>
      <c r="K3780" s="22">
        <f t="shared" si="2"/>
        <v>1</v>
      </c>
    </row>
    <row r="3781">
      <c r="A3781" s="18">
        <v>6445.0</v>
      </c>
      <c r="B3781" s="18" t="s">
        <v>32</v>
      </c>
      <c r="C3781" s="18">
        <v>225.0</v>
      </c>
      <c r="D3781" s="18" t="s">
        <v>33</v>
      </c>
      <c r="E3781" s="27">
        <v>42566.834189814814</v>
      </c>
      <c r="F3781" s="19">
        <f>IFERROR(__xludf.DUMMYFUNCTION("IFERROR(TO_DATE(E3781), """")"),42566.834189814814)</f>
        <v>42566.83419</v>
      </c>
      <c r="G3781" s="20">
        <f t="shared" si="1"/>
        <v>20</v>
      </c>
      <c r="H3781" s="18" t="s">
        <v>34</v>
      </c>
      <c r="I3781" s="19" t="str">
        <f>IFERROR(__xludf.DUMMYFUNCTION("IFERROR(TO_DATE(H3781), """")"),"NA")</f>
        <v>NA</v>
      </c>
      <c r="J3781" s="19" t="s">
        <v>13</v>
      </c>
      <c r="K3781" s="22">
        <f t="shared" si="2"/>
        <v>1</v>
      </c>
    </row>
    <row r="3782">
      <c r="A3782" s="18">
        <v>157.0</v>
      </c>
      <c r="B3782" s="18" t="s">
        <v>32</v>
      </c>
      <c r="C3782" s="18">
        <v>226.0</v>
      </c>
      <c r="D3782" s="18" t="s">
        <v>33</v>
      </c>
      <c r="E3782" s="26">
        <v>42562.23472222222</v>
      </c>
      <c r="F3782" s="19">
        <f>IFERROR(__xludf.DUMMYFUNCTION("IFERROR(TO_DATE(E3782), """")"),42562.23472222222)</f>
        <v>42562.23472</v>
      </c>
      <c r="G3782" s="20">
        <f t="shared" si="1"/>
        <v>5</v>
      </c>
      <c r="H3782" s="18" t="s">
        <v>34</v>
      </c>
      <c r="I3782" s="19" t="str">
        <f>IFERROR(__xludf.DUMMYFUNCTION("IFERROR(TO_DATE(H3782), """")"),"NA")</f>
        <v>NA</v>
      </c>
      <c r="J3782" s="19" t="s">
        <v>11</v>
      </c>
      <c r="K3782" s="22">
        <f t="shared" si="2"/>
        <v>1</v>
      </c>
    </row>
    <row r="3783">
      <c r="A3783" s="18">
        <v>2813.0</v>
      </c>
      <c r="B3783" s="18" t="s">
        <v>32</v>
      </c>
      <c r="C3783" s="18">
        <v>226.0</v>
      </c>
      <c r="D3783" s="18" t="s">
        <v>33</v>
      </c>
      <c r="E3783" s="27">
        <v>42564.212592592594</v>
      </c>
      <c r="F3783" s="19">
        <f>IFERROR(__xludf.DUMMYFUNCTION("IFERROR(TO_DATE(E3783), """")"),42564.212592592594)</f>
        <v>42564.21259</v>
      </c>
      <c r="G3783" s="20">
        <f t="shared" si="1"/>
        <v>5</v>
      </c>
      <c r="H3783" s="18" t="s">
        <v>34</v>
      </c>
      <c r="I3783" s="19" t="str">
        <f>IFERROR(__xludf.DUMMYFUNCTION("IFERROR(TO_DATE(H3783), """")"),"NA")</f>
        <v>NA</v>
      </c>
      <c r="J3783" s="19" t="s">
        <v>11</v>
      </c>
      <c r="K3783" s="22">
        <f t="shared" si="2"/>
        <v>1</v>
      </c>
    </row>
    <row r="3784">
      <c r="A3784" s="18">
        <v>3057.0</v>
      </c>
      <c r="B3784" s="18" t="s">
        <v>32</v>
      </c>
      <c r="C3784" s="18">
        <v>226.0</v>
      </c>
      <c r="D3784" s="18" t="s">
        <v>33</v>
      </c>
      <c r="E3784" s="27">
        <v>42564.32686342593</v>
      </c>
      <c r="F3784" s="19">
        <f>IFERROR(__xludf.DUMMYFUNCTION("IFERROR(TO_DATE(E3784), """")"),42564.32686342593)</f>
        <v>42564.32686</v>
      </c>
      <c r="G3784" s="20">
        <f t="shared" si="1"/>
        <v>7</v>
      </c>
      <c r="H3784" s="18" t="s">
        <v>34</v>
      </c>
      <c r="I3784" s="19" t="str">
        <f>IFERROR(__xludf.DUMMYFUNCTION("IFERROR(TO_DATE(H3784), """")"),"NA")</f>
        <v>NA</v>
      </c>
      <c r="J3784" s="19" t="s">
        <v>11</v>
      </c>
      <c r="K3784" s="22">
        <f t="shared" si="2"/>
        <v>1</v>
      </c>
    </row>
    <row r="3785">
      <c r="A3785" s="18">
        <v>4641.0</v>
      </c>
      <c r="B3785" s="18" t="s">
        <v>32</v>
      </c>
      <c r="C3785" s="18">
        <v>226.0</v>
      </c>
      <c r="D3785" s="18" t="s">
        <v>33</v>
      </c>
      <c r="E3785" s="27">
        <v>42565.485497685186</v>
      </c>
      <c r="F3785" s="19">
        <f>IFERROR(__xludf.DUMMYFUNCTION("IFERROR(TO_DATE(E3785), """")"),42565.485497685186)</f>
        <v>42565.4855</v>
      </c>
      <c r="G3785" s="20">
        <f t="shared" si="1"/>
        <v>11</v>
      </c>
      <c r="H3785" s="18" t="s">
        <v>34</v>
      </c>
      <c r="I3785" s="19" t="str">
        <f>IFERROR(__xludf.DUMMYFUNCTION("IFERROR(TO_DATE(H3785), """")"),"NA")</f>
        <v>NA</v>
      </c>
      <c r="J3785" s="19" t="s">
        <v>14</v>
      </c>
      <c r="K3785" s="22">
        <f t="shared" si="2"/>
        <v>1</v>
      </c>
    </row>
    <row r="3786">
      <c r="A3786" s="18">
        <v>5884.0</v>
      </c>
      <c r="B3786" s="18" t="s">
        <v>32</v>
      </c>
      <c r="C3786" s="18">
        <v>226.0</v>
      </c>
      <c r="D3786" s="18" t="s">
        <v>33</v>
      </c>
      <c r="E3786" s="27">
        <v>42566.400196759256</v>
      </c>
      <c r="F3786" s="19">
        <f>IFERROR(__xludf.DUMMYFUNCTION("IFERROR(TO_DATE(E3786), """")"),42566.400196759256)</f>
        <v>42566.4002</v>
      </c>
      <c r="G3786" s="20">
        <f t="shared" si="1"/>
        <v>9</v>
      </c>
      <c r="H3786" s="18" t="s">
        <v>34</v>
      </c>
      <c r="I3786" s="19" t="str">
        <f>IFERROR(__xludf.DUMMYFUNCTION("IFERROR(TO_DATE(H3786), """")"),"NA")</f>
        <v>NA</v>
      </c>
      <c r="J3786" s="19" t="s">
        <v>14</v>
      </c>
      <c r="K3786" s="22">
        <f t="shared" si="2"/>
        <v>1</v>
      </c>
    </row>
    <row r="3787">
      <c r="A3787" s="18">
        <v>1837.0</v>
      </c>
      <c r="B3787" s="18" t="s">
        <v>32</v>
      </c>
      <c r="C3787" s="18">
        <v>227.0</v>
      </c>
      <c r="D3787" s="18" t="s">
        <v>33</v>
      </c>
      <c r="E3787" s="26">
        <v>42563.4</v>
      </c>
      <c r="F3787" s="19">
        <f>IFERROR(__xludf.DUMMYFUNCTION("IFERROR(TO_DATE(E3787), """")"),42563.4)</f>
        <v>42563.4</v>
      </c>
      <c r="G3787" s="20">
        <f t="shared" si="1"/>
        <v>9</v>
      </c>
      <c r="H3787" s="18" t="s">
        <v>34</v>
      </c>
      <c r="I3787" s="19" t="str">
        <f>IFERROR(__xludf.DUMMYFUNCTION("IFERROR(TO_DATE(H3787), """")"),"NA")</f>
        <v>NA</v>
      </c>
      <c r="J3787" s="19" t="s">
        <v>14</v>
      </c>
      <c r="K3787" s="22">
        <f t="shared" si="2"/>
        <v>1</v>
      </c>
    </row>
    <row r="3788">
      <c r="A3788" s="18">
        <v>4092.0</v>
      </c>
      <c r="B3788" s="18" t="s">
        <v>32</v>
      </c>
      <c r="C3788" s="18">
        <v>227.0</v>
      </c>
      <c r="D3788" s="18" t="s">
        <v>33</v>
      </c>
      <c r="E3788" s="27">
        <v>42565.12199074074</v>
      </c>
      <c r="F3788" s="19">
        <f>IFERROR(__xludf.DUMMYFUNCTION("IFERROR(TO_DATE(E3788), """")"),42565.12199074074)</f>
        <v>42565.12199</v>
      </c>
      <c r="G3788" s="20">
        <f t="shared" si="1"/>
        <v>2</v>
      </c>
      <c r="H3788" s="18" t="s">
        <v>34</v>
      </c>
      <c r="I3788" s="19" t="str">
        <f>IFERROR(__xludf.DUMMYFUNCTION("IFERROR(TO_DATE(H3788), """")"),"NA")</f>
        <v>NA</v>
      </c>
      <c r="J3788" s="19" t="s">
        <v>15</v>
      </c>
      <c r="K3788" s="22">
        <f t="shared" si="2"/>
        <v>1</v>
      </c>
    </row>
    <row r="3789">
      <c r="A3789" s="18">
        <v>4222.0</v>
      </c>
      <c r="B3789" s="18" t="s">
        <v>32</v>
      </c>
      <c r="C3789" s="18">
        <v>227.0</v>
      </c>
      <c r="D3789" s="18" t="s">
        <v>33</v>
      </c>
      <c r="E3789" s="27">
        <v>42565.238969907405</v>
      </c>
      <c r="F3789" s="19">
        <f>IFERROR(__xludf.DUMMYFUNCTION("IFERROR(TO_DATE(E3789), """")"),42565.238969907405)</f>
        <v>42565.23897</v>
      </c>
      <c r="G3789" s="20">
        <f t="shared" si="1"/>
        <v>5</v>
      </c>
      <c r="H3789" s="18" t="s">
        <v>34</v>
      </c>
      <c r="I3789" s="19" t="str">
        <f>IFERROR(__xludf.DUMMYFUNCTION("IFERROR(TO_DATE(H3789), """")"),"NA")</f>
        <v>NA</v>
      </c>
      <c r="J3789" s="19" t="s">
        <v>11</v>
      </c>
      <c r="K3789" s="22">
        <f t="shared" si="2"/>
        <v>1</v>
      </c>
    </row>
    <row r="3790">
      <c r="A3790" s="18">
        <v>1509.0</v>
      </c>
      <c r="B3790" s="18" t="s">
        <v>32</v>
      </c>
      <c r="C3790" s="18">
        <v>228.0</v>
      </c>
      <c r="D3790" s="18" t="s">
        <v>33</v>
      </c>
      <c r="E3790" s="26">
        <v>42563.2375</v>
      </c>
      <c r="F3790" s="19">
        <f>IFERROR(__xludf.DUMMYFUNCTION("IFERROR(TO_DATE(E3790), """")"),42563.2375)</f>
        <v>42563.2375</v>
      </c>
      <c r="G3790" s="20">
        <f t="shared" si="1"/>
        <v>5</v>
      </c>
      <c r="H3790" s="18" t="s">
        <v>34</v>
      </c>
      <c r="I3790" s="19" t="str">
        <f>IFERROR(__xludf.DUMMYFUNCTION("IFERROR(TO_DATE(H3790), """")"),"NA")</f>
        <v>NA</v>
      </c>
      <c r="J3790" s="19" t="s">
        <v>11</v>
      </c>
      <c r="K3790" s="22">
        <f t="shared" si="2"/>
        <v>1</v>
      </c>
    </row>
    <row r="3791">
      <c r="A3791" s="18">
        <v>3194.0</v>
      </c>
      <c r="B3791" s="18" t="s">
        <v>32</v>
      </c>
      <c r="C3791" s="18">
        <v>228.0</v>
      </c>
      <c r="D3791" s="18" t="s">
        <v>33</v>
      </c>
      <c r="E3791" s="27">
        <v>42564.39962962963</v>
      </c>
      <c r="F3791" s="19">
        <f>IFERROR(__xludf.DUMMYFUNCTION("IFERROR(TO_DATE(E3791), """")"),42564.39962962963)</f>
        <v>42564.39963</v>
      </c>
      <c r="G3791" s="20">
        <f t="shared" si="1"/>
        <v>9</v>
      </c>
      <c r="H3791" s="18" t="s">
        <v>34</v>
      </c>
      <c r="I3791" s="19" t="str">
        <f>IFERROR(__xludf.DUMMYFUNCTION("IFERROR(TO_DATE(H3791), """")"),"NA")</f>
        <v>NA</v>
      </c>
      <c r="J3791" s="19" t="s">
        <v>14</v>
      </c>
      <c r="K3791" s="22">
        <f t="shared" si="2"/>
        <v>1</v>
      </c>
    </row>
    <row r="3792">
      <c r="A3792" s="18">
        <v>3541.0</v>
      </c>
      <c r="B3792" s="18" t="s">
        <v>30</v>
      </c>
      <c r="C3792" s="18">
        <v>228.0</v>
      </c>
      <c r="D3792" s="18" t="s">
        <v>33</v>
      </c>
      <c r="E3792" s="27">
        <v>42564.74806712963</v>
      </c>
      <c r="F3792" s="19">
        <f>IFERROR(__xludf.DUMMYFUNCTION("IFERROR(TO_DATE(E3792), """")"),42564.74806712963)</f>
        <v>42564.74807</v>
      </c>
      <c r="G3792" s="20">
        <f t="shared" si="1"/>
        <v>17</v>
      </c>
      <c r="H3792" s="18" t="s">
        <v>34</v>
      </c>
      <c r="I3792" s="19" t="str">
        <f>IFERROR(__xludf.DUMMYFUNCTION("IFERROR(TO_DATE(H3792), """")"),"NA")</f>
        <v>NA</v>
      </c>
      <c r="J3792" s="19" t="s">
        <v>12</v>
      </c>
      <c r="K3792" s="22">
        <f t="shared" si="2"/>
        <v>1</v>
      </c>
    </row>
    <row r="3793">
      <c r="A3793" s="18">
        <v>1365.0</v>
      </c>
      <c r="B3793" s="18" t="s">
        <v>32</v>
      </c>
      <c r="C3793" s="18">
        <v>229.0</v>
      </c>
      <c r="D3793" s="18" t="s">
        <v>33</v>
      </c>
      <c r="E3793" s="26">
        <v>42562.00625</v>
      </c>
      <c r="F3793" s="19">
        <f>IFERROR(__xludf.DUMMYFUNCTION("IFERROR(TO_DATE(E3793), """")"),42562.00625)</f>
        <v>42562.00625</v>
      </c>
      <c r="G3793" s="20">
        <f t="shared" si="1"/>
        <v>0</v>
      </c>
      <c r="H3793" s="18" t="s">
        <v>34</v>
      </c>
      <c r="I3793" s="19" t="str">
        <f>IFERROR(__xludf.DUMMYFUNCTION("IFERROR(TO_DATE(H3793), """")"),"NA")</f>
        <v>NA</v>
      </c>
      <c r="J3793" s="19" t="s">
        <v>15</v>
      </c>
      <c r="K3793" s="22">
        <f t="shared" si="2"/>
        <v>1</v>
      </c>
    </row>
    <row r="3794">
      <c r="A3794" s="18">
        <v>1834.0</v>
      </c>
      <c r="B3794" s="18" t="s">
        <v>32</v>
      </c>
      <c r="C3794" s="18">
        <v>229.0</v>
      </c>
      <c r="D3794" s="18" t="s">
        <v>33</v>
      </c>
      <c r="E3794" s="26">
        <v>42563.39791666667</v>
      </c>
      <c r="F3794" s="19">
        <f>IFERROR(__xludf.DUMMYFUNCTION("IFERROR(TO_DATE(E3794), """")"),42563.39791666667)</f>
        <v>42563.39792</v>
      </c>
      <c r="G3794" s="20">
        <f t="shared" si="1"/>
        <v>9</v>
      </c>
      <c r="H3794" s="18" t="s">
        <v>34</v>
      </c>
      <c r="I3794" s="19" t="str">
        <f>IFERROR(__xludf.DUMMYFUNCTION("IFERROR(TO_DATE(H3794), """")"),"NA")</f>
        <v>NA</v>
      </c>
      <c r="J3794" s="19" t="s">
        <v>14</v>
      </c>
      <c r="K3794" s="22">
        <f t="shared" si="2"/>
        <v>1</v>
      </c>
    </row>
    <row r="3795">
      <c r="A3795" s="18">
        <v>4129.0</v>
      </c>
      <c r="B3795" s="18" t="s">
        <v>32</v>
      </c>
      <c r="C3795" s="18">
        <v>229.0</v>
      </c>
      <c r="D3795" s="18" t="s">
        <v>33</v>
      </c>
      <c r="E3795" s="27">
        <v>42565.19609953704</v>
      </c>
      <c r="F3795" s="19">
        <f>IFERROR(__xludf.DUMMYFUNCTION("IFERROR(TO_DATE(E3795), """")"),42565.19609953704)</f>
        <v>42565.1961</v>
      </c>
      <c r="G3795" s="20">
        <f t="shared" si="1"/>
        <v>4</v>
      </c>
      <c r="H3795" s="18" t="s">
        <v>34</v>
      </c>
      <c r="I3795" s="19" t="str">
        <f>IFERROR(__xludf.DUMMYFUNCTION("IFERROR(TO_DATE(H3795), """")"),"NA")</f>
        <v>NA</v>
      </c>
      <c r="J3795" s="19" t="s">
        <v>11</v>
      </c>
      <c r="K3795" s="22">
        <f t="shared" si="2"/>
        <v>1</v>
      </c>
    </row>
    <row r="3796">
      <c r="A3796" s="18">
        <v>4380.0</v>
      </c>
      <c r="B3796" s="18" t="s">
        <v>32</v>
      </c>
      <c r="C3796" s="18">
        <v>229.0</v>
      </c>
      <c r="D3796" s="18" t="s">
        <v>33</v>
      </c>
      <c r="E3796" s="27">
        <v>42565.32454861111</v>
      </c>
      <c r="F3796" s="19">
        <f>IFERROR(__xludf.DUMMYFUNCTION("IFERROR(TO_DATE(E3796), """")"),42565.32454861111)</f>
        <v>42565.32455</v>
      </c>
      <c r="G3796" s="20">
        <f t="shared" si="1"/>
        <v>7</v>
      </c>
      <c r="H3796" s="18" t="s">
        <v>34</v>
      </c>
      <c r="I3796" s="19" t="str">
        <f>IFERROR(__xludf.DUMMYFUNCTION("IFERROR(TO_DATE(H3796), """")"),"NA")</f>
        <v>NA</v>
      </c>
      <c r="J3796" s="19" t="s">
        <v>11</v>
      </c>
      <c r="K3796" s="22">
        <f t="shared" si="2"/>
        <v>1</v>
      </c>
    </row>
    <row r="3797">
      <c r="A3797" s="18">
        <v>4434.0</v>
      </c>
      <c r="B3797" s="18" t="s">
        <v>32</v>
      </c>
      <c r="C3797" s="18">
        <v>229.0</v>
      </c>
      <c r="D3797" s="18" t="s">
        <v>33</v>
      </c>
      <c r="E3797" s="27">
        <v>42565.35221064815</v>
      </c>
      <c r="F3797" s="19">
        <f>IFERROR(__xludf.DUMMYFUNCTION("IFERROR(TO_DATE(E3797), """")"),42565.35221064815)</f>
        <v>42565.35221</v>
      </c>
      <c r="G3797" s="20">
        <f t="shared" si="1"/>
        <v>8</v>
      </c>
      <c r="H3797" s="18" t="s">
        <v>34</v>
      </c>
      <c r="I3797" s="19" t="str">
        <f>IFERROR(__xludf.DUMMYFUNCTION("IFERROR(TO_DATE(H3797), """")"),"NA")</f>
        <v>NA</v>
      </c>
      <c r="J3797" s="19" t="s">
        <v>14</v>
      </c>
      <c r="K3797" s="22">
        <f t="shared" si="2"/>
        <v>1</v>
      </c>
    </row>
    <row r="3798">
      <c r="A3798" s="18">
        <v>5735.0</v>
      </c>
      <c r="B3798" s="18" t="s">
        <v>32</v>
      </c>
      <c r="C3798" s="18">
        <v>229.0</v>
      </c>
      <c r="D3798" s="18" t="s">
        <v>33</v>
      </c>
      <c r="E3798" s="27">
        <v>42566.32457175926</v>
      </c>
      <c r="F3798" s="19">
        <f>IFERROR(__xludf.DUMMYFUNCTION("IFERROR(TO_DATE(E3798), """")"),42566.32457175926)</f>
        <v>42566.32457</v>
      </c>
      <c r="G3798" s="20">
        <f t="shared" si="1"/>
        <v>7</v>
      </c>
      <c r="H3798" s="18" t="s">
        <v>34</v>
      </c>
      <c r="I3798" s="19" t="str">
        <f>IFERROR(__xludf.DUMMYFUNCTION("IFERROR(TO_DATE(H3798), """")"),"NA")</f>
        <v>NA</v>
      </c>
      <c r="J3798" s="19" t="s">
        <v>11</v>
      </c>
      <c r="K3798" s="22">
        <f t="shared" si="2"/>
        <v>1</v>
      </c>
    </row>
    <row r="3799">
      <c r="A3799" s="18">
        <v>6434.0</v>
      </c>
      <c r="B3799" s="18" t="s">
        <v>30</v>
      </c>
      <c r="C3799" s="18">
        <v>229.0</v>
      </c>
      <c r="D3799" s="18" t="s">
        <v>33</v>
      </c>
      <c r="E3799" s="27">
        <v>42566.8259837963</v>
      </c>
      <c r="F3799" s="19">
        <f>IFERROR(__xludf.DUMMYFUNCTION("IFERROR(TO_DATE(E3799), """")"),42566.8259837963)</f>
        <v>42566.82598</v>
      </c>
      <c r="G3799" s="20">
        <f t="shared" si="1"/>
        <v>19</v>
      </c>
      <c r="H3799" s="18" t="s">
        <v>34</v>
      </c>
      <c r="I3799" s="19" t="str">
        <f>IFERROR(__xludf.DUMMYFUNCTION("IFERROR(TO_DATE(H3799), """")"),"NA")</f>
        <v>NA</v>
      </c>
      <c r="J3799" s="19" t="s">
        <v>12</v>
      </c>
      <c r="K3799" s="22">
        <f t="shared" si="2"/>
        <v>1</v>
      </c>
    </row>
    <row r="3800">
      <c r="A3800" s="18">
        <v>623.0</v>
      </c>
      <c r="B3800" s="18" t="s">
        <v>30</v>
      </c>
      <c r="C3800" s="18">
        <v>230.0</v>
      </c>
      <c r="D3800" s="18" t="s">
        <v>33</v>
      </c>
      <c r="E3800" s="26">
        <v>42562.50208333333</v>
      </c>
      <c r="F3800" s="19">
        <f>IFERROR(__xludf.DUMMYFUNCTION("IFERROR(TO_DATE(E3800), """")"),42562.50208333333)</f>
        <v>42562.50208</v>
      </c>
      <c r="G3800" s="20">
        <f t="shared" si="1"/>
        <v>12</v>
      </c>
      <c r="H3800" s="18" t="s">
        <v>34</v>
      </c>
      <c r="I3800" s="19" t="str">
        <f>IFERROR(__xludf.DUMMYFUNCTION("IFERROR(TO_DATE(H3800), """")"),"NA")</f>
        <v>NA</v>
      </c>
      <c r="J3800" s="19" t="s">
        <v>10</v>
      </c>
      <c r="K3800" s="22">
        <f t="shared" si="2"/>
        <v>1</v>
      </c>
    </row>
    <row r="3801">
      <c r="A3801" s="18">
        <v>1521.0</v>
      </c>
      <c r="B3801" s="18" t="s">
        <v>32</v>
      </c>
      <c r="C3801" s="18">
        <v>230.0</v>
      </c>
      <c r="D3801" s="18" t="s">
        <v>33</v>
      </c>
      <c r="E3801" s="26">
        <v>42563.243055555555</v>
      </c>
      <c r="F3801" s="19">
        <f>IFERROR(__xludf.DUMMYFUNCTION("IFERROR(TO_DATE(E3801), """")"),42563.243055555555)</f>
        <v>42563.24306</v>
      </c>
      <c r="G3801" s="20">
        <f t="shared" si="1"/>
        <v>5</v>
      </c>
      <c r="H3801" s="18" t="s">
        <v>34</v>
      </c>
      <c r="I3801" s="19" t="str">
        <f>IFERROR(__xludf.DUMMYFUNCTION("IFERROR(TO_DATE(H3801), """")"),"NA")</f>
        <v>NA</v>
      </c>
      <c r="J3801" s="19" t="s">
        <v>11</v>
      </c>
      <c r="K3801" s="22">
        <f t="shared" si="2"/>
        <v>1</v>
      </c>
    </row>
    <row r="3802">
      <c r="A3802" s="18">
        <v>2771.0</v>
      </c>
      <c r="B3802" s="18" t="s">
        <v>32</v>
      </c>
      <c r="C3802" s="18">
        <v>230.0</v>
      </c>
      <c r="D3802" s="18" t="s">
        <v>33</v>
      </c>
      <c r="E3802" s="27">
        <v>42564.18375</v>
      </c>
      <c r="F3802" s="19">
        <f>IFERROR(__xludf.DUMMYFUNCTION("IFERROR(TO_DATE(E3802), """")"),42564.18375)</f>
        <v>42564.18375</v>
      </c>
      <c r="G3802" s="20">
        <f t="shared" si="1"/>
        <v>4</v>
      </c>
      <c r="H3802" s="18" t="s">
        <v>34</v>
      </c>
      <c r="I3802" s="19" t="str">
        <f>IFERROR(__xludf.DUMMYFUNCTION("IFERROR(TO_DATE(H3802), """")"),"NA")</f>
        <v>NA</v>
      </c>
      <c r="J3802" s="19" t="s">
        <v>11</v>
      </c>
      <c r="K3802" s="22">
        <f t="shared" si="2"/>
        <v>1</v>
      </c>
    </row>
    <row r="3803">
      <c r="A3803" s="18">
        <v>2873.0</v>
      </c>
      <c r="B3803" s="18" t="s">
        <v>32</v>
      </c>
      <c r="C3803" s="18">
        <v>230.0</v>
      </c>
      <c r="D3803" s="18" t="s">
        <v>33</v>
      </c>
      <c r="E3803" s="27">
        <v>42564.24233796296</v>
      </c>
      <c r="F3803" s="19">
        <f>IFERROR(__xludf.DUMMYFUNCTION("IFERROR(TO_DATE(E3803), """")"),42564.24233796296)</f>
        <v>42564.24234</v>
      </c>
      <c r="G3803" s="20">
        <f t="shared" si="1"/>
        <v>5</v>
      </c>
      <c r="H3803" s="18" t="s">
        <v>34</v>
      </c>
      <c r="I3803" s="19" t="str">
        <f>IFERROR(__xludf.DUMMYFUNCTION("IFERROR(TO_DATE(H3803), """")"),"NA")</f>
        <v>NA</v>
      </c>
      <c r="J3803" s="19" t="s">
        <v>11</v>
      </c>
      <c r="K3803" s="22">
        <f t="shared" si="2"/>
        <v>1</v>
      </c>
    </row>
    <row r="3804">
      <c r="A3804" s="18">
        <v>3320.0</v>
      </c>
      <c r="B3804" s="18" t="s">
        <v>30</v>
      </c>
      <c r="C3804" s="18">
        <v>230.0</v>
      </c>
      <c r="D3804" s="18" t="s">
        <v>33</v>
      </c>
      <c r="E3804" s="27">
        <v>42564.514710648145</v>
      </c>
      <c r="F3804" s="19">
        <f>IFERROR(__xludf.DUMMYFUNCTION("IFERROR(TO_DATE(E3804), """")"),42564.514710648145)</f>
        <v>42564.51471</v>
      </c>
      <c r="G3804" s="20">
        <f t="shared" si="1"/>
        <v>12</v>
      </c>
      <c r="H3804" s="18" t="s">
        <v>34</v>
      </c>
      <c r="I3804" s="19" t="str">
        <f>IFERROR(__xludf.DUMMYFUNCTION("IFERROR(TO_DATE(H3804), """")"),"NA")</f>
        <v>NA</v>
      </c>
      <c r="J3804" s="19" t="s">
        <v>10</v>
      </c>
      <c r="K3804" s="22">
        <f t="shared" si="2"/>
        <v>1</v>
      </c>
    </row>
    <row r="3805">
      <c r="A3805" s="18">
        <v>4571.0</v>
      </c>
      <c r="B3805" s="18" t="s">
        <v>32</v>
      </c>
      <c r="C3805" s="18">
        <v>230.0</v>
      </c>
      <c r="D3805" s="18" t="s">
        <v>33</v>
      </c>
      <c r="E3805" s="27">
        <v>42565.409212962964</v>
      </c>
      <c r="F3805" s="19">
        <f>IFERROR(__xludf.DUMMYFUNCTION("IFERROR(TO_DATE(E3805), """")"),42565.409212962964)</f>
        <v>42565.40921</v>
      </c>
      <c r="G3805" s="20">
        <f t="shared" si="1"/>
        <v>9</v>
      </c>
      <c r="H3805" s="18" t="s">
        <v>34</v>
      </c>
      <c r="I3805" s="19" t="str">
        <f>IFERROR(__xludf.DUMMYFUNCTION("IFERROR(TO_DATE(H3805), """")"),"NA")</f>
        <v>NA</v>
      </c>
      <c r="J3805" s="19" t="s">
        <v>14</v>
      </c>
      <c r="K3805" s="22">
        <f t="shared" si="2"/>
        <v>1</v>
      </c>
    </row>
    <row r="3806">
      <c r="A3806" s="18">
        <v>4600.0</v>
      </c>
      <c r="B3806" s="18" t="s">
        <v>32</v>
      </c>
      <c r="C3806" s="18">
        <v>230.0</v>
      </c>
      <c r="D3806" s="18" t="s">
        <v>33</v>
      </c>
      <c r="E3806" s="27">
        <v>42565.42256944445</v>
      </c>
      <c r="F3806" s="19">
        <f>IFERROR(__xludf.DUMMYFUNCTION("IFERROR(TO_DATE(E3806), """")"),42565.42256944445)</f>
        <v>42565.42257</v>
      </c>
      <c r="G3806" s="20">
        <f t="shared" si="1"/>
        <v>10</v>
      </c>
      <c r="H3806" s="18" t="s">
        <v>34</v>
      </c>
      <c r="I3806" s="19" t="str">
        <f>IFERROR(__xludf.DUMMYFUNCTION("IFERROR(TO_DATE(H3806), """")"),"NA")</f>
        <v>NA</v>
      </c>
      <c r="J3806" s="19" t="s">
        <v>14</v>
      </c>
      <c r="K3806" s="22">
        <f t="shared" si="2"/>
        <v>1</v>
      </c>
    </row>
    <row r="3807">
      <c r="A3807" s="18">
        <v>5341.0</v>
      </c>
      <c r="B3807" s="18" t="s">
        <v>32</v>
      </c>
      <c r="C3807" s="18">
        <v>230.0</v>
      </c>
      <c r="D3807" s="18" t="s">
        <v>33</v>
      </c>
      <c r="E3807" s="27">
        <v>42565.94065972222</v>
      </c>
      <c r="F3807" s="19">
        <f>IFERROR(__xludf.DUMMYFUNCTION("IFERROR(TO_DATE(E3807), """")"),42565.94065972222)</f>
        <v>42565.94066</v>
      </c>
      <c r="G3807" s="20">
        <f t="shared" si="1"/>
        <v>22</v>
      </c>
      <c r="H3807" s="18" t="s">
        <v>34</v>
      </c>
      <c r="I3807" s="19" t="str">
        <f>IFERROR(__xludf.DUMMYFUNCTION("IFERROR(TO_DATE(H3807), """")"),"NA")</f>
        <v>NA</v>
      </c>
      <c r="J3807" s="19" t="s">
        <v>13</v>
      </c>
      <c r="K3807" s="22">
        <f t="shared" si="2"/>
        <v>1</v>
      </c>
    </row>
    <row r="3808">
      <c r="A3808" s="18">
        <v>2435.0</v>
      </c>
      <c r="B3808" s="18" t="s">
        <v>32</v>
      </c>
      <c r="C3808" s="18">
        <v>231.0</v>
      </c>
      <c r="D3808" s="18" t="s">
        <v>33</v>
      </c>
      <c r="E3808" s="26">
        <v>42563.84097222222</v>
      </c>
      <c r="F3808" s="19">
        <f>IFERROR(__xludf.DUMMYFUNCTION("IFERROR(TO_DATE(E3808), """")"),42563.84097222222)</f>
        <v>42563.84097</v>
      </c>
      <c r="G3808" s="20">
        <f t="shared" si="1"/>
        <v>20</v>
      </c>
      <c r="H3808" s="18" t="s">
        <v>34</v>
      </c>
      <c r="I3808" s="19" t="str">
        <f>IFERROR(__xludf.DUMMYFUNCTION("IFERROR(TO_DATE(H3808), """")"),"NA")</f>
        <v>NA</v>
      </c>
      <c r="J3808" s="19" t="s">
        <v>13</v>
      </c>
      <c r="K3808" s="22">
        <f t="shared" si="2"/>
        <v>1</v>
      </c>
    </row>
    <row r="3809">
      <c r="A3809" s="18">
        <v>2919.0</v>
      </c>
      <c r="B3809" s="18" t="s">
        <v>32</v>
      </c>
      <c r="C3809" s="18">
        <v>231.0</v>
      </c>
      <c r="D3809" s="18" t="s">
        <v>33</v>
      </c>
      <c r="E3809" s="27">
        <v>42564.26322916667</v>
      </c>
      <c r="F3809" s="19">
        <f>IFERROR(__xludf.DUMMYFUNCTION("IFERROR(TO_DATE(E3809), """")"),42564.26322916667)</f>
        <v>42564.26323</v>
      </c>
      <c r="G3809" s="20">
        <f t="shared" si="1"/>
        <v>6</v>
      </c>
      <c r="H3809" s="18" t="s">
        <v>34</v>
      </c>
      <c r="I3809" s="19" t="str">
        <f>IFERROR(__xludf.DUMMYFUNCTION("IFERROR(TO_DATE(H3809), """")"),"NA")</f>
        <v>NA</v>
      </c>
      <c r="J3809" s="19" t="s">
        <v>11</v>
      </c>
      <c r="K3809" s="22">
        <f t="shared" si="2"/>
        <v>1</v>
      </c>
    </row>
    <row r="3810">
      <c r="A3810" s="18">
        <v>4712.0</v>
      </c>
      <c r="B3810" s="18" t="s">
        <v>32</v>
      </c>
      <c r="C3810" s="18">
        <v>231.0</v>
      </c>
      <c r="D3810" s="18" t="s">
        <v>33</v>
      </c>
      <c r="E3810" s="27">
        <v>42565.55826388889</v>
      </c>
      <c r="F3810" s="19">
        <f>IFERROR(__xludf.DUMMYFUNCTION("IFERROR(TO_DATE(E3810), """")"),42565.55826388889)</f>
        <v>42565.55826</v>
      </c>
      <c r="G3810" s="20">
        <f t="shared" si="1"/>
        <v>13</v>
      </c>
      <c r="H3810" s="18" t="s">
        <v>34</v>
      </c>
      <c r="I3810" s="19" t="str">
        <f>IFERROR(__xludf.DUMMYFUNCTION("IFERROR(TO_DATE(H3810), """")"),"NA")</f>
        <v>NA</v>
      </c>
      <c r="J3810" s="19" t="s">
        <v>10</v>
      </c>
      <c r="K3810" s="22">
        <f t="shared" si="2"/>
        <v>1</v>
      </c>
    </row>
    <row r="3811">
      <c r="A3811" s="18">
        <v>399.0</v>
      </c>
      <c r="B3811" s="18" t="s">
        <v>32</v>
      </c>
      <c r="C3811" s="18">
        <v>232.0</v>
      </c>
      <c r="D3811" s="18" t="s">
        <v>33</v>
      </c>
      <c r="E3811" s="26">
        <v>42562.350694444445</v>
      </c>
      <c r="F3811" s="19">
        <f>IFERROR(__xludf.DUMMYFUNCTION("IFERROR(TO_DATE(E3811), """")"),42562.350694444445)</f>
        <v>42562.35069</v>
      </c>
      <c r="G3811" s="20">
        <f t="shared" si="1"/>
        <v>8</v>
      </c>
      <c r="H3811" s="18" t="s">
        <v>34</v>
      </c>
      <c r="I3811" s="19" t="str">
        <f>IFERROR(__xludf.DUMMYFUNCTION("IFERROR(TO_DATE(H3811), """")"),"NA")</f>
        <v>NA</v>
      </c>
      <c r="J3811" s="19" t="s">
        <v>14</v>
      </c>
      <c r="K3811" s="22">
        <f t="shared" si="2"/>
        <v>1</v>
      </c>
    </row>
    <row r="3812">
      <c r="A3812" s="18">
        <v>2826.0</v>
      </c>
      <c r="B3812" s="18" t="s">
        <v>32</v>
      </c>
      <c r="C3812" s="18">
        <v>232.0</v>
      </c>
      <c r="D3812" s="18" t="s">
        <v>33</v>
      </c>
      <c r="E3812" s="27">
        <v>42564.21776620371</v>
      </c>
      <c r="F3812" s="19">
        <f>IFERROR(__xludf.DUMMYFUNCTION("IFERROR(TO_DATE(E3812), """")"),42564.21776620371)</f>
        <v>42564.21777</v>
      </c>
      <c r="G3812" s="20">
        <f t="shared" si="1"/>
        <v>5</v>
      </c>
      <c r="H3812" s="18" t="s">
        <v>34</v>
      </c>
      <c r="I3812" s="19" t="str">
        <f>IFERROR(__xludf.DUMMYFUNCTION("IFERROR(TO_DATE(H3812), """")"),"NA")</f>
        <v>NA</v>
      </c>
      <c r="J3812" s="19" t="s">
        <v>11</v>
      </c>
      <c r="K3812" s="22">
        <f t="shared" si="2"/>
        <v>1</v>
      </c>
    </row>
    <row r="3813">
      <c r="A3813" s="18">
        <v>3090.0</v>
      </c>
      <c r="B3813" s="18" t="s">
        <v>32</v>
      </c>
      <c r="C3813" s="18">
        <v>232.0</v>
      </c>
      <c r="D3813" s="18" t="s">
        <v>33</v>
      </c>
      <c r="E3813" s="27">
        <v>42564.342835648145</v>
      </c>
      <c r="F3813" s="19">
        <f>IFERROR(__xludf.DUMMYFUNCTION("IFERROR(TO_DATE(E3813), """")"),42564.342835648145)</f>
        <v>42564.34284</v>
      </c>
      <c r="G3813" s="20">
        <f t="shared" si="1"/>
        <v>8</v>
      </c>
      <c r="H3813" s="18" t="s">
        <v>34</v>
      </c>
      <c r="I3813" s="19" t="str">
        <f>IFERROR(__xludf.DUMMYFUNCTION("IFERROR(TO_DATE(H3813), """")"),"NA")</f>
        <v>NA</v>
      </c>
      <c r="J3813" s="19" t="s">
        <v>14</v>
      </c>
      <c r="K3813" s="22">
        <f t="shared" si="2"/>
        <v>1</v>
      </c>
    </row>
    <row r="3814">
      <c r="A3814" s="18">
        <v>4141.0</v>
      </c>
      <c r="B3814" s="18" t="s">
        <v>32</v>
      </c>
      <c r="C3814" s="18">
        <v>232.0</v>
      </c>
      <c r="D3814" s="18" t="s">
        <v>33</v>
      </c>
      <c r="E3814" s="27">
        <v>42565.19907407407</v>
      </c>
      <c r="F3814" s="19">
        <f>IFERROR(__xludf.DUMMYFUNCTION("IFERROR(TO_DATE(E3814), """")"),42565.19907407407)</f>
        <v>42565.19907</v>
      </c>
      <c r="G3814" s="20">
        <f t="shared" si="1"/>
        <v>4</v>
      </c>
      <c r="H3814" s="18" t="s">
        <v>34</v>
      </c>
      <c r="I3814" s="19" t="str">
        <f>IFERROR(__xludf.DUMMYFUNCTION("IFERROR(TO_DATE(H3814), """")"),"NA")</f>
        <v>NA</v>
      </c>
      <c r="J3814" s="19" t="s">
        <v>11</v>
      </c>
      <c r="K3814" s="22">
        <f t="shared" si="2"/>
        <v>1</v>
      </c>
    </row>
    <row r="3815">
      <c r="A3815" s="18">
        <v>5817.0</v>
      </c>
      <c r="B3815" s="18" t="s">
        <v>32</v>
      </c>
      <c r="C3815" s="18">
        <v>232.0</v>
      </c>
      <c r="D3815" s="18" t="s">
        <v>33</v>
      </c>
      <c r="E3815" s="27">
        <v>42566.36560185185</v>
      </c>
      <c r="F3815" s="19">
        <f>IFERROR(__xludf.DUMMYFUNCTION("IFERROR(TO_DATE(E3815), """")"),42566.36560185185)</f>
        <v>42566.3656</v>
      </c>
      <c r="G3815" s="20">
        <f t="shared" si="1"/>
        <v>8</v>
      </c>
      <c r="H3815" s="18" t="s">
        <v>34</v>
      </c>
      <c r="I3815" s="19" t="str">
        <f>IFERROR(__xludf.DUMMYFUNCTION("IFERROR(TO_DATE(H3815), """")"),"NA")</f>
        <v>NA</v>
      </c>
      <c r="J3815" s="19" t="s">
        <v>14</v>
      </c>
      <c r="K3815" s="22">
        <f t="shared" si="2"/>
        <v>1</v>
      </c>
    </row>
    <row r="3816">
      <c r="A3816" s="18">
        <v>1156.0</v>
      </c>
      <c r="B3816" s="18" t="s">
        <v>32</v>
      </c>
      <c r="C3816" s="18">
        <v>233.0</v>
      </c>
      <c r="D3816" s="18" t="s">
        <v>33</v>
      </c>
      <c r="E3816" s="26">
        <v>42562.865277777775</v>
      </c>
      <c r="F3816" s="19">
        <f>IFERROR(__xludf.DUMMYFUNCTION("IFERROR(TO_DATE(E3816), """")"),42562.865277777775)</f>
        <v>42562.86528</v>
      </c>
      <c r="G3816" s="20">
        <f t="shared" si="1"/>
        <v>20</v>
      </c>
      <c r="H3816" s="18" t="s">
        <v>34</v>
      </c>
      <c r="I3816" s="19" t="str">
        <f>IFERROR(__xludf.DUMMYFUNCTION("IFERROR(TO_DATE(H3816), """")"),"NA")</f>
        <v>NA</v>
      </c>
      <c r="J3816" s="19" t="s">
        <v>13</v>
      </c>
      <c r="K3816" s="22">
        <f t="shared" si="2"/>
        <v>1</v>
      </c>
    </row>
    <row r="3817">
      <c r="A3817" s="18">
        <v>3155.0</v>
      </c>
      <c r="B3817" s="18" t="s">
        <v>32</v>
      </c>
      <c r="C3817" s="18">
        <v>233.0</v>
      </c>
      <c r="D3817" s="18" t="s">
        <v>33</v>
      </c>
      <c r="E3817" s="27">
        <v>42564.37688657407</v>
      </c>
      <c r="F3817" s="19">
        <f>IFERROR(__xludf.DUMMYFUNCTION("IFERROR(TO_DATE(E3817), """")"),42564.37688657407)</f>
        <v>42564.37689</v>
      </c>
      <c r="G3817" s="20">
        <f t="shared" si="1"/>
        <v>9</v>
      </c>
      <c r="H3817" s="18" t="s">
        <v>34</v>
      </c>
      <c r="I3817" s="19" t="str">
        <f>IFERROR(__xludf.DUMMYFUNCTION("IFERROR(TO_DATE(H3817), """")"),"NA")</f>
        <v>NA</v>
      </c>
      <c r="J3817" s="19" t="s">
        <v>14</v>
      </c>
      <c r="K3817" s="22">
        <f t="shared" si="2"/>
        <v>1</v>
      </c>
    </row>
    <row r="3818">
      <c r="A3818" s="18">
        <v>5821.0</v>
      </c>
      <c r="B3818" s="18" t="s">
        <v>32</v>
      </c>
      <c r="C3818" s="18">
        <v>233.0</v>
      </c>
      <c r="D3818" s="18" t="s">
        <v>33</v>
      </c>
      <c r="E3818" s="27">
        <v>42566.371516203704</v>
      </c>
      <c r="F3818" s="19">
        <f>IFERROR(__xludf.DUMMYFUNCTION("IFERROR(TO_DATE(E3818), """")"),42566.371516203704)</f>
        <v>42566.37152</v>
      </c>
      <c r="G3818" s="20">
        <f t="shared" si="1"/>
        <v>8</v>
      </c>
      <c r="H3818" s="18" t="s">
        <v>34</v>
      </c>
      <c r="I3818" s="19" t="str">
        <f>IFERROR(__xludf.DUMMYFUNCTION("IFERROR(TO_DATE(H3818), """")"),"NA")</f>
        <v>NA</v>
      </c>
      <c r="J3818" s="19" t="s">
        <v>14</v>
      </c>
      <c r="K3818" s="22">
        <f t="shared" si="2"/>
        <v>1</v>
      </c>
    </row>
    <row r="3819">
      <c r="A3819" s="18">
        <v>552.0</v>
      </c>
      <c r="B3819" s="18" t="s">
        <v>32</v>
      </c>
      <c r="C3819" s="18">
        <v>234.0</v>
      </c>
      <c r="D3819" s="18" t="s">
        <v>33</v>
      </c>
      <c r="E3819" s="26">
        <v>42562.42152777778</v>
      </c>
      <c r="F3819" s="19">
        <f>IFERROR(__xludf.DUMMYFUNCTION("IFERROR(TO_DATE(E3819), """")"),42562.42152777778)</f>
        <v>42562.42153</v>
      </c>
      <c r="G3819" s="20">
        <f t="shared" si="1"/>
        <v>10</v>
      </c>
      <c r="H3819" s="18" t="s">
        <v>34</v>
      </c>
      <c r="I3819" s="19" t="str">
        <f>IFERROR(__xludf.DUMMYFUNCTION("IFERROR(TO_DATE(H3819), """")"),"NA")</f>
        <v>NA</v>
      </c>
      <c r="J3819" s="19" t="s">
        <v>14</v>
      </c>
      <c r="K3819" s="22">
        <f t="shared" si="2"/>
        <v>1</v>
      </c>
    </row>
    <row r="3820">
      <c r="A3820" s="18">
        <v>589.0</v>
      </c>
      <c r="B3820" s="18" t="s">
        <v>30</v>
      </c>
      <c r="C3820" s="18">
        <v>234.0</v>
      </c>
      <c r="D3820" s="18" t="s">
        <v>33</v>
      </c>
      <c r="E3820" s="26">
        <v>42562.47152777778</v>
      </c>
      <c r="F3820" s="19">
        <f>IFERROR(__xludf.DUMMYFUNCTION("IFERROR(TO_DATE(E3820), """")"),42562.47152777778)</f>
        <v>42562.47153</v>
      </c>
      <c r="G3820" s="20">
        <f t="shared" si="1"/>
        <v>11</v>
      </c>
      <c r="H3820" s="18" t="s">
        <v>34</v>
      </c>
      <c r="I3820" s="19" t="str">
        <f>IFERROR(__xludf.DUMMYFUNCTION("IFERROR(TO_DATE(H3820), """")"),"NA")</f>
        <v>NA</v>
      </c>
      <c r="J3820" s="19" t="s">
        <v>14</v>
      </c>
      <c r="K3820" s="22">
        <f t="shared" si="2"/>
        <v>1</v>
      </c>
    </row>
    <row r="3821">
      <c r="A3821" s="18">
        <v>3218.0</v>
      </c>
      <c r="B3821" s="18" t="s">
        <v>32</v>
      </c>
      <c r="C3821" s="18">
        <v>234.0</v>
      </c>
      <c r="D3821" s="18" t="s">
        <v>33</v>
      </c>
      <c r="E3821" s="27">
        <v>42564.40971064815</v>
      </c>
      <c r="F3821" s="19">
        <f>IFERROR(__xludf.DUMMYFUNCTION("IFERROR(TO_DATE(E3821), """")"),42564.40971064815)</f>
        <v>42564.40971</v>
      </c>
      <c r="G3821" s="20">
        <f t="shared" si="1"/>
        <v>9</v>
      </c>
      <c r="H3821" s="18" t="s">
        <v>34</v>
      </c>
      <c r="I3821" s="19" t="str">
        <f>IFERROR(__xludf.DUMMYFUNCTION("IFERROR(TO_DATE(H3821), """")"),"NA")</f>
        <v>NA</v>
      </c>
      <c r="J3821" s="19" t="s">
        <v>14</v>
      </c>
      <c r="K3821" s="22">
        <f t="shared" si="2"/>
        <v>1</v>
      </c>
    </row>
    <row r="3822">
      <c r="A3822" s="18">
        <v>3287.0</v>
      </c>
      <c r="B3822" s="18" t="s">
        <v>32</v>
      </c>
      <c r="C3822" s="18">
        <v>234.0</v>
      </c>
      <c r="D3822" s="18" t="s">
        <v>33</v>
      </c>
      <c r="E3822" s="27">
        <v>42564.46803240741</v>
      </c>
      <c r="F3822" s="19">
        <f>IFERROR(__xludf.DUMMYFUNCTION("IFERROR(TO_DATE(E3822), """")"),42564.46803240741)</f>
        <v>42564.46803</v>
      </c>
      <c r="G3822" s="20">
        <f t="shared" si="1"/>
        <v>11</v>
      </c>
      <c r="H3822" s="18" t="s">
        <v>34</v>
      </c>
      <c r="I3822" s="19" t="str">
        <f>IFERROR(__xludf.DUMMYFUNCTION("IFERROR(TO_DATE(H3822), """")"),"NA")</f>
        <v>NA</v>
      </c>
      <c r="J3822" s="19" t="s">
        <v>14</v>
      </c>
      <c r="K3822" s="22">
        <f t="shared" si="2"/>
        <v>1</v>
      </c>
    </row>
    <row r="3823">
      <c r="A3823" s="18">
        <v>5557.0</v>
      </c>
      <c r="B3823" s="18" t="s">
        <v>32</v>
      </c>
      <c r="C3823" s="18">
        <v>234.0</v>
      </c>
      <c r="D3823" s="18" t="s">
        <v>33</v>
      </c>
      <c r="E3823" s="27">
        <v>42566.23600694445</v>
      </c>
      <c r="F3823" s="19">
        <f>IFERROR(__xludf.DUMMYFUNCTION("IFERROR(TO_DATE(E3823), """")"),42566.23600694445)</f>
        <v>42566.23601</v>
      </c>
      <c r="G3823" s="20">
        <f t="shared" si="1"/>
        <v>5</v>
      </c>
      <c r="H3823" s="18" t="s">
        <v>34</v>
      </c>
      <c r="I3823" s="19" t="str">
        <f>IFERROR(__xludf.DUMMYFUNCTION("IFERROR(TO_DATE(H3823), """")"),"NA")</f>
        <v>NA</v>
      </c>
      <c r="J3823" s="19" t="s">
        <v>11</v>
      </c>
      <c r="K3823" s="22">
        <f t="shared" si="2"/>
        <v>1</v>
      </c>
    </row>
    <row r="3824">
      <c r="A3824" s="18">
        <v>5874.0</v>
      </c>
      <c r="B3824" s="18" t="s">
        <v>32</v>
      </c>
      <c r="C3824" s="18">
        <v>234.0</v>
      </c>
      <c r="D3824" s="18" t="s">
        <v>33</v>
      </c>
      <c r="E3824" s="27">
        <v>42566.390011574076</v>
      </c>
      <c r="F3824" s="19">
        <f>IFERROR(__xludf.DUMMYFUNCTION("IFERROR(TO_DATE(E3824), """")"),42566.390011574076)</f>
        <v>42566.39001</v>
      </c>
      <c r="G3824" s="20">
        <f t="shared" si="1"/>
        <v>9</v>
      </c>
      <c r="H3824" s="18" t="s">
        <v>34</v>
      </c>
      <c r="I3824" s="19" t="str">
        <f>IFERROR(__xludf.DUMMYFUNCTION("IFERROR(TO_DATE(H3824), """")"),"NA")</f>
        <v>NA</v>
      </c>
      <c r="J3824" s="19" t="s">
        <v>14</v>
      </c>
      <c r="K3824" s="22">
        <f t="shared" si="2"/>
        <v>1</v>
      </c>
    </row>
    <row r="3825">
      <c r="A3825" s="18">
        <v>1117.0</v>
      </c>
      <c r="B3825" s="18" t="s">
        <v>30</v>
      </c>
      <c r="C3825" s="18">
        <v>235.0</v>
      </c>
      <c r="D3825" s="18" t="s">
        <v>33</v>
      </c>
      <c r="E3825" s="26">
        <v>42562.845138888886</v>
      </c>
      <c r="F3825" s="19">
        <f>IFERROR(__xludf.DUMMYFUNCTION("IFERROR(TO_DATE(E3825), """")"),42562.845138888886)</f>
        <v>42562.84514</v>
      </c>
      <c r="G3825" s="20">
        <f t="shared" si="1"/>
        <v>20</v>
      </c>
      <c r="H3825" s="18" t="s">
        <v>34</v>
      </c>
      <c r="I3825" s="19" t="str">
        <f>IFERROR(__xludf.DUMMYFUNCTION("IFERROR(TO_DATE(H3825), """")"),"NA")</f>
        <v>NA</v>
      </c>
      <c r="J3825" s="19" t="s">
        <v>13</v>
      </c>
      <c r="K3825" s="22">
        <f t="shared" si="2"/>
        <v>1</v>
      </c>
    </row>
    <row r="3826">
      <c r="A3826" s="18">
        <v>2820.0</v>
      </c>
      <c r="B3826" s="18" t="s">
        <v>32</v>
      </c>
      <c r="C3826" s="18">
        <v>235.0</v>
      </c>
      <c r="D3826" s="18" t="s">
        <v>33</v>
      </c>
      <c r="E3826" s="27">
        <v>42564.21805555555</v>
      </c>
      <c r="F3826" s="19">
        <f>IFERROR(__xludf.DUMMYFUNCTION("IFERROR(TO_DATE(E3826), """")"),42564.21805555555)</f>
        <v>42564.21806</v>
      </c>
      <c r="G3826" s="20">
        <f t="shared" si="1"/>
        <v>5</v>
      </c>
      <c r="H3826" s="18" t="s">
        <v>34</v>
      </c>
      <c r="I3826" s="19" t="str">
        <f>IFERROR(__xludf.DUMMYFUNCTION("IFERROR(TO_DATE(H3826), """")"),"NA")</f>
        <v>NA</v>
      </c>
      <c r="J3826" s="19" t="s">
        <v>11</v>
      </c>
      <c r="K3826" s="22">
        <f t="shared" si="2"/>
        <v>1</v>
      </c>
    </row>
    <row r="3827">
      <c r="A3827" s="18">
        <v>3083.0</v>
      </c>
      <c r="B3827" s="18" t="s">
        <v>32</v>
      </c>
      <c r="C3827" s="18">
        <v>235.0</v>
      </c>
      <c r="D3827" s="18" t="s">
        <v>33</v>
      </c>
      <c r="E3827" s="27">
        <v>42564.344456018516</v>
      </c>
      <c r="F3827" s="19">
        <f>IFERROR(__xludf.DUMMYFUNCTION("IFERROR(TO_DATE(E3827), """")"),42564.344456018516)</f>
        <v>42564.34446</v>
      </c>
      <c r="G3827" s="20">
        <f t="shared" si="1"/>
        <v>8</v>
      </c>
      <c r="H3827" s="18" t="s">
        <v>34</v>
      </c>
      <c r="I3827" s="19" t="str">
        <f>IFERROR(__xludf.DUMMYFUNCTION("IFERROR(TO_DATE(H3827), """")"),"NA")</f>
        <v>NA</v>
      </c>
      <c r="J3827" s="19" t="s">
        <v>14</v>
      </c>
      <c r="K3827" s="22">
        <f t="shared" si="2"/>
        <v>1</v>
      </c>
    </row>
    <row r="3828">
      <c r="A3828" s="18">
        <v>185.0</v>
      </c>
      <c r="B3828" s="18" t="s">
        <v>32</v>
      </c>
      <c r="C3828" s="18">
        <v>236.0</v>
      </c>
      <c r="D3828" s="18" t="s">
        <v>33</v>
      </c>
      <c r="E3828" s="26">
        <v>42562.23819444444</v>
      </c>
      <c r="F3828" s="19">
        <f>IFERROR(__xludf.DUMMYFUNCTION("IFERROR(TO_DATE(E3828), """")"),42562.23819444444)</f>
        <v>42562.23819</v>
      </c>
      <c r="G3828" s="20">
        <f t="shared" si="1"/>
        <v>5</v>
      </c>
      <c r="H3828" s="18" t="s">
        <v>34</v>
      </c>
      <c r="I3828" s="19" t="str">
        <f>IFERROR(__xludf.DUMMYFUNCTION("IFERROR(TO_DATE(H3828), """")"),"NA")</f>
        <v>NA</v>
      </c>
      <c r="J3828" s="19" t="s">
        <v>11</v>
      </c>
      <c r="K3828" s="22">
        <f t="shared" si="2"/>
        <v>1</v>
      </c>
    </row>
    <row r="3829">
      <c r="A3829" s="18">
        <v>2922.0</v>
      </c>
      <c r="B3829" s="18" t="s">
        <v>32</v>
      </c>
      <c r="C3829" s="18">
        <v>236.0</v>
      </c>
      <c r="D3829" s="18" t="s">
        <v>33</v>
      </c>
      <c r="E3829" s="27">
        <v>42564.267905092594</v>
      </c>
      <c r="F3829" s="19">
        <f>IFERROR(__xludf.DUMMYFUNCTION("IFERROR(TO_DATE(E3829), """")"),42564.267905092594)</f>
        <v>42564.26791</v>
      </c>
      <c r="G3829" s="20">
        <f t="shared" si="1"/>
        <v>6</v>
      </c>
      <c r="H3829" s="18" t="s">
        <v>34</v>
      </c>
      <c r="I3829" s="19" t="str">
        <f>IFERROR(__xludf.DUMMYFUNCTION("IFERROR(TO_DATE(H3829), """")"),"NA")</f>
        <v>NA</v>
      </c>
      <c r="J3829" s="19" t="s">
        <v>11</v>
      </c>
      <c r="K3829" s="22">
        <f t="shared" si="2"/>
        <v>1</v>
      </c>
    </row>
    <row r="3830">
      <c r="A3830" s="18">
        <v>4379.0</v>
      </c>
      <c r="B3830" s="18" t="s">
        <v>32</v>
      </c>
      <c r="C3830" s="18">
        <v>236.0</v>
      </c>
      <c r="D3830" s="18" t="s">
        <v>33</v>
      </c>
      <c r="E3830" s="27">
        <v>42565.3221875</v>
      </c>
      <c r="F3830" s="19">
        <f>IFERROR(__xludf.DUMMYFUNCTION("IFERROR(TO_DATE(E3830), """")"),42565.3221875)</f>
        <v>42565.32219</v>
      </c>
      <c r="G3830" s="20">
        <f t="shared" si="1"/>
        <v>7</v>
      </c>
      <c r="H3830" s="18" t="s">
        <v>34</v>
      </c>
      <c r="I3830" s="19" t="str">
        <f>IFERROR(__xludf.DUMMYFUNCTION("IFERROR(TO_DATE(H3830), """")"),"NA")</f>
        <v>NA</v>
      </c>
      <c r="J3830" s="19" t="s">
        <v>11</v>
      </c>
      <c r="K3830" s="22">
        <f t="shared" si="2"/>
        <v>1</v>
      </c>
    </row>
    <row r="3831">
      <c r="A3831" s="18">
        <v>1846.0</v>
      </c>
      <c r="B3831" s="18" t="s">
        <v>32</v>
      </c>
      <c r="C3831" s="18">
        <v>237.0</v>
      </c>
      <c r="D3831" s="18" t="s">
        <v>33</v>
      </c>
      <c r="E3831" s="26">
        <v>42563.404861111114</v>
      </c>
      <c r="F3831" s="19">
        <f>IFERROR(__xludf.DUMMYFUNCTION("IFERROR(TO_DATE(E3831), """")"),42563.404861111114)</f>
        <v>42563.40486</v>
      </c>
      <c r="G3831" s="20">
        <f t="shared" si="1"/>
        <v>9</v>
      </c>
      <c r="H3831" s="18" t="s">
        <v>34</v>
      </c>
      <c r="I3831" s="19" t="str">
        <f>IFERROR(__xludf.DUMMYFUNCTION("IFERROR(TO_DATE(H3831), """")"),"NA")</f>
        <v>NA</v>
      </c>
      <c r="J3831" s="19" t="s">
        <v>14</v>
      </c>
      <c r="K3831" s="22">
        <f t="shared" si="2"/>
        <v>1</v>
      </c>
    </row>
    <row r="3832">
      <c r="A3832" s="18">
        <v>2778.0</v>
      </c>
      <c r="B3832" s="18" t="s">
        <v>30</v>
      </c>
      <c r="C3832" s="18">
        <v>237.0</v>
      </c>
      <c r="D3832" s="18" t="s">
        <v>33</v>
      </c>
      <c r="E3832" s="27">
        <v>42564.198541666665</v>
      </c>
      <c r="F3832" s="19">
        <f>IFERROR(__xludf.DUMMYFUNCTION("IFERROR(TO_DATE(E3832), """")"),42564.198541666665)</f>
        <v>42564.19854</v>
      </c>
      <c r="G3832" s="20">
        <f t="shared" si="1"/>
        <v>4</v>
      </c>
      <c r="H3832" s="18" t="s">
        <v>34</v>
      </c>
      <c r="I3832" s="19" t="str">
        <f>IFERROR(__xludf.DUMMYFUNCTION("IFERROR(TO_DATE(H3832), """")"),"NA")</f>
        <v>NA</v>
      </c>
      <c r="J3832" s="19" t="s">
        <v>11</v>
      </c>
      <c r="K3832" s="22">
        <f t="shared" si="2"/>
        <v>1</v>
      </c>
    </row>
    <row r="3833">
      <c r="A3833" s="18">
        <v>4161.0</v>
      </c>
      <c r="B3833" s="18" t="s">
        <v>32</v>
      </c>
      <c r="C3833" s="18">
        <v>237.0</v>
      </c>
      <c r="D3833" s="18" t="s">
        <v>33</v>
      </c>
      <c r="E3833" s="27">
        <v>42565.21265046296</v>
      </c>
      <c r="F3833" s="19">
        <f>IFERROR(__xludf.DUMMYFUNCTION("IFERROR(TO_DATE(E3833), """")"),42565.21265046296)</f>
        <v>42565.21265</v>
      </c>
      <c r="G3833" s="20">
        <f t="shared" si="1"/>
        <v>5</v>
      </c>
      <c r="H3833" s="18" t="s">
        <v>34</v>
      </c>
      <c r="I3833" s="19" t="str">
        <f>IFERROR(__xludf.DUMMYFUNCTION("IFERROR(TO_DATE(H3833), """")"),"NA")</f>
        <v>NA</v>
      </c>
      <c r="J3833" s="19" t="s">
        <v>11</v>
      </c>
      <c r="K3833" s="22">
        <f t="shared" si="2"/>
        <v>1</v>
      </c>
    </row>
    <row r="3834">
      <c r="A3834" s="18">
        <v>5702.0</v>
      </c>
      <c r="B3834" s="18" t="s">
        <v>32</v>
      </c>
      <c r="C3834" s="18">
        <v>237.0</v>
      </c>
      <c r="D3834" s="18" t="s">
        <v>33</v>
      </c>
      <c r="E3834" s="27">
        <v>42566.317407407405</v>
      </c>
      <c r="F3834" s="19">
        <f>IFERROR(__xludf.DUMMYFUNCTION("IFERROR(TO_DATE(E3834), """")"),42566.317407407405)</f>
        <v>42566.31741</v>
      </c>
      <c r="G3834" s="20">
        <f t="shared" si="1"/>
        <v>7</v>
      </c>
      <c r="H3834" s="18" t="s">
        <v>34</v>
      </c>
      <c r="I3834" s="19" t="str">
        <f>IFERROR(__xludf.DUMMYFUNCTION("IFERROR(TO_DATE(H3834), """")"),"NA")</f>
        <v>NA</v>
      </c>
      <c r="J3834" s="19" t="s">
        <v>11</v>
      </c>
      <c r="K3834" s="22">
        <f t="shared" si="2"/>
        <v>1</v>
      </c>
    </row>
    <row r="3835">
      <c r="A3835" s="18">
        <v>5808.0</v>
      </c>
      <c r="B3835" s="18" t="s">
        <v>32</v>
      </c>
      <c r="C3835" s="18">
        <v>237.0</v>
      </c>
      <c r="D3835" s="18" t="s">
        <v>33</v>
      </c>
      <c r="E3835" s="27">
        <v>42566.36106481482</v>
      </c>
      <c r="F3835" s="19">
        <f>IFERROR(__xludf.DUMMYFUNCTION("IFERROR(TO_DATE(E3835), """")"),42566.36106481482)</f>
        <v>42566.36106</v>
      </c>
      <c r="G3835" s="20">
        <f t="shared" si="1"/>
        <v>8</v>
      </c>
      <c r="H3835" s="18" t="s">
        <v>34</v>
      </c>
      <c r="I3835" s="19" t="str">
        <f>IFERROR(__xludf.DUMMYFUNCTION("IFERROR(TO_DATE(H3835), """")"),"NA")</f>
        <v>NA</v>
      </c>
      <c r="J3835" s="19" t="s">
        <v>14</v>
      </c>
      <c r="K3835" s="22">
        <f t="shared" si="2"/>
        <v>1</v>
      </c>
    </row>
    <row r="3836">
      <c r="A3836" s="18">
        <v>298.0</v>
      </c>
      <c r="B3836" s="18" t="s">
        <v>32</v>
      </c>
      <c r="C3836" s="18">
        <v>238.0</v>
      </c>
      <c r="D3836" s="18" t="s">
        <v>33</v>
      </c>
      <c r="E3836" s="26">
        <v>42562.302083333336</v>
      </c>
      <c r="F3836" s="19">
        <f>IFERROR(__xludf.DUMMYFUNCTION("IFERROR(TO_DATE(E3836), """")"),42562.302083333336)</f>
        <v>42562.30208</v>
      </c>
      <c r="G3836" s="20">
        <f t="shared" si="1"/>
        <v>7</v>
      </c>
      <c r="H3836" s="18" t="s">
        <v>34</v>
      </c>
      <c r="I3836" s="19" t="str">
        <f>IFERROR(__xludf.DUMMYFUNCTION("IFERROR(TO_DATE(H3836), """")"),"NA")</f>
        <v>NA</v>
      </c>
      <c r="J3836" s="19" t="s">
        <v>11</v>
      </c>
      <c r="K3836" s="22">
        <f t="shared" si="2"/>
        <v>1</v>
      </c>
    </row>
    <row r="3837">
      <c r="A3837" s="18">
        <v>4602.0</v>
      </c>
      <c r="B3837" s="18" t="s">
        <v>30</v>
      </c>
      <c r="C3837" s="18">
        <v>238.0</v>
      </c>
      <c r="D3837" s="18" t="s">
        <v>33</v>
      </c>
      <c r="E3837" s="27">
        <v>42565.425983796296</v>
      </c>
      <c r="F3837" s="19">
        <f>IFERROR(__xludf.DUMMYFUNCTION("IFERROR(TO_DATE(E3837), """")"),42565.425983796296)</f>
        <v>42565.42598</v>
      </c>
      <c r="G3837" s="20">
        <f t="shared" si="1"/>
        <v>10</v>
      </c>
      <c r="H3837" s="18" t="s">
        <v>34</v>
      </c>
      <c r="I3837" s="19" t="str">
        <f>IFERROR(__xludf.DUMMYFUNCTION("IFERROR(TO_DATE(H3837), """")"),"NA")</f>
        <v>NA</v>
      </c>
      <c r="J3837" s="19" t="s">
        <v>14</v>
      </c>
      <c r="K3837" s="22">
        <f t="shared" si="2"/>
        <v>1</v>
      </c>
    </row>
    <row r="3838">
      <c r="A3838" s="18">
        <v>5650.0</v>
      </c>
      <c r="B3838" s="18" t="s">
        <v>32</v>
      </c>
      <c r="C3838" s="18">
        <v>238.0</v>
      </c>
      <c r="D3838" s="18" t="s">
        <v>33</v>
      </c>
      <c r="E3838" s="27">
        <v>42566.29122685185</v>
      </c>
      <c r="F3838" s="19">
        <f>IFERROR(__xludf.DUMMYFUNCTION("IFERROR(TO_DATE(E3838), """")"),42566.29122685185)</f>
        <v>42566.29123</v>
      </c>
      <c r="G3838" s="20">
        <f t="shared" si="1"/>
        <v>6</v>
      </c>
      <c r="H3838" s="18" t="s">
        <v>34</v>
      </c>
      <c r="I3838" s="19" t="str">
        <f>IFERROR(__xludf.DUMMYFUNCTION("IFERROR(TO_DATE(H3838), """")"),"NA")</f>
        <v>NA</v>
      </c>
      <c r="J3838" s="19" t="s">
        <v>11</v>
      </c>
      <c r="K3838" s="22">
        <f t="shared" si="2"/>
        <v>1</v>
      </c>
    </row>
    <row r="3839">
      <c r="A3839" s="18">
        <v>508.0</v>
      </c>
      <c r="B3839" s="18" t="s">
        <v>32</v>
      </c>
      <c r="C3839" s="18">
        <v>239.0</v>
      </c>
      <c r="D3839" s="18" t="s">
        <v>33</v>
      </c>
      <c r="E3839" s="26">
        <v>42562.40277777778</v>
      </c>
      <c r="F3839" s="19">
        <f>IFERROR(__xludf.DUMMYFUNCTION("IFERROR(TO_DATE(E3839), """")"),42562.40277777778)</f>
        <v>42562.40278</v>
      </c>
      <c r="G3839" s="20">
        <f t="shared" si="1"/>
        <v>9</v>
      </c>
      <c r="H3839" s="18" t="s">
        <v>34</v>
      </c>
      <c r="I3839" s="19" t="str">
        <f>IFERROR(__xludf.DUMMYFUNCTION("IFERROR(TO_DATE(H3839), """")"),"NA")</f>
        <v>NA</v>
      </c>
      <c r="J3839" s="19" t="s">
        <v>14</v>
      </c>
      <c r="K3839" s="22">
        <f t="shared" si="2"/>
        <v>1</v>
      </c>
    </row>
    <row r="3840">
      <c r="A3840" s="18">
        <v>1419.0</v>
      </c>
      <c r="B3840" s="18" t="s">
        <v>32</v>
      </c>
      <c r="C3840" s="18">
        <v>239.0</v>
      </c>
      <c r="D3840" s="18" t="s">
        <v>33</v>
      </c>
      <c r="E3840" s="26">
        <v>42563.16458333333</v>
      </c>
      <c r="F3840" s="19">
        <f>IFERROR(__xludf.DUMMYFUNCTION("IFERROR(TO_DATE(E3840), """")"),42563.16458333333)</f>
        <v>42563.16458</v>
      </c>
      <c r="G3840" s="20">
        <f t="shared" si="1"/>
        <v>3</v>
      </c>
      <c r="H3840" s="18" t="s">
        <v>34</v>
      </c>
      <c r="I3840" s="19" t="str">
        <f>IFERROR(__xludf.DUMMYFUNCTION("IFERROR(TO_DATE(H3840), """")"),"NA")</f>
        <v>NA</v>
      </c>
      <c r="J3840" s="19" t="s">
        <v>15</v>
      </c>
      <c r="K3840" s="22">
        <f t="shared" si="2"/>
        <v>1</v>
      </c>
    </row>
    <row r="3841">
      <c r="A3841" s="18">
        <v>3114.0</v>
      </c>
      <c r="B3841" s="18" t="s">
        <v>32</v>
      </c>
      <c r="C3841" s="18">
        <v>239.0</v>
      </c>
      <c r="D3841" s="18" t="s">
        <v>33</v>
      </c>
      <c r="E3841" s="27">
        <v>42564.3599537037</v>
      </c>
      <c r="F3841" s="19">
        <f>IFERROR(__xludf.DUMMYFUNCTION("IFERROR(TO_DATE(E3841), """")"),42564.3599537037)</f>
        <v>42564.35995</v>
      </c>
      <c r="G3841" s="20">
        <f t="shared" si="1"/>
        <v>8</v>
      </c>
      <c r="H3841" s="18" t="s">
        <v>34</v>
      </c>
      <c r="I3841" s="19" t="str">
        <f>IFERROR(__xludf.DUMMYFUNCTION("IFERROR(TO_DATE(H3841), """")"),"NA")</f>
        <v>NA</v>
      </c>
      <c r="J3841" s="19" t="s">
        <v>14</v>
      </c>
      <c r="K3841" s="22">
        <f t="shared" si="2"/>
        <v>1</v>
      </c>
    </row>
    <row r="3842">
      <c r="A3842" s="18">
        <v>309.0</v>
      </c>
      <c r="B3842" s="18" t="s">
        <v>32</v>
      </c>
      <c r="C3842" s="18">
        <v>240.0</v>
      </c>
      <c r="D3842" s="18" t="s">
        <v>33</v>
      </c>
      <c r="E3842" s="26">
        <v>42562.30416666667</v>
      </c>
      <c r="F3842" s="19">
        <f>IFERROR(__xludf.DUMMYFUNCTION("IFERROR(TO_DATE(E3842), """")"),42562.30416666667)</f>
        <v>42562.30417</v>
      </c>
      <c r="G3842" s="20">
        <f t="shared" si="1"/>
        <v>7</v>
      </c>
      <c r="H3842" s="18" t="s">
        <v>34</v>
      </c>
      <c r="I3842" s="19" t="str">
        <f>IFERROR(__xludf.DUMMYFUNCTION("IFERROR(TO_DATE(H3842), """")"),"NA")</f>
        <v>NA</v>
      </c>
      <c r="J3842" s="19" t="s">
        <v>11</v>
      </c>
      <c r="K3842" s="22">
        <f t="shared" si="2"/>
        <v>1</v>
      </c>
    </row>
    <row r="3843">
      <c r="A3843" s="18">
        <v>327.0</v>
      </c>
      <c r="B3843" s="18" t="s">
        <v>32</v>
      </c>
      <c r="C3843" s="18">
        <v>240.0</v>
      </c>
      <c r="D3843" s="18" t="s">
        <v>33</v>
      </c>
      <c r="E3843" s="26">
        <v>42562.31458333333</v>
      </c>
      <c r="F3843" s="19">
        <f>IFERROR(__xludf.DUMMYFUNCTION("IFERROR(TO_DATE(E3843), """")"),42562.31458333333)</f>
        <v>42562.31458</v>
      </c>
      <c r="G3843" s="20">
        <f t="shared" si="1"/>
        <v>7</v>
      </c>
      <c r="H3843" s="18" t="s">
        <v>34</v>
      </c>
      <c r="I3843" s="19" t="str">
        <f>IFERROR(__xludf.DUMMYFUNCTION("IFERROR(TO_DATE(H3843), """")"),"NA")</f>
        <v>NA</v>
      </c>
      <c r="J3843" s="19" t="s">
        <v>11</v>
      </c>
      <c r="K3843" s="22">
        <f t="shared" si="2"/>
        <v>1</v>
      </c>
    </row>
    <row r="3844">
      <c r="A3844" s="18">
        <v>1491.0</v>
      </c>
      <c r="B3844" s="18" t="s">
        <v>32</v>
      </c>
      <c r="C3844" s="18">
        <v>240.0</v>
      </c>
      <c r="D3844" s="18" t="s">
        <v>33</v>
      </c>
      <c r="E3844" s="26">
        <v>42563.23333333333</v>
      </c>
      <c r="F3844" s="19">
        <f>IFERROR(__xludf.DUMMYFUNCTION("IFERROR(TO_DATE(E3844), """")"),42563.23333333333)</f>
        <v>42563.23333</v>
      </c>
      <c r="G3844" s="20">
        <f t="shared" si="1"/>
        <v>5</v>
      </c>
      <c r="H3844" s="18" t="s">
        <v>34</v>
      </c>
      <c r="I3844" s="19" t="str">
        <f>IFERROR(__xludf.DUMMYFUNCTION("IFERROR(TO_DATE(H3844), """")"),"NA")</f>
        <v>NA</v>
      </c>
      <c r="J3844" s="19" t="s">
        <v>11</v>
      </c>
      <c r="K3844" s="22">
        <f t="shared" si="2"/>
        <v>1</v>
      </c>
    </row>
    <row r="3845">
      <c r="A3845" s="18">
        <v>4392.0</v>
      </c>
      <c r="B3845" s="18" t="s">
        <v>32</v>
      </c>
      <c r="C3845" s="18">
        <v>240.0</v>
      </c>
      <c r="D3845" s="18" t="s">
        <v>33</v>
      </c>
      <c r="E3845" s="27">
        <v>42565.33075231482</v>
      </c>
      <c r="F3845" s="19">
        <f>IFERROR(__xludf.DUMMYFUNCTION("IFERROR(TO_DATE(E3845), """")"),42565.33075231482)</f>
        <v>42565.33075</v>
      </c>
      <c r="G3845" s="20">
        <f t="shared" si="1"/>
        <v>7</v>
      </c>
      <c r="H3845" s="18" t="s">
        <v>34</v>
      </c>
      <c r="I3845" s="19" t="str">
        <f>IFERROR(__xludf.DUMMYFUNCTION("IFERROR(TO_DATE(H3845), """")"),"NA")</f>
        <v>NA</v>
      </c>
      <c r="J3845" s="19" t="s">
        <v>11</v>
      </c>
      <c r="K3845" s="22">
        <f t="shared" si="2"/>
        <v>1</v>
      </c>
    </row>
    <row r="3846">
      <c r="A3846" s="18">
        <v>5396.0</v>
      </c>
      <c r="B3846" s="18" t="s">
        <v>32</v>
      </c>
      <c r="C3846" s="18">
        <v>240.0</v>
      </c>
      <c r="D3846" s="18" t="s">
        <v>33</v>
      </c>
      <c r="E3846" s="27">
        <v>42566.03763888889</v>
      </c>
      <c r="F3846" s="19">
        <f>IFERROR(__xludf.DUMMYFUNCTION("IFERROR(TO_DATE(E3846), """")"),42566.03763888889)</f>
        <v>42566.03764</v>
      </c>
      <c r="G3846" s="20">
        <f t="shared" si="1"/>
        <v>0</v>
      </c>
      <c r="H3846" s="18" t="s">
        <v>34</v>
      </c>
      <c r="I3846" s="19" t="str">
        <f>IFERROR(__xludf.DUMMYFUNCTION("IFERROR(TO_DATE(H3846), """")"),"NA")</f>
        <v>NA</v>
      </c>
      <c r="J3846" s="19" t="s">
        <v>15</v>
      </c>
      <c r="K3846" s="22">
        <f t="shared" si="2"/>
        <v>1</v>
      </c>
    </row>
    <row r="3847">
      <c r="A3847" s="18">
        <v>5767.0</v>
      </c>
      <c r="B3847" s="18" t="s">
        <v>32</v>
      </c>
      <c r="C3847" s="18">
        <v>240.0</v>
      </c>
      <c r="D3847" s="18" t="s">
        <v>33</v>
      </c>
      <c r="E3847" s="27">
        <v>42566.3471412037</v>
      </c>
      <c r="F3847" s="19">
        <f>IFERROR(__xludf.DUMMYFUNCTION("IFERROR(TO_DATE(E3847), """")"),42566.3471412037)</f>
        <v>42566.34714</v>
      </c>
      <c r="G3847" s="20">
        <f t="shared" si="1"/>
        <v>8</v>
      </c>
      <c r="H3847" s="18" t="s">
        <v>34</v>
      </c>
      <c r="I3847" s="19" t="str">
        <f>IFERROR(__xludf.DUMMYFUNCTION("IFERROR(TO_DATE(H3847), """")"),"NA")</f>
        <v>NA</v>
      </c>
      <c r="J3847" s="19" t="s">
        <v>14</v>
      </c>
      <c r="K3847" s="22">
        <f t="shared" si="2"/>
        <v>1</v>
      </c>
    </row>
    <row r="3848">
      <c r="A3848" s="18">
        <v>5498.0</v>
      </c>
      <c r="B3848" s="18" t="s">
        <v>32</v>
      </c>
      <c r="C3848" s="18">
        <v>241.0</v>
      </c>
      <c r="D3848" s="18" t="s">
        <v>33</v>
      </c>
      <c r="E3848" s="27">
        <v>42566.205879629626</v>
      </c>
      <c r="F3848" s="19">
        <f>IFERROR(__xludf.DUMMYFUNCTION("IFERROR(TO_DATE(E3848), """")"),42566.205879629626)</f>
        <v>42566.20588</v>
      </c>
      <c r="G3848" s="20">
        <f t="shared" si="1"/>
        <v>4</v>
      </c>
      <c r="H3848" s="18" t="s">
        <v>34</v>
      </c>
      <c r="I3848" s="19" t="str">
        <f>IFERROR(__xludf.DUMMYFUNCTION("IFERROR(TO_DATE(H3848), """")"),"NA")</f>
        <v>NA</v>
      </c>
      <c r="J3848" s="19" t="s">
        <v>11</v>
      </c>
      <c r="K3848" s="22">
        <f t="shared" si="2"/>
        <v>1</v>
      </c>
    </row>
    <row r="3849">
      <c r="A3849" s="18">
        <v>5755.0</v>
      </c>
      <c r="B3849" s="18" t="s">
        <v>32</v>
      </c>
      <c r="C3849" s="18">
        <v>241.0</v>
      </c>
      <c r="D3849" s="18" t="s">
        <v>33</v>
      </c>
      <c r="E3849" s="27">
        <v>42566.33744212963</v>
      </c>
      <c r="F3849" s="19">
        <f>IFERROR(__xludf.DUMMYFUNCTION("IFERROR(TO_DATE(E3849), """")"),42566.33744212963)</f>
        <v>42566.33744</v>
      </c>
      <c r="G3849" s="20">
        <f t="shared" si="1"/>
        <v>8</v>
      </c>
      <c r="H3849" s="18" t="s">
        <v>34</v>
      </c>
      <c r="I3849" s="19" t="str">
        <f>IFERROR(__xludf.DUMMYFUNCTION("IFERROR(TO_DATE(H3849), """")"),"NA")</f>
        <v>NA</v>
      </c>
      <c r="J3849" s="19" t="s">
        <v>14</v>
      </c>
      <c r="K3849" s="22">
        <f t="shared" si="2"/>
        <v>1</v>
      </c>
    </row>
    <row r="3850">
      <c r="A3850" s="18">
        <v>414.0</v>
      </c>
      <c r="B3850" s="18" t="s">
        <v>32</v>
      </c>
      <c r="C3850" s="18">
        <v>242.0</v>
      </c>
      <c r="D3850" s="18" t="s">
        <v>33</v>
      </c>
      <c r="E3850" s="26">
        <v>42562.361805555556</v>
      </c>
      <c r="F3850" s="19">
        <f>IFERROR(__xludf.DUMMYFUNCTION("IFERROR(TO_DATE(E3850), """")"),42562.361805555556)</f>
        <v>42562.36181</v>
      </c>
      <c r="G3850" s="20">
        <f t="shared" si="1"/>
        <v>8</v>
      </c>
      <c r="H3850" s="18" t="s">
        <v>34</v>
      </c>
      <c r="I3850" s="19" t="str">
        <f>IFERROR(__xludf.DUMMYFUNCTION("IFERROR(TO_DATE(H3850), """")"),"NA")</f>
        <v>NA</v>
      </c>
      <c r="J3850" s="19" t="s">
        <v>14</v>
      </c>
      <c r="K3850" s="22">
        <f t="shared" si="2"/>
        <v>1</v>
      </c>
    </row>
    <row r="3851">
      <c r="A3851" s="18">
        <v>1621.0</v>
      </c>
      <c r="B3851" s="18" t="s">
        <v>32</v>
      </c>
      <c r="C3851" s="18">
        <v>242.0</v>
      </c>
      <c r="D3851" s="18" t="s">
        <v>33</v>
      </c>
      <c r="E3851" s="26">
        <v>42563.28888888889</v>
      </c>
      <c r="F3851" s="19">
        <f>IFERROR(__xludf.DUMMYFUNCTION("IFERROR(TO_DATE(E3851), """")"),42563.28888888889)</f>
        <v>42563.28889</v>
      </c>
      <c r="G3851" s="20">
        <f t="shared" si="1"/>
        <v>6</v>
      </c>
      <c r="H3851" s="18" t="s">
        <v>34</v>
      </c>
      <c r="I3851" s="19" t="str">
        <f>IFERROR(__xludf.DUMMYFUNCTION("IFERROR(TO_DATE(H3851), """")"),"NA")</f>
        <v>NA</v>
      </c>
      <c r="J3851" s="19" t="s">
        <v>11</v>
      </c>
      <c r="K3851" s="22">
        <f t="shared" si="2"/>
        <v>1</v>
      </c>
    </row>
    <row r="3852">
      <c r="A3852" s="18">
        <v>5288.0</v>
      </c>
      <c r="B3852" s="18" t="s">
        <v>30</v>
      </c>
      <c r="C3852" s="18">
        <v>242.0</v>
      </c>
      <c r="D3852" s="18" t="s">
        <v>33</v>
      </c>
      <c r="E3852" s="27">
        <v>42565.904386574075</v>
      </c>
      <c r="F3852" s="19">
        <f>IFERROR(__xludf.DUMMYFUNCTION("IFERROR(TO_DATE(E3852), """")"),42565.904386574075)</f>
        <v>42565.90439</v>
      </c>
      <c r="G3852" s="20">
        <f t="shared" si="1"/>
        <v>21</v>
      </c>
      <c r="H3852" s="18" t="s">
        <v>34</v>
      </c>
      <c r="I3852" s="19" t="str">
        <f>IFERROR(__xludf.DUMMYFUNCTION("IFERROR(TO_DATE(H3852), """")"),"NA")</f>
        <v>NA</v>
      </c>
      <c r="J3852" s="19" t="s">
        <v>13</v>
      </c>
      <c r="K3852" s="22">
        <f t="shared" si="2"/>
        <v>1</v>
      </c>
    </row>
    <row r="3853">
      <c r="A3853" s="18">
        <v>1778.0</v>
      </c>
      <c r="B3853" s="18" t="s">
        <v>32</v>
      </c>
      <c r="C3853" s="18">
        <v>243.0</v>
      </c>
      <c r="D3853" s="18" t="s">
        <v>33</v>
      </c>
      <c r="E3853" s="26">
        <v>42563.37569444445</v>
      </c>
      <c r="F3853" s="19">
        <f>IFERROR(__xludf.DUMMYFUNCTION("IFERROR(TO_DATE(E3853), """")"),42563.37569444445)</f>
        <v>42563.37569</v>
      </c>
      <c r="G3853" s="20">
        <f t="shared" si="1"/>
        <v>9</v>
      </c>
      <c r="H3853" s="18" t="s">
        <v>34</v>
      </c>
      <c r="I3853" s="19" t="str">
        <f>IFERROR(__xludf.DUMMYFUNCTION("IFERROR(TO_DATE(H3853), """")"),"NA")</f>
        <v>NA</v>
      </c>
      <c r="J3853" s="19" t="s">
        <v>14</v>
      </c>
      <c r="K3853" s="22">
        <f t="shared" si="2"/>
        <v>1</v>
      </c>
    </row>
    <row r="3854">
      <c r="A3854" s="18">
        <v>5266.0</v>
      </c>
      <c r="B3854" s="18" t="s">
        <v>30</v>
      </c>
      <c r="C3854" s="18">
        <v>243.0</v>
      </c>
      <c r="D3854" s="18" t="s">
        <v>33</v>
      </c>
      <c r="E3854" s="27">
        <v>42565.89356481482</v>
      </c>
      <c r="F3854" s="19">
        <f>IFERROR(__xludf.DUMMYFUNCTION("IFERROR(TO_DATE(E3854), """")"),42565.89356481482)</f>
        <v>42565.89356</v>
      </c>
      <c r="G3854" s="20">
        <f t="shared" si="1"/>
        <v>21</v>
      </c>
      <c r="H3854" s="18" t="s">
        <v>34</v>
      </c>
      <c r="I3854" s="19" t="str">
        <f>IFERROR(__xludf.DUMMYFUNCTION("IFERROR(TO_DATE(H3854), """")"),"NA")</f>
        <v>NA</v>
      </c>
      <c r="J3854" s="19" t="s">
        <v>13</v>
      </c>
      <c r="K3854" s="22">
        <f t="shared" si="2"/>
        <v>1</v>
      </c>
    </row>
    <row r="3855">
      <c r="A3855" s="18">
        <v>5836.0</v>
      </c>
      <c r="B3855" s="18" t="s">
        <v>32</v>
      </c>
      <c r="C3855" s="18">
        <v>243.0</v>
      </c>
      <c r="D3855" s="18" t="s">
        <v>33</v>
      </c>
      <c r="E3855" s="27">
        <v>42566.376747685186</v>
      </c>
      <c r="F3855" s="19">
        <f>IFERROR(__xludf.DUMMYFUNCTION("IFERROR(TO_DATE(E3855), """")"),42566.376747685186)</f>
        <v>42566.37675</v>
      </c>
      <c r="G3855" s="20">
        <f t="shared" si="1"/>
        <v>9</v>
      </c>
      <c r="H3855" s="18" t="s">
        <v>34</v>
      </c>
      <c r="I3855" s="19" t="str">
        <f>IFERROR(__xludf.DUMMYFUNCTION("IFERROR(TO_DATE(H3855), """")"),"NA")</f>
        <v>NA</v>
      </c>
      <c r="J3855" s="19" t="s">
        <v>14</v>
      </c>
      <c r="K3855" s="22">
        <f t="shared" si="2"/>
        <v>1</v>
      </c>
    </row>
    <row r="3856">
      <c r="A3856" s="18">
        <v>115.0</v>
      </c>
      <c r="B3856" s="18" t="s">
        <v>32</v>
      </c>
      <c r="C3856" s="18">
        <v>244.0</v>
      </c>
      <c r="D3856" s="18" t="s">
        <v>33</v>
      </c>
      <c r="E3856" s="26">
        <v>42562.21805555555</v>
      </c>
      <c r="F3856" s="19">
        <f>IFERROR(__xludf.DUMMYFUNCTION("IFERROR(TO_DATE(E3856), """")"),42562.21805555555)</f>
        <v>42562.21806</v>
      </c>
      <c r="G3856" s="20">
        <f t="shared" si="1"/>
        <v>5</v>
      </c>
      <c r="H3856" s="18" t="s">
        <v>34</v>
      </c>
      <c r="I3856" s="19" t="str">
        <f>IFERROR(__xludf.DUMMYFUNCTION("IFERROR(TO_DATE(H3856), """")"),"NA")</f>
        <v>NA</v>
      </c>
      <c r="J3856" s="19" t="s">
        <v>11</v>
      </c>
      <c r="K3856" s="22">
        <f t="shared" si="2"/>
        <v>1</v>
      </c>
    </row>
    <row r="3857">
      <c r="A3857" s="18">
        <v>4655.0</v>
      </c>
      <c r="B3857" s="18" t="s">
        <v>32</v>
      </c>
      <c r="C3857" s="18">
        <v>244.0</v>
      </c>
      <c r="D3857" s="18" t="s">
        <v>33</v>
      </c>
      <c r="E3857" s="27">
        <v>42565.502916666665</v>
      </c>
      <c r="F3857" s="19">
        <f>IFERROR(__xludf.DUMMYFUNCTION("IFERROR(TO_DATE(E3857), """")"),42565.502916666665)</f>
        <v>42565.50292</v>
      </c>
      <c r="G3857" s="20">
        <f t="shared" si="1"/>
        <v>12</v>
      </c>
      <c r="H3857" s="18" t="s">
        <v>34</v>
      </c>
      <c r="I3857" s="19" t="str">
        <f>IFERROR(__xludf.DUMMYFUNCTION("IFERROR(TO_DATE(H3857), """")"),"NA")</f>
        <v>NA</v>
      </c>
      <c r="J3857" s="19" t="s">
        <v>10</v>
      </c>
      <c r="K3857" s="22">
        <f t="shared" si="2"/>
        <v>1</v>
      </c>
    </row>
    <row r="3858">
      <c r="A3858" s="18">
        <v>5590.0</v>
      </c>
      <c r="B3858" s="18" t="s">
        <v>32</v>
      </c>
      <c r="C3858" s="18">
        <v>244.0</v>
      </c>
      <c r="D3858" s="18" t="s">
        <v>33</v>
      </c>
      <c r="E3858" s="27">
        <v>42566.251747685186</v>
      </c>
      <c r="F3858" s="19">
        <f>IFERROR(__xludf.DUMMYFUNCTION("IFERROR(TO_DATE(E3858), """")"),42566.251747685186)</f>
        <v>42566.25175</v>
      </c>
      <c r="G3858" s="20">
        <f t="shared" si="1"/>
        <v>6</v>
      </c>
      <c r="H3858" s="18" t="s">
        <v>34</v>
      </c>
      <c r="I3858" s="19" t="str">
        <f>IFERROR(__xludf.DUMMYFUNCTION("IFERROR(TO_DATE(H3858), """")"),"NA")</f>
        <v>NA</v>
      </c>
      <c r="J3858" s="19" t="s">
        <v>11</v>
      </c>
      <c r="K3858" s="22">
        <f t="shared" si="2"/>
        <v>1</v>
      </c>
    </row>
    <row r="3859">
      <c r="A3859" s="18">
        <v>1784.0</v>
      </c>
      <c r="B3859" s="18" t="s">
        <v>32</v>
      </c>
      <c r="C3859" s="18">
        <v>245.0</v>
      </c>
      <c r="D3859" s="18" t="s">
        <v>33</v>
      </c>
      <c r="E3859" s="26">
        <v>42563.376388888886</v>
      </c>
      <c r="F3859" s="19">
        <f>IFERROR(__xludf.DUMMYFUNCTION("IFERROR(TO_DATE(E3859), """")"),42563.376388888886)</f>
        <v>42563.37639</v>
      </c>
      <c r="G3859" s="20">
        <f t="shared" si="1"/>
        <v>9</v>
      </c>
      <c r="H3859" s="18" t="s">
        <v>34</v>
      </c>
      <c r="I3859" s="19" t="str">
        <f>IFERROR(__xludf.DUMMYFUNCTION("IFERROR(TO_DATE(H3859), """")"),"NA")</f>
        <v>NA</v>
      </c>
      <c r="J3859" s="19" t="s">
        <v>14</v>
      </c>
      <c r="K3859" s="22">
        <f t="shared" si="2"/>
        <v>1</v>
      </c>
    </row>
    <row r="3860">
      <c r="A3860" s="18">
        <v>3123.0</v>
      </c>
      <c r="B3860" s="18" t="s">
        <v>32</v>
      </c>
      <c r="C3860" s="18">
        <v>245.0</v>
      </c>
      <c r="D3860" s="18" t="s">
        <v>33</v>
      </c>
      <c r="E3860" s="27">
        <v>42564.36109953704</v>
      </c>
      <c r="F3860" s="19">
        <f>IFERROR(__xludf.DUMMYFUNCTION("IFERROR(TO_DATE(E3860), """")"),42564.36109953704)</f>
        <v>42564.3611</v>
      </c>
      <c r="G3860" s="20">
        <f t="shared" si="1"/>
        <v>8</v>
      </c>
      <c r="H3860" s="18" t="s">
        <v>34</v>
      </c>
      <c r="I3860" s="19" t="str">
        <f>IFERROR(__xludf.DUMMYFUNCTION("IFERROR(TO_DATE(H3860), """")"),"NA")</f>
        <v>NA</v>
      </c>
      <c r="J3860" s="19" t="s">
        <v>14</v>
      </c>
      <c r="K3860" s="22">
        <f t="shared" si="2"/>
        <v>1</v>
      </c>
    </row>
    <row r="3861">
      <c r="A3861" s="18">
        <v>3330.0</v>
      </c>
      <c r="B3861" s="18" t="s">
        <v>32</v>
      </c>
      <c r="C3861" s="18">
        <v>245.0</v>
      </c>
      <c r="D3861" s="18" t="s">
        <v>33</v>
      </c>
      <c r="E3861" s="27">
        <v>42564.51744212963</v>
      </c>
      <c r="F3861" s="19">
        <f>IFERROR(__xludf.DUMMYFUNCTION("IFERROR(TO_DATE(E3861), """")"),42564.51744212963)</f>
        <v>42564.51744</v>
      </c>
      <c r="G3861" s="20">
        <f t="shared" si="1"/>
        <v>12</v>
      </c>
      <c r="H3861" s="18" t="s">
        <v>34</v>
      </c>
      <c r="I3861" s="19" t="str">
        <f>IFERROR(__xludf.DUMMYFUNCTION("IFERROR(TO_DATE(H3861), """")"),"NA")</f>
        <v>NA</v>
      </c>
      <c r="J3861" s="19" t="s">
        <v>10</v>
      </c>
      <c r="K3861" s="22">
        <f t="shared" si="2"/>
        <v>1</v>
      </c>
    </row>
    <row r="3862">
      <c r="A3862" s="18">
        <v>4376.0</v>
      </c>
      <c r="B3862" s="18" t="s">
        <v>32</v>
      </c>
      <c r="C3862" s="18">
        <v>245.0</v>
      </c>
      <c r="D3862" s="18" t="s">
        <v>33</v>
      </c>
      <c r="E3862" s="27">
        <v>42565.32061342592</v>
      </c>
      <c r="F3862" s="19">
        <f>IFERROR(__xludf.DUMMYFUNCTION("IFERROR(TO_DATE(E3862), """")"),42565.32061342592)</f>
        <v>42565.32061</v>
      </c>
      <c r="G3862" s="20">
        <f t="shared" si="1"/>
        <v>7</v>
      </c>
      <c r="H3862" s="18" t="s">
        <v>34</v>
      </c>
      <c r="I3862" s="19" t="str">
        <f>IFERROR(__xludf.DUMMYFUNCTION("IFERROR(TO_DATE(H3862), """")"),"NA")</f>
        <v>NA</v>
      </c>
      <c r="J3862" s="19" t="s">
        <v>11</v>
      </c>
      <c r="K3862" s="22">
        <f t="shared" si="2"/>
        <v>1</v>
      </c>
    </row>
    <row r="3863">
      <c r="A3863" s="18">
        <v>4540.0</v>
      </c>
      <c r="B3863" s="18" t="s">
        <v>32</v>
      </c>
      <c r="C3863" s="18">
        <v>245.0</v>
      </c>
      <c r="D3863" s="18" t="s">
        <v>33</v>
      </c>
      <c r="E3863" s="27">
        <v>42565.401979166665</v>
      </c>
      <c r="F3863" s="19">
        <f>IFERROR(__xludf.DUMMYFUNCTION("IFERROR(TO_DATE(E3863), """")"),42565.401979166665)</f>
        <v>42565.40198</v>
      </c>
      <c r="G3863" s="20">
        <f t="shared" si="1"/>
        <v>9</v>
      </c>
      <c r="H3863" s="18" t="s">
        <v>34</v>
      </c>
      <c r="I3863" s="19" t="str">
        <f>IFERROR(__xludf.DUMMYFUNCTION("IFERROR(TO_DATE(H3863), """")"),"NA")</f>
        <v>NA</v>
      </c>
      <c r="J3863" s="19" t="s">
        <v>14</v>
      </c>
      <c r="K3863" s="22">
        <f t="shared" si="2"/>
        <v>1</v>
      </c>
    </row>
    <row r="3864">
      <c r="A3864" s="18">
        <v>431.0</v>
      </c>
      <c r="B3864" s="18" t="s">
        <v>32</v>
      </c>
      <c r="C3864" s="18">
        <v>246.0</v>
      </c>
      <c r="D3864" s="18" t="s">
        <v>33</v>
      </c>
      <c r="E3864" s="26">
        <v>42562.37222222222</v>
      </c>
      <c r="F3864" s="19">
        <f>IFERROR(__xludf.DUMMYFUNCTION("IFERROR(TO_DATE(E3864), """")"),42562.37222222222)</f>
        <v>42562.37222</v>
      </c>
      <c r="G3864" s="20">
        <f t="shared" si="1"/>
        <v>8</v>
      </c>
      <c r="H3864" s="18" t="s">
        <v>34</v>
      </c>
      <c r="I3864" s="19" t="str">
        <f>IFERROR(__xludf.DUMMYFUNCTION("IFERROR(TO_DATE(H3864), """")"),"NA")</f>
        <v>NA</v>
      </c>
      <c r="J3864" s="19" t="s">
        <v>14</v>
      </c>
      <c r="K3864" s="22">
        <f t="shared" si="2"/>
        <v>1</v>
      </c>
    </row>
    <row r="3865">
      <c r="A3865" s="18">
        <v>1599.0</v>
      </c>
      <c r="B3865" s="18" t="s">
        <v>32</v>
      </c>
      <c r="C3865" s="18">
        <v>246.0</v>
      </c>
      <c r="D3865" s="18" t="s">
        <v>33</v>
      </c>
      <c r="E3865" s="26">
        <v>42563.277083333334</v>
      </c>
      <c r="F3865" s="19">
        <f>IFERROR(__xludf.DUMMYFUNCTION("IFERROR(TO_DATE(E3865), """")"),42563.277083333334)</f>
        <v>42563.27708</v>
      </c>
      <c r="G3865" s="20">
        <f t="shared" si="1"/>
        <v>6</v>
      </c>
      <c r="H3865" s="18" t="s">
        <v>34</v>
      </c>
      <c r="I3865" s="19" t="str">
        <f>IFERROR(__xludf.DUMMYFUNCTION("IFERROR(TO_DATE(H3865), """")"),"NA")</f>
        <v>NA</v>
      </c>
      <c r="J3865" s="19" t="s">
        <v>11</v>
      </c>
      <c r="K3865" s="22">
        <f t="shared" si="2"/>
        <v>1</v>
      </c>
    </row>
    <row r="3866">
      <c r="A3866" s="18">
        <v>1725.0</v>
      </c>
      <c r="B3866" s="18" t="s">
        <v>32</v>
      </c>
      <c r="C3866" s="18">
        <v>246.0</v>
      </c>
      <c r="D3866" s="18" t="s">
        <v>33</v>
      </c>
      <c r="E3866" s="26">
        <v>42563.345138888886</v>
      </c>
      <c r="F3866" s="19">
        <f>IFERROR(__xludf.DUMMYFUNCTION("IFERROR(TO_DATE(E3866), """")"),42563.345138888886)</f>
        <v>42563.34514</v>
      </c>
      <c r="G3866" s="20">
        <f t="shared" si="1"/>
        <v>8</v>
      </c>
      <c r="H3866" s="18" t="s">
        <v>34</v>
      </c>
      <c r="I3866" s="19" t="str">
        <f>IFERROR(__xludf.DUMMYFUNCTION("IFERROR(TO_DATE(H3866), """")"),"NA")</f>
        <v>NA</v>
      </c>
      <c r="J3866" s="19" t="s">
        <v>14</v>
      </c>
      <c r="K3866" s="22">
        <f t="shared" si="2"/>
        <v>1</v>
      </c>
    </row>
    <row r="3867">
      <c r="A3867" s="18">
        <v>4248.0</v>
      </c>
      <c r="B3867" s="18" t="s">
        <v>32</v>
      </c>
      <c r="C3867" s="18">
        <v>246.0</v>
      </c>
      <c r="D3867" s="18" t="s">
        <v>33</v>
      </c>
      <c r="E3867" s="27">
        <v>42565.251863425925</v>
      </c>
      <c r="F3867" s="19">
        <f>IFERROR(__xludf.DUMMYFUNCTION("IFERROR(TO_DATE(E3867), """")"),42565.251863425925)</f>
        <v>42565.25186</v>
      </c>
      <c r="G3867" s="20">
        <f t="shared" si="1"/>
        <v>6</v>
      </c>
      <c r="H3867" s="18" t="s">
        <v>34</v>
      </c>
      <c r="I3867" s="19" t="str">
        <f>IFERROR(__xludf.DUMMYFUNCTION("IFERROR(TO_DATE(H3867), """")"),"NA")</f>
        <v>NA</v>
      </c>
      <c r="J3867" s="19" t="s">
        <v>11</v>
      </c>
      <c r="K3867" s="22">
        <f t="shared" si="2"/>
        <v>1</v>
      </c>
    </row>
    <row r="3868">
      <c r="A3868" s="18">
        <v>133.0</v>
      </c>
      <c r="B3868" s="18" t="s">
        <v>32</v>
      </c>
      <c r="C3868" s="18">
        <v>247.0</v>
      </c>
      <c r="D3868" s="18" t="s">
        <v>33</v>
      </c>
      <c r="E3868" s="26">
        <v>42562.21805555555</v>
      </c>
      <c r="F3868" s="19">
        <f>IFERROR(__xludf.DUMMYFUNCTION("IFERROR(TO_DATE(E3868), """")"),42562.21805555555)</f>
        <v>42562.21806</v>
      </c>
      <c r="G3868" s="20">
        <f t="shared" si="1"/>
        <v>5</v>
      </c>
      <c r="H3868" s="18" t="s">
        <v>34</v>
      </c>
      <c r="I3868" s="19" t="str">
        <f>IFERROR(__xludf.DUMMYFUNCTION("IFERROR(TO_DATE(H3868), """")"),"NA")</f>
        <v>NA</v>
      </c>
      <c r="J3868" s="19" t="s">
        <v>11</v>
      </c>
      <c r="K3868" s="22">
        <f t="shared" si="2"/>
        <v>1</v>
      </c>
    </row>
    <row r="3869">
      <c r="A3869" s="18">
        <v>4170.0</v>
      </c>
      <c r="B3869" s="18" t="s">
        <v>32</v>
      </c>
      <c r="C3869" s="18">
        <v>247.0</v>
      </c>
      <c r="D3869" s="18" t="s">
        <v>33</v>
      </c>
      <c r="E3869" s="27">
        <v>42565.21506944444</v>
      </c>
      <c r="F3869" s="19">
        <f>IFERROR(__xludf.DUMMYFUNCTION("IFERROR(TO_DATE(E3869), """")"),42565.21506944444)</f>
        <v>42565.21507</v>
      </c>
      <c r="G3869" s="20">
        <f t="shared" si="1"/>
        <v>5</v>
      </c>
      <c r="H3869" s="18" t="s">
        <v>34</v>
      </c>
      <c r="I3869" s="19" t="str">
        <f>IFERROR(__xludf.DUMMYFUNCTION("IFERROR(TO_DATE(H3869), """")"),"NA")</f>
        <v>NA</v>
      </c>
      <c r="J3869" s="19" t="s">
        <v>11</v>
      </c>
      <c r="K3869" s="22">
        <f t="shared" si="2"/>
        <v>1</v>
      </c>
    </row>
    <row r="3870">
      <c r="A3870" s="18">
        <v>6057.0</v>
      </c>
      <c r="B3870" s="18" t="s">
        <v>30</v>
      </c>
      <c r="C3870" s="18">
        <v>247.0</v>
      </c>
      <c r="D3870" s="18" t="s">
        <v>33</v>
      </c>
      <c r="E3870" s="27">
        <v>42566.57077546296</v>
      </c>
      <c r="F3870" s="19">
        <f>IFERROR(__xludf.DUMMYFUNCTION("IFERROR(TO_DATE(E3870), """")"),42566.57077546296)</f>
        <v>42566.57078</v>
      </c>
      <c r="G3870" s="20">
        <f t="shared" si="1"/>
        <v>13</v>
      </c>
      <c r="H3870" s="18" t="s">
        <v>34</v>
      </c>
      <c r="I3870" s="19" t="str">
        <f>IFERROR(__xludf.DUMMYFUNCTION("IFERROR(TO_DATE(H3870), """")"),"NA")</f>
        <v>NA</v>
      </c>
      <c r="J3870" s="19" t="s">
        <v>10</v>
      </c>
      <c r="K3870" s="22">
        <f t="shared" si="2"/>
        <v>1</v>
      </c>
    </row>
    <row r="3871">
      <c r="A3871" s="18">
        <v>108.0</v>
      </c>
      <c r="B3871" s="18" t="s">
        <v>32</v>
      </c>
      <c r="C3871" s="18">
        <v>248.0</v>
      </c>
      <c r="D3871" s="18" t="s">
        <v>33</v>
      </c>
      <c r="E3871" s="26">
        <v>42562.214583333334</v>
      </c>
      <c r="F3871" s="19">
        <f>IFERROR(__xludf.DUMMYFUNCTION("IFERROR(TO_DATE(E3871), """")"),42562.214583333334)</f>
        <v>42562.21458</v>
      </c>
      <c r="G3871" s="20">
        <f t="shared" si="1"/>
        <v>5</v>
      </c>
      <c r="H3871" s="18" t="s">
        <v>34</v>
      </c>
      <c r="I3871" s="19" t="str">
        <f>IFERROR(__xludf.DUMMYFUNCTION("IFERROR(TO_DATE(H3871), """")"),"NA")</f>
        <v>NA</v>
      </c>
      <c r="J3871" s="19" t="s">
        <v>11</v>
      </c>
      <c r="K3871" s="22">
        <f t="shared" si="2"/>
        <v>1</v>
      </c>
    </row>
    <row r="3872">
      <c r="A3872" s="18">
        <v>1798.0</v>
      </c>
      <c r="B3872" s="18" t="s">
        <v>32</v>
      </c>
      <c r="C3872" s="18">
        <v>248.0</v>
      </c>
      <c r="D3872" s="18" t="s">
        <v>33</v>
      </c>
      <c r="E3872" s="26">
        <v>42563.381944444445</v>
      </c>
      <c r="F3872" s="19">
        <f>IFERROR(__xludf.DUMMYFUNCTION("IFERROR(TO_DATE(E3872), """")"),42563.381944444445)</f>
        <v>42563.38194</v>
      </c>
      <c r="G3872" s="20">
        <f t="shared" si="1"/>
        <v>9</v>
      </c>
      <c r="H3872" s="18" t="s">
        <v>34</v>
      </c>
      <c r="I3872" s="19" t="str">
        <f>IFERROR(__xludf.DUMMYFUNCTION("IFERROR(TO_DATE(H3872), """")"),"NA")</f>
        <v>NA</v>
      </c>
      <c r="J3872" s="19" t="s">
        <v>14</v>
      </c>
      <c r="K3872" s="22">
        <f t="shared" si="2"/>
        <v>1</v>
      </c>
    </row>
    <row r="3873">
      <c r="A3873" s="18">
        <v>1932.0</v>
      </c>
      <c r="B3873" s="18" t="s">
        <v>32</v>
      </c>
      <c r="C3873" s="18">
        <v>248.0</v>
      </c>
      <c r="D3873" s="18" t="s">
        <v>33</v>
      </c>
      <c r="E3873" s="26">
        <v>42563.467361111114</v>
      </c>
      <c r="F3873" s="19">
        <f>IFERROR(__xludf.DUMMYFUNCTION("IFERROR(TO_DATE(E3873), """")"),42563.467361111114)</f>
        <v>42563.46736</v>
      </c>
      <c r="G3873" s="20">
        <f t="shared" si="1"/>
        <v>11</v>
      </c>
      <c r="H3873" s="18" t="s">
        <v>34</v>
      </c>
      <c r="I3873" s="19" t="str">
        <f>IFERROR(__xludf.DUMMYFUNCTION("IFERROR(TO_DATE(H3873), """")"),"NA")</f>
        <v>NA</v>
      </c>
      <c r="J3873" s="19" t="s">
        <v>14</v>
      </c>
      <c r="K3873" s="22">
        <f t="shared" si="2"/>
        <v>1</v>
      </c>
    </row>
    <row r="3874">
      <c r="A3874" s="18">
        <v>5865.0</v>
      </c>
      <c r="B3874" s="18" t="s">
        <v>32</v>
      </c>
      <c r="C3874" s="18">
        <v>248.0</v>
      </c>
      <c r="D3874" s="18" t="s">
        <v>33</v>
      </c>
      <c r="E3874" s="27">
        <v>42566.38805555556</v>
      </c>
      <c r="F3874" s="19">
        <f>IFERROR(__xludf.DUMMYFUNCTION("IFERROR(TO_DATE(E3874), """")"),42566.38805555556)</f>
        <v>42566.38806</v>
      </c>
      <c r="G3874" s="20">
        <f t="shared" si="1"/>
        <v>9</v>
      </c>
      <c r="H3874" s="18" t="s">
        <v>34</v>
      </c>
      <c r="I3874" s="19" t="str">
        <f>IFERROR(__xludf.DUMMYFUNCTION("IFERROR(TO_DATE(H3874), """")"),"NA")</f>
        <v>NA</v>
      </c>
      <c r="J3874" s="19" t="s">
        <v>14</v>
      </c>
      <c r="K3874" s="22">
        <f t="shared" si="2"/>
        <v>1</v>
      </c>
    </row>
    <row r="3875">
      <c r="A3875" s="18">
        <v>5981.0</v>
      </c>
      <c r="B3875" s="18" t="s">
        <v>32</v>
      </c>
      <c r="C3875" s="18">
        <v>248.0</v>
      </c>
      <c r="D3875" s="18" t="s">
        <v>33</v>
      </c>
      <c r="E3875" s="27">
        <v>42566.48616898148</v>
      </c>
      <c r="F3875" s="19">
        <f>IFERROR(__xludf.DUMMYFUNCTION("IFERROR(TO_DATE(E3875), """")"),42566.48616898148)</f>
        <v>42566.48617</v>
      </c>
      <c r="G3875" s="20">
        <f t="shared" si="1"/>
        <v>11</v>
      </c>
      <c r="H3875" s="18" t="s">
        <v>34</v>
      </c>
      <c r="I3875" s="19" t="str">
        <f>IFERROR(__xludf.DUMMYFUNCTION("IFERROR(TO_DATE(H3875), """")"),"NA")</f>
        <v>NA</v>
      </c>
      <c r="J3875" s="19" t="s">
        <v>14</v>
      </c>
      <c r="K3875" s="22">
        <f t="shared" si="2"/>
        <v>1</v>
      </c>
    </row>
    <row r="3876">
      <c r="A3876" s="18">
        <v>363.0</v>
      </c>
      <c r="B3876" s="18" t="s">
        <v>32</v>
      </c>
      <c r="C3876" s="18">
        <v>249.0</v>
      </c>
      <c r="D3876" s="18" t="s">
        <v>33</v>
      </c>
      <c r="E3876" s="26">
        <v>42562.33472222222</v>
      </c>
      <c r="F3876" s="19">
        <f>IFERROR(__xludf.DUMMYFUNCTION("IFERROR(TO_DATE(E3876), """")"),42562.33472222222)</f>
        <v>42562.33472</v>
      </c>
      <c r="G3876" s="20">
        <f t="shared" si="1"/>
        <v>8</v>
      </c>
      <c r="H3876" s="18" t="s">
        <v>34</v>
      </c>
      <c r="I3876" s="19" t="str">
        <f>IFERROR(__xludf.DUMMYFUNCTION("IFERROR(TO_DATE(H3876), """")"),"NA")</f>
        <v>NA</v>
      </c>
      <c r="J3876" s="19" t="s">
        <v>14</v>
      </c>
      <c r="K3876" s="22">
        <f t="shared" si="2"/>
        <v>1</v>
      </c>
    </row>
    <row r="3877">
      <c r="A3877" s="18">
        <v>3153.0</v>
      </c>
      <c r="B3877" s="18" t="s">
        <v>32</v>
      </c>
      <c r="C3877" s="18">
        <v>249.0</v>
      </c>
      <c r="D3877" s="18" t="s">
        <v>33</v>
      </c>
      <c r="E3877" s="27">
        <v>42564.37732638889</v>
      </c>
      <c r="F3877" s="19">
        <f>IFERROR(__xludf.DUMMYFUNCTION("IFERROR(TO_DATE(E3877), """")"),42564.37732638889)</f>
        <v>42564.37733</v>
      </c>
      <c r="G3877" s="20">
        <f t="shared" si="1"/>
        <v>9</v>
      </c>
      <c r="H3877" s="18" t="s">
        <v>34</v>
      </c>
      <c r="I3877" s="19" t="str">
        <f>IFERROR(__xludf.DUMMYFUNCTION("IFERROR(TO_DATE(H3877), """")"),"NA")</f>
        <v>NA</v>
      </c>
      <c r="J3877" s="19" t="s">
        <v>14</v>
      </c>
      <c r="K3877" s="22">
        <f t="shared" si="2"/>
        <v>1</v>
      </c>
    </row>
    <row r="3878">
      <c r="A3878" s="18">
        <v>3196.0</v>
      </c>
      <c r="B3878" s="18" t="s">
        <v>32</v>
      </c>
      <c r="C3878" s="18">
        <v>249.0</v>
      </c>
      <c r="D3878" s="18" t="s">
        <v>33</v>
      </c>
      <c r="E3878" s="27">
        <v>42564.40099537037</v>
      </c>
      <c r="F3878" s="19">
        <f>IFERROR(__xludf.DUMMYFUNCTION("IFERROR(TO_DATE(E3878), """")"),42564.40099537037)</f>
        <v>42564.401</v>
      </c>
      <c r="G3878" s="20">
        <f t="shared" si="1"/>
        <v>9</v>
      </c>
      <c r="H3878" s="18" t="s">
        <v>34</v>
      </c>
      <c r="I3878" s="19" t="str">
        <f>IFERROR(__xludf.DUMMYFUNCTION("IFERROR(TO_DATE(H3878), """")"),"NA")</f>
        <v>NA</v>
      </c>
      <c r="J3878" s="19" t="s">
        <v>14</v>
      </c>
      <c r="K3878" s="22">
        <f t="shared" si="2"/>
        <v>1</v>
      </c>
    </row>
    <row r="3879">
      <c r="A3879" s="18">
        <v>3214.0</v>
      </c>
      <c r="B3879" s="18" t="s">
        <v>32</v>
      </c>
      <c r="C3879" s="18">
        <v>249.0</v>
      </c>
      <c r="D3879" s="18" t="s">
        <v>33</v>
      </c>
      <c r="E3879" s="27">
        <v>42564.40759259259</v>
      </c>
      <c r="F3879" s="19">
        <f>IFERROR(__xludf.DUMMYFUNCTION("IFERROR(TO_DATE(E3879), """")"),42564.40759259259)</f>
        <v>42564.40759</v>
      </c>
      <c r="G3879" s="20">
        <f t="shared" si="1"/>
        <v>9</v>
      </c>
      <c r="H3879" s="18" t="s">
        <v>34</v>
      </c>
      <c r="I3879" s="19" t="str">
        <f>IFERROR(__xludf.DUMMYFUNCTION("IFERROR(TO_DATE(H3879), """")"),"NA")</f>
        <v>NA</v>
      </c>
      <c r="J3879" s="19" t="s">
        <v>14</v>
      </c>
      <c r="K3879" s="22">
        <f t="shared" si="2"/>
        <v>1</v>
      </c>
    </row>
    <row r="3880">
      <c r="A3880" s="18">
        <v>4171.0</v>
      </c>
      <c r="B3880" s="18" t="s">
        <v>32</v>
      </c>
      <c r="C3880" s="18">
        <v>249.0</v>
      </c>
      <c r="D3880" s="18" t="s">
        <v>33</v>
      </c>
      <c r="E3880" s="27">
        <v>42565.21642361111</v>
      </c>
      <c r="F3880" s="19">
        <f>IFERROR(__xludf.DUMMYFUNCTION("IFERROR(TO_DATE(E3880), """")"),42565.21642361111)</f>
        <v>42565.21642</v>
      </c>
      <c r="G3880" s="20">
        <f t="shared" si="1"/>
        <v>5</v>
      </c>
      <c r="H3880" s="18" t="s">
        <v>34</v>
      </c>
      <c r="I3880" s="19" t="str">
        <f>IFERROR(__xludf.DUMMYFUNCTION("IFERROR(TO_DATE(H3880), """")"),"NA")</f>
        <v>NA</v>
      </c>
      <c r="J3880" s="19" t="s">
        <v>11</v>
      </c>
      <c r="K3880" s="22">
        <f t="shared" si="2"/>
        <v>1</v>
      </c>
    </row>
    <row r="3881">
      <c r="A3881" s="18">
        <v>5824.0</v>
      </c>
      <c r="B3881" s="18" t="s">
        <v>32</v>
      </c>
      <c r="C3881" s="18">
        <v>249.0</v>
      </c>
      <c r="D3881" s="18" t="s">
        <v>33</v>
      </c>
      <c r="E3881" s="27">
        <v>42566.368368055555</v>
      </c>
      <c r="F3881" s="19">
        <f>IFERROR(__xludf.DUMMYFUNCTION("IFERROR(TO_DATE(E3881), """")"),42566.368368055555)</f>
        <v>42566.36837</v>
      </c>
      <c r="G3881" s="20">
        <f t="shared" si="1"/>
        <v>8</v>
      </c>
      <c r="H3881" s="18" t="s">
        <v>34</v>
      </c>
      <c r="I3881" s="19" t="str">
        <f>IFERROR(__xludf.DUMMYFUNCTION("IFERROR(TO_DATE(H3881), """")"),"NA")</f>
        <v>NA</v>
      </c>
      <c r="J3881" s="19" t="s">
        <v>14</v>
      </c>
      <c r="K3881" s="22">
        <f t="shared" si="2"/>
        <v>1</v>
      </c>
    </row>
    <row r="3882">
      <c r="A3882" s="18">
        <v>1866.0</v>
      </c>
      <c r="B3882" s="18" t="s">
        <v>32</v>
      </c>
      <c r="C3882" s="18">
        <v>250.0</v>
      </c>
      <c r="D3882" s="18" t="s">
        <v>33</v>
      </c>
      <c r="E3882" s="26">
        <v>42563.41111111111</v>
      </c>
      <c r="F3882" s="19">
        <f>IFERROR(__xludf.DUMMYFUNCTION("IFERROR(TO_DATE(E3882), """")"),42563.41111111111)</f>
        <v>42563.41111</v>
      </c>
      <c r="G3882" s="20">
        <f t="shared" si="1"/>
        <v>9</v>
      </c>
      <c r="H3882" s="18" t="s">
        <v>34</v>
      </c>
      <c r="I3882" s="19" t="str">
        <f>IFERROR(__xludf.DUMMYFUNCTION("IFERROR(TO_DATE(H3882), """")"),"NA")</f>
        <v>NA</v>
      </c>
      <c r="J3882" s="19" t="s">
        <v>14</v>
      </c>
      <c r="K3882" s="22">
        <f t="shared" si="2"/>
        <v>1</v>
      </c>
    </row>
    <row r="3883">
      <c r="A3883" s="18">
        <v>2958.0</v>
      </c>
      <c r="B3883" s="18" t="s">
        <v>32</v>
      </c>
      <c r="C3883" s="18">
        <v>250.0</v>
      </c>
      <c r="D3883" s="18" t="s">
        <v>33</v>
      </c>
      <c r="E3883" s="27">
        <v>42564.28194444445</v>
      </c>
      <c r="F3883" s="19">
        <f>IFERROR(__xludf.DUMMYFUNCTION("IFERROR(TO_DATE(E3883), """")"),42564.28194444445)</f>
        <v>42564.28194</v>
      </c>
      <c r="G3883" s="20">
        <f t="shared" si="1"/>
        <v>6</v>
      </c>
      <c r="H3883" s="18" t="s">
        <v>34</v>
      </c>
      <c r="I3883" s="19" t="str">
        <f>IFERROR(__xludf.DUMMYFUNCTION("IFERROR(TO_DATE(H3883), """")"),"NA")</f>
        <v>NA</v>
      </c>
      <c r="J3883" s="19" t="s">
        <v>11</v>
      </c>
      <c r="K3883" s="22">
        <f t="shared" si="2"/>
        <v>1</v>
      </c>
    </row>
    <row r="3884">
      <c r="A3884" s="18">
        <v>3181.0</v>
      </c>
      <c r="B3884" s="18" t="s">
        <v>30</v>
      </c>
      <c r="C3884" s="18">
        <v>250.0</v>
      </c>
      <c r="D3884" s="18" t="s">
        <v>33</v>
      </c>
      <c r="E3884" s="27">
        <v>42564.388240740744</v>
      </c>
      <c r="F3884" s="19">
        <f>IFERROR(__xludf.DUMMYFUNCTION("IFERROR(TO_DATE(E3884), """")"),42564.388240740744)</f>
        <v>42564.38824</v>
      </c>
      <c r="G3884" s="20">
        <f t="shared" si="1"/>
        <v>9</v>
      </c>
      <c r="H3884" s="18" t="s">
        <v>34</v>
      </c>
      <c r="I3884" s="19" t="str">
        <f>IFERROR(__xludf.DUMMYFUNCTION("IFERROR(TO_DATE(H3884), """")"),"NA")</f>
        <v>NA</v>
      </c>
      <c r="J3884" s="19" t="s">
        <v>14</v>
      </c>
      <c r="K3884" s="22">
        <f t="shared" si="2"/>
        <v>1</v>
      </c>
    </row>
    <row r="3885">
      <c r="A3885" s="18">
        <v>5833.0</v>
      </c>
      <c r="B3885" s="18" t="s">
        <v>32</v>
      </c>
      <c r="C3885" s="18">
        <v>250.0</v>
      </c>
      <c r="D3885" s="18" t="s">
        <v>33</v>
      </c>
      <c r="E3885" s="27">
        <v>42566.37322916667</v>
      </c>
      <c r="F3885" s="19">
        <f>IFERROR(__xludf.DUMMYFUNCTION("IFERROR(TO_DATE(E3885), """")"),42566.37322916667)</f>
        <v>42566.37323</v>
      </c>
      <c r="G3885" s="20">
        <f t="shared" si="1"/>
        <v>8</v>
      </c>
      <c r="H3885" s="18" t="s">
        <v>34</v>
      </c>
      <c r="I3885" s="19" t="str">
        <f>IFERROR(__xludf.DUMMYFUNCTION("IFERROR(TO_DATE(H3885), """")"),"NA")</f>
        <v>NA</v>
      </c>
      <c r="J3885" s="19" t="s">
        <v>14</v>
      </c>
      <c r="K3885" s="22">
        <f t="shared" si="2"/>
        <v>1</v>
      </c>
    </row>
    <row r="3886">
      <c r="A3886" s="18">
        <v>5873.0</v>
      </c>
      <c r="B3886" s="18" t="s">
        <v>32</v>
      </c>
      <c r="C3886" s="18">
        <v>250.0</v>
      </c>
      <c r="D3886" s="18" t="s">
        <v>33</v>
      </c>
      <c r="E3886" s="27">
        <v>42566.38935185185</v>
      </c>
      <c r="F3886" s="19">
        <f>IFERROR(__xludf.DUMMYFUNCTION("IFERROR(TO_DATE(E3886), """")"),42566.38935185185)</f>
        <v>42566.38935</v>
      </c>
      <c r="G3886" s="20">
        <f t="shared" si="1"/>
        <v>9</v>
      </c>
      <c r="H3886" s="18" t="s">
        <v>34</v>
      </c>
      <c r="I3886" s="19" t="str">
        <f>IFERROR(__xludf.DUMMYFUNCTION("IFERROR(TO_DATE(H3886), """")"),"NA")</f>
        <v>NA</v>
      </c>
      <c r="J3886" s="19" t="s">
        <v>14</v>
      </c>
      <c r="K3886" s="22">
        <f t="shared" si="2"/>
        <v>1</v>
      </c>
    </row>
    <row r="3887">
      <c r="A3887" s="18">
        <v>415.0</v>
      </c>
      <c r="B3887" s="18" t="s">
        <v>30</v>
      </c>
      <c r="C3887" s="18">
        <v>251.0</v>
      </c>
      <c r="D3887" s="18" t="s">
        <v>33</v>
      </c>
      <c r="E3887" s="26">
        <v>42562.35902777778</v>
      </c>
      <c r="F3887" s="19">
        <f>IFERROR(__xludf.DUMMYFUNCTION("IFERROR(TO_DATE(E3887), """")"),42562.35902777778)</f>
        <v>42562.35903</v>
      </c>
      <c r="G3887" s="20">
        <f t="shared" si="1"/>
        <v>8</v>
      </c>
      <c r="H3887" s="18" t="s">
        <v>34</v>
      </c>
      <c r="I3887" s="19" t="str">
        <f>IFERROR(__xludf.DUMMYFUNCTION("IFERROR(TO_DATE(H3887), """")"),"NA")</f>
        <v>NA</v>
      </c>
      <c r="J3887" s="19" t="s">
        <v>14</v>
      </c>
      <c r="K3887" s="22">
        <f t="shared" si="2"/>
        <v>1</v>
      </c>
    </row>
    <row r="3888">
      <c r="A3888" s="18">
        <v>4439.0</v>
      </c>
      <c r="B3888" s="18" t="s">
        <v>32</v>
      </c>
      <c r="C3888" s="18">
        <v>251.0</v>
      </c>
      <c r="D3888" s="18" t="s">
        <v>33</v>
      </c>
      <c r="E3888" s="27">
        <v>42565.35267361111</v>
      </c>
      <c r="F3888" s="19">
        <f>IFERROR(__xludf.DUMMYFUNCTION("IFERROR(TO_DATE(E3888), """")"),42565.35267361111)</f>
        <v>42565.35267</v>
      </c>
      <c r="G3888" s="20">
        <f t="shared" si="1"/>
        <v>8</v>
      </c>
      <c r="H3888" s="18" t="s">
        <v>34</v>
      </c>
      <c r="I3888" s="19" t="str">
        <f>IFERROR(__xludf.DUMMYFUNCTION("IFERROR(TO_DATE(H3888), """")"),"NA")</f>
        <v>NA</v>
      </c>
      <c r="J3888" s="19" t="s">
        <v>14</v>
      </c>
      <c r="K3888" s="22">
        <f t="shared" si="2"/>
        <v>1</v>
      </c>
    </row>
    <row r="3889">
      <c r="A3889" s="18">
        <v>5761.0</v>
      </c>
      <c r="B3889" s="18" t="s">
        <v>32</v>
      </c>
      <c r="C3889" s="18">
        <v>251.0</v>
      </c>
      <c r="D3889" s="18" t="s">
        <v>33</v>
      </c>
      <c r="E3889" s="27">
        <v>42566.34599537037</v>
      </c>
      <c r="F3889" s="19">
        <f>IFERROR(__xludf.DUMMYFUNCTION("IFERROR(TO_DATE(E3889), """")"),42566.34599537037)</f>
        <v>42566.346</v>
      </c>
      <c r="G3889" s="20">
        <f t="shared" si="1"/>
        <v>8</v>
      </c>
      <c r="H3889" s="18" t="s">
        <v>34</v>
      </c>
      <c r="I3889" s="19" t="str">
        <f>IFERROR(__xludf.DUMMYFUNCTION("IFERROR(TO_DATE(H3889), """")"),"NA")</f>
        <v>NA</v>
      </c>
      <c r="J3889" s="19" t="s">
        <v>14</v>
      </c>
      <c r="K3889" s="22">
        <f t="shared" si="2"/>
        <v>1</v>
      </c>
    </row>
    <row r="3890">
      <c r="A3890" s="18">
        <v>490.0</v>
      </c>
      <c r="B3890" s="18" t="s">
        <v>32</v>
      </c>
      <c r="C3890" s="18">
        <v>252.0</v>
      </c>
      <c r="D3890" s="18" t="s">
        <v>33</v>
      </c>
      <c r="E3890" s="26">
        <v>42562.39791666667</v>
      </c>
      <c r="F3890" s="19">
        <f>IFERROR(__xludf.DUMMYFUNCTION("IFERROR(TO_DATE(E3890), """")"),42562.39791666667)</f>
        <v>42562.39792</v>
      </c>
      <c r="G3890" s="20">
        <f t="shared" si="1"/>
        <v>9</v>
      </c>
      <c r="H3890" s="18" t="s">
        <v>34</v>
      </c>
      <c r="I3890" s="19" t="str">
        <f>IFERROR(__xludf.DUMMYFUNCTION("IFERROR(TO_DATE(H3890), """")"),"NA")</f>
        <v>NA</v>
      </c>
      <c r="J3890" s="19" t="s">
        <v>14</v>
      </c>
      <c r="K3890" s="22">
        <f t="shared" si="2"/>
        <v>1</v>
      </c>
    </row>
    <row r="3891">
      <c r="A3891" s="18">
        <v>464.0</v>
      </c>
      <c r="B3891" s="18" t="s">
        <v>32</v>
      </c>
      <c r="C3891" s="18">
        <v>253.0</v>
      </c>
      <c r="D3891" s="18" t="s">
        <v>33</v>
      </c>
      <c r="E3891" s="26">
        <v>42562.384722222225</v>
      </c>
      <c r="F3891" s="19">
        <f>IFERROR(__xludf.DUMMYFUNCTION("IFERROR(TO_DATE(E3891), """")"),42562.384722222225)</f>
        <v>42562.38472</v>
      </c>
      <c r="G3891" s="20">
        <f t="shared" si="1"/>
        <v>9</v>
      </c>
      <c r="H3891" s="18" t="s">
        <v>34</v>
      </c>
      <c r="I3891" s="19" t="str">
        <f>IFERROR(__xludf.DUMMYFUNCTION("IFERROR(TO_DATE(H3891), """")"),"NA")</f>
        <v>NA</v>
      </c>
      <c r="J3891" s="19" t="s">
        <v>14</v>
      </c>
      <c r="K3891" s="22">
        <f t="shared" si="2"/>
        <v>1</v>
      </c>
    </row>
    <row r="3892">
      <c r="A3892" s="18">
        <v>725.0</v>
      </c>
      <c r="B3892" s="18" t="s">
        <v>30</v>
      </c>
      <c r="C3892" s="18">
        <v>253.0</v>
      </c>
      <c r="D3892" s="18" t="s">
        <v>33</v>
      </c>
      <c r="E3892" s="26">
        <v>42562.626388888886</v>
      </c>
      <c r="F3892" s="19">
        <f>IFERROR(__xludf.DUMMYFUNCTION("IFERROR(TO_DATE(E3892), """")"),42562.626388888886)</f>
        <v>42562.62639</v>
      </c>
      <c r="G3892" s="20">
        <f t="shared" si="1"/>
        <v>15</v>
      </c>
      <c r="H3892" s="18" t="s">
        <v>34</v>
      </c>
      <c r="I3892" s="19" t="str">
        <f>IFERROR(__xludf.DUMMYFUNCTION("IFERROR(TO_DATE(H3892), """")"),"NA")</f>
        <v>NA</v>
      </c>
      <c r="J3892" s="19" t="s">
        <v>10</v>
      </c>
      <c r="K3892" s="22">
        <f t="shared" si="2"/>
        <v>1</v>
      </c>
    </row>
    <row r="3893">
      <c r="A3893" s="18">
        <v>2418.0</v>
      </c>
      <c r="B3893" s="18" t="s">
        <v>30</v>
      </c>
      <c r="C3893" s="18">
        <v>254.0</v>
      </c>
      <c r="D3893" s="18" t="s">
        <v>33</v>
      </c>
      <c r="E3893" s="26">
        <v>42563.836805555555</v>
      </c>
      <c r="F3893" s="19">
        <f>IFERROR(__xludf.DUMMYFUNCTION("IFERROR(TO_DATE(E3893), """")"),42563.836805555555)</f>
        <v>42563.83681</v>
      </c>
      <c r="G3893" s="20">
        <f t="shared" si="1"/>
        <v>20</v>
      </c>
      <c r="H3893" s="18" t="s">
        <v>34</v>
      </c>
      <c r="I3893" s="19" t="str">
        <f>IFERROR(__xludf.DUMMYFUNCTION("IFERROR(TO_DATE(H3893), """")"),"NA")</f>
        <v>NA</v>
      </c>
      <c r="J3893" s="19" t="s">
        <v>13</v>
      </c>
      <c r="K3893" s="22">
        <f t="shared" si="2"/>
        <v>1</v>
      </c>
    </row>
    <row r="3894">
      <c r="A3894" s="18">
        <v>4137.0</v>
      </c>
      <c r="B3894" s="18" t="s">
        <v>32</v>
      </c>
      <c r="C3894" s="18">
        <v>254.0</v>
      </c>
      <c r="D3894" s="18" t="s">
        <v>33</v>
      </c>
      <c r="E3894" s="27">
        <v>42565.200474537036</v>
      </c>
      <c r="F3894" s="19">
        <f>IFERROR(__xludf.DUMMYFUNCTION("IFERROR(TO_DATE(E3894), """")"),42565.200474537036)</f>
        <v>42565.20047</v>
      </c>
      <c r="G3894" s="20">
        <f t="shared" si="1"/>
        <v>4</v>
      </c>
      <c r="H3894" s="18" t="s">
        <v>34</v>
      </c>
      <c r="I3894" s="19" t="str">
        <f>IFERROR(__xludf.DUMMYFUNCTION("IFERROR(TO_DATE(H3894), """")"),"NA")</f>
        <v>NA</v>
      </c>
      <c r="J3894" s="19" t="s">
        <v>11</v>
      </c>
      <c r="K3894" s="22">
        <f t="shared" si="2"/>
        <v>1</v>
      </c>
    </row>
    <row r="3895">
      <c r="A3895" s="18">
        <v>780.0</v>
      </c>
      <c r="B3895" s="18" t="s">
        <v>30</v>
      </c>
      <c r="C3895" s="18">
        <v>255.0</v>
      </c>
      <c r="D3895" s="18" t="s">
        <v>33</v>
      </c>
      <c r="E3895" s="26">
        <v>42562.69583333333</v>
      </c>
      <c r="F3895" s="19">
        <f>IFERROR(__xludf.DUMMYFUNCTION("IFERROR(TO_DATE(E3895), """")"),42562.69583333333)</f>
        <v>42562.69583</v>
      </c>
      <c r="G3895" s="20">
        <f t="shared" si="1"/>
        <v>16</v>
      </c>
      <c r="H3895" s="18" t="s">
        <v>34</v>
      </c>
      <c r="I3895" s="19" t="str">
        <f>IFERROR(__xludf.DUMMYFUNCTION("IFERROR(TO_DATE(H3895), """")"),"NA")</f>
        <v>NA</v>
      </c>
      <c r="J3895" s="19" t="s">
        <v>12</v>
      </c>
      <c r="K3895" s="22">
        <f t="shared" si="2"/>
        <v>1</v>
      </c>
    </row>
    <row r="3896">
      <c r="A3896" s="18">
        <v>1601.0</v>
      </c>
      <c r="B3896" s="18" t="s">
        <v>32</v>
      </c>
      <c r="C3896" s="18">
        <v>255.0</v>
      </c>
      <c r="D3896" s="18" t="s">
        <v>33</v>
      </c>
      <c r="E3896" s="26">
        <v>42563.279861111114</v>
      </c>
      <c r="F3896" s="19">
        <f>IFERROR(__xludf.DUMMYFUNCTION("IFERROR(TO_DATE(E3896), """")"),42563.279861111114)</f>
        <v>42563.27986</v>
      </c>
      <c r="G3896" s="20">
        <f t="shared" si="1"/>
        <v>6</v>
      </c>
      <c r="H3896" s="18" t="s">
        <v>34</v>
      </c>
      <c r="I3896" s="19" t="str">
        <f>IFERROR(__xludf.DUMMYFUNCTION("IFERROR(TO_DATE(H3896), """")"),"NA")</f>
        <v>NA</v>
      </c>
      <c r="J3896" s="19" t="s">
        <v>11</v>
      </c>
      <c r="K3896" s="22">
        <f t="shared" si="2"/>
        <v>1</v>
      </c>
    </row>
    <row r="3897">
      <c r="A3897" s="18">
        <v>1831.0</v>
      </c>
      <c r="B3897" s="18" t="s">
        <v>30</v>
      </c>
      <c r="C3897" s="18">
        <v>255.0</v>
      </c>
      <c r="D3897" s="18" t="s">
        <v>33</v>
      </c>
      <c r="E3897" s="26">
        <v>42563.39375</v>
      </c>
      <c r="F3897" s="19">
        <f>IFERROR(__xludf.DUMMYFUNCTION("IFERROR(TO_DATE(E3897), """")"),42563.39375)</f>
        <v>42563.39375</v>
      </c>
      <c r="G3897" s="20">
        <f t="shared" si="1"/>
        <v>9</v>
      </c>
      <c r="H3897" s="18" t="s">
        <v>34</v>
      </c>
      <c r="I3897" s="19" t="str">
        <f>IFERROR(__xludf.DUMMYFUNCTION("IFERROR(TO_DATE(H3897), """")"),"NA")</f>
        <v>NA</v>
      </c>
      <c r="J3897" s="19" t="s">
        <v>14</v>
      </c>
      <c r="K3897" s="22">
        <f t="shared" si="2"/>
        <v>1</v>
      </c>
    </row>
    <row r="3898">
      <c r="A3898" s="18">
        <v>5545.0</v>
      </c>
      <c r="B3898" s="18" t="s">
        <v>32</v>
      </c>
      <c r="C3898" s="18">
        <v>255.0</v>
      </c>
      <c r="D3898" s="18" t="s">
        <v>33</v>
      </c>
      <c r="E3898" s="27">
        <v>42566.227222222224</v>
      </c>
      <c r="F3898" s="19">
        <f>IFERROR(__xludf.DUMMYFUNCTION("IFERROR(TO_DATE(E3898), """")"),42566.227222222224)</f>
        <v>42566.22722</v>
      </c>
      <c r="G3898" s="20">
        <f t="shared" si="1"/>
        <v>5</v>
      </c>
      <c r="H3898" s="18" t="s">
        <v>34</v>
      </c>
      <c r="I3898" s="19" t="str">
        <f>IFERROR(__xludf.DUMMYFUNCTION("IFERROR(TO_DATE(H3898), """")"),"NA")</f>
        <v>NA</v>
      </c>
      <c r="J3898" s="19" t="s">
        <v>11</v>
      </c>
      <c r="K3898" s="22">
        <f t="shared" si="2"/>
        <v>1</v>
      </c>
    </row>
    <row r="3899">
      <c r="A3899" s="18">
        <v>2782.0</v>
      </c>
      <c r="B3899" s="18" t="s">
        <v>32</v>
      </c>
      <c r="C3899" s="18">
        <v>256.0</v>
      </c>
      <c r="D3899" s="18" t="s">
        <v>33</v>
      </c>
      <c r="E3899" s="27">
        <v>42564.20170138889</v>
      </c>
      <c r="F3899" s="19">
        <f>IFERROR(__xludf.DUMMYFUNCTION("IFERROR(TO_DATE(E3899), """")"),42564.20170138889)</f>
        <v>42564.2017</v>
      </c>
      <c r="G3899" s="20">
        <f t="shared" si="1"/>
        <v>4</v>
      </c>
      <c r="H3899" s="18" t="s">
        <v>34</v>
      </c>
      <c r="I3899" s="19" t="str">
        <f>IFERROR(__xludf.DUMMYFUNCTION("IFERROR(TO_DATE(H3899), """")"),"NA")</f>
        <v>NA</v>
      </c>
      <c r="J3899" s="19" t="s">
        <v>11</v>
      </c>
      <c r="K3899" s="22">
        <f t="shared" si="2"/>
        <v>1</v>
      </c>
    </row>
    <row r="3900">
      <c r="A3900" s="18">
        <v>4202.0</v>
      </c>
      <c r="B3900" s="18" t="s">
        <v>32</v>
      </c>
      <c r="C3900" s="18">
        <v>256.0</v>
      </c>
      <c r="D3900" s="18" t="s">
        <v>33</v>
      </c>
      <c r="E3900" s="27">
        <v>42565.234502314815</v>
      </c>
      <c r="F3900" s="19">
        <f>IFERROR(__xludf.DUMMYFUNCTION("IFERROR(TO_DATE(E3900), """")"),42565.234502314815)</f>
        <v>42565.2345</v>
      </c>
      <c r="G3900" s="20">
        <f t="shared" si="1"/>
        <v>5</v>
      </c>
      <c r="H3900" s="18" t="s">
        <v>34</v>
      </c>
      <c r="I3900" s="19" t="str">
        <f>IFERROR(__xludf.DUMMYFUNCTION("IFERROR(TO_DATE(H3900), """")"),"NA")</f>
        <v>NA</v>
      </c>
      <c r="J3900" s="19" t="s">
        <v>11</v>
      </c>
      <c r="K3900" s="22">
        <f t="shared" si="2"/>
        <v>1</v>
      </c>
    </row>
    <row r="3901">
      <c r="A3901" s="18">
        <v>4253.0</v>
      </c>
      <c r="B3901" s="18" t="s">
        <v>32</v>
      </c>
      <c r="C3901" s="18">
        <v>256.0</v>
      </c>
      <c r="D3901" s="18" t="s">
        <v>33</v>
      </c>
      <c r="E3901" s="27">
        <v>42565.251967592594</v>
      </c>
      <c r="F3901" s="19">
        <f>IFERROR(__xludf.DUMMYFUNCTION("IFERROR(TO_DATE(E3901), """")"),42565.251967592594)</f>
        <v>42565.25197</v>
      </c>
      <c r="G3901" s="20">
        <f t="shared" si="1"/>
        <v>6</v>
      </c>
      <c r="H3901" s="18" t="s">
        <v>34</v>
      </c>
      <c r="I3901" s="19" t="str">
        <f>IFERROR(__xludf.DUMMYFUNCTION("IFERROR(TO_DATE(H3901), """")"),"NA")</f>
        <v>NA</v>
      </c>
      <c r="J3901" s="19" t="s">
        <v>11</v>
      </c>
      <c r="K3901" s="22">
        <f t="shared" si="2"/>
        <v>1</v>
      </c>
    </row>
    <row r="3902">
      <c r="A3902" s="18">
        <v>4669.0</v>
      </c>
      <c r="B3902" s="18" t="s">
        <v>32</v>
      </c>
      <c r="C3902" s="18">
        <v>256.0</v>
      </c>
      <c r="D3902" s="18" t="s">
        <v>33</v>
      </c>
      <c r="E3902" s="27">
        <v>42565.52381944445</v>
      </c>
      <c r="F3902" s="19">
        <f>IFERROR(__xludf.DUMMYFUNCTION("IFERROR(TO_DATE(E3902), """")"),42565.52381944445)</f>
        <v>42565.52382</v>
      </c>
      <c r="G3902" s="20">
        <f t="shared" si="1"/>
        <v>12</v>
      </c>
      <c r="H3902" s="18" t="s">
        <v>34</v>
      </c>
      <c r="I3902" s="19" t="str">
        <f>IFERROR(__xludf.DUMMYFUNCTION("IFERROR(TO_DATE(H3902), """")"),"NA")</f>
        <v>NA</v>
      </c>
      <c r="J3902" s="19" t="s">
        <v>10</v>
      </c>
      <c r="K3902" s="22">
        <f t="shared" si="2"/>
        <v>1</v>
      </c>
    </row>
    <row r="3903">
      <c r="A3903" s="18">
        <v>5694.0</v>
      </c>
      <c r="B3903" s="18" t="s">
        <v>32</v>
      </c>
      <c r="C3903" s="18">
        <v>256.0</v>
      </c>
      <c r="D3903" s="18" t="s">
        <v>33</v>
      </c>
      <c r="E3903" s="27">
        <v>42566.31322916667</v>
      </c>
      <c r="F3903" s="19">
        <f>IFERROR(__xludf.DUMMYFUNCTION("IFERROR(TO_DATE(E3903), """")"),42566.31322916667)</f>
        <v>42566.31323</v>
      </c>
      <c r="G3903" s="20">
        <f t="shared" si="1"/>
        <v>7</v>
      </c>
      <c r="H3903" s="18" t="s">
        <v>34</v>
      </c>
      <c r="I3903" s="19" t="str">
        <f>IFERROR(__xludf.DUMMYFUNCTION("IFERROR(TO_DATE(H3903), """")"),"NA")</f>
        <v>NA</v>
      </c>
      <c r="J3903" s="19" t="s">
        <v>11</v>
      </c>
      <c r="K3903" s="22">
        <f t="shared" si="2"/>
        <v>1</v>
      </c>
    </row>
    <row r="3904">
      <c r="A3904" s="18">
        <v>5707.0</v>
      </c>
      <c r="B3904" s="18" t="s">
        <v>32</v>
      </c>
      <c r="C3904" s="18">
        <v>256.0</v>
      </c>
      <c r="D3904" s="18" t="s">
        <v>33</v>
      </c>
      <c r="E3904" s="27">
        <v>42566.31453703704</v>
      </c>
      <c r="F3904" s="19">
        <f>IFERROR(__xludf.DUMMYFUNCTION("IFERROR(TO_DATE(E3904), """")"),42566.31453703704)</f>
        <v>42566.31454</v>
      </c>
      <c r="G3904" s="20">
        <f t="shared" si="1"/>
        <v>7</v>
      </c>
      <c r="H3904" s="18" t="s">
        <v>34</v>
      </c>
      <c r="I3904" s="19" t="str">
        <f>IFERROR(__xludf.DUMMYFUNCTION("IFERROR(TO_DATE(H3904), """")"),"NA")</f>
        <v>NA</v>
      </c>
      <c r="J3904" s="19" t="s">
        <v>11</v>
      </c>
      <c r="K3904" s="22">
        <f t="shared" si="2"/>
        <v>1</v>
      </c>
    </row>
    <row r="3905">
      <c r="A3905" s="18">
        <v>5795.0</v>
      </c>
      <c r="B3905" s="18" t="s">
        <v>32</v>
      </c>
      <c r="C3905" s="18">
        <v>256.0</v>
      </c>
      <c r="D3905" s="18" t="s">
        <v>33</v>
      </c>
      <c r="E3905" s="27">
        <v>42566.362222222226</v>
      </c>
      <c r="F3905" s="19">
        <f>IFERROR(__xludf.DUMMYFUNCTION("IFERROR(TO_DATE(E3905), """")"),42566.362222222226)</f>
        <v>42566.36222</v>
      </c>
      <c r="G3905" s="20">
        <f t="shared" si="1"/>
        <v>8</v>
      </c>
      <c r="H3905" s="18" t="s">
        <v>34</v>
      </c>
      <c r="I3905" s="19" t="str">
        <f>IFERROR(__xludf.DUMMYFUNCTION("IFERROR(TO_DATE(H3905), """")"),"NA")</f>
        <v>NA</v>
      </c>
      <c r="J3905" s="19" t="s">
        <v>14</v>
      </c>
      <c r="K3905" s="22">
        <f t="shared" si="2"/>
        <v>1</v>
      </c>
    </row>
    <row r="3906">
      <c r="A3906" s="18">
        <v>4203.0</v>
      </c>
      <c r="B3906" s="18" t="s">
        <v>32</v>
      </c>
      <c r="C3906" s="18">
        <v>257.0</v>
      </c>
      <c r="D3906" s="18" t="s">
        <v>33</v>
      </c>
      <c r="E3906" s="27">
        <v>42565.23365740741</v>
      </c>
      <c r="F3906" s="19">
        <f>IFERROR(__xludf.DUMMYFUNCTION("IFERROR(TO_DATE(E3906), """")"),42565.23365740741)</f>
        <v>42565.23366</v>
      </c>
      <c r="G3906" s="20">
        <f t="shared" si="1"/>
        <v>5</v>
      </c>
      <c r="H3906" s="18" t="s">
        <v>34</v>
      </c>
      <c r="I3906" s="19" t="str">
        <f>IFERROR(__xludf.DUMMYFUNCTION("IFERROR(TO_DATE(H3906), """")"),"NA")</f>
        <v>NA</v>
      </c>
      <c r="J3906" s="19" t="s">
        <v>11</v>
      </c>
      <c r="K3906" s="22">
        <f t="shared" si="2"/>
        <v>1</v>
      </c>
    </row>
    <row r="3907">
      <c r="A3907" s="18">
        <v>5928.0</v>
      </c>
      <c r="B3907" s="18" t="s">
        <v>32</v>
      </c>
      <c r="C3907" s="18">
        <v>257.0</v>
      </c>
      <c r="D3907" s="18" t="s">
        <v>33</v>
      </c>
      <c r="E3907" s="27">
        <v>42566.4219212963</v>
      </c>
      <c r="F3907" s="19">
        <f>IFERROR(__xludf.DUMMYFUNCTION("IFERROR(TO_DATE(E3907), """")"),42566.4219212963)</f>
        <v>42566.42192</v>
      </c>
      <c r="G3907" s="20">
        <f t="shared" si="1"/>
        <v>10</v>
      </c>
      <c r="H3907" s="18" t="s">
        <v>34</v>
      </c>
      <c r="I3907" s="19" t="str">
        <f>IFERROR(__xludf.DUMMYFUNCTION("IFERROR(TO_DATE(H3907), """")"),"NA")</f>
        <v>NA</v>
      </c>
      <c r="J3907" s="19" t="s">
        <v>14</v>
      </c>
      <c r="K3907" s="22">
        <f t="shared" si="2"/>
        <v>1</v>
      </c>
    </row>
    <row r="3908">
      <c r="A3908" s="18">
        <v>471.0</v>
      </c>
      <c r="B3908" s="18" t="s">
        <v>32</v>
      </c>
      <c r="C3908" s="18">
        <v>258.0</v>
      </c>
      <c r="D3908" s="18" t="s">
        <v>33</v>
      </c>
      <c r="E3908" s="26">
        <v>42562.39027777778</v>
      </c>
      <c r="F3908" s="19">
        <f>IFERROR(__xludf.DUMMYFUNCTION("IFERROR(TO_DATE(E3908), """")"),42562.39027777778)</f>
        <v>42562.39028</v>
      </c>
      <c r="G3908" s="20">
        <f t="shared" si="1"/>
        <v>9</v>
      </c>
      <c r="H3908" s="18" t="s">
        <v>34</v>
      </c>
      <c r="I3908" s="19" t="str">
        <f>IFERROR(__xludf.DUMMYFUNCTION("IFERROR(TO_DATE(H3908), """")"),"NA")</f>
        <v>NA</v>
      </c>
      <c r="J3908" s="19" t="s">
        <v>14</v>
      </c>
      <c r="K3908" s="22">
        <f t="shared" si="2"/>
        <v>1</v>
      </c>
    </row>
    <row r="3909">
      <c r="A3909" s="18">
        <v>4505.0</v>
      </c>
      <c r="B3909" s="18" t="s">
        <v>32</v>
      </c>
      <c r="C3909" s="18">
        <v>258.0</v>
      </c>
      <c r="D3909" s="18" t="s">
        <v>33</v>
      </c>
      <c r="E3909" s="27">
        <v>42565.381631944445</v>
      </c>
      <c r="F3909" s="19">
        <f>IFERROR(__xludf.DUMMYFUNCTION("IFERROR(TO_DATE(E3909), """")"),42565.381631944445)</f>
        <v>42565.38163</v>
      </c>
      <c r="G3909" s="20">
        <f t="shared" si="1"/>
        <v>9</v>
      </c>
      <c r="H3909" s="18" t="s">
        <v>34</v>
      </c>
      <c r="I3909" s="19" t="str">
        <f>IFERROR(__xludf.DUMMYFUNCTION("IFERROR(TO_DATE(H3909), """")"),"NA")</f>
        <v>NA</v>
      </c>
      <c r="J3909" s="19" t="s">
        <v>14</v>
      </c>
      <c r="K3909" s="22">
        <f t="shared" si="2"/>
        <v>1</v>
      </c>
    </row>
    <row r="3910">
      <c r="A3910" s="18">
        <v>5876.0</v>
      </c>
      <c r="B3910" s="18" t="s">
        <v>32</v>
      </c>
      <c r="C3910" s="18">
        <v>258.0</v>
      </c>
      <c r="D3910" s="18" t="s">
        <v>33</v>
      </c>
      <c r="E3910" s="27">
        <v>42566.39400462963</v>
      </c>
      <c r="F3910" s="19">
        <f>IFERROR(__xludf.DUMMYFUNCTION("IFERROR(TO_DATE(E3910), """")"),42566.39400462963)</f>
        <v>42566.394</v>
      </c>
      <c r="G3910" s="20">
        <f t="shared" si="1"/>
        <v>9</v>
      </c>
      <c r="H3910" s="18" t="s">
        <v>34</v>
      </c>
      <c r="I3910" s="19" t="str">
        <f>IFERROR(__xludf.DUMMYFUNCTION("IFERROR(TO_DATE(H3910), """")"),"NA")</f>
        <v>NA</v>
      </c>
      <c r="J3910" s="19" t="s">
        <v>14</v>
      </c>
      <c r="K3910" s="22">
        <f t="shared" si="2"/>
        <v>1</v>
      </c>
    </row>
    <row r="3911">
      <c r="A3911" s="18">
        <v>332.0</v>
      </c>
      <c r="B3911" s="18" t="s">
        <v>32</v>
      </c>
      <c r="C3911" s="18">
        <v>259.0</v>
      </c>
      <c r="D3911" s="18" t="s">
        <v>33</v>
      </c>
      <c r="E3911" s="26">
        <v>42562.319444444445</v>
      </c>
      <c r="F3911" s="19">
        <f>IFERROR(__xludf.DUMMYFUNCTION("IFERROR(TO_DATE(E3911), """")"),42562.319444444445)</f>
        <v>42562.31944</v>
      </c>
      <c r="G3911" s="20">
        <f t="shared" si="1"/>
        <v>7</v>
      </c>
      <c r="H3911" s="18" t="s">
        <v>34</v>
      </c>
      <c r="I3911" s="19" t="str">
        <f>IFERROR(__xludf.DUMMYFUNCTION("IFERROR(TO_DATE(H3911), """")"),"NA")</f>
        <v>NA</v>
      </c>
      <c r="J3911" s="19" t="s">
        <v>11</v>
      </c>
      <c r="K3911" s="22">
        <f t="shared" si="2"/>
        <v>1</v>
      </c>
    </row>
    <row r="3912">
      <c r="A3912" s="18">
        <v>1734.0</v>
      </c>
      <c r="B3912" s="18" t="s">
        <v>32</v>
      </c>
      <c r="C3912" s="18">
        <v>259.0</v>
      </c>
      <c r="D3912" s="18" t="s">
        <v>33</v>
      </c>
      <c r="E3912" s="26">
        <v>42563.350694444445</v>
      </c>
      <c r="F3912" s="19">
        <f>IFERROR(__xludf.DUMMYFUNCTION("IFERROR(TO_DATE(E3912), """")"),42563.350694444445)</f>
        <v>42563.35069</v>
      </c>
      <c r="G3912" s="20">
        <f t="shared" si="1"/>
        <v>8</v>
      </c>
      <c r="H3912" s="18" t="s">
        <v>34</v>
      </c>
      <c r="I3912" s="19" t="str">
        <f>IFERROR(__xludf.DUMMYFUNCTION("IFERROR(TO_DATE(H3912), """")"),"NA")</f>
        <v>NA</v>
      </c>
      <c r="J3912" s="19" t="s">
        <v>14</v>
      </c>
      <c r="K3912" s="22">
        <f t="shared" si="2"/>
        <v>1</v>
      </c>
    </row>
    <row r="3913">
      <c r="A3913" s="18">
        <v>3202.0</v>
      </c>
      <c r="B3913" s="18" t="s">
        <v>32</v>
      </c>
      <c r="C3913" s="18">
        <v>259.0</v>
      </c>
      <c r="D3913" s="18" t="s">
        <v>33</v>
      </c>
      <c r="E3913" s="27">
        <v>42564.403495370374</v>
      </c>
      <c r="F3913" s="19">
        <f>IFERROR(__xludf.DUMMYFUNCTION("IFERROR(TO_DATE(E3913), """")"),42564.403495370374)</f>
        <v>42564.4035</v>
      </c>
      <c r="G3913" s="20">
        <f t="shared" si="1"/>
        <v>9</v>
      </c>
      <c r="H3913" s="18" t="s">
        <v>34</v>
      </c>
      <c r="I3913" s="19" t="str">
        <f>IFERROR(__xludf.DUMMYFUNCTION("IFERROR(TO_DATE(H3913), """")"),"NA")</f>
        <v>NA</v>
      </c>
      <c r="J3913" s="19" t="s">
        <v>14</v>
      </c>
      <c r="K3913" s="22">
        <f t="shared" si="2"/>
        <v>1</v>
      </c>
    </row>
    <row r="3914">
      <c r="A3914" s="18">
        <v>4232.0</v>
      </c>
      <c r="B3914" s="18" t="s">
        <v>32</v>
      </c>
      <c r="C3914" s="18">
        <v>259.0</v>
      </c>
      <c r="D3914" s="18" t="s">
        <v>33</v>
      </c>
      <c r="E3914" s="27">
        <v>42565.24707175926</v>
      </c>
      <c r="F3914" s="19">
        <f>IFERROR(__xludf.DUMMYFUNCTION("IFERROR(TO_DATE(E3914), """")"),42565.24707175926)</f>
        <v>42565.24707</v>
      </c>
      <c r="G3914" s="20">
        <f t="shared" si="1"/>
        <v>5</v>
      </c>
      <c r="H3914" s="18" t="s">
        <v>34</v>
      </c>
      <c r="I3914" s="19" t="str">
        <f>IFERROR(__xludf.DUMMYFUNCTION("IFERROR(TO_DATE(H3914), """")"),"NA")</f>
        <v>NA</v>
      </c>
      <c r="J3914" s="19" t="s">
        <v>11</v>
      </c>
      <c r="K3914" s="22">
        <f t="shared" si="2"/>
        <v>1</v>
      </c>
    </row>
    <row r="3915">
      <c r="A3915" s="18">
        <v>6608.0</v>
      </c>
      <c r="B3915" s="18" t="s">
        <v>30</v>
      </c>
      <c r="C3915" s="18">
        <v>259.0</v>
      </c>
      <c r="D3915" s="18" t="s">
        <v>33</v>
      </c>
      <c r="E3915" s="27">
        <v>42566.90760416666</v>
      </c>
      <c r="F3915" s="19">
        <f>IFERROR(__xludf.DUMMYFUNCTION("IFERROR(TO_DATE(E3915), """")"),42566.90760416666)</f>
        <v>42566.9076</v>
      </c>
      <c r="G3915" s="20">
        <f t="shared" si="1"/>
        <v>21</v>
      </c>
      <c r="H3915" s="18" t="s">
        <v>34</v>
      </c>
      <c r="I3915" s="19" t="str">
        <f>IFERROR(__xludf.DUMMYFUNCTION("IFERROR(TO_DATE(H3915), """")"),"NA")</f>
        <v>NA</v>
      </c>
      <c r="J3915" s="19" t="s">
        <v>13</v>
      </c>
      <c r="K3915" s="22">
        <f t="shared" si="2"/>
        <v>1</v>
      </c>
    </row>
    <row r="3916">
      <c r="A3916" s="18">
        <v>1703.0</v>
      </c>
      <c r="B3916" s="18" t="s">
        <v>32</v>
      </c>
      <c r="C3916" s="18">
        <v>260.0</v>
      </c>
      <c r="D3916" s="18" t="s">
        <v>33</v>
      </c>
      <c r="E3916" s="26">
        <v>42563.336805555555</v>
      </c>
      <c r="F3916" s="19">
        <f>IFERROR(__xludf.DUMMYFUNCTION("IFERROR(TO_DATE(E3916), """")"),42563.336805555555)</f>
        <v>42563.33681</v>
      </c>
      <c r="G3916" s="20">
        <f t="shared" si="1"/>
        <v>8</v>
      </c>
      <c r="H3916" s="18" t="s">
        <v>34</v>
      </c>
      <c r="I3916" s="19" t="str">
        <f>IFERROR(__xludf.DUMMYFUNCTION("IFERROR(TO_DATE(H3916), """")"),"NA")</f>
        <v>NA</v>
      </c>
      <c r="J3916" s="19" t="s">
        <v>14</v>
      </c>
      <c r="K3916" s="22">
        <f t="shared" si="2"/>
        <v>1</v>
      </c>
    </row>
    <row r="3917">
      <c r="A3917" s="18">
        <v>3001.0</v>
      </c>
      <c r="B3917" s="18" t="s">
        <v>32</v>
      </c>
      <c r="C3917" s="18">
        <v>260.0</v>
      </c>
      <c r="D3917" s="18" t="s">
        <v>33</v>
      </c>
      <c r="E3917" s="27">
        <v>42564.302395833336</v>
      </c>
      <c r="F3917" s="19">
        <f>IFERROR(__xludf.DUMMYFUNCTION("IFERROR(TO_DATE(E3917), """")"),42564.302395833336)</f>
        <v>42564.3024</v>
      </c>
      <c r="G3917" s="20">
        <f t="shared" si="1"/>
        <v>7</v>
      </c>
      <c r="H3917" s="18" t="s">
        <v>34</v>
      </c>
      <c r="I3917" s="19" t="str">
        <f>IFERROR(__xludf.DUMMYFUNCTION("IFERROR(TO_DATE(H3917), """")"),"NA")</f>
        <v>NA</v>
      </c>
      <c r="J3917" s="19" t="s">
        <v>11</v>
      </c>
      <c r="K3917" s="22">
        <f t="shared" si="2"/>
        <v>1</v>
      </c>
    </row>
    <row r="3918">
      <c r="A3918" s="18">
        <v>3149.0</v>
      </c>
      <c r="B3918" s="18" t="s">
        <v>32</v>
      </c>
      <c r="C3918" s="18">
        <v>260.0</v>
      </c>
      <c r="D3918" s="18" t="s">
        <v>33</v>
      </c>
      <c r="E3918" s="27">
        <v>42564.37173611111</v>
      </c>
      <c r="F3918" s="19">
        <f>IFERROR(__xludf.DUMMYFUNCTION("IFERROR(TO_DATE(E3918), """")"),42564.37173611111)</f>
        <v>42564.37174</v>
      </c>
      <c r="G3918" s="20">
        <f t="shared" si="1"/>
        <v>8</v>
      </c>
      <c r="H3918" s="18" t="s">
        <v>34</v>
      </c>
      <c r="I3918" s="19" t="str">
        <f>IFERROR(__xludf.DUMMYFUNCTION("IFERROR(TO_DATE(H3918), """")"),"NA")</f>
        <v>NA</v>
      </c>
      <c r="J3918" s="19" t="s">
        <v>14</v>
      </c>
      <c r="K3918" s="22">
        <f t="shared" si="2"/>
        <v>1</v>
      </c>
    </row>
    <row r="3919">
      <c r="A3919" s="18">
        <v>4496.0</v>
      </c>
      <c r="B3919" s="18" t="s">
        <v>32</v>
      </c>
      <c r="C3919" s="18">
        <v>260.0</v>
      </c>
      <c r="D3919" s="18" t="s">
        <v>33</v>
      </c>
      <c r="E3919" s="27">
        <v>42565.37666666666</v>
      </c>
      <c r="F3919" s="19">
        <f>IFERROR(__xludf.DUMMYFUNCTION("IFERROR(TO_DATE(E3919), """")"),42565.37666666666)</f>
        <v>42565.37667</v>
      </c>
      <c r="G3919" s="20">
        <f t="shared" si="1"/>
        <v>9</v>
      </c>
      <c r="H3919" s="18" t="s">
        <v>34</v>
      </c>
      <c r="I3919" s="19" t="str">
        <f>IFERROR(__xludf.DUMMYFUNCTION("IFERROR(TO_DATE(H3919), """")"),"NA")</f>
        <v>NA</v>
      </c>
      <c r="J3919" s="19" t="s">
        <v>14</v>
      </c>
      <c r="K3919" s="22">
        <f t="shared" si="2"/>
        <v>1</v>
      </c>
    </row>
    <row r="3920">
      <c r="A3920" s="18">
        <v>1591.0</v>
      </c>
      <c r="B3920" s="18" t="s">
        <v>32</v>
      </c>
      <c r="C3920" s="18">
        <v>261.0</v>
      </c>
      <c r="D3920" s="18" t="s">
        <v>33</v>
      </c>
      <c r="E3920" s="26">
        <v>42563.26944444444</v>
      </c>
      <c r="F3920" s="19">
        <f>IFERROR(__xludf.DUMMYFUNCTION("IFERROR(TO_DATE(E3920), """")"),42563.26944444444)</f>
        <v>42563.26944</v>
      </c>
      <c r="G3920" s="20">
        <f t="shared" si="1"/>
        <v>6</v>
      </c>
      <c r="H3920" s="18" t="s">
        <v>34</v>
      </c>
      <c r="I3920" s="19" t="str">
        <f>IFERROR(__xludf.DUMMYFUNCTION("IFERROR(TO_DATE(H3920), """")"),"NA")</f>
        <v>NA</v>
      </c>
      <c r="J3920" s="19" t="s">
        <v>11</v>
      </c>
      <c r="K3920" s="22">
        <f t="shared" si="2"/>
        <v>1</v>
      </c>
    </row>
    <row r="3921">
      <c r="A3921" s="18">
        <v>1876.0</v>
      </c>
      <c r="B3921" s="18" t="s">
        <v>32</v>
      </c>
      <c r="C3921" s="18">
        <v>261.0</v>
      </c>
      <c r="D3921" s="18" t="s">
        <v>33</v>
      </c>
      <c r="E3921" s="26">
        <v>42563.41736111111</v>
      </c>
      <c r="F3921" s="19">
        <f>IFERROR(__xludf.DUMMYFUNCTION("IFERROR(TO_DATE(E3921), """")"),42563.41736111111)</f>
        <v>42563.41736</v>
      </c>
      <c r="G3921" s="20">
        <f t="shared" si="1"/>
        <v>10</v>
      </c>
      <c r="H3921" s="18" t="s">
        <v>34</v>
      </c>
      <c r="I3921" s="19" t="str">
        <f>IFERROR(__xludf.DUMMYFUNCTION("IFERROR(TO_DATE(H3921), """")"),"NA")</f>
        <v>NA</v>
      </c>
      <c r="J3921" s="19" t="s">
        <v>14</v>
      </c>
      <c r="K3921" s="22">
        <f t="shared" si="2"/>
        <v>1</v>
      </c>
    </row>
    <row r="3922">
      <c r="A3922" s="18">
        <v>4169.0</v>
      </c>
      <c r="B3922" s="18" t="s">
        <v>32</v>
      </c>
      <c r="C3922" s="18">
        <v>261.0</v>
      </c>
      <c r="D3922" s="18" t="s">
        <v>33</v>
      </c>
      <c r="E3922" s="27">
        <v>42565.217314814814</v>
      </c>
      <c r="F3922" s="19">
        <f>IFERROR(__xludf.DUMMYFUNCTION("IFERROR(TO_DATE(E3922), """")"),42565.217314814814)</f>
        <v>42565.21731</v>
      </c>
      <c r="G3922" s="20">
        <f t="shared" si="1"/>
        <v>5</v>
      </c>
      <c r="H3922" s="18" t="s">
        <v>34</v>
      </c>
      <c r="I3922" s="19" t="str">
        <f>IFERROR(__xludf.DUMMYFUNCTION("IFERROR(TO_DATE(H3922), """")"),"NA")</f>
        <v>NA</v>
      </c>
      <c r="J3922" s="19" t="s">
        <v>11</v>
      </c>
      <c r="K3922" s="22">
        <f t="shared" si="2"/>
        <v>1</v>
      </c>
    </row>
    <row r="3923">
      <c r="A3923" s="18">
        <v>4512.0</v>
      </c>
      <c r="B3923" s="18" t="s">
        <v>32</v>
      </c>
      <c r="C3923" s="18">
        <v>261.0</v>
      </c>
      <c r="D3923" s="18" t="s">
        <v>33</v>
      </c>
      <c r="E3923" s="27">
        <v>42565.38576388889</v>
      </c>
      <c r="F3923" s="19">
        <f>IFERROR(__xludf.DUMMYFUNCTION("IFERROR(TO_DATE(E3923), """")"),42565.38576388889)</f>
        <v>42565.38576</v>
      </c>
      <c r="G3923" s="20">
        <f t="shared" si="1"/>
        <v>9</v>
      </c>
      <c r="H3923" s="18" t="s">
        <v>34</v>
      </c>
      <c r="I3923" s="19" t="str">
        <f>IFERROR(__xludf.DUMMYFUNCTION("IFERROR(TO_DATE(H3923), """")"),"NA")</f>
        <v>NA</v>
      </c>
      <c r="J3923" s="19" t="s">
        <v>14</v>
      </c>
      <c r="K3923" s="22">
        <f t="shared" si="2"/>
        <v>1</v>
      </c>
    </row>
    <row r="3924">
      <c r="A3924" s="18">
        <v>2895.0</v>
      </c>
      <c r="B3924" s="18" t="s">
        <v>32</v>
      </c>
      <c r="C3924" s="18">
        <v>262.0</v>
      </c>
      <c r="D3924" s="18" t="s">
        <v>33</v>
      </c>
      <c r="E3924" s="27">
        <v>42564.251435185186</v>
      </c>
      <c r="F3924" s="19">
        <f>IFERROR(__xludf.DUMMYFUNCTION("IFERROR(TO_DATE(E3924), """")"),42564.251435185186)</f>
        <v>42564.25144</v>
      </c>
      <c r="G3924" s="20">
        <f t="shared" si="1"/>
        <v>6</v>
      </c>
      <c r="H3924" s="18" t="s">
        <v>34</v>
      </c>
      <c r="I3924" s="19" t="str">
        <f>IFERROR(__xludf.DUMMYFUNCTION("IFERROR(TO_DATE(H3924), """")"),"NA")</f>
        <v>NA</v>
      </c>
      <c r="J3924" s="19" t="s">
        <v>11</v>
      </c>
      <c r="K3924" s="22">
        <f t="shared" si="2"/>
        <v>1</v>
      </c>
    </row>
    <row r="3925">
      <c r="A3925" s="18">
        <v>4330.0</v>
      </c>
      <c r="B3925" s="18" t="s">
        <v>32</v>
      </c>
      <c r="C3925" s="18">
        <v>262.0</v>
      </c>
      <c r="D3925" s="18" t="s">
        <v>33</v>
      </c>
      <c r="E3925" s="27">
        <v>42565.30126157407</v>
      </c>
      <c r="F3925" s="19">
        <f>IFERROR(__xludf.DUMMYFUNCTION("IFERROR(TO_DATE(E3925), """")"),42565.30126157407)</f>
        <v>42565.30126</v>
      </c>
      <c r="G3925" s="20">
        <f t="shared" si="1"/>
        <v>7</v>
      </c>
      <c r="H3925" s="18" t="s">
        <v>34</v>
      </c>
      <c r="I3925" s="19" t="str">
        <f>IFERROR(__xludf.DUMMYFUNCTION("IFERROR(TO_DATE(H3925), """")"),"NA")</f>
        <v>NA</v>
      </c>
      <c r="J3925" s="19" t="s">
        <v>11</v>
      </c>
      <c r="K3925" s="22">
        <f t="shared" si="2"/>
        <v>1</v>
      </c>
    </row>
    <row r="3926">
      <c r="A3926" s="18">
        <v>4801.0</v>
      </c>
      <c r="B3926" s="18" t="s">
        <v>32</v>
      </c>
      <c r="C3926" s="18">
        <v>262.0</v>
      </c>
      <c r="D3926" s="18" t="s">
        <v>33</v>
      </c>
      <c r="E3926" s="27">
        <v>42565.707766203705</v>
      </c>
      <c r="F3926" s="19">
        <f>IFERROR(__xludf.DUMMYFUNCTION("IFERROR(TO_DATE(E3926), """")"),42565.707766203705)</f>
        <v>42565.70777</v>
      </c>
      <c r="G3926" s="20">
        <f t="shared" si="1"/>
        <v>16</v>
      </c>
      <c r="H3926" s="18" t="s">
        <v>34</v>
      </c>
      <c r="I3926" s="19" t="str">
        <f>IFERROR(__xludf.DUMMYFUNCTION("IFERROR(TO_DATE(H3926), """")"),"NA")</f>
        <v>NA</v>
      </c>
      <c r="J3926" s="19" t="s">
        <v>12</v>
      </c>
      <c r="K3926" s="22">
        <f t="shared" si="2"/>
        <v>1</v>
      </c>
    </row>
    <row r="3927">
      <c r="A3927" s="18">
        <v>5787.0</v>
      </c>
      <c r="B3927" s="18" t="s">
        <v>32</v>
      </c>
      <c r="C3927" s="18">
        <v>262.0</v>
      </c>
      <c r="D3927" s="18" t="s">
        <v>33</v>
      </c>
      <c r="E3927" s="27">
        <v>42566.35439814815</v>
      </c>
      <c r="F3927" s="19">
        <f>IFERROR(__xludf.DUMMYFUNCTION("IFERROR(TO_DATE(E3927), """")"),42566.35439814815)</f>
        <v>42566.3544</v>
      </c>
      <c r="G3927" s="20">
        <f t="shared" si="1"/>
        <v>8</v>
      </c>
      <c r="H3927" s="18" t="s">
        <v>34</v>
      </c>
      <c r="I3927" s="19" t="str">
        <f>IFERROR(__xludf.DUMMYFUNCTION("IFERROR(TO_DATE(H3927), """")"),"NA")</f>
        <v>NA</v>
      </c>
      <c r="J3927" s="19" t="s">
        <v>14</v>
      </c>
      <c r="K3927" s="22">
        <f t="shared" si="2"/>
        <v>1</v>
      </c>
    </row>
    <row r="3928">
      <c r="A3928" s="18">
        <v>743.0</v>
      </c>
      <c r="B3928" s="18" t="s">
        <v>32</v>
      </c>
      <c r="C3928" s="18">
        <v>263.0</v>
      </c>
      <c r="D3928" s="18" t="s">
        <v>33</v>
      </c>
      <c r="E3928" s="26">
        <v>42562.65069444444</v>
      </c>
      <c r="F3928" s="19">
        <f>IFERROR(__xludf.DUMMYFUNCTION("IFERROR(TO_DATE(E3928), """")"),42562.65069444444)</f>
        <v>42562.65069</v>
      </c>
      <c r="G3928" s="20">
        <f t="shared" si="1"/>
        <v>15</v>
      </c>
      <c r="H3928" s="18" t="s">
        <v>34</v>
      </c>
      <c r="I3928" s="19" t="str">
        <f>IFERROR(__xludf.DUMMYFUNCTION("IFERROR(TO_DATE(H3928), """")"),"NA")</f>
        <v>NA</v>
      </c>
      <c r="J3928" s="19" t="s">
        <v>10</v>
      </c>
      <c r="K3928" s="22">
        <f t="shared" si="2"/>
        <v>1</v>
      </c>
    </row>
    <row r="3929">
      <c r="A3929" s="18">
        <v>3704.0</v>
      </c>
      <c r="B3929" s="18" t="s">
        <v>30</v>
      </c>
      <c r="C3929" s="18">
        <v>263.0</v>
      </c>
      <c r="D3929" s="18" t="s">
        <v>33</v>
      </c>
      <c r="E3929" s="27">
        <v>42564.82488425926</v>
      </c>
      <c r="F3929" s="19">
        <f>IFERROR(__xludf.DUMMYFUNCTION("IFERROR(TO_DATE(E3929), """")"),42564.82488425926)</f>
        <v>42564.82488</v>
      </c>
      <c r="G3929" s="20">
        <f t="shared" si="1"/>
        <v>19</v>
      </c>
      <c r="H3929" s="18" t="s">
        <v>34</v>
      </c>
      <c r="I3929" s="19" t="str">
        <f>IFERROR(__xludf.DUMMYFUNCTION("IFERROR(TO_DATE(H3929), """")"),"NA")</f>
        <v>NA</v>
      </c>
      <c r="J3929" s="19" t="s">
        <v>12</v>
      </c>
      <c r="K3929" s="22">
        <f t="shared" si="2"/>
        <v>1</v>
      </c>
    </row>
    <row r="3930">
      <c r="A3930" s="18">
        <v>485.0</v>
      </c>
      <c r="B3930" s="18" t="s">
        <v>32</v>
      </c>
      <c r="C3930" s="18">
        <v>264.0</v>
      </c>
      <c r="D3930" s="18" t="s">
        <v>33</v>
      </c>
      <c r="E3930" s="26">
        <v>42562.39791666667</v>
      </c>
      <c r="F3930" s="19">
        <f>IFERROR(__xludf.DUMMYFUNCTION("IFERROR(TO_DATE(E3930), """")"),42562.39791666667)</f>
        <v>42562.39792</v>
      </c>
      <c r="G3930" s="20">
        <f t="shared" si="1"/>
        <v>9</v>
      </c>
      <c r="H3930" s="18" t="s">
        <v>34</v>
      </c>
      <c r="I3930" s="19" t="str">
        <f>IFERROR(__xludf.DUMMYFUNCTION("IFERROR(TO_DATE(H3930), """")"),"NA")</f>
        <v>NA</v>
      </c>
      <c r="J3930" s="19" t="s">
        <v>14</v>
      </c>
      <c r="K3930" s="22">
        <f t="shared" si="2"/>
        <v>1</v>
      </c>
    </row>
    <row r="3931">
      <c r="A3931" s="18">
        <v>647.0</v>
      </c>
      <c r="B3931" s="18" t="s">
        <v>32</v>
      </c>
      <c r="C3931" s="18">
        <v>264.0</v>
      </c>
      <c r="D3931" s="18" t="s">
        <v>33</v>
      </c>
      <c r="E3931" s="26">
        <v>42562.52569444444</v>
      </c>
      <c r="F3931" s="19">
        <f>IFERROR(__xludf.DUMMYFUNCTION("IFERROR(TO_DATE(E3931), """")"),42562.52569444444)</f>
        <v>42562.52569</v>
      </c>
      <c r="G3931" s="20">
        <f t="shared" si="1"/>
        <v>12</v>
      </c>
      <c r="H3931" s="18" t="s">
        <v>34</v>
      </c>
      <c r="I3931" s="19" t="str">
        <f>IFERROR(__xludf.DUMMYFUNCTION("IFERROR(TO_DATE(H3931), """")"),"NA")</f>
        <v>NA</v>
      </c>
      <c r="J3931" s="19" t="s">
        <v>10</v>
      </c>
      <c r="K3931" s="22">
        <f t="shared" si="2"/>
        <v>1</v>
      </c>
    </row>
    <row r="3932">
      <c r="A3932" s="18">
        <v>1858.0</v>
      </c>
      <c r="B3932" s="18" t="s">
        <v>32</v>
      </c>
      <c r="C3932" s="18">
        <v>264.0</v>
      </c>
      <c r="D3932" s="18" t="s">
        <v>33</v>
      </c>
      <c r="E3932" s="26">
        <v>42563.4125</v>
      </c>
      <c r="F3932" s="19">
        <f>IFERROR(__xludf.DUMMYFUNCTION("IFERROR(TO_DATE(E3932), """")"),42563.4125)</f>
        <v>42563.4125</v>
      </c>
      <c r="G3932" s="20">
        <f t="shared" si="1"/>
        <v>9</v>
      </c>
      <c r="H3932" s="18" t="s">
        <v>34</v>
      </c>
      <c r="I3932" s="19" t="str">
        <f>IFERROR(__xludf.DUMMYFUNCTION("IFERROR(TO_DATE(H3932), """")"),"NA")</f>
        <v>NA</v>
      </c>
      <c r="J3932" s="19" t="s">
        <v>14</v>
      </c>
      <c r="K3932" s="22">
        <f t="shared" si="2"/>
        <v>1</v>
      </c>
    </row>
    <row r="3933">
      <c r="A3933" s="18">
        <v>4755.0</v>
      </c>
      <c r="B3933" s="18" t="s">
        <v>32</v>
      </c>
      <c r="C3933" s="18">
        <v>264.0</v>
      </c>
      <c r="D3933" s="18" t="s">
        <v>33</v>
      </c>
      <c r="E3933" s="27">
        <v>42565.63719907407</v>
      </c>
      <c r="F3933" s="19">
        <f>IFERROR(__xludf.DUMMYFUNCTION("IFERROR(TO_DATE(E3933), """")"),42565.63719907407)</f>
        <v>42565.6372</v>
      </c>
      <c r="G3933" s="20">
        <f t="shared" si="1"/>
        <v>15</v>
      </c>
      <c r="H3933" s="18" t="s">
        <v>34</v>
      </c>
      <c r="I3933" s="19" t="str">
        <f>IFERROR(__xludf.DUMMYFUNCTION("IFERROR(TO_DATE(H3933), """")"),"NA")</f>
        <v>NA</v>
      </c>
      <c r="J3933" s="19" t="s">
        <v>10</v>
      </c>
      <c r="K3933" s="22">
        <f t="shared" si="2"/>
        <v>1</v>
      </c>
    </row>
    <row r="3934">
      <c r="A3934" s="18">
        <v>5769.0</v>
      </c>
      <c r="B3934" s="18" t="s">
        <v>32</v>
      </c>
      <c r="C3934" s="18">
        <v>264.0</v>
      </c>
      <c r="D3934" s="18" t="s">
        <v>33</v>
      </c>
      <c r="E3934" s="27">
        <v>42566.34835648148</v>
      </c>
      <c r="F3934" s="19">
        <f>IFERROR(__xludf.DUMMYFUNCTION("IFERROR(TO_DATE(E3934), """")"),42566.34835648148)</f>
        <v>42566.34836</v>
      </c>
      <c r="G3934" s="20">
        <f t="shared" si="1"/>
        <v>8</v>
      </c>
      <c r="H3934" s="18" t="s">
        <v>34</v>
      </c>
      <c r="I3934" s="19" t="str">
        <f>IFERROR(__xludf.DUMMYFUNCTION("IFERROR(TO_DATE(H3934), """")"),"NA")</f>
        <v>NA</v>
      </c>
      <c r="J3934" s="19" t="s">
        <v>14</v>
      </c>
      <c r="K3934" s="22">
        <f t="shared" si="2"/>
        <v>1</v>
      </c>
    </row>
    <row r="3935">
      <c r="A3935" s="18">
        <v>2988.0</v>
      </c>
      <c r="B3935" s="18" t="s">
        <v>32</v>
      </c>
      <c r="C3935" s="18">
        <v>265.0</v>
      </c>
      <c r="D3935" s="18" t="s">
        <v>33</v>
      </c>
      <c r="E3935" s="27">
        <v>42564.29854166666</v>
      </c>
      <c r="F3935" s="19">
        <f>IFERROR(__xludf.DUMMYFUNCTION("IFERROR(TO_DATE(E3935), """")"),42564.29854166666)</f>
        <v>42564.29854</v>
      </c>
      <c r="G3935" s="20">
        <f t="shared" si="1"/>
        <v>7</v>
      </c>
      <c r="H3935" s="18" t="s">
        <v>34</v>
      </c>
      <c r="I3935" s="19" t="str">
        <f>IFERROR(__xludf.DUMMYFUNCTION("IFERROR(TO_DATE(H3935), """")"),"NA")</f>
        <v>NA</v>
      </c>
      <c r="J3935" s="19" t="s">
        <v>11</v>
      </c>
      <c r="K3935" s="22">
        <f t="shared" si="2"/>
        <v>1</v>
      </c>
    </row>
    <row r="3936">
      <c r="A3936" s="18">
        <v>553.0</v>
      </c>
      <c r="B3936" s="18" t="s">
        <v>32</v>
      </c>
      <c r="C3936" s="18">
        <v>266.0</v>
      </c>
      <c r="D3936" s="18" t="s">
        <v>33</v>
      </c>
      <c r="E3936" s="26">
        <v>42562.42291666667</v>
      </c>
      <c r="F3936" s="19">
        <f>IFERROR(__xludf.DUMMYFUNCTION("IFERROR(TO_DATE(E3936), """")"),42562.42291666667)</f>
        <v>42562.42292</v>
      </c>
      <c r="G3936" s="20">
        <f t="shared" si="1"/>
        <v>10</v>
      </c>
      <c r="H3936" s="18" t="s">
        <v>34</v>
      </c>
      <c r="I3936" s="19" t="str">
        <f>IFERROR(__xludf.DUMMYFUNCTION("IFERROR(TO_DATE(H3936), """")"),"NA")</f>
        <v>NA</v>
      </c>
      <c r="J3936" s="19" t="s">
        <v>14</v>
      </c>
      <c r="K3936" s="22">
        <f t="shared" si="2"/>
        <v>1</v>
      </c>
    </row>
    <row r="3937">
      <c r="A3937" s="18">
        <v>676.0</v>
      </c>
      <c r="B3937" s="18" t="s">
        <v>32</v>
      </c>
      <c r="C3937" s="18">
        <v>266.0</v>
      </c>
      <c r="D3937" s="18" t="s">
        <v>33</v>
      </c>
      <c r="E3937" s="26">
        <v>42562.55763888889</v>
      </c>
      <c r="F3937" s="19">
        <f>IFERROR(__xludf.DUMMYFUNCTION("IFERROR(TO_DATE(E3937), """")"),42562.55763888889)</f>
        <v>42562.55764</v>
      </c>
      <c r="G3937" s="20">
        <f t="shared" si="1"/>
        <v>13</v>
      </c>
      <c r="H3937" s="18" t="s">
        <v>34</v>
      </c>
      <c r="I3937" s="19" t="str">
        <f>IFERROR(__xludf.DUMMYFUNCTION("IFERROR(TO_DATE(H3937), """")"),"NA")</f>
        <v>NA</v>
      </c>
      <c r="J3937" s="19" t="s">
        <v>10</v>
      </c>
      <c r="K3937" s="22">
        <f t="shared" si="2"/>
        <v>1</v>
      </c>
    </row>
    <row r="3938">
      <c r="A3938" s="18">
        <v>1516.0</v>
      </c>
      <c r="B3938" s="18" t="s">
        <v>32</v>
      </c>
      <c r="C3938" s="18">
        <v>266.0</v>
      </c>
      <c r="D3938" s="18" t="s">
        <v>33</v>
      </c>
      <c r="E3938" s="26">
        <v>42563.23888888889</v>
      </c>
      <c r="F3938" s="19">
        <f>IFERROR(__xludf.DUMMYFUNCTION("IFERROR(TO_DATE(E3938), """")"),42563.23888888889)</f>
        <v>42563.23889</v>
      </c>
      <c r="G3938" s="20">
        <f t="shared" si="1"/>
        <v>5</v>
      </c>
      <c r="H3938" s="18" t="s">
        <v>34</v>
      </c>
      <c r="I3938" s="19" t="str">
        <f>IFERROR(__xludf.DUMMYFUNCTION("IFERROR(TO_DATE(H3938), """")"),"NA")</f>
        <v>NA</v>
      </c>
      <c r="J3938" s="19" t="s">
        <v>11</v>
      </c>
      <c r="K3938" s="22">
        <f t="shared" si="2"/>
        <v>1</v>
      </c>
    </row>
    <row r="3939">
      <c r="A3939" s="18">
        <v>1763.0</v>
      </c>
      <c r="B3939" s="18" t="s">
        <v>32</v>
      </c>
      <c r="C3939" s="18">
        <v>266.0</v>
      </c>
      <c r="D3939" s="18" t="s">
        <v>33</v>
      </c>
      <c r="E3939" s="26">
        <v>42563.36875</v>
      </c>
      <c r="F3939" s="19">
        <f>IFERROR(__xludf.DUMMYFUNCTION("IFERROR(TO_DATE(E3939), """")"),42563.36875)</f>
        <v>42563.36875</v>
      </c>
      <c r="G3939" s="20">
        <f t="shared" si="1"/>
        <v>8</v>
      </c>
      <c r="H3939" s="18" t="s">
        <v>34</v>
      </c>
      <c r="I3939" s="19" t="str">
        <f>IFERROR(__xludf.DUMMYFUNCTION("IFERROR(TO_DATE(H3939), """")"),"NA")</f>
        <v>NA</v>
      </c>
      <c r="J3939" s="19" t="s">
        <v>14</v>
      </c>
      <c r="K3939" s="22">
        <f t="shared" si="2"/>
        <v>1</v>
      </c>
    </row>
    <row r="3940">
      <c r="A3940" s="18">
        <v>4144.0</v>
      </c>
      <c r="B3940" s="18" t="s">
        <v>32</v>
      </c>
      <c r="C3940" s="18">
        <v>266.0</v>
      </c>
      <c r="D3940" s="18" t="s">
        <v>33</v>
      </c>
      <c r="E3940" s="27">
        <v>42565.20190972222</v>
      </c>
      <c r="F3940" s="19">
        <f>IFERROR(__xludf.DUMMYFUNCTION("IFERROR(TO_DATE(E3940), """")"),42565.20190972222)</f>
        <v>42565.20191</v>
      </c>
      <c r="G3940" s="20">
        <f t="shared" si="1"/>
        <v>4</v>
      </c>
      <c r="H3940" s="18" t="s">
        <v>34</v>
      </c>
      <c r="I3940" s="19" t="str">
        <f>IFERROR(__xludf.DUMMYFUNCTION("IFERROR(TO_DATE(H3940), """")"),"NA")</f>
        <v>NA</v>
      </c>
      <c r="J3940" s="19" t="s">
        <v>11</v>
      </c>
      <c r="K3940" s="22">
        <f t="shared" si="2"/>
        <v>1</v>
      </c>
    </row>
    <row r="3941">
      <c r="A3941" s="18">
        <v>6541.0</v>
      </c>
      <c r="B3941" s="18" t="s">
        <v>30</v>
      </c>
      <c r="C3941" s="18">
        <v>266.0</v>
      </c>
      <c r="D3941" s="18" t="s">
        <v>33</v>
      </c>
      <c r="E3941" s="27">
        <v>42566.87138888889</v>
      </c>
      <c r="F3941" s="19">
        <f>IFERROR(__xludf.DUMMYFUNCTION("IFERROR(TO_DATE(E3941), """")"),42566.87138888889)</f>
        <v>42566.87139</v>
      </c>
      <c r="G3941" s="20">
        <f t="shared" si="1"/>
        <v>20</v>
      </c>
      <c r="H3941" s="18" t="s">
        <v>34</v>
      </c>
      <c r="I3941" s="19" t="str">
        <f>IFERROR(__xludf.DUMMYFUNCTION("IFERROR(TO_DATE(H3941), """")"),"NA")</f>
        <v>NA</v>
      </c>
      <c r="J3941" s="19" t="s">
        <v>13</v>
      </c>
      <c r="K3941" s="22">
        <f t="shared" si="2"/>
        <v>1</v>
      </c>
    </row>
    <row r="3942">
      <c r="A3942" s="18">
        <v>147.0</v>
      </c>
      <c r="B3942" s="18" t="s">
        <v>32</v>
      </c>
      <c r="C3942" s="18">
        <v>267.0</v>
      </c>
      <c r="D3942" s="18" t="s">
        <v>33</v>
      </c>
      <c r="E3942" s="26">
        <v>42562.22638888889</v>
      </c>
      <c r="F3942" s="19">
        <f>IFERROR(__xludf.DUMMYFUNCTION("IFERROR(TO_DATE(E3942), """")"),42562.22638888889)</f>
        <v>42562.22639</v>
      </c>
      <c r="G3942" s="20">
        <f t="shared" si="1"/>
        <v>5</v>
      </c>
      <c r="H3942" s="18" t="s">
        <v>34</v>
      </c>
      <c r="I3942" s="19" t="str">
        <f>IFERROR(__xludf.DUMMYFUNCTION("IFERROR(TO_DATE(H3942), """")"),"NA")</f>
        <v>NA</v>
      </c>
      <c r="J3942" s="19" t="s">
        <v>11</v>
      </c>
      <c r="K3942" s="22">
        <f t="shared" si="2"/>
        <v>1</v>
      </c>
    </row>
    <row r="3943">
      <c r="A3943" s="18">
        <v>2881.0</v>
      </c>
      <c r="B3943" s="18" t="s">
        <v>32</v>
      </c>
      <c r="C3943" s="18">
        <v>267.0</v>
      </c>
      <c r="D3943" s="18" t="s">
        <v>33</v>
      </c>
      <c r="E3943" s="27">
        <v>42564.24896990741</v>
      </c>
      <c r="F3943" s="19">
        <f>IFERROR(__xludf.DUMMYFUNCTION("IFERROR(TO_DATE(E3943), """")"),42564.24896990741)</f>
        <v>42564.24897</v>
      </c>
      <c r="G3943" s="20">
        <f t="shared" si="1"/>
        <v>5</v>
      </c>
      <c r="H3943" s="18" t="s">
        <v>34</v>
      </c>
      <c r="I3943" s="19" t="str">
        <f>IFERROR(__xludf.DUMMYFUNCTION("IFERROR(TO_DATE(H3943), """")"),"NA")</f>
        <v>NA</v>
      </c>
      <c r="J3943" s="19" t="s">
        <v>11</v>
      </c>
      <c r="K3943" s="22">
        <f t="shared" si="2"/>
        <v>1</v>
      </c>
    </row>
    <row r="3944">
      <c r="A3944" s="18">
        <v>2964.0</v>
      </c>
      <c r="B3944" s="18" t="s">
        <v>32</v>
      </c>
      <c r="C3944" s="18">
        <v>267.0</v>
      </c>
      <c r="D3944" s="18" t="s">
        <v>33</v>
      </c>
      <c r="E3944" s="27">
        <v>42564.28388888889</v>
      </c>
      <c r="F3944" s="19">
        <f>IFERROR(__xludf.DUMMYFUNCTION("IFERROR(TO_DATE(E3944), """")"),42564.28388888889)</f>
        <v>42564.28389</v>
      </c>
      <c r="G3944" s="20">
        <f t="shared" si="1"/>
        <v>6</v>
      </c>
      <c r="H3944" s="18" t="s">
        <v>34</v>
      </c>
      <c r="I3944" s="19" t="str">
        <f>IFERROR(__xludf.DUMMYFUNCTION("IFERROR(TO_DATE(H3944), """")"),"NA")</f>
        <v>NA</v>
      </c>
      <c r="J3944" s="19" t="s">
        <v>11</v>
      </c>
      <c r="K3944" s="22">
        <f t="shared" si="2"/>
        <v>1</v>
      </c>
    </row>
    <row r="3945">
      <c r="A3945" s="18">
        <v>4236.0</v>
      </c>
      <c r="B3945" s="18" t="s">
        <v>32</v>
      </c>
      <c r="C3945" s="18">
        <v>267.0</v>
      </c>
      <c r="D3945" s="18" t="s">
        <v>33</v>
      </c>
      <c r="E3945" s="27">
        <v>42565.24534722222</v>
      </c>
      <c r="F3945" s="19">
        <f>IFERROR(__xludf.DUMMYFUNCTION("IFERROR(TO_DATE(E3945), """")"),42565.24534722222)</f>
        <v>42565.24535</v>
      </c>
      <c r="G3945" s="20">
        <f t="shared" si="1"/>
        <v>5</v>
      </c>
      <c r="H3945" s="18" t="s">
        <v>34</v>
      </c>
      <c r="I3945" s="19" t="str">
        <f>IFERROR(__xludf.DUMMYFUNCTION("IFERROR(TO_DATE(H3945), """")"),"NA")</f>
        <v>NA</v>
      </c>
      <c r="J3945" s="19" t="s">
        <v>11</v>
      </c>
      <c r="K3945" s="22">
        <f t="shared" si="2"/>
        <v>1</v>
      </c>
    </row>
    <row r="3946">
      <c r="A3946" s="18">
        <v>4447.0</v>
      </c>
      <c r="B3946" s="18" t="s">
        <v>32</v>
      </c>
      <c r="C3946" s="18">
        <v>267.0</v>
      </c>
      <c r="D3946" s="18" t="s">
        <v>33</v>
      </c>
      <c r="E3946" s="27">
        <v>42565.35561342593</v>
      </c>
      <c r="F3946" s="19">
        <f>IFERROR(__xludf.DUMMYFUNCTION("IFERROR(TO_DATE(E3946), """")"),42565.35561342593)</f>
        <v>42565.35561</v>
      </c>
      <c r="G3946" s="20">
        <f t="shared" si="1"/>
        <v>8</v>
      </c>
      <c r="H3946" s="18" t="s">
        <v>34</v>
      </c>
      <c r="I3946" s="19" t="str">
        <f>IFERROR(__xludf.DUMMYFUNCTION("IFERROR(TO_DATE(H3946), """")"),"NA")</f>
        <v>NA</v>
      </c>
      <c r="J3946" s="19" t="s">
        <v>14</v>
      </c>
      <c r="K3946" s="22">
        <f t="shared" si="2"/>
        <v>1</v>
      </c>
    </row>
    <row r="3947">
      <c r="A3947" s="18">
        <v>4579.0</v>
      </c>
      <c r="B3947" s="18" t="s">
        <v>30</v>
      </c>
      <c r="C3947" s="18">
        <v>267.0</v>
      </c>
      <c r="D3947" s="18" t="s">
        <v>33</v>
      </c>
      <c r="E3947" s="27">
        <v>42565.41950231481</v>
      </c>
      <c r="F3947" s="19">
        <f>IFERROR(__xludf.DUMMYFUNCTION("IFERROR(TO_DATE(E3947), """")"),42565.41950231481)</f>
        <v>42565.4195</v>
      </c>
      <c r="G3947" s="20">
        <f t="shared" si="1"/>
        <v>10</v>
      </c>
      <c r="H3947" s="18" t="s">
        <v>34</v>
      </c>
      <c r="I3947" s="19" t="str">
        <f>IFERROR(__xludf.DUMMYFUNCTION("IFERROR(TO_DATE(H3947), """")"),"NA")</f>
        <v>NA</v>
      </c>
      <c r="J3947" s="19" t="s">
        <v>14</v>
      </c>
      <c r="K3947" s="22">
        <f t="shared" si="2"/>
        <v>1</v>
      </c>
    </row>
    <row r="3948">
      <c r="A3948" s="18">
        <v>5720.0</v>
      </c>
      <c r="B3948" s="18" t="s">
        <v>32</v>
      </c>
      <c r="C3948" s="18">
        <v>267.0</v>
      </c>
      <c r="D3948" s="18" t="s">
        <v>33</v>
      </c>
      <c r="E3948" s="27">
        <v>42566.318020833336</v>
      </c>
      <c r="F3948" s="19">
        <f>IFERROR(__xludf.DUMMYFUNCTION("IFERROR(TO_DATE(E3948), """")"),42566.318020833336)</f>
        <v>42566.31802</v>
      </c>
      <c r="G3948" s="20">
        <f t="shared" si="1"/>
        <v>7</v>
      </c>
      <c r="H3948" s="18" t="s">
        <v>34</v>
      </c>
      <c r="I3948" s="19" t="str">
        <f>IFERROR(__xludf.DUMMYFUNCTION("IFERROR(TO_DATE(H3948), """")"),"NA")</f>
        <v>NA</v>
      </c>
      <c r="J3948" s="19" t="s">
        <v>11</v>
      </c>
      <c r="K3948" s="22">
        <f t="shared" si="2"/>
        <v>1</v>
      </c>
    </row>
    <row r="3949">
      <c r="A3949" s="18">
        <v>5820.0</v>
      </c>
      <c r="B3949" s="18" t="s">
        <v>32</v>
      </c>
      <c r="C3949" s="18">
        <v>267.0</v>
      </c>
      <c r="D3949" s="18" t="s">
        <v>33</v>
      </c>
      <c r="E3949" s="27">
        <v>42566.36817129629</v>
      </c>
      <c r="F3949" s="19">
        <f>IFERROR(__xludf.DUMMYFUNCTION("IFERROR(TO_DATE(E3949), """")"),42566.36817129629)</f>
        <v>42566.36817</v>
      </c>
      <c r="G3949" s="20">
        <f t="shared" si="1"/>
        <v>8</v>
      </c>
      <c r="H3949" s="18" t="s">
        <v>34</v>
      </c>
      <c r="I3949" s="19" t="str">
        <f>IFERROR(__xludf.DUMMYFUNCTION("IFERROR(TO_DATE(H3949), """")"),"NA")</f>
        <v>NA</v>
      </c>
      <c r="J3949" s="19" t="s">
        <v>14</v>
      </c>
      <c r="K3949" s="22">
        <f t="shared" si="2"/>
        <v>1</v>
      </c>
    </row>
    <row r="3950">
      <c r="A3950" s="18">
        <v>6487.0</v>
      </c>
      <c r="B3950" s="18" t="s">
        <v>30</v>
      </c>
      <c r="C3950" s="18">
        <v>267.0</v>
      </c>
      <c r="D3950" s="18" t="s">
        <v>33</v>
      </c>
      <c r="E3950" s="27">
        <v>42566.84946759259</v>
      </c>
      <c r="F3950" s="19">
        <f>IFERROR(__xludf.DUMMYFUNCTION("IFERROR(TO_DATE(E3950), """")"),42566.84946759259)</f>
        <v>42566.84947</v>
      </c>
      <c r="G3950" s="20">
        <f t="shared" si="1"/>
        <v>20</v>
      </c>
      <c r="H3950" s="18" t="s">
        <v>34</v>
      </c>
      <c r="I3950" s="19" t="str">
        <f>IFERROR(__xludf.DUMMYFUNCTION("IFERROR(TO_DATE(H3950), """")"),"NA")</f>
        <v>NA</v>
      </c>
      <c r="J3950" s="19" t="s">
        <v>13</v>
      </c>
      <c r="K3950" s="22">
        <f t="shared" si="2"/>
        <v>1</v>
      </c>
    </row>
    <row r="3951">
      <c r="A3951" s="18">
        <v>120.0</v>
      </c>
      <c r="B3951" s="18" t="s">
        <v>32</v>
      </c>
      <c r="C3951" s="18">
        <v>268.0</v>
      </c>
      <c r="D3951" s="18" t="s">
        <v>33</v>
      </c>
      <c r="E3951" s="26">
        <v>42562.21111111111</v>
      </c>
      <c r="F3951" s="19">
        <f>IFERROR(__xludf.DUMMYFUNCTION("IFERROR(TO_DATE(E3951), """")"),42562.21111111111)</f>
        <v>42562.21111</v>
      </c>
      <c r="G3951" s="20">
        <f t="shared" si="1"/>
        <v>5</v>
      </c>
      <c r="H3951" s="18" t="s">
        <v>34</v>
      </c>
      <c r="I3951" s="19" t="str">
        <f>IFERROR(__xludf.DUMMYFUNCTION("IFERROR(TO_DATE(H3951), """")"),"NA")</f>
        <v>NA</v>
      </c>
      <c r="J3951" s="19" t="s">
        <v>11</v>
      </c>
      <c r="K3951" s="22">
        <f t="shared" si="2"/>
        <v>1</v>
      </c>
    </row>
    <row r="3952">
      <c r="A3952" s="18">
        <v>1560.0</v>
      </c>
      <c r="B3952" s="18" t="s">
        <v>32</v>
      </c>
      <c r="C3952" s="18">
        <v>268.0</v>
      </c>
      <c r="D3952" s="18" t="s">
        <v>33</v>
      </c>
      <c r="E3952" s="26">
        <v>42563.254166666666</v>
      </c>
      <c r="F3952" s="19">
        <f>IFERROR(__xludf.DUMMYFUNCTION("IFERROR(TO_DATE(E3952), """")"),42563.254166666666)</f>
        <v>42563.25417</v>
      </c>
      <c r="G3952" s="20">
        <f t="shared" si="1"/>
        <v>6</v>
      </c>
      <c r="H3952" s="18" t="s">
        <v>34</v>
      </c>
      <c r="I3952" s="19" t="str">
        <f>IFERROR(__xludf.DUMMYFUNCTION("IFERROR(TO_DATE(H3952), """")"),"NA")</f>
        <v>NA</v>
      </c>
      <c r="J3952" s="19" t="s">
        <v>11</v>
      </c>
      <c r="K3952" s="22">
        <f t="shared" si="2"/>
        <v>1</v>
      </c>
    </row>
    <row r="3953">
      <c r="A3953" s="18">
        <v>4815.0</v>
      </c>
      <c r="B3953" s="18" t="s">
        <v>30</v>
      </c>
      <c r="C3953" s="18">
        <v>268.0</v>
      </c>
      <c r="D3953" s="18" t="s">
        <v>33</v>
      </c>
      <c r="E3953" s="27">
        <v>42565.72109953704</v>
      </c>
      <c r="F3953" s="19">
        <f>IFERROR(__xludf.DUMMYFUNCTION("IFERROR(TO_DATE(E3953), """")"),42565.72109953704)</f>
        <v>42565.7211</v>
      </c>
      <c r="G3953" s="20">
        <f t="shared" si="1"/>
        <v>17</v>
      </c>
      <c r="H3953" s="18" t="s">
        <v>34</v>
      </c>
      <c r="I3953" s="19" t="str">
        <f>IFERROR(__xludf.DUMMYFUNCTION("IFERROR(TO_DATE(H3953), """")"),"NA")</f>
        <v>NA</v>
      </c>
      <c r="J3953" s="19" t="s">
        <v>12</v>
      </c>
      <c r="K3953" s="22">
        <f t="shared" si="2"/>
        <v>1</v>
      </c>
    </row>
    <row r="3954">
      <c r="A3954" s="18">
        <v>166.0</v>
      </c>
      <c r="B3954" s="18" t="s">
        <v>32</v>
      </c>
      <c r="C3954" s="18">
        <v>269.0</v>
      </c>
      <c r="D3954" s="18" t="s">
        <v>33</v>
      </c>
      <c r="E3954" s="26">
        <v>42562.236805555556</v>
      </c>
      <c r="F3954" s="19">
        <f>IFERROR(__xludf.DUMMYFUNCTION("IFERROR(TO_DATE(E3954), """")"),42562.236805555556)</f>
        <v>42562.23681</v>
      </c>
      <c r="G3954" s="20">
        <f t="shared" si="1"/>
        <v>5</v>
      </c>
      <c r="H3954" s="18" t="s">
        <v>34</v>
      </c>
      <c r="I3954" s="19" t="str">
        <f>IFERROR(__xludf.DUMMYFUNCTION("IFERROR(TO_DATE(H3954), """")"),"NA")</f>
        <v>NA</v>
      </c>
      <c r="J3954" s="19" t="s">
        <v>11</v>
      </c>
      <c r="K3954" s="22">
        <f t="shared" si="2"/>
        <v>1</v>
      </c>
    </row>
    <row r="3955">
      <c r="A3955" s="18">
        <v>1655.0</v>
      </c>
      <c r="B3955" s="18" t="s">
        <v>30</v>
      </c>
      <c r="C3955" s="18">
        <v>269.0</v>
      </c>
      <c r="D3955" s="18" t="s">
        <v>33</v>
      </c>
      <c r="E3955" s="26">
        <v>42563.31041666667</v>
      </c>
      <c r="F3955" s="19">
        <f>IFERROR(__xludf.DUMMYFUNCTION("IFERROR(TO_DATE(E3955), """")"),42563.31041666667)</f>
        <v>42563.31042</v>
      </c>
      <c r="G3955" s="20">
        <f t="shared" si="1"/>
        <v>7</v>
      </c>
      <c r="H3955" s="18" t="s">
        <v>34</v>
      </c>
      <c r="I3955" s="19" t="str">
        <f>IFERROR(__xludf.DUMMYFUNCTION("IFERROR(TO_DATE(H3955), """")"),"NA")</f>
        <v>NA</v>
      </c>
      <c r="J3955" s="19" t="s">
        <v>11</v>
      </c>
      <c r="K3955" s="22">
        <f t="shared" si="2"/>
        <v>1</v>
      </c>
    </row>
    <row r="3956">
      <c r="A3956" s="18">
        <v>1670.0</v>
      </c>
      <c r="B3956" s="18" t="s">
        <v>32</v>
      </c>
      <c r="C3956" s="18">
        <v>269.0</v>
      </c>
      <c r="D3956" s="18" t="s">
        <v>33</v>
      </c>
      <c r="E3956" s="26">
        <v>42563.316666666666</v>
      </c>
      <c r="F3956" s="19">
        <f>IFERROR(__xludf.DUMMYFUNCTION("IFERROR(TO_DATE(E3956), """")"),42563.316666666666)</f>
        <v>42563.31667</v>
      </c>
      <c r="G3956" s="20">
        <f t="shared" si="1"/>
        <v>7</v>
      </c>
      <c r="H3956" s="18" t="s">
        <v>34</v>
      </c>
      <c r="I3956" s="19" t="str">
        <f>IFERROR(__xludf.DUMMYFUNCTION("IFERROR(TO_DATE(H3956), """")"),"NA")</f>
        <v>NA</v>
      </c>
      <c r="J3956" s="19" t="s">
        <v>11</v>
      </c>
      <c r="K3956" s="22">
        <f t="shared" si="2"/>
        <v>1</v>
      </c>
    </row>
    <row r="3957">
      <c r="A3957" s="18">
        <v>3026.0</v>
      </c>
      <c r="B3957" s="18" t="s">
        <v>32</v>
      </c>
      <c r="C3957" s="18">
        <v>269.0</v>
      </c>
      <c r="D3957" s="18" t="s">
        <v>33</v>
      </c>
      <c r="E3957" s="27">
        <v>42564.31201388889</v>
      </c>
      <c r="F3957" s="19">
        <f>IFERROR(__xludf.DUMMYFUNCTION("IFERROR(TO_DATE(E3957), """")"),42564.31201388889)</f>
        <v>42564.31201</v>
      </c>
      <c r="G3957" s="20">
        <f t="shared" si="1"/>
        <v>7</v>
      </c>
      <c r="H3957" s="18" t="s">
        <v>34</v>
      </c>
      <c r="I3957" s="19" t="str">
        <f>IFERROR(__xludf.DUMMYFUNCTION("IFERROR(TO_DATE(H3957), """")"),"NA")</f>
        <v>NA</v>
      </c>
      <c r="J3957" s="19" t="s">
        <v>11</v>
      </c>
      <c r="K3957" s="22">
        <f t="shared" si="2"/>
        <v>1</v>
      </c>
    </row>
    <row r="3958">
      <c r="A3958" s="18">
        <v>3388.0</v>
      </c>
      <c r="B3958" s="18" t="s">
        <v>32</v>
      </c>
      <c r="C3958" s="18">
        <v>269.0</v>
      </c>
      <c r="D3958" s="18" t="s">
        <v>33</v>
      </c>
      <c r="E3958" s="27">
        <v>42564.60878472222</v>
      </c>
      <c r="F3958" s="19">
        <f>IFERROR(__xludf.DUMMYFUNCTION("IFERROR(TO_DATE(E3958), """")"),42564.60878472222)</f>
        <v>42564.60878</v>
      </c>
      <c r="G3958" s="20">
        <f t="shared" si="1"/>
        <v>14</v>
      </c>
      <c r="H3958" s="18" t="s">
        <v>34</v>
      </c>
      <c r="I3958" s="19" t="str">
        <f>IFERROR(__xludf.DUMMYFUNCTION("IFERROR(TO_DATE(H3958), """")"),"NA")</f>
        <v>NA</v>
      </c>
      <c r="J3958" s="19" t="s">
        <v>10</v>
      </c>
      <c r="K3958" s="22">
        <f t="shared" si="2"/>
        <v>1</v>
      </c>
    </row>
    <row r="3959">
      <c r="A3959" s="18">
        <v>5809.0</v>
      </c>
      <c r="B3959" s="18" t="s">
        <v>32</v>
      </c>
      <c r="C3959" s="18">
        <v>269.0</v>
      </c>
      <c r="D3959" s="18" t="s">
        <v>33</v>
      </c>
      <c r="E3959" s="27">
        <v>42566.366898148146</v>
      </c>
      <c r="F3959" s="19">
        <f>IFERROR(__xludf.DUMMYFUNCTION("IFERROR(TO_DATE(E3959), """")"),42566.366898148146)</f>
        <v>42566.3669</v>
      </c>
      <c r="G3959" s="20">
        <f t="shared" si="1"/>
        <v>8</v>
      </c>
      <c r="H3959" s="18" t="s">
        <v>34</v>
      </c>
      <c r="I3959" s="19" t="str">
        <f>IFERROR(__xludf.DUMMYFUNCTION("IFERROR(TO_DATE(H3959), """")"),"NA")</f>
        <v>NA</v>
      </c>
      <c r="J3959" s="19" t="s">
        <v>14</v>
      </c>
      <c r="K3959" s="22">
        <f t="shared" si="2"/>
        <v>1</v>
      </c>
    </row>
    <row r="3960">
      <c r="A3960" s="18">
        <v>6080.0</v>
      </c>
      <c r="B3960" s="18" t="s">
        <v>30</v>
      </c>
      <c r="C3960" s="18">
        <v>269.0</v>
      </c>
      <c r="D3960" s="18" t="s">
        <v>33</v>
      </c>
      <c r="E3960" s="27">
        <v>42566.59546296296</v>
      </c>
      <c r="F3960" s="19">
        <f>IFERROR(__xludf.DUMMYFUNCTION("IFERROR(TO_DATE(E3960), """")"),42566.59546296296)</f>
        <v>42566.59546</v>
      </c>
      <c r="G3960" s="20">
        <f t="shared" si="1"/>
        <v>14</v>
      </c>
      <c r="H3960" s="18" t="s">
        <v>34</v>
      </c>
      <c r="I3960" s="19" t="str">
        <f>IFERROR(__xludf.DUMMYFUNCTION("IFERROR(TO_DATE(H3960), """")"),"NA")</f>
        <v>NA</v>
      </c>
      <c r="J3960" s="19" t="s">
        <v>10</v>
      </c>
      <c r="K3960" s="22">
        <f t="shared" si="2"/>
        <v>1</v>
      </c>
    </row>
    <row r="3961">
      <c r="A3961" s="18">
        <v>1545.0</v>
      </c>
      <c r="B3961" s="18" t="s">
        <v>30</v>
      </c>
      <c r="C3961" s="18">
        <v>270.0</v>
      </c>
      <c r="D3961" s="18" t="s">
        <v>33</v>
      </c>
      <c r="E3961" s="26">
        <v>42563.25069444445</v>
      </c>
      <c r="F3961" s="19">
        <f>IFERROR(__xludf.DUMMYFUNCTION("IFERROR(TO_DATE(E3961), """")"),42563.25069444445)</f>
        <v>42563.25069</v>
      </c>
      <c r="G3961" s="20">
        <f t="shared" si="1"/>
        <v>6</v>
      </c>
      <c r="H3961" s="18" t="s">
        <v>34</v>
      </c>
      <c r="I3961" s="19" t="str">
        <f>IFERROR(__xludf.DUMMYFUNCTION("IFERROR(TO_DATE(H3961), """")"),"NA")</f>
        <v>NA</v>
      </c>
      <c r="J3961" s="19" t="s">
        <v>11</v>
      </c>
      <c r="K3961" s="22">
        <f t="shared" si="2"/>
        <v>1</v>
      </c>
    </row>
    <row r="3962">
      <c r="A3962" s="18">
        <v>3032.0</v>
      </c>
      <c r="B3962" s="18" t="s">
        <v>32</v>
      </c>
      <c r="C3962" s="18">
        <v>270.0</v>
      </c>
      <c r="D3962" s="18" t="s">
        <v>33</v>
      </c>
      <c r="E3962" s="27">
        <v>42564.31524305556</v>
      </c>
      <c r="F3962" s="19">
        <f>IFERROR(__xludf.DUMMYFUNCTION("IFERROR(TO_DATE(E3962), """")"),42564.31524305556)</f>
        <v>42564.31524</v>
      </c>
      <c r="G3962" s="20">
        <f t="shared" si="1"/>
        <v>7</v>
      </c>
      <c r="H3962" s="18" t="s">
        <v>34</v>
      </c>
      <c r="I3962" s="19" t="str">
        <f>IFERROR(__xludf.DUMMYFUNCTION("IFERROR(TO_DATE(H3962), """")"),"NA")</f>
        <v>NA</v>
      </c>
      <c r="J3962" s="19" t="s">
        <v>11</v>
      </c>
      <c r="K3962" s="22">
        <f t="shared" si="2"/>
        <v>1</v>
      </c>
    </row>
    <row r="3963">
      <c r="A3963" s="18">
        <v>3156.0</v>
      </c>
      <c r="B3963" s="18" t="s">
        <v>32</v>
      </c>
      <c r="C3963" s="18">
        <v>270.0</v>
      </c>
      <c r="D3963" s="18" t="s">
        <v>33</v>
      </c>
      <c r="E3963" s="27">
        <v>42564.37546296296</v>
      </c>
      <c r="F3963" s="19">
        <f>IFERROR(__xludf.DUMMYFUNCTION("IFERROR(TO_DATE(E3963), """")"),42564.37546296296)</f>
        <v>42564.37546</v>
      </c>
      <c r="G3963" s="20">
        <f t="shared" si="1"/>
        <v>9</v>
      </c>
      <c r="H3963" s="18" t="s">
        <v>34</v>
      </c>
      <c r="I3963" s="19" t="str">
        <f>IFERROR(__xludf.DUMMYFUNCTION("IFERROR(TO_DATE(H3963), """")"),"NA")</f>
        <v>NA</v>
      </c>
      <c r="J3963" s="19" t="s">
        <v>14</v>
      </c>
      <c r="K3963" s="22">
        <f t="shared" si="2"/>
        <v>1</v>
      </c>
    </row>
    <row r="3964">
      <c r="A3964" s="18">
        <v>4741.0</v>
      </c>
      <c r="B3964" s="18" t="s">
        <v>32</v>
      </c>
      <c r="C3964" s="18">
        <v>270.0</v>
      </c>
      <c r="D3964" s="18" t="s">
        <v>33</v>
      </c>
      <c r="E3964" s="27">
        <v>42565.61965277778</v>
      </c>
      <c r="F3964" s="19">
        <f>IFERROR(__xludf.DUMMYFUNCTION("IFERROR(TO_DATE(E3964), """")"),42565.61965277778)</f>
        <v>42565.61965</v>
      </c>
      <c r="G3964" s="20">
        <f t="shared" si="1"/>
        <v>14</v>
      </c>
      <c r="H3964" s="18" t="s">
        <v>34</v>
      </c>
      <c r="I3964" s="19" t="str">
        <f>IFERROR(__xludf.DUMMYFUNCTION("IFERROR(TO_DATE(H3964), """")"),"NA")</f>
        <v>NA</v>
      </c>
      <c r="J3964" s="19" t="s">
        <v>10</v>
      </c>
      <c r="K3964" s="22">
        <f t="shared" si="2"/>
        <v>1</v>
      </c>
    </row>
    <row r="3965">
      <c r="A3965" s="18">
        <v>5582.0</v>
      </c>
      <c r="B3965" s="18" t="s">
        <v>32</v>
      </c>
      <c r="C3965" s="18">
        <v>270.0</v>
      </c>
      <c r="D3965" s="18" t="s">
        <v>33</v>
      </c>
      <c r="E3965" s="27">
        <v>42566.244571759256</v>
      </c>
      <c r="F3965" s="19">
        <f>IFERROR(__xludf.DUMMYFUNCTION("IFERROR(TO_DATE(E3965), """")"),42566.244571759256)</f>
        <v>42566.24457</v>
      </c>
      <c r="G3965" s="20">
        <f t="shared" si="1"/>
        <v>5</v>
      </c>
      <c r="H3965" s="18" t="s">
        <v>34</v>
      </c>
      <c r="I3965" s="19" t="str">
        <f>IFERROR(__xludf.DUMMYFUNCTION("IFERROR(TO_DATE(H3965), """")"),"NA")</f>
        <v>NA</v>
      </c>
      <c r="J3965" s="19" t="s">
        <v>11</v>
      </c>
      <c r="K3965" s="22">
        <f t="shared" si="2"/>
        <v>1</v>
      </c>
    </row>
    <row r="3966">
      <c r="A3966" s="18">
        <v>5677.0</v>
      </c>
      <c r="B3966" s="18" t="s">
        <v>32</v>
      </c>
      <c r="C3966" s="18">
        <v>270.0</v>
      </c>
      <c r="D3966" s="18" t="s">
        <v>33</v>
      </c>
      <c r="E3966" s="27">
        <v>42566.29589120371</v>
      </c>
      <c r="F3966" s="19">
        <f>IFERROR(__xludf.DUMMYFUNCTION("IFERROR(TO_DATE(E3966), """")"),42566.29589120371)</f>
        <v>42566.29589</v>
      </c>
      <c r="G3966" s="20">
        <f t="shared" si="1"/>
        <v>7</v>
      </c>
      <c r="H3966" s="18" t="s">
        <v>34</v>
      </c>
      <c r="I3966" s="19" t="str">
        <f>IFERROR(__xludf.DUMMYFUNCTION("IFERROR(TO_DATE(H3966), """")"),"NA")</f>
        <v>NA</v>
      </c>
      <c r="J3966" s="19" t="s">
        <v>11</v>
      </c>
      <c r="K3966" s="22">
        <f t="shared" si="2"/>
        <v>1</v>
      </c>
    </row>
    <row r="3967">
      <c r="A3967" s="18">
        <v>5989.0</v>
      </c>
      <c r="B3967" s="18" t="s">
        <v>30</v>
      </c>
      <c r="C3967" s="18">
        <v>270.0</v>
      </c>
      <c r="D3967" s="18" t="s">
        <v>33</v>
      </c>
      <c r="E3967" s="27">
        <v>42566.49040509259</v>
      </c>
      <c r="F3967" s="19">
        <f>IFERROR(__xludf.DUMMYFUNCTION("IFERROR(TO_DATE(E3967), """")"),42566.49040509259)</f>
        <v>42566.49041</v>
      </c>
      <c r="G3967" s="20">
        <f t="shared" si="1"/>
        <v>11</v>
      </c>
      <c r="H3967" s="18" t="s">
        <v>34</v>
      </c>
      <c r="I3967" s="19" t="str">
        <f>IFERROR(__xludf.DUMMYFUNCTION("IFERROR(TO_DATE(H3967), """")"),"NA")</f>
        <v>NA</v>
      </c>
      <c r="J3967" s="19" t="s">
        <v>14</v>
      </c>
      <c r="K3967" s="22">
        <f t="shared" si="2"/>
        <v>1</v>
      </c>
    </row>
    <row r="3968">
      <c r="A3968" s="18">
        <v>417.0</v>
      </c>
      <c r="B3968" s="18" t="s">
        <v>32</v>
      </c>
      <c r="C3968" s="18">
        <v>271.0</v>
      </c>
      <c r="D3968" s="18" t="s">
        <v>33</v>
      </c>
      <c r="E3968" s="26">
        <v>42562.3625</v>
      </c>
      <c r="F3968" s="19">
        <f>IFERROR(__xludf.DUMMYFUNCTION("IFERROR(TO_DATE(E3968), """")"),42562.3625)</f>
        <v>42562.3625</v>
      </c>
      <c r="G3968" s="20">
        <f t="shared" si="1"/>
        <v>8</v>
      </c>
      <c r="H3968" s="18" t="s">
        <v>34</v>
      </c>
      <c r="I3968" s="19" t="str">
        <f>IFERROR(__xludf.DUMMYFUNCTION("IFERROR(TO_DATE(H3968), """")"),"NA")</f>
        <v>NA</v>
      </c>
      <c r="J3968" s="19" t="s">
        <v>14</v>
      </c>
      <c r="K3968" s="22">
        <f t="shared" si="2"/>
        <v>1</v>
      </c>
    </row>
    <row r="3969">
      <c r="A3969" s="18">
        <v>1437.0</v>
      </c>
      <c r="B3969" s="18" t="s">
        <v>32</v>
      </c>
      <c r="C3969" s="18">
        <v>271.0</v>
      </c>
      <c r="D3969" s="18" t="s">
        <v>33</v>
      </c>
      <c r="E3969" s="26">
        <v>42563.19583333333</v>
      </c>
      <c r="F3969" s="19">
        <f>IFERROR(__xludf.DUMMYFUNCTION("IFERROR(TO_DATE(E3969), """")"),42563.19583333333)</f>
        <v>42563.19583</v>
      </c>
      <c r="G3969" s="20">
        <f t="shared" si="1"/>
        <v>4</v>
      </c>
      <c r="H3969" s="18" t="s">
        <v>34</v>
      </c>
      <c r="I3969" s="19" t="str">
        <f>IFERROR(__xludf.DUMMYFUNCTION("IFERROR(TO_DATE(H3969), """")"),"NA")</f>
        <v>NA</v>
      </c>
      <c r="J3969" s="19" t="s">
        <v>11</v>
      </c>
      <c r="K3969" s="22">
        <f t="shared" si="2"/>
        <v>1</v>
      </c>
    </row>
    <row r="3970">
      <c r="A3970" s="18">
        <v>3063.0</v>
      </c>
      <c r="B3970" s="18" t="s">
        <v>32</v>
      </c>
      <c r="C3970" s="18">
        <v>271.0</v>
      </c>
      <c r="D3970" s="18" t="s">
        <v>33</v>
      </c>
      <c r="E3970" s="27">
        <v>42564.330046296294</v>
      </c>
      <c r="F3970" s="19">
        <f>IFERROR(__xludf.DUMMYFUNCTION("IFERROR(TO_DATE(E3970), """")"),42564.330046296294)</f>
        <v>42564.33005</v>
      </c>
      <c r="G3970" s="20">
        <f t="shared" si="1"/>
        <v>7</v>
      </c>
      <c r="H3970" s="18" t="s">
        <v>34</v>
      </c>
      <c r="I3970" s="19" t="str">
        <f>IFERROR(__xludf.DUMMYFUNCTION("IFERROR(TO_DATE(H3970), """")"),"NA")</f>
        <v>NA</v>
      </c>
      <c r="J3970" s="19" t="s">
        <v>11</v>
      </c>
      <c r="K3970" s="22">
        <f t="shared" si="2"/>
        <v>1</v>
      </c>
    </row>
    <row r="3971">
      <c r="A3971" s="18">
        <v>3100.0</v>
      </c>
      <c r="B3971" s="18" t="s">
        <v>32</v>
      </c>
      <c r="C3971" s="18">
        <v>271.0</v>
      </c>
      <c r="D3971" s="18" t="s">
        <v>33</v>
      </c>
      <c r="E3971" s="27">
        <v>42564.345983796295</v>
      </c>
      <c r="F3971" s="19">
        <f>IFERROR(__xludf.DUMMYFUNCTION("IFERROR(TO_DATE(E3971), """")"),42564.345983796295)</f>
        <v>42564.34598</v>
      </c>
      <c r="G3971" s="20">
        <f t="shared" si="1"/>
        <v>8</v>
      </c>
      <c r="H3971" s="18" t="s">
        <v>34</v>
      </c>
      <c r="I3971" s="19" t="str">
        <f>IFERROR(__xludf.DUMMYFUNCTION("IFERROR(TO_DATE(H3971), """")"),"NA")</f>
        <v>NA</v>
      </c>
      <c r="J3971" s="19" t="s">
        <v>14</v>
      </c>
      <c r="K3971" s="22">
        <f t="shared" si="2"/>
        <v>1</v>
      </c>
    </row>
    <row r="3972">
      <c r="A3972" s="18">
        <v>3148.0</v>
      </c>
      <c r="B3972" s="18" t="s">
        <v>32</v>
      </c>
      <c r="C3972" s="18">
        <v>271.0</v>
      </c>
      <c r="D3972" s="18" t="s">
        <v>33</v>
      </c>
      <c r="E3972" s="27">
        <v>42564.376921296294</v>
      </c>
      <c r="F3972" s="19">
        <f>IFERROR(__xludf.DUMMYFUNCTION("IFERROR(TO_DATE(E3972), """")"),42564.376921296294)</f>
        <v>42564.37692</v>
      </c>
      <c r="G3972" s="20">
        <f t="shared" si="1"/>
        <v>9</v>
      </c>
      <c r="H3972" s="18" t="s">
        <v>34</v>
      </c>
      <c r="I3972" s="19" t="str">
        <f>IFERROR(__xludf.DUMMYFUNCTION("IFERROR(TO_DATE(H3972), """")"),"NA")</f>
        <v>NA</v>
      </c>
      <c r="J3972" s="19" t="s">
        <v>14</v>
      </c>
      <c r="K3972" s="22">
        <f t="shared" si="2"/>
        <v>1</v>
      </c>
    </row>
    <row r="3973">
      <c r="A3973" s="18">
        <v>305.0</v>
      </c>
      <c r="B3973" s="18" t="s">
        <v>32</v>
      </c>
      <c r="C3973" s="18">
        <v>272.0</v>
      </c>
      <c r="D3973" s="18" t="s">
        <v>33</v>
      </c>
      <c r="E3973" s="26">
        <v>42562.30347222222</v>
      </c>
      <c r="F3973" s="19">
        <f>IFERROR(__xludf.DUMMYFUNCTION("IFERROR(TO_DATE(E3973), """")"),42562.30347222222)</f>
        <v>42562.30347</v>
      </c>
      <c r="G3973" s="20">
        <f t="shared" si="1"/>
        <v>7</v>
      </c>
      <c r="H3973" s="18" t="s">
        <v>34</v>
      </c>
      <c r="I3973" s="19" t="str">
        <f>IFERROR(__xludf.DUMMYFUNCTION("IFERROR(TO_DATE(H3973), """")"),"NA")</f>
        <v>NA</v>
      </c>
      <c r="J3973" s="19" t="s">
        <v>11</v>
      </c>
      <c r="K3973" s="22">
        <f t="shared" si="2"/>
        <v>1</v>
      </c>
    </row>
    <row r="3974">
      <c r="A3974" s="18">
        <v>1511.0</v>
      </c>
      <c r="B3974" s="18" t="s">
        <v>32</v>
      </c>
      <c r="C3974" s="18">
        <v>272.0</v>
      </c>
      <c r="D3974" s="18" t="s">
        <v>33</v>
      </c>
      <c r="E3974" s="26">
        <v>42563.23611111111</v>
      </c>
      <c r="F3974" s="19">
        <f>IFERROR(__xludf.DUMMYFUNCTION("IFERROR(TO_DATE(E3974), """")"),42563.23611111111)</f>
        <v>42563.23611</v>
      </c>
      <c r="G3974" s="20">
        <f t="shared" si="1"/>
        <v>5</v>
      </c>
      <c r="H3974" s="18" t="s">
        <v>34</v>
      </c>
      <c r="I3974" s="19" t="str">
        <f>IFERROR(__xludf.DUMMYFUNCTION("IFERROR(TO_DATE(H3974), """")"),"NA")</f>
        <v>NA</v>
      </c>
      <c r="J3974" s="19" t="s">
        <v>11</v>
      </c>
      <c r="K3974" s="22">
        <f t="shared" si="2"/>
        <v>1</v>
      </c>
    </row>
    <row r="3975">
      <c r="A3975" s="18">
        <v>2830.0</v>
      </c>
      <c r="B3975" s="18" t="s">
        <v>32</v>
      </c>
      <c r="C3975" s="18">
        <v>272.0</v>
      </c>
      <c r="D3975" s="18" t="s">
        <v>33</v>
      </c>
      <c r="E3975" s="27">
        <v>42564.22211805556</v>
      </c>
      <c r="F3975" s="19">
        <f>IFERROR(__xludf.DUMMYFUNCTION("IFERROR(TO_DATE(E3975), """")"),42564.22211805556)</f>
        <v>42564.22212</v>
      </c>
      <c r="G3975" s="20">
        <f t="shared" si="1"/>
        <v>5</v>
      </c>
      <c r="H3975" s="18" t="s">
        <v>34</v>
      </c>
      <c r="I3975" s="19" t="str">
        <f>IFERROR(__xludf.DUMMYFUNCTION("IFERROR(TO_DATE(H3975), """")"),"NA")</f>
        <v>NA</v>
      </c>
      <c r="J3975" s="19" t="s">
        <v>11</v>
      </c>
      <c r="K3975" s="22">
        <f t="shared" si="2"/>
        <v>1</v>
      </c>
    </row>
    <row r="3976">
      <c r="A3976" s="18">
        <v>2938.0</v>
      </c>
      <c r="B3976" s="18" t="s">
        <v>32</v>
      </c>
      <c r="C3976" s="18">
        <v>272.0</v>
      </c>
      <c r="D3976" s="18" t="s">
        <v>33</v>
      </c>
      <c r="E3976" s="27">
        <v>42564.27296296296</v>
      </c>
      <c r="F3976" s="19">
        <f>IFERROR(__xludf.DUMMYFUNCTION("IFERROR(TO_DATE(E3976), """")"),42564.27296296296)</f>
        <v>42564.27296</v>
      </c>
      <c r="G3976" s="20">
        <f t="shared" si="1"/>
        <v>6</v>
      </c>
      <c r="H3976" s="18" t="s">
        <v>34</v>
      </c>
      <c r="I3976" s="19" t="str">
        <f>IFERROR(__xludf.DUMMYFUNCTION("IFERROR(TO_DATE(H3976), """")"),"NA")</f>
        <v>NA</v>
      </c>
      <c r="J3976" s="19" t="s">
        <v>11</v>
      </c>
      <c r="K3976" s="22">
        <f t="shared" si="2"/>
        <v>1</v>
      </c>
    </row>
    <row r="3977">
      <c r="A3977" s="18">
        <v>346.0</v>
      </c>
      <c r="B3977" s="18" t="s">
        <v>32</v>
      </c>
      <c r="C3977" s="18">
        <v>273.0</v>
      </c>
      <c r="D3977" s="18" t="s">
        <v>33</v>
      </c>
      <c r="E3977" s="26">
        <v>42562.32916666667</v>
      </c>
      <c r="F3977" s="19">
        <f>IFERROR(__xludf.DUMMYFUNCTION("IFERROR(TO_DATE(E3977), """")"),42562.32916666667)</f>
        <v>42562.32917</v>
      </c>
      <c r="G3977" s="20">
        <f t="shared" si="1"/>
        <v>7</v>
      </c>
      <c r="H3977" s="18" t="s">
        <v>34</v>
      </c>
      <c r="I3977" s="19" t="str">
        <f>IFERROR(__xludf.DUMMYFUNCTION("IFERROR(TO_DATE(H3977), """")"),"NA")</f>
        <v>NA</v>
      </c>
      <c r="J3977" s="19" t="s">
        <v>11</v>
      </c>
      <c r="K3977" s="22">
        <f t="shared" si="2"/>
        <v>1</v>
      </c>
    </row>
    <row r="3978">
      <c r="A3978" s="18">
        <v>1684.0</v>
      </c>
      <c r="B3978" s="18" t="s">
        <v>32</v>
      </c>
      <c r="C3978" s="18">
        <v>274.0</v>
      </c>
      <c r="D3978" s="18" t="s">
        <v>33</v>
      </c>
      <c r="E3978" s="26">
        <v>42563.32638888889</v>
      </c>
      <c r="F3978" s="19">
        <f>IFERROR(__xludf.DUMMYFUNCTION("IFERROR(TO_DATE(E3978), """")"),42563.32638888889)</f>
        <v>42563.32639</v>
      </c>
      <c r="G3978" s="20">
        <f t="shared" si="1"/>
        <v>7</v>
      </c>
      <c r="H3978" s="18" t="s">
        <v>34</v>
      </c>
      <c r="I3978" s="19" t="str">
        <f>IFERROR(__xludf.DUMMYFUNCTION("IFERROR(TO_DATE(H3978), """")"),"NA")</f>
        <v>NA</v>
      </c>
      <c r="J3978" s="19" t="s">
        <v>11</v>
      </c>
      <c r="K3978" s="22">
        <f t="shared" si="2"/>
        <v>1</v>
      </c>
    </row>
    <row r="3979">
      <c r="A3979" s="18">
        <v>3027.0</v>
      </c>
      <c r="B3979" s="18" t="s">
        <v>32</v>
      </c>
      <c r="C3979" s="18">
        <v>274.0</v>
      </c>
      <c r="D3979" s="18" t="s">
        <v>33</v>
      </c>
      <c r="E3979" s="27">
        <v>42564.31013888889</v>
      </c>
      <c r="F3979" s="19">
        <f>IFERROR(__xludf.DUMMYFUNCTION("IFERROR(TO_DATE(E3979), """")"),42564.31013888889)</f>
        <v>42564.31014</v>
      </c>
      <c r="G3979" s="20">
        <f t="shared" si="1"/>
        <v>7</v>
      </c>
      <c r="H3979" s="18" t="s">
        <v>34</v>
      </c>
      <c r="I3979" s="19" t="str">
        <f>IFERROR(__xludf.DUMMYFUNCTION("IFERROR(TO_DATE(H3979), """")"),"NA")</f>
        <v>NA</v>
      </c>
      <c r="J3979" s="19" t="s">
        <v>11</v>
      </c>
      <c r="K3979" s="22">
        <f t="shared" si="2"/>
        <v>1</v>
      </c>
    </row>
    <row r="3980">
      <c r="A3980" s="18">
        <v>3017.0</v>
      </c>
      <c r="B3980" s="18" t="s">
        <v>30</v>
      </c>
      <c r="C3980" s="18">
        <v>274.0</v>
      </c>
      <c r="D3980" s="18" t="s">
        <v>33</v>
      </c>
      <c r="E3980" s="27">
        <v>42564.312314814815</v>
      </c>
      <c r="F3980" s="19">
        <f>IFERROR(__xludf.DUMMYFUNCTION("IFERROR(TO_DATE(E3980), """")"),42564.312314814815)</f>
        <v>42564.31231</v>
      </c>
      <c r="G3980" s="20">
        <f t="shared" si="1"/>
        <v>7</v>
      </c>
      <c r="H3980" s="18" t="s">
        <v>34</v>
      </c>
      <c r="I3980" s="19" t="str">
        <f>IFERROR(__xludf.DUMMYFUNCTION("IFERROR(TO_DATE(H3980), """")"),"NA")</f>
        <v>NA</v>
      </c>
      <c r="J3980" s="19" t="s">
        <v>11</v>
      </c>
      <c r="K3980" s="22">
        <f t="shared" si="2"/>
        <v>1</v>
      </c>
    </row>
    <row r="3981">
      <c r="A3981" s="18">
        <v>4926.0</v>
      </c>
      <c r="B3981" s="18" t="s">
        <v>30</v>
      </c>
      <c r="C3981" s="18">
        <v>274.0</v>
      </c>
      <c r="D3981" s="18" t="s">
        <v>33</v>
      </c>
      <c r="E3981" s="27">
        <v>42565.76436342593</v>
      </c>
      <c r="F3981" s="19">
        <f>IFERROR(__xludf.DUMMYFUNCTION("IFERROR(TO_DATE(E3981), """")"),42565.76436342593)</f>
        <v>42565.76436</v>
      </c>
      <c r="G3981" s="20">
        <f t="shared" si="1"/>
        <v>18</v>
      </c>
      <c r="H3981" s="18" t="s">
        <v>34</v>
      </c>
      <c r="I3981" s="19" t="str">
        <f>IFERROR(__xludf.DUMMYFUNCTION("IFERROR(TO_DATE(H3981), """")"),"NA")</f>
        <v>NA</v>
      </c>
      <c r="J3981" s="19" t="s">
        <v>12</v>
      </c>
      <c r="K3981" s="22">
        <f t="shared" si="2"/>
        <v>1</v>
      </c>
    </row>
    <row r="3982">
      <c r="A3982" s="18">
        <v>2222.0</v>
      </c>
      <c r="B3982" s="18" t="s">
        <v>32</v>
      </c>
      <c r="C3982" s="18">
        <v>275.0</v>
      </c>
      <c r="D3982" s="18" t="s">
        <v>33</v>
      </c>
      <c r="E3982" s="26">
        <v>42563.75208333333</v>
      </c>
      <c r="F3982" s="19">
        <f>IFERROR(__xludf.DUMMYFUNCTION("IFERROR(TO_DATE(E3982), """")"),42563.75208333333)</f>
        <v>42563.75208</v>
      </c>
      <c r="G3982" s="20">
        <f t="shared" si="1"/>
        <v>18</v>
      </c>
      <c r="H3982" s="18" t="s">
        <v>34</v>
      </c>
      <c r="I3982" s="19" t="str">
        <f>IFERROR(__xludf.DUMMYFUNCTION("IFERROR(TO_DATE(H3982), """")"),"NA")</f>
        <v>NA</v>
      </c>
      <c r="J3982" s="19" t="s">
        <v>12</v>
      </c>
      <c r="K3982" s="22">
        <f t="shared" si="2"/>
        <v>1</v>
      </c>
    </row>
    <row r="3983">
      <c r="A3983" s="18">
        <v>2237.0</v>
      </c>
      <c r="B3983" s="18" t="s">
        <v>32</v>
      </c>
      <c r="C3983" s="18">
        <v>275.0</v>
      </c>
      <c r="D3983" s="18" t="s">
        <v>33</v>
      </c>
      <c r="E3983" s="26">
        <v>42563.763194444444</v>
      </c>
      <c r="F3983" s="19">
        <f>IFERROR(__xludf.DUMMYFUNCTION("IFERROR(TO_DATE(E3983), """")"),42563.763194444444)</f>
        <v>42563.76319</v>
      </c>
      <c r="G3983" s="20">
        <f t="shared" si="1"/>
        <v>18</v>
      </c>
      <c r="H3983" s="18" t="s">
        <v>34</v>
      </c>
      <c r="I3983" s="19" t="str">
        <f>IFERROR(__xludf.DUMMYFUNCTION("IFERROR(TO_DATE(H3983), """")"),"NA")</f>
        <v>NA</v>
      </c>
      <c r="J3983" s="19" t="s">
        <v>12</v>
      </c>
      <c r="K3983" s="22">
        <f t="shared" si="2"/>
        <v>1</v>
      </c>
    </row>
    <row r="3984">
      <c r="A3984" s="18">
        <v>4207.0</v>
      </c>
      <c r="B3984" s="18" t="s">
        <v>32</v>
      </c>
      <c r="C3984" s="18">
        <v>275.0</v>
      </c>
      <c r="D3984" s="18" t="s">
        <v>33</v>
      </c>
      <c r="E3984" s="27">
        <v>42565.22981481482</v>
      </c>
      <c r="F3984" s="19">
        <f>IFERROR(__xludf.DUMMYFUNCTION("IFERROR(TO_DATE(E3984), """")"),42565.22981481482)</f>
        <v>42565.22981</v>
      </c>
      <c r="G3984" s="20">
        <f t="shared" si="1"/>
        <v>5</v>
      </c>
      <c r="H3984" s="18" t="s">
        <v>34</v>
      </c>
      <c r="I3984" s="19" t="str">
        <f>IFERROR(__xludf.DUMMYFUNCTION("IFERROR(TO_DATE(H3984), """")"),"NA")</f>
        <v>NA</v>
      </c>
      <c r="J3984" s="19" t="s">
        <v>11</v>
      </c>
      <c r="K3984" s="22">
        <f t="shared" si="2"/>
        <v>1</v>
      </c>
    </row>
    <row r="3985">
      <c r="A3985" s="18">
        <v>4223.0</v>
      </c>
      <c r="B3985" s="18" t="s">
        <v>32</v>
      </c>
      <c r="C3985" s="18">
        <v>275.0</v>
      </c>
      <c r="D3985" s="18" t="s">
        <v>33</v>
      </c>
      <c r="E3985" s="27">
        <v>42565.24030092593</v>
      </c>
      <c r="F3985" s="19">
        <f>IFERROR(__xludf.DUMMYFUNCTION("IFERROR(TO_DATE(E3985), """")"),42565.24030092593)</f>
        <v>42565.2403</v>
      </c>
      <c r="G3985" s="20">
        <f t="shared" si="1"/>
        <v>5</v>
      </c>
      <c r="H3985" s="18" t="s">
        <v>34</v>
      </c>
      <c r="I3985" s="19" t="str">
        <f>IFERROR(__xludf.DUMMYFUNCTION("IFERROR(TO_DATE(H3985), """")"),"NA")</f>
        <v>NA</v>
      </c>
      <c r="J3985" s="19" t="s">
        <v>11</v>
      </c>
      <c r="K3985" s="22">
        <f t="shared" si="2"/>
        <v>1</v>
      </c>
    </row>
    <row r="3986">
      <c r="A3986" s="18">
        <v>4452.0</v>
      </c>
      <c r="B3986" s="18" t="s">
        <v>32</v>
      </c>
      <c r="C3986" s="18">
        <v>275.0</v>
      </c>
      <c r="D3986" s="18" t="s">
        <v>33</v>
      </c>
      <c r="E3986" s="27">
        <v>42565.35736111111</v>
      </c>
      <c r="F3986" s="19">
        <f>IFERROR(__xludf.DUMMYFUNCTION("IFERROR(TO_DATE(E3986), """")"),42565.35736111111)</f>
        <v>42565.35736</v>
      </c>
      <c r="G3986" s="20">
        <f t="shared" si="1"/>
        <v>8</v>
      </c>
      <c r="H3986" s="18" t="s">
        <v>34</v>
      </c>
      <c r="I3986" s="19" t="str">
        <f>IFERROR(__xludf.DUMMYFUNCTION("IFERROR(TO_DATE(H3986), """")"),"NA")</f>
        <v>NA</v>
      </c>
      <c r="J3986" s="19" t="s">
        <v>14</v>
      </c>
      <c r="K3986" s="22">
        <f t="shared" si="2"/>
        <v>1</v>
      </c>
    </row>
    <row r="3987">
      <c r="A3987" s="18">
        <v>5632.0</v>
      </c>
      <c r="B3987" s="18" t="s">
        <v>32</v>
      </c>
      <c r="C3987" s="18">
        <v>275.0</v>
      </c>
      <c r="D3987" s="18" t="s">
        <v>33</v>
      </c>
      <c r="E3987" s="27">
        <v>42566.274675925924</v>
      </c>
      <c r="F3987" s="19">
        <f>IFERROR(__xludf.DUMMYFUNCTION("IFERROR(TO_DATE(E3987), """")"),42566.274675925924)</f>
        <v>42566.27468</v>
      </c>
      <c r="G3987" s="20">
        <f t="shared" si="1"/>
        <v>6</v>
      </c>
      <c r="H3987" s="18" t="s">
        <v>34</v>
      </c>
      <c r="I3987" s="19" t="str">
        <f>IFERROR(__xludf.DUMMYFUNCTION("IFERROR(TO_DATE(H3987), """")"),"NA")</f>
        <v>NA</v>
      </c>
      <c r="J3987" s="19" t="s">
        <v>11</v>
      </c>
      <c r="K3987" s="22">
        <f t="shared" si="2"/>
        <v>1</v>
      </c>
    </row>
    <row r="3988">
      <c r="A3988" s="18">
        <v>5879.0</v>
      </c>
      <c r="B3988" s="18" t="s">
        <v>32</v>
      </c>
      <c r="C3988" s="18">
        <v>275.0</v>
      </c>
      <c r="D3988" s="18" t="s">
        <v>33</v>
      </c>
      <c r="E3988" s="27">
        <v>42566.393842592595</v>
      </c>
      <c r="F3988" s="19">
        <f>IFERROR(__xludf.DUMMYFUNCTION("IFERROR(TO_DATE(E3988), """")"),42566.393842592595)</f>
        <v>42566.39384</v>
      </c>
      <c r="G3988" s="20">
        <f t="shared" si="1"/>
        <v>9</v>
      </c>
      <c r="H3988" s="18" t="s">
        <v>34</v>
      </c>
      <c r="I3988" s="19" t="str">
        <f>IFERROR(__xludf.DUMMYFUNCTION("IFERROR(TO_DATE(H3988), """")"),"NA")</f>
        <v>NA</v>
      </c>
      <c r="J3988" s="19" t="s">
        <v>14</v>
      </c>
      <c r="K3988" s="22">
        <f t="shared" si="2"/>
        <v>1</v>
      </c>
    </row>
    <row r="3989">
      <c r="A3989" s="18">
        <v>395.0</v>
      </c>
      <c r="B3989" s="18" t="s">
        <v>32</v>
      </c>
      <c r="C3989" s="18">
        <v>276.0</v>
      </c>
      <c r="D3989" s="18" t="s">
        <v>33</v>
      </c>
      <c r="E3989" s="26">
        <v>42562.35555555556</v>
      </c>
      <c r="F3989" s="19">
        <f>IFERROR(__xludf.DUMMYFUNCTION("IFERROR(TO_DATE(E3989), """")"),42562.35555555556)</f>
        <v>42562.35556</v>
      </c>
      <c r="G3989" s="20">
        <f t="shared" si="1"/>
        <v>8</v>
      </c>
      <c r="H3989" s="18" t="s">
        <v>34</v>
      </c>
      <c r="I3989" s="19" t="str">
        <f>IFERROR(__xludf.DUMMYFUNCTION("IFERROR(TO_DATE(H3989), """")"),"NA")</f>
        <v>NA</v>
      </c>
      <c r="J3989" s="19" t="s">
        <v>14</v>
      </c>
      <c r="K3989" s="22">
        <f t="shared" si="2"/>
        <v>1</v>
      </c>
    </row>
    <row r="3990">
      <c r="A3990" s="18">
        <v>495.0</v>
      </c>
      <c r="B3990" s="18" t="s">
        <v>32</v>
      </c>
      <c r="C3990" s="18">
        <v>276.0</v>
      </c>
      <c r="D3990" s="18" t="s">
        <v>33</v>
      </c>
      <c r="E3990" s="26">
        <v>42562.40069444444</v>
      </c>
      <c r="F3990" s="19">
        <f>IFERROR(__xludf.DUMMYFUNCTION("IFERROR(TO_DATE(E3990), """")"),42562.40069444444)</f>
        <v>42562.40069</v>
      </c>
      <c r="G3990" s="20">
        <f t="shared" si="1"/>
        <v>9</v>
      </c>
      <c r="H3990" s="18" t="s">
        <v>34</v>
      </c>
      <c r="I3990" s="19" t="str">
        <f>IFERROR(__xludf.DUMMYFUNCTION("IFERROR(TO_DATE(H3990), """")"),"NA")</f>
        <v>NA</v>
      </c>
      <c r="J3990" s="19" t="s">
        <v>14</v>
      </c>
      <c r="K3990" s="22">
        <f t="shared" si="2"/>
        <v>1</v>
      </c>
    </row>
    <row r="3991">
      <c r="A3991" s="18">
        <v>1228.0</v>
      </c>
      <c r="B3991" s="18" t="s">
        <v>32</v>
      </c>
      <c r="C3991" s="18">
        <v>276.0</v>
      </c>
      <c r="D3991" s="18" t="s">
        <v>33</v>
      </c>
      <c r="E3991" s="26">
        <v>42562.90069444444</v>
      </c>
      <c r="F3991" s="19">
        <f>IFERROR(__xludf.DUMMYFUNCTION("IFERROR(TO_DATE(E3991), """")"),42562.90069444444)</f>
        <v>42562.90069</v>
      </c>
      <c r="G3991" s="20">
        <f t="shared" si="1"/>
        <v>21</v>
      </c>
      <c r="H3991" s="18" t="s">
        <v>34</v>
      </c>
      <c r="I3991" s="19" t="str">
        <f>IFERROR(__xludf.DUMMYFUNCTION("IFERROR(TO_DATE(H3991), """")"),"NA")</f>
        <v>NA</v>
      </c>
      <c r="J3991" s="19" t="s">
        <v>13</v>
      </c>
      <c r="K3991" s="22">
        <f t="shared" si="2"/>
        <v>1</v>
      </c>
    </row>
    <row r="3992">
      <c r="A3992" s="18">
        <v>1481.0</v>
      </c>
      <c r="B3992" s="18" t="s">
        <v>32</v>
      </c>
      <c r="C3992" s="18">
        <v>277.0</v>
      </c>
      <c r="D3992" s="18" t="s">
        <v>33</v>
      </c>
      <c r="E3992" s="26">
        <v>42563.225</v>
      </c>
      <c r="F3992" s="19">
        <f>IFERROR(__xludf.DUMMYFUNCTION("IFERROR(TO_DATE(E3992), """")"),42563.225)</f>
        <v>42563.225</v>
      </c>
      <c r="G3992" s="20">
        <f t="shared" si="1"/>
        <v>5</v>
      </c>
      <c r="H3992" s="18" t="s">
        <v>34</v>
      </c>
      <c r="I3992" s="19" t="str">
        <f>IFERROR(__xludf.DUMMYFUNCTION("IFERROR(TO_DATE(H3992), """")"),"NA")</f>
        <v>NA</v>
      </c>
      <c r="J3992" s="19" t="s">
        <v>11</v>
      </c>
      <c r="K3992" s="22">
        <f t="shared" si="2"/>
        <v>1</v>
      </c>
    </row>
    <row r="3993">
      <c r="A3993" s="18">
        <v>1616.0</v>
      </c>
      <c r="B3993" s="18" t="s">
        <v>32</v>
      </c>
      <c r="C3993" s="18">
        <v>277.0</v>
      </c>
      <c r="D3993" s="18" t="s">
        <v>33</v>
      </c>
      <c r="E3993" s="26">
        <v>42563.2875</v>
      </c>
      <c r="F3993" s="19">
        <f>IFERROR(__xludf.DUMMYFUNCTION("IFERROR(TO_DATE(E3993), """")"),42563.2875)</f>
        <v>42563.2875</v>
      </c>
      <c r="G3993" s="20">
        <f t="shared" si="1"/>
        <v>6</v>
      </c>
      <c r="H3993" s="18" t="s">
        <v>34</v>
      </c>
      <c r="I3993" s="19" t="str">
        <f>IFERROR(__xludf.DUMMYFUNCTION("IFERROR(TO_DATE(H3993), """")"),"NA")</f>
        <v>NA</v>
      </c>
      <c r="J3993" s="19" t="s">
        <v>11</v>
      </c>
      <c r="K3993" s="22">
        <f t="shared" si="2"/>
        <v>1</v>
      </c>
    </row>
    <row r="3994">
      <c r="A3994" s="18">
        <v>1627.0</v>
      </c>
      <c r="B3994" s="18" t="s">
        <v>32</v>
      </c>
      <c r="C3994" s="18">
        <v>277.0</v>
      </c>
      <c r="D3994" s="18" t="s">
        <v>33</v>
      </c>
      <c r="E3994" s="26">
        <v>42563.29305555556</v>
      </c>
      <c r="F3994" s="19">
        <f>IFERROR(__xludf.DUMMYFUNCTION("IFERROR(TO_DATE(E3994), """")"),42563.29305555556)</f>
        <v>42563.29306</v>
      </c>
      <c r="G3994" s="20">
        <f t="shared" si="1"/>
        <v>7</v>
      </c>
      <c r="H3994" s="18" t="s">
        <v>34</v>
      </c>
      <c r="I3994" s="19" t="str">
        <f>IFERROR(__xludf.DUMMYFUNCTION("IFERROR(TO_DATE(H3994), """")"),"NA")</f>
        <v>NA</v>
      </c>
      <c r="J3994" s="19" t="s">
        <v>11</v>
      </c>
      <c r="K3994" s="22">
        <f t="shared" si="2"/>
        <v>1</v>
      </c>
    </row>
    <row r="3995">
      <c r="A3995" s="18">
        <v>1726.0</v>
      </c>
      <c r="B3995" s="18" t="s">
        <v>32</v>
      </c>
      <c r="C3995" s="18">
        <v>277.0</v>
      </c>
      <c r="D3995" s="18" t="s">
        <v>33</v>
      </c>
      <c r="E3995" s="26">
        <v>42563.350694444445</v>
      </c>
      <c r="F3995" s="19">
        <f>IFERROR(__xludf.DUMMYFUNCTION("IFERROR(TO_DATE(E3995), """")"),42563.350694444445)</f>
        <v>42563.35069</v>
      </c>
      <c r="G3995" s="20">
        <f t="shared" si="1"/>
        <v>8</v>
      </c>
      <c r="H3995" s="18" t="s">
        <v>34</v>
      </c>
      <c r="I3995" s="19" t="str">
        <f>IFERROR(__xludf.DUMMYFUNCTION("IFERROR(TO_DATE(H3995), """")"),"NA")</f>
        <v>NA</v>
      </c>
      <c r="J3995" s="19" t="s">
        <v>14</v>
      </c>
      <c r="K3995" s="22">
        <f t="shared" si="2"/>
        <v>1</v>
      </c>
    </row>
    <row r="3996">
      <c r="A3996" s="18">
        <v>2789.0</v>
      </c>
      <c r="B3996" s="18" t="s">
        <v>32</v>
      </c>
      <c r="C3996" s="18">
        <v>277.0</v>
      </c>
      <c r="D3996" s="18" t="s">
        <v>33</v>
      </c>
      <c r="E3996" s="27">
        <v>42564.2019212963</v>
      </c>
      <c r="F3996" s="19">
        <f>IFERROR(__xludf.DUMMYFUNCTION("IFERROR(TO_DATE(E3996), """")"),42564.2019212963)</f>
        <v>42564.20192</v>
      </c>
      <c r="G3996" s="20">
        <f t="shared" si="1"/>
        <v>4</v>
      </c>
      <c r="H3996" s="18" t="s">
        <v>34</v>
      </c>
      <c r="I3996" s="19" t="str">
        <f>IFERROR(__xludf.DUMMYFUNCTION("IFERROR(TO_DATE(H3996), """")"),"NA")</f>
        <v>NA</v>
      </c>
      <c r="J3996" s="19" t="s">
        <v>11</v>
      </c>
      <c r="K3996" s="22">
        <f t="shared" si="2"/>
        <v>1</v>
      </c>
    </row>
    <row r="3997">
      <c r="A3997" s="18">
        <v>3552.0</v>
      </c>
      <c r="B3997" s="18" t="s">
        <v>30</v>
      </c>
      <c r="C3997" s="18">
        <v>277.0</v>
      </c>
      <c r="D3997" s="18" t="s">
        <v>33</v>
      </c>
      <c r="E3997" s="27">
        <v>42564.75108796296</v>
      </c>
      <c r="F3997" s="19">
        <f>IFERROR(__xludf.DUMMYFUNCTION("IFERROR(TO_DATE(E3997), """")"),42564.75108796296)</f>
        <v>42564.75109</v>
      </c>
      <c r="G3997" s="20">
        <f t="shared" si="1"/>
        <v>18</v>
      </c>
      <c r="H3997" s="18" t="s">
        <v>34</v>
      </c>
      <c r="I3997" s="19" t="str">
        <f>IFERROR(__xludf.DUMMYFUNCTION("IFERROR(TO_DATE(H3997), """")"),"NA")</f>
        <v>NA</v>
      </c>
      <c r="J3997" s="19" t="s">
        <v>12</v>
      </c>
      <c r="K3997" s="22">
        <f t="shared" si="2"/>
        <v>1</v>
      </c>
    </row>
    <row r="3998">
      <c r="A3998" s="18">
        <v>4130.0</v>
      </c>
      <c r="B3998" s="18" t="s">
        <v>32</v>
      </c>
      <c r="C3998" s="18">
        <v>277.0</v>
      </c>
      <c r="D3998" s="18" t="s">
        <v>33</v>
      </c>
      <c r="E3998" s="27">
        <v>42565.195763888885</v>
      </c>
      <c r="F3998" s="19">
        <f>IFERROR(__xludf.DUMMYFUNCTION("IFERROR(TO_DATE(E3998), """")"),42565.195763888885)</f>
        <v>42565.19576</v>
      </c>
      <c r="G3998" s="20">
        <f t="shared" si="1"/>
        <v>4</v>
      </c>
      <c r="H3998" s="18" t="s">
        <v>34</v>
      </c>
      <c r="I3998" s="19" t="str">
        <f>IFERROR(__xludf.DUMMYFUNCTION("IFERROR(TO_DATE(H3998), """")"),"NA")</f>
        <v>NA</v>
      </c>
      <c r="J3998" s="19" t="s">
        <v>11</v>
      </c>
      <c r="K3998" s="22">
        <f t="shared" si="2"/>
        <v>1</v>
      </c>
    </row>
    <row r="3999">
      <c r="A3999" s="18">
        <v>294.0</v>
      </c>
      <c r="B3999" s="18" t="s">
        <v>32</v>
      </c>
      <c r="C3999" s="18">
        <v>278.0</v>
      </c>
      <c r="D3999" s="18" t="s">
        <v>33</v>
      </c>
      <c r="E3999" s="26">
        <v>42562.3</v>
      </c>
      <c r="F3999" s="19">
        <f>IFERROR(__xludf.DUMMYFUNCTION("IFERROR(TO_DATE(E3999), """")"),42562.3)</f>
        <v>42562.3</v>
      </c>
      <c r="G3999" s="20">
        <f t="shared" si="1"/>
        <v>7</v>
      </c>
      <c r="H3999" s="18" t="s">
        <v>34</v>
      </c>
      <c r="I3999" s="19" t="str">
        <f>IFERROR(__xludf.DUMMYFUNCTION("IFERROR(TO_DATE(H3999), """")"),"NA")</f>
        <v>NA</v>
      </c>
      <c r="J3999" s="19" t="s">
        <v>11</v>
      </c>
      <c r="K3999" s="22">
        <f t="shared" si="2"/>
        <v>1</v>
      </c>
    </row>
    <row r="4000">
      <c r="A4000" s="18">
        <v>315.0</v>
      </c>
      <c r="B4000" s="18" t="s">
        <v>32</v>
      </c>
      <c r="C4000" s="18">
        <v>278.0</v>
      </c>
      <c r="D4000" s="18" t="s">
        <v>33</v>
      </c>
      <c r="E4000" s="26">
        <v>42562.31527777778</v>
      </c>
      <c r="F4000" s="19">
        <f>IFERROR(__xludf.DUMMYFUNCTION("IFERROR(TO_DATE(E4000), """")"),42562.31527777778)</f>
        <v>42562.31528</v>
      </c>
      <c r="G4000" s="20">
        <f t="shared" si="1"/>
        <v>7</v>
      </c>
      <c r="H4000" s="18" t="s">
        <v>34</v>
      </c>
      <c r="I4000" s="19" t="str">
        <f>IFERROR(__xludf.DUMMYFUNCTION("IFERROR(TO_DATE(H4000), """")"),"NA")</f>
        <v>NA</v>
      </c>
      <c r="J4000" s="19" t="s">
        <v>11</v>
      </c>
      <c r="K4000" s="22">
        <f t="shared" si="2"/>
        <v>1</v>
      </c>
    </row>
    <row r="4001">
      <c r="A4001" s="18">
        <v>1718.0</v>
      </c>
      <c r="B4001" s="18" t="s">
        <v>32</v>
      </c>
      <c r="C4001" s="18">
        <v>278.0</v>
      </c>
      <c r="D4001" s="18" t="s">
        <v>33</v>
      </c>
      <c r="E4001" s="26">
        <v>42563.34305555555</v>
      </c>
      <c r="F4001" s="19">
        <f>IFERROR(__xludf.DUMMYFUNCTION("IFERROR(TO_DATE(E4001), """")"),42563.34305555555)</f>
        <v>42563.34306</v>
      </c>
      <c r="G4001" s="20">
        <f t="shared" si="1"/>
        <v>8</v>
      </c>
      <c r="H4001" s="18" t="s">
        <v>34</v>
      </c>
      <c r="I4001" s="19" t="str">
        <f>IFERROR(__xludf.DUMMYFUNCTION("IFERROR(TO_DATE(H4001), """")"),"NA")</f>
        <v>NA</v>
      </c>
      <c r="J4001" s="19" t="s">
        <v>14</v>
      </c>
      <c r="K4001" s="22">
        <f t="shared" si="2"/>
        <v>1</v>
      </c>
    </row>
    <row r="4002">
      <c r="A4002" s="18">
        <v>2122.0</v>
      </c>
      <c r="B4002" s="18" t="s">
        <v>32</v>
      </c>
      <c r="C4002" s="18">
        <v>278.0</v>
      </c>
      <c r="D4002" s="18" t="s">
        <v>33</v>
      </c>
      <c r="E4002" s="26">
        <v>42563.70138888889</v>
      </c>
      <c r="F4002" s="19">
        <f>IFERROR(__xludf.DUMMYFUNCTION("IFERROR(TO_DATE(E4002), """")"),42563.70138888889)</f>
        <v>42563.70139</v>
      </c>
      <c r="G4002" s="20">
        <f t="shared" si="1"/>
        <v>16</v>
      </c>
      <c r="H4002" s="18" t="s">
        <v>34</v>
      </c>
      <c r="I4002" s="19" t="str">
        <f>IFERROR(__xludf.DUMMYFUNCTION("IFERROR(TO_DATE(H4002), """")"),"NA")</f>
        <v>NA</v>
      </c>
      <c r="J4002" s="19" t="s">
        <v>12</v>
      </c>
      <c r="K4002" s="22">
        <f t="shared" si="2"/>
        <v>1</v>
      </c>
    </row>
    <row r="4003">
      <c r="A4003" s="18">
        <v>2387.0</v>
      </c>
      <c r="B4003" s="18" t="s">
        <v>32</v>
      </c>
      <c r="C4003" s="18">
        <v>278.0</v>
      </c>
      <c r="D4003" s="18" t="s">
        <v>33</v>
      </c>
      <c r="E4003" s="26">
        <v>42563.82361111111</v>
      </c>
      <c r="F4003" s="19">
        <f>IFERROR(__xludf.DUMMYFUNCTION("IFERROR(TO_DATE(E4003), """")"),42563.82361111111)</f>
        <v>42563.82361</v>
      </c>
      <c r="G4003" s="20">
        <f t="shared" si="1"/>
        <v>19</v>
      </c>
      <c r="H4003" s="18" t="s">
        <v>34</v>
      </c>
      <c r="I4003" s="19" t="str">
        <f>IFERROR(__xludf.DUMMYFUNCTION("IFERROR(TO_DATE(H4003), """")"),"NA")</f>
        <v>NA</v>
      </c>
      <c r="J4003" s="19" t="s">
        <v>12</v>
      </c>
      <c r="K4003" s="22">
        <f t="shared" si="2"/>
        <v>1</v>
      </c>
    </row>
    <row r="4004">
      <c r="A4004" s="18">
        <v>140.0</v>
      </c>
      <c r="B4004" s="18" t="s">
        <v>32</v>
      </c>
      <c r="C4004" s="18">
        <v>279.0</v>
      </c>
      <c r="D4004" s="18" t="s">
        <v>33</v>
      </c>
      <c r="E4004" s="26">
        <v>42562.220138888886</v>
      </c>
      <c r="F4004" s="19">
        <f>IFERROR(__xludf.DUMMYFUNCTION("IFERROR(TO_DATE(E4004), """")"),42562.220138888886)</f>
        <v>42562.22014</v>
      </c>
      <c r="G4004" s="20">
        <f t="shared" si="1"/>
        <v>5</v>
      </c>
      <c r="H4004" s="18" t="s">
        <v>34</v>
      </c>
      <c r="I4004" s="19" t="str">
        <f>IFERROR(__xludf.DUMMYFUNCTION("IFERROR(TO_DATE(H4004), """")"),"NA")</f>
        <v>NA</v>
      </c>
      <c r="J4004" s="19" t="s">
        <v>11</v>
      </c>
      <c r="K4004" s="22">
        <f t="shared" si="2"/>
        <v>1</v>
      </c>
    </row>
    <row r="4005">
      <c r="A4005" s="18">
        <v>505.0</v>
      </c>
      <c r="B4005" s="18" t="s">
        <v>32</v>
      </c>
      <c r="C4005" s="18">
        <v>279.0</v>
      </c>
      <c r="D4005" s="18" t="s">
        <v>33</v>
      </c>
      <c r="E4005" s="26">
        <v>42562.40555555555</v>
      </c>
      <c r="F4005" s="19">
        <f>IFERROR(__xludf.DUMMYFUNCTION("IFERROR(TO_DATE(E4005), """")"),42562.40555555555)</f>
        <v>42562.40556</v>
      </c>
      <c r="G4005" s="20">
        <f t="shared" si="1"/>
        <v>9</v>
      </c>
      <c r="H4005" s="18" t="s">
        <v>34</v>
      </c>
      <c r="I4005" s="19" t="str">
        <f>IFERROR(__xludf.DUMMYFUNCTION("IFERROR(TO_DATE(H4005), """")"),"NA")</f>
        <v>NA</v>
      </c>
      <c r="J4005" s="19" t="s">
        <v>14</v>
      </c>
      <c r="K4005" s="22">
        <f t="shared" si="2"/>
        <v>1</v>
      </c>
    </row>
    <row r="4006">
      <c r="A4006" s="18">
        <v>2950.0</v>
      </c>
      <c r="B4006" s="18" t="s">
        <v>32</v>
      </c>
      <c r="C4006" s="18">
        <v>279.0</v>
      </c>
      <c r="D4006" s="18" t="s">
        <v>33</v>
      </c>
      <c r="E4006" s="27">
        <v>42564.278125</v>
      </c>
      <c r="F4006" s="19">
        <f>IFERROR(__xludf.DUMMYFUNCTION("IFERROR(TO_DATE(E4006), """")"),42564.278125)</f>
        <v>42564.27813</v>
      </c>
      <c r="G4006" s="20">
        <f t="shared" si="1"/>
        <v>6</v>
      </c>
      <c r="H4006" s="18" t="s">
        <v>34</v>
      </c>
      <c r="I4006" s="19" t="str">
        <f>IFERROR(__xludf.DUMMYFUNCTION("IFERROR(TO_DATE(H4006), """")"),"NA")</f>
        <v>NA</v>
      </c>
      <c r="J4006" s="19" t="s">
        <v>11</v>
      </c>
      <c r="K4006" s="22">
        <f t="shared" si="2"/>
        <v>1</v>
      </c>
    </row>
    <row r="4007">
      <c r="A4007" s="18">
        <v>5800.0</v>
      </c>
      <c r="B4007" s="18" t="s">
        <v>32</v>
      </c>
      <c r="C4007" s="18">
        <v>279.0</v>
      </c>
      <c r="D4007" s="18" t="s">
        <v>33</v>
      </c>
      <c r="E4007" s="27">
        <v>42566.364120370374</v>
      </c>
      <c r="F4007" s="19">
        <f>IFERROR(__xludf.DUMMYFUNCTION("IFERROR(TO_DATE(E4007), """")"),42566.364120370374)</f>
        <v>42566.36412</v>
      </c>
      <c r="G4007" s="20">
        <f t="shared" si="1"/>
        <v>8</v>
      </c>
      <c r="H4007" s="18" t="s">
        <v>34</v>
      </c>
      <c r="I4007" s="19" t="str">
        <f>IFERROR(__xludf.DUMMYFUNCTION("IFERROR(TO_DATE(H4007), """")"),"NA")</f>
        <v>NA</v>
      </c>
      <c r="J4007" s="19" t="s">
        <v>14</v>
      </c>
      <c r="K4007" s="22">
        <f t="shared" si="2"/>
        <v>1</v>
      </c>
    </row>
    <row r="4008">
      <c r="A4008" s="18">
        <v>1877.0</v>
      </c>
      <c r="B4008" s="18" t="s">
        <v>32</v>
      </c>
      <c r="C4008" s="18">
        <v>280.0</v>
      </c>
      <c r="D4008" s="18" t="s">
        <v>33</v>
      </c>
      <c r="E4008" s="26">
        <v>42563.41875</v>
      </c>
      <c r="F4008" s="19">
        <f>IFERROR(__xludf.DUMMYFUNCTION("IFERROR(TO_DATE(E4008), """")"),42563.41875)</f>
        <v>42563.41875</v>
      </c>
      <c r="G4008" s="20">
        <f t="shared" si="1"/>
        <v>10</v>
      </c>
      <c r="H4008" s="18" t="s">
        <v>34</v>
      </c>
      <c r="I4008" s="19" t="str">
        <f>IFERROR(__xludf.DUMMYFUNCTION("IFERROR(TO_DATE(H4008), """")"),"NA")</f>
        <v>NA</v>
      </c>
      <c r="J4008" s="19" t="s">
        <v>14</v>
      </c>
      <c r="K4008" s="22">
        <f t="shared" si="2"/>
        <v>1</v>
      </c>
    </row>
    <row r="4009">
      <c r="A4009" s="18">
        <v>3437.0</v>
      </c>
      <c r="B4009" s="18" t="s">
        <v>32</v>
      </c>
      <c r="C4009" s="18">
        <v>280.0</v>
      </c>
      <c r="D4009" s="18" t="s">
        <v>33</v>
      </c>
      <c r="E4009" s="27">
        <v>42564.673842592594</v>
      </c>
      <c r="F4009" s="19">
        <f>IFERROR(__xludf.DUMMYFUNCTION("IFERROR(TO_DATE(E4009), """")"),42564.673842592594)</f>
        <v>42564.67384</v>
      </c>
      <c r="G4009" s="20">
        <f t="shared" si="1"/>
        <v>16</v>
      </c>
      <c r="H4009" s="18" t="s">
        <v>34</v>
      </c>
      <c r="I4009" s="19" t="str">
        <f>IFERROR(__xludf.DUMMYFUNCTION("IFERROR(TO_DATE(H4009), """")"),"NA")</f>
        <v>NA</v>
      </c>
      <c r="J4009" s="19" t="s">
        <v>12</v>
      </c>
      <c r="K4009" s="22">
        <f t="shared" si="2"/>
        <v>1</v>
      </c>
    </row>
    <row r="4010">
      <c r="A4010" s="18">
        <v>3820.0</v>
      </c>
      <c r="B4010" s="18" t="s">
        <v>30</v>
      </c>
      <c r="C4010" s="18">
        <v>280.0</v>
      </c>
      <c r="D4010" s="18" t="s">
        <v>33</v>
      </c>
      <c r="E4010" s="27">
        <v>42564.88023148148</v>
      </c>
      <c r="F4010" s="19">
        <f>IFERROR(__xludf.DUMMYFUNCTION("IFERROR(TO_DATE(E4010), """")"),42564.88023148148)</f>
        <v>42564.88023</v>
      </c>
      <c r="G4010" s="20">
        <f t="shared" si="1"/>
        <v>21</v>
      </c>
      <c r="H4010" s="18" t="s">
        <v>34</v>
      </c>
      <c r="I4010" s="19" t="str">
        <f>IFERROR(__xludf.DUMMYFUNCTION("IFERROR(TO_DATE(H4010), """")"),"NA")</f>
        <v>NA</v>
      </c>
      <c r="J4010" s="19" t="s">
        <v>13</v>
      </c>
      <c r="K4010" s="22">
        <f t="shared" si="2"/>
        <v>1</v>
      </c>
    </row>
    <row r="4011">
      <c r="A4011" s="18">
        <v>5076.0</v>
      </c>
      <c r="B4011" s="18" t="s">
        <v>32</v>
      </c>
      <c r="C4011" s="18">
        <v>280.0</v>
      </c>
      <c r="D4011" s="18" t="s">
        <v>33</v>
      </c>
      <c r="E4011" s="27">
        <v>42565.81806712963</v>
      </c>
      <c r="F4011" s="19">
        <f>IFERROR(__xludf.DUMMYFUNCTION("IFERROR(TO_DATE(E4011), """")"),42565.81806712963)</f>
        <v>42565.81807</v>
      </c>
      <c r="G4011" s="20">
        <f t="shared" si="1"/>
        <v>19</v>
      </c>
      <c r="H4011" s="18" t="s">
        <v>34</v>
      </c>
      <c r="I4011" s="19" t="str">
        <f>IFERROR(__xludf.DUMMYFUNCTION("IFERROR(TO_DATE(H4011), """")"),"NA")</f>
        <v>NA</v>
      </c>
      <c r="J4011" s="19" t="s">
        <v>12</v>
      </c>
      <c r="K4011" s="22">
        <f t="shared" si="2"/>
        <v>1</v>
      </c>
    </row>
    <row r="4012">
      <c r="A4012" s="18">
        <v>5660.0</v>
      </c>
      <c r="B4012" s="18" t="s">
        <v>32</v>
      </c>
      <c r="C4012" s="18">
        <v>280.0</v>
      </c>
      <c r="D4012" s="18" t="s">
        <v>33</v>
      </c>
      <c r="E4012" s="27">
        <v>42566.29305555556</v>
      </c>
      <c r="F4012" s="19">
        <f>IFERROR(__xludf.DUMMYFUNCTION("IFERROR(TO_DATE(E4012), """")"),42566.29305555556)</f>
        <v>42566.29306</v>
      </c>
      <c r="G4012" s="20">
        <f t="shared" si="1"/>
        <v>7</v>
      </c>
      <c r="H4012" s="18" t="s">
        <v>34</v>
      </c>
      <c r="I4012" s="19" t="str">
        <f>IFERROR(__xludf.DUMMYFUNCTION("IFERROR(TO_DATE(H4012), """")"),"NA")</f>
        <v>NA</v>
      </c>
      <c r="J4012" s="19" t="s">
        <v>11</v>
      </c>
      <c r="K4012" s="22">
        <f t="shared" si="2"/>
        <v>1</v>
      </c>
    </row>
    <row r="4013">
      <c r="A4013" s="18">
        <v>6242.0</v>
      </c>
      <c r="B4013" s="18" t="s">
        <v>30</v>
      </c>
      <c r="C4013" s="18">
        <v>280.0</v>
      </c>
      <c r="D4013" s="18" t="s">
        <v>33</v>
      </c>
      <c r="E4013" s="27">
        <v>42566.74664351852</v>
      </c>
      <c r="F4013" s="19">
        <f>IFERROR(__xludf.DUMMYFUNCTION("IFERROR(TO_DATE(E4013), """")"),42566.74664351852)</f>
        <v>42566.74664</v>
      </c>
      <c r="G4013" s="20">
        <f t="shared" si="1"/>
        <v>17</v>
      </c>
      <c r="H4013" s="18" t="s">
        <v>34</v>
      </c>
      <c r="I4013" s="19" t="str">
        <f>IFERROR(__xludf.DUMMYFUNCTION("IFERROR(TO_DATE(H4013), """")"),"NA")</f>
        <v>NA</v>
      </c>
      <c r="J4013" s="19" t="s">
        <v>12</v>
      </c>
      <c r="K4013" s="22">
        <f t="shared" si="2"/>
        <v>1</v>
      </c>
    </row>
    <row r="4014">
      <c r="A4014" s="18">
        <v>6321.0</v>
      </c>
      <c r="B4014" s="18" t="s">
        <v>30</v>
      </c>
      <c r="C4014" s="18">
        <v>280.0</v>
      </c>
      <c r="D4014" s="18" t="s">
        <v>33</v>
      </c>
      <c r="E4014" s="27">
        <v>42566.77630787037</v>
      </c>
      <c r="F4014" s="19">
        <f>IFERROR(__xludf.DUMMYFUNCTION("IFERROR(TO_DATE(E4014), """")"),42566.77630787037)</f>
        <v>42566.77631</v>
      </c>
      <c r="G4014" s="20">
        <f t="shared" si="1"/>
        <v>18</v>
      </c>
      <c r="H4014" s="18" t="s">
        <v>34</v>
      </c>
      <c r="I4014" s="19" t="str">
        <f>IFERROR(__xludf.DUMMYFUNCTION("IFERROR(TO_DATE(H4014), """")"),"NA")</f>
        <v>NA</v>
      </c>
      <c r="J4014" s="19" t="s">
        <v>12</v>
      </c>
      <c r="K4014" s="22">
        <f t="shared" si="2"/>
        <v>1</v>
      </c>
    </row>
    <row r="4015">
      <c r="A4015" s="18">
        <v>3086.0</v>
      </c>
      <c r="B4015" s="18" t="s">
        <v>32</v>
      </c>
      <c r="C4015" s="18">
        <v>281.0</v>
      </c>
      <c r="D4015" s="18" t="s">
        <v>33</v>
      </c>
      <c r="E4015" s="27">
        <v>42564.341875</v>
      </c>
      <c r="F4015" s="19">
        <f>IFERROR(__xludf.DUMMYFUNCTION("IFERROR(TO_DATE(E4015), """")"),42564.341875)</f>
        <v>42564.34188</v>
      </c>
      <c r="G4015" s="20">
        <f t="shared" si="1"/>
        <v>8</v>
      </c>
      <c r="H4015" s="18" t="s">
        <v>34</v>
      </c>
      <c r="I4015" s="19" t="str">
        <f>IFERROR(__xludf.DUMMYFUNCTION("IFERROR(TO_DATE(H4015), """")"),"NA")</f>
        <v>NA</v>
      </c>
      <c r="J4015" s="19" t="s">
        <v>14</v>
      </c>
      <c r="K4015" s="22">
        <f t="shared" si="2"/>
        <v>1</v>
      </c>
    </row>
    <row r="4016">
      <c r="A4016" s="18">
        <v>4538.0</v>
      </c>
      <c r="B4016" s="18" t="s">
        <v>32</v>
      </c>
      <c r="C4016" s="18">
        <v>281.0</v>
      </c>
      <c r="D4016" s="18" t="s">
        <v>33</v>
      </c>
      <c r="E4016" s="27">
        <v>42565.40142361111</v>
      </c>
      <c r="F4016" s="19">
        <f>IFERROR(__xludf.DUMMYFUNCTION("IFERROR(TO_DATE(E4016), """")"),42565.40142361111)</f>
        <v>42565.40142</v>
      </c>
      <c r="G4016" s="20">
        <f t="shared" si="1"/>
        <v>9</v>
      </c>
      <c r="H4016" s="18" t="s">
        <v>34</v>
      </c>
      <c r="I4016" s="19" t="str">
        <f>IFERROR(__xludf.DUMMYFUNCTION("IFERROR(TO_DATE(H4016), """")"),"NA")</f>
        <v>NA</v>
      </c>
      <c r="J4016" s="19" t="s">
        <v>14</v>
      </c>
      <c r="K4016" s="22">
        <f t="shared" si="2"/>
        <v>1</v>
      </c>
    </row>
    <row r="4017">
      <c r="A4017" s="18">
        <v>1233.0</v>
      </c>
      <c r="B4017" s="18" t="s">
        <v>30</v>
      </c>
      <c r="C4017" s="18">
        <v>282.0</v>
      </c>
      <c r="D4017" s="18" t="s">
        <v>33</v>
      </c>
      <c r="E4017" s="26">
        <v>42562.90138888889</v>
      </c>
      <c r="F4017" s="19">
        <f>IFERROR(__xludf.DUMMYFUNCTION("IFERROR(TO_DATE(E4017), """")"),42562.90138888889)</f>
        <v>42562.90139</v>
      </c>
      <c r="G4017" s="20">
        <f t="shared" si="1"/>
        <v>21</v>
      </c>
      <c r="H4017" s="18" t="s">
        <v>34</v>
      </c>
      <c r="I4017" s="19" t="str">
        <f>IFERROR(__xludf.DUMMYFUNCTION("IFERROR(TO_DATE(H4017), """")"),"NA")</f>
        <v>NA</v>
      </c>
      <c r="J4017" s="19" t="s">
        <v>13</v>
      </c>
      <c r="K4017" s="22">
        <f t="shared" si="2"/>
        <v>1</v>
      </c>
    </row>
    <row r="4018">
      <c r="A4018" s="18">
        <v>1883.0</v>
      </c>
      <c r="B4018" s="18" t="s">
        <v>32</v>
      </c>
      <c r="C4018" s="18">
        <v>282.0</v>
      </c>
      <c r="D4018" s="18" t="s">
        <v>33</v>
      </c>
      <c r="E4018" s="26">
        <v>42563.42083333333</v>
      </c>
      <c r="F4018" s="19">
        <f>IFERROR(__xludf.DUMMYFUNCTION("IFERROR(TO_DATE(E4018), """")"),42563.42083333333)</f>
        <v>42563.42083</v>
      </c>
      <c r="G4018" s="20">
        <f t="shared" si="1"/>
        <v>10</v>
      </c>
      <c r="H4018" s="18" t="s">
        <v>34</v>
      </c>
      <c r="I4018" s="19" t="str">
        <f>IFERROR(__xludf.DUMMYFUNCTION("IFERROR(TO_DATE(H4018), """")"),"NA")</f>
        <v>NA</v>
      </c>
      <c r="J4018" s="19" t="s">
        <v>14</v>
      </c>
      <c r="K4018" s="22">
        <f t="shared" si="2"/>
        <v>1</v>
      </c>
    </row>
    <row r="4019">
      <c r="A4019" s="18">
        <v>3233.0</v>
      </c>
      <c r="B4019" s="18" t="s">
        <v>32</v>
      </c>
      <c r="C4019" s="18">
        <v>282.0</v>
      </c>
      <c r="D4019" s="18" t="s">
        <v>33</v>
      </c>
      <c r="E4019" s="27">
        <v>42564.41787037037</v>
      </c>
      <c r="F4019" s="19">
        <f>IFERROR(__xludf.DUMMYFUNCTION("IFERROR(TO_DATE(E4019), """")"),42564.41787037037)</f>
        <v>42564.41787</v>
      </c>
      <c r="G4019" s="20">
        <f t="shared" si="1"/>
        <v>10</v>
      </c>
      <c r="H4019" s="18" t="s">
        <v>34</v>
      </c>
      <c r="I4019" s="19" t="str">
        <f>IFERROR(__xludf.DUMMYFUNCTION("IFERROR(TO_DATE(H4019), """")"),"NA")</f>
        <v>NA</v>
      </c>
      <c r="J4019" s="19" t="s">
        <v>14</v>
      </c>
      <c r="K4019" s="22">
        <f t="shared" si="2"/>
        <v>1</v>
      </c>
    </row>
    <row r="4020">
      <c r="A4020" s="18">
        <v>3237.0</v>
      </c>
      <c r="B4020" s="18" t="s">
        <v>32</v>
      </c>
      <c r="C4020" s="18">
        <v>282.0</v>
      </c>
      <c r="D4020" s="18" t="s">
        <v>33</v>
      </c>
      <c r="E4020" s="27">
        <v>42564.42120370371</v>
      </c>
      <c r="F4020" s="19">
        <f>IFERROR(__xludf.DUMMYFUNCTION("IFERROR(TO_DATE(E4020), """")"),42564.42120370371)</f>
        <v>42564.4212</v>
      </c>
      <c r="G4020" s="20">
        <f t="shared" si="1"/>
        <v>10</v>
      </c>
      <c r="H4020" s="18" t="s">
        <v>34</v>
      </c>
      <c r="I4020" s="19" t="str">
        <f>IFERROR(__xludf.DUMMYFUNCTION("IFERROR(TO_DATE(H4020), """")"),"NA")</f>
        <v>NA</v>
      </c>
      <c r="J4020" s="19" t="s">
        <v>14</v>
      </c>
      <c r="K4020" s="22">
        <f t="shared" si="2"/>
        <v>1</v>
      </c>
    </row>
    <row r="4021">
      <c r="A4021" s="18">
        <v>3577.0</v>
      </c>
      <c r="B4021" s="18" t="s">
        <v>30</v>
      </c>
      <c r="C4021" s="18">
        <v>282.0</v>
      </c>
      <c r="D4021" s="18" t="s">
        <v>33</v>
      </c>
      <c r="E4021" s="27">
        <v>42564.76684027778</v>
      </c>
      <c r="F4021" s="19">
        <f>IFERROR(__xludf.DUMMYFUNCTION("IFERROR(TO_DATE(E4021), """")"),42564.76684027778)</f>
        <v>42564.76684</v>
      </c>
      <c r="G4021" s="20">
        <f t="shared" si="1"/>
        <v>18</v>
      </c>
      <c r="H4021" s="18" t="s">
        <v>34</v>
      </c>
      <c r="I4021" s="19" t="str">
        <f>IFERROR(__xludf.DUMMYFUNCTION("IFERROR(TO_DATE(H4021), """")"),"NA")</f>
        <v>NA</v>
      </c>
      <c r="J4021" s="19" t="s">
        <v>12</v>
      </c>
      <c r="K4021" s="22">
        <f t="shared" si="2"/>
        <v>1</v>
      </c>
    </row>
    <row r="4022">
      <c r="A4022" s="18">
        <v>219.0</v>
      </c>
      <c r="B4022" s="18" t="s">
        <v>32</v>
      </c>
      <c r="C4022" s="18">
        <v>283.0</v>
      </c>
      <c r="D4022" s="18" t="s">
        <v>33</v>
      </c>
      <c r="E4022" s="26">
        <v>42562.260416666664</v>
      </c>
      <c r="F4022" s="19">
        <f>IFERROR(__xludf.DUMMYFUNCTION("IFERROR(TO_DATE(E4022), """")"),42562.260416666664)</f>
        <v>42562.26042</v>
      </c>
      <c r="G4022" s="20">
        <f t="shared" si="1"/>
        <v>6</v>
      </c>
      <c r="H4022" s="18" t="s">
        <v>34</v>
      </c>
      <c r="I4022" s="19" t="str">
        <f>IFERROR(__xludf.DUMMYFUNCTION("IFERROR(TO_DATE(H4022), """")"),"NA")</f>
        <v>NA</v>
      </c>
      <c r="J4022" s="19" t="s">
        <v>11</v>
      </c>
      <c r="K4022" s="22">
        <f t="shared" si="2"/>
        <v>1</v>
      </c>
    </row>
    <row r="4023">
      <c r="A4023" s="18">
        <v>493.0</v>
      </c>
      <c r="B4023" s="18" t="s">
        <v>32</v>
      </c>
      <c r="C4023" s="18">
        <v>283.0</v>
      </c>
      <c r="D4023" s="18" t="s">
        <v>33</v>
      </c>
      <c r="E4023" s="26">
        <v>42562.395833333336</v>
      </c>
      <c r="F4023" s="19">
        <f>IFERROR(__xludf.DUMMYFUNCTION("IFERROR(TO_DATE(E4023), """")"),42562.395833333336)</f>
        <v>42562.39583</v>
      </c>
      <c r="G4023" s="20">
        <f t="shared" si="1"/>
        <v>9</v>
      </c>
      <c r="H4023" s="18" t="s">
        <v>34</v>
      </c>
      <c r="I4023" s="19" t="str">
        <f>IFERROR(__xludf.DUMMYFUNCTION("IFERROR(TO_DATE(H4023), """")"),"NA")</f>
        <v>NA</v>
      </c>
      <c r="J4023" s="19" t="s">
        <v>14</v>
      </c>
      <c r="K4023" s="22">
        <f t="shared" si="2"/>
        <v>1</v>
      </c>
    </row>
    <row r="4024">
      <c r="A4024" s="18">
        <v>1575.0</v>
      </c>
      <c r="B4024" s="18" t="s">
        <v>32</v>
      </c>
      <c r="C4024" s="18">
        <v>283.0</v>
      </c>
      <c r="D4024" s="18" t="s">
        <v>33</v>
      </c>
      <c r="E4024" s="26">
        <v>42563.26597222222</v>
      </c>
      <c r="F4024" s="19">
        <f>IFERROR(__xludf.DUMMYFUNCTION("IFERROR(TO_DATE(E4024), """")"),42563.26597222222)</f>
        <v>42563.26597</v>
      </c>
      <c r="G4024" s="20">
        <f t="shared" si="1"/>
        <v>6</v>
      </c>
      <c r="H4024" s="18" t="s">
        <v>34</v>
      </c>
      <c r="I4024" s="19" t="str">
        <f>IFERROR(__xludf.DUMMYFUNCTION("IFERROR(TO_DATE(H4024), """")"),"NA")</f>
        <v>NA</v>
      </c>
      <c r="J4024" s="19" t="s">
        <v>11</v>
      </c>
      <c r="K4024" s="22">
        <f t="shared" si="2"/>
        <v>1</v>
      </c>
    </row>
    <row r="4025">
      <c r="A4025" s="18">
        <v>5631.0</v>
      </c>
      <c r="B4025" s="18" t="s">
        <v>32</v>
      </c>
      <c r="C4025" s="18">
        <v>283.0</v>
      </c>
      <c r="D4025" s="18" t="s">
        <v>33</v>
      </c>
      <c r="E4025" s="27">
        <v>42566.27516203704</v>
      </c>
      <c r="F4025" s="19">
        <f>IFERROR(__xludf.DUMMYFUNCTION("IFERROR(TO_DATE(E4025), """")"),42566.27516203704)</f>
        <v>42566.27516</v>
      </c>
      <c r="G4025" s="20">
        <f t="shared" si="1"/>
        <v>6</v>
      </c>
      <c r="H4025" s="18" t="s">
        <v>34</v>
      </c>
      <c r="I4025" s="19" t="str">
        <f>IFERROR(__xludf.DUMMYFUNCTION("IFERROR(TO_DATE(H4025), """")"),"NA")</f>
        <v>NA</v>
      </c>
      <c r="J4025" s="19" t="s">
        <v>11</v>
      </c>
      <c r="K4025" s="22">
        <f t="shared" si="2"/>
        <v>1</v>
      </c>
    </row>
    <row r="4026">
      <c r="A4026" s="18">
        <v>109.0</v>
      </c>
      <c r="B4026" s="18" t="s">
        <v>32</v>
      </c>
      <c r="C4026" s="18">
        <v>284.0</v>
      </c>
      <c r="D4026" s="18" t="s">
        <v>33</v>
      </c>
      <c r="E4026" s="26">
        <v>42562.209027777775</v>
      </c>
      <c r="F4026" s="19">
        <f>IFERROR(__xludf.DUMMYFUNCTION("IFERROR(TO_DATE(E4026), """")"),42562.209027777775)</f>
        <v>42562.20903</v>
      </c>
      <c r="G4026" s="20">
        <f t="shared" si="1"/>
        <v>5</v>
      </c>
      <c r="H4026" s="18" t="s">
        <v>34</v>
      </c>
      <c r="I4026" s="19" t="str">
        <f>IFERROR(__xludf.DUMMYFUNCTION("IFERROR(TO_DATE(H4026), """")"),"NA")</f>
        <v>NA</v>
      </c>
      <c r="J4026" s="19" t="s">
        <v>11</v>
      </c>
      <c r="K4026" s="22">
        <f t="shared" si="2"/>
        <v>1</v>
      </c>
    </row>
    <row r="4027">
      <c r="A4027" s="18">
        <v>299.0</v>
      </c>
      <c r="B4027" s="18" t="s">
        <v>32</v>
      </c>
      <c r="C4027" s="18">
        <v>284.0</v>
      </c>
      <c r="D4027" s="18" t="s">
        <v>33</v>
      </c>
      <c r="E4027" s="26">
        <v>42562.30069444444</v>
      </c>
      <c r="F4027" s="19">
        <f>IFERROR(__xludf.DUMMYFUNCTION("IFERROR(TO_DATE(E4027), """")"),42562.30069444444)</f>
        <v>42562.30069</v>
      </c>
      <c r="G4027" s="20">
        <f t="shared" si="1"/>
        <v>7</v>
      </c>
      <c r="H4027" s="18" t="s">
        <v>34</v>
      </c>
      <c r="I4027" s="19" t="str">
        <f>IFERROR(__xludf.DUMMYFUNCTION("IFERROR(TO_DATE(H4027), """")"),"NA")</f>
        <v>NA</v>
      </c>
      <c r="J4027" s="19" t="s">
        <v>11</v>
      </c>
      <c r="K4027" s="22">
        <f t="shared" si="2"/>
        <v>1</v>
      </c>
    </row>
    <row r="4028">
      <c r="A4028" s="18">
        <v>347.0</v>
      </c>
      <c r="B4028" s="18" t="s">
        <v>32</v>
      </c>
      <c r="C4028" s="18">
        <v>284.0</v>
      </c>
      <c r="D4028" s="18" t="s">
        <v>33</v>
      </c>
      <c r="E4028" s="26">
        <v>42562.32708333333</v>
      </c>
      <c r="F4028" s="19">
        <f>IFERROR(__xludf.DUMMYFUNCTION("IFERROR(TO_DATE(E4028), """")"),42562.32708333333)</f>
        <v>42562.32708</v>
      </c>
      <c r="G4028" s="20">
        <f t="shared" si="1"/>
        <v>7</v>
      </c>
      <c r="H4028" s="18" t="s">
        <v>34</v>
      </c>
      <c r="I4028" s="19" t="str">
        <f>IFERROR(__xludf.DUMMYFUNCTION("IFERROR(TO_DATE(H4028), """")"),"NA")</f>
        <v>NA</v>
      </c>
      <c r="J4028" s="19" t="s">
        <v>11</v>
      </c>
      <c r="K4028" s="22">
        <f t="shared" si="2"/>
        <v>1</v>
      </c>
    </row>
    <row r="4029">
      <c r="A4029" s="18">
        <v>538.0</v>
      </c>
      <c r="B4029" s="18" t="s">
        <v>32</v>
      </c>
      <c r="C4029" s="18">
        <v>284.0</v>
      </c>
      <c r="D4029" s="18" t="s">
        <v>33</v>
      </c>
      <c r="E4029" s="26">
        <v>42562.416666666664</v>
      </c>
      <c r="F4029" s="19">
        <f>IFERROR(__xludf.DUMMYFUNCTION("IFERROR(TO_DATE(E4029), """")"),42562.416666666664)</f>
        <v>42562.41667</v>
      </c>
      <c r="G4029" s="20">
        <f t="shared" si="1"/>
        <v>10</v>
      </c>
      <c r="H4029" s="18" t="s">
        <v>34</v>
      </c>
      <c r="I4029" s="19" t="str">
        <f>IFERROR(__xludf.DUMMYFUNCTION("IFERROR(TO_DATE(H4029), """")"),"NA")</f>
        <v>NA</v>
      </c>
      <c r="J4029" s="19" t="s">
        <v>14</v>
      </c>
      <c r="K4029" s="22">
        <f t="shared" si="2"/>
        <v>1</v>
      </c>
    </row>
    <row r="4030">
      <c r="A4030" s="18">
        <v>3250.0</v>
      </c>
      <c r="B4030" s="18" t="s">
        <v>32</v>
      </c>
      <c r="C4030" s="18">
        <v>284.0</v>
      </c>
      <c r="D4030" s="18" t="s">
        <v>33</v>
      </c>
      <c r="E4030" s="27">
        <v>42564.42324074074</v>
      </c>
      <c r="F4030" s="19">
        <f>IFERROR(__xludf.DUMMYFUNCTION("IFERROR(TO_DATE(E4030), """")"),42564.42324074074)</f>
        <v>42564.42324</v>
      </c>
      <c r="G4030" s="20">
        <f t="shared" si="1"/>
        <v>10</v>
      </c>
      <c r="H4030" s="18" t="s">
        <v>34</v>
      </c>
      <c r="I4030" s="19" t="str">
        <f>IFERROR(__xludf.DUMMYFUNCTION("IFERROR(TO_DATE(H4030), """")"),"NA")</f>
        <v>NA</v>
      </c>
      <c r="J4030" s="19" t="s">
        <v>14</v>
      </c>
      <c r="K4030" s="22">
        <f t="shared" si="2"/>
        <v>1</v>
      </c>
    </row>
    <row r="4031">
      <c r="A4031" s="18">
        <v>3983.0</v>
      </c>
      <c r="B4031" s="18" t="s">
        <v>32</v>
      </c>
      <c r="C4031" s="18">
        <v>284.0</v>
      </c>
      <c r="D4031" s="18" t="s">
        <v>33</v>
      </c>
      <c r="E4031" s="27">
        <v>42564.97179398148</v>
      </c>
      <c r="F4031" s="19">
        <f>IFERROR(__xludf.DUMMYFUNCTION("IFERROR(TO_DATE(E4031), """")"),42564.97179398148)</f>
        <v>42564.97179</v>
      </c>
      <c r="G4031" s="20">
        <f t="shared" si="1"/>
        <v>23</v>
      </c>
      <c r="H4031" s="18" t="s">
        <v>34</v>
      </c>
      <c r="I4031" s="19" t="str">
        <f>IFERROR(__xludf.DUMMYFUNCTION("IFERROR(TO_DATE(H4031), """")"),"NA")</f>
        <v>NA</v>
      </c>
      <c r="J4031" s="19" t="s">
        <v>13</v>
      </c>
      <c r="K4031" s="22">
        <f t="shared" si="2"/>
        <v>1</v>
      </c>
    </row>
    <row r="4032">
      <c r="A4032" s="18">
        <v>2948.0</v>
      </c>
      <c r="B4032" s="18" t="s">
        <v>32</v>
      </c>
      <c r="C4032" s="18">
        <v>285.0</v>
      </c>
      <c r="D4032" s="18" t="s">
        <v>33</v>
      </c>
      <c r="E4032" s="27">
        <v>42564.277395833335</v>
      </c>
      <c r="F4032" s="19">
        <f>IFERROR(__xludf.DUMMYFUNCTION("IFERROR(TO_DATE(E4032), """")"),42564.277395833335)</f>
        <v>42564.2774</v>
      </c>
      <c r="G4032" s="20">
        <f t="shared" si="1"/>
        <v>6</v>
      </c>
      <c r="H4032" s="18" t="s">
        <v>34</v>
      </c>
      <c r="I4032" s="19" t="str">
        <f>IFERROR(__xludf.DUMMYFUNCTION("IFERROR(TO_DATE(H4032), """")"),"NA")</f>
        <v>NA</v>
      </c>
      <c r="J4032" s="19" t="s">
        <v>11</v>
      </c>
      <c r="K4032" s="22">
        <f t="shared" si="2"/>
        <v>1</v>
      </c>
    </row>
    <row r="4033">
      <c r="A4033" s="18">
        <v>2982.0</v>
      </c>
      <c r="B4033" s="18" t="s">
        <v>32</v>
      </c>
      <c r="C4033" s="18">
        <v>285.0</v>
      </c>
      <c r="D4033" s="18" t="s">
        <v>33</v>
      </c>
      <c r="E4033" s="27">
        <v>42564.2946875</v>
      </c>
      <c r="F4033" s="19">
        <f>IFERROR(__xludf.DUMMYFUNCTION("IFERROR(TO_DATE(E4033), """")"),42564.2946875)</f>
        <v>42564.29469</v>
      </c>
      <c r="G4033" s="20">
        <f t="shared" si="1"/>
        <v>7</v>
      </c>
      <c r="H4033" s="18" t="s">
        <v>34</v>
      </c>
      <c r="I4033" s="19" t="str">
        <f>IFERROR(__xludf.DUMMYFUNCTION("IFERROR(TO_DATE(H4033), """")"),"NA")</f>
        <v>NA</v>
      </c>
      <c r="J4033" s="19" t="s">
        <v>11</v>
      </c>
      <c r="K4033" s="22">
        <f t="shared" si="2"/>
        <v>1</v>
      </c>
    </row>
    <row r="4034">
      <c r="A4034" s="18">
        <v>3055.0</v>
      </c>
      <c r="B4034" s="18" t="s">
        <v>32</v>
      </c>
      <c r="C4034" s="18">
        <v>285.0</v>
      </c>
      <c r="D4034" s="18" t="s">
        <v>33</v>
      </c>
      <c r="E4034" s="27">
        <v>42564.3256712963</v>
      </c>
      <c r="F4034" s="19">
        <f>IFERROR(__xludf.DUMMYFUNCTION("IFERROR(TO_DATE(E4034), """")"),42564.3256712963)</f>
        <v>42564.32567</v>
      </c>
      <c r="G4034" s="20">
        <f t="shared" si="1"/>
        <v>7</v>
      </c>
      <c r="H4034" s="18" t="s">
        <v>34</v>
      </c>
      <c r="I4034" s="19" t="str">
        <f>IFERROR(__xludf.DUMMYFUNCTION("IFERROR(TO_DATE(H4034), """")"),"NA")</f>
        <v>NA</v>
      </c>
      <c r="J4034" s="19" t="s">
        <v>11</v>
      </c>
      <c r="K4034" s="22">
        <f t="shared" si="2"/>
        <v>1</v>
      </c>
    </row>
    <row r="4035">
      <c r="A4035" s="18">
        <v>3759.0</v>
      </c>
      <c r="B4035" s="18" t="s">
        <v>32</v>
      </c>
      <c r="C4035" s="18">
        <v>285.0</v>
      </c>
      <c r="D4035" s="18" t="s">
        <v>33</v>
      </c>
      <c r="E4035" s="27">
        <v>42564.85731481481</v>
      </c>
      <c r="F4035" s="19">
        <f>IFERROR(__xludf.DUMMYFUNCTION("IFERROR(TO_DATE(E4035), """")"),42564.85731481481)</f>
        <v>42564.85731</v>
      </c>
      <c r="G4035" s="20">
        <f t="shared" si="1"/>
        <v>20</v>
      </c>
      <c r="H4035" s="18" t="s">
        <v>34</v>
      </c>
      <c r="I4035" s="19" t="str">
        <f>IFERROR(__xludf.DUMMYFUNCTION("IFERROR(TO_DATE(H4035), """")"),"NA")</f>
        <v>NA</v>
      </c>
      <c r="J4035" s="19" t="s">
        <v>13</v>
      </c>
      <c r="K4035" s="22">
        <f t="shared" si="2"/>
        <v>1</v>
      </c>
    </row>
    <row r="4036">
      <c r="A4036" s="18">
        <v>4389.0</v>
      </c>
      <c r="B4036" s="18" t="s">
        <v>32</v>
      </c>
      <c r="C4036" s="18">
        <v>285.0</v>
      </c>
      <c r="D4036" s="18" t="s">
        <v>33</v>
      </c>
      <c r="E4036" s="27">
        <v>42565.33121527778</v>
      </c>
      <c r="F4036" s="19">
        <f>IFERROR(__xludf.DUMMYFUNCTION("IFERROR(TO_DATE(E4036), """")"),42565.33121527778)</f>
        <v>42565.33122</v>
      </c>
      <c r="G4036" s="20">
        <f t="shared" si="1"/>
        <v>7</v>
      </c>
      <c r="H4036" s="18" t="s">
        <v>34</v>
      </c>
      <c r="I4036" s="19" t="str">
        <f>IFERROR(__xludf.DUMMYFUNCTION("IFERROR(TO_DATE(H4036), """")"),"NA")</f>
        <v>NA</v>
      </c>
      <c r="J4036" s="19" t="s">
        <v>11</v>
      </c>
      <c r="K4036" s="22">
        <f t="shared" si="2"/>
        <v>1</v>
      </c>
    </row>
    <row r="4037">
      <c r="A4037" s="18">
        <v>5949.0</v>
      </c>
      <c r="B4037" s="18" t="s">
        <v>32</v>
      </c>
      <c r="C4037" s="18">
        <v>285.0</v>
      </c>
      <c r="D4037" s="18" t="s">
        <v>33</v>
      </c>
      <c r="E4037" s="27">
        <v>42566.43817129629</v>
      </c>
      <c r="F4037" s="19">
        <f>IFERROR(__xludf.DUMMYFUNCTION("IFERROR(TO_DATE(E4037), """")"),42566.43817129629)</f>
        <v>42566.43817</v>
      </c>
      <c r="G4037" s="20">
        <f t="shared" si="1"/>
        <v>10</v>
      </c>
      <c r="H4037" s="18" t="s">
        <v>34</v>
      </c>
      <c r="I4037" s="19" t="str">
        <f>IFERROR(__xludf.DUMMYFUNCTION("IFERROR(TO_DATE(H4037), """")"),"NA")</f>
        <v>NA</v>
      </c>
      <c r="J4037" s="19" t="s">
        <v>14</v>
      </c>
      <c r="K4037" s="22">
        <f t="shared" si="2"/>
        <v>1</v>
      </c>
    </row>
    <row r="4038">
      <c r="A4038" s="18">
        <v>441.0</v>
      </c>
      <c r="B4038" s="18" t="s">
        <v>32</v>
      </c>
      <c r="C4038" s="18">
        <v>286.0</v>
      </c>
      <c r="D4038" s="18" t="s">
        <v>33</v>
      </c>
      <c r="E4038" s="26">
        <v>42562.37847222222</v>
      </c>
      <c r="F4038" s="19">
        <f>IFERROR(__xludf.DUMMYFUNCTION("IFERROR(TO_DATE(E4038), """")"),42562.37847222222)</f>
        <v>42562.37847</v>
      </c>
      <c r="G4038" s="20">
        <f t="shared" si="1"/>
        <v>9</v>
      </c>
      <c r="H4038" s="18" t="s">
        <v>34</v>
      </c>
      <c r="I4038" s="19" t="str">
        <f>IFERROR(__xludf.DUMMYFUNCTION("IFERROR(TO_DATE(H4038), """")"),"NA")</f>
        <v>NA</v>
      </c>
      <c r="J4038" s="19" t="s">
        <v>14</v>
      </c>
      <c r="K4038" s="22">
        <f t="shared" si="2"/>
        <v>1</v>
      </c>
    </row>
    <row r="4039">
      <c r="A4039" s="18">
        <v>1109.0</v>
      </c>
      <c r="B4039" s="18" t="s">
        <v>32</v>
      </c>
      <c r="C4039" s="18">
        <v>286.0</v>
      </c>
      <c r="D4039" s="18" t="s">
        <v>33</v>
      </c>
      <c r="E4039" s="26">
        <v>42562.84930555556</v>
      </c>
      <c r="F4039" s="19">
        <f>IFERROR(__xludf.DUMMYFUNCTION("IFERROR(TO_DATE(E4039), """")"),42562.84930555556)</f>
        <v>42562.84931</v>
      </c>
      <c r="G4039" s="20">
        <f t="shared" si="1"/>
        <v>20</v>
      </c>
      <c r="H4039" s="18" t="s">
        <v>34</v>
      </c>
      <c r="I4039" s="19" t="str">
        <f>IFERROR(__xludf.DUMMYFUNCTION("IFERROR(TO_DATE(H4039), """")"),"NA")</f>
        <v>NA</v>
      </c>
      <c r="J4039" s="19" t="s">
        <v>13</v>
      </c>
      <c r="K4039" s="22">
        <f t="shared" si="2"/>
        <v>1</v>
      </c>
    </row>
    <row r="4040">
      <c r="A4040" s="18">
        <v>1693.0</v>
      </c>
      <c r="B4040" s="18" t="s">
        <v>30</v>
      </c>
      <c r="C4040" s="18">
        <v>286.0</v>
      </c>
      <c r="D4040" s="18" t="s">
        <v>33</v>
      </c>
      <c r="E4040" s="26">
        <v>42563.32638888889</v>
      </c>
      <c r="F4040" s="19">
        <f>IFERROR(__xludf.DUMMYFUNCTION("IFERROR(TO_DATE(E4040), """")"),42563.32638888889)</f>
        <v>42563.32639</v>
      </c>
      <c r="G4040" s="20">
        <f t="shared" si="1"/>
        <v>7</v>
      </c>
      <c r="H4040" s="18" t="s">
        <v>34</v>
      </c>
      <c r="I4040" s="19" t="str">
        <f>IFERROR(__xludf.DUMMYFUNCTION("IFERROR(TO_DATE(H4040), """")"),"NA")</f>
        <v>NA</v>
      </c>
      <c r="J4040" s="19" t="s">
        <v>11</v>
      </c>
      <c r="K4040" s="22">
        <f t="shared" si="2"/>
        <v>1</v>
      </c>
    </row>
    <row r="4041">
      <c r="A4041" s="18">
        <v>3198.0</v>
      </c>
      <c r="B4041" s="18" t="s">
        <v>32</v>
      </c>
      <c r="C4041" s="18">
        <v>286.0</v>
      </c>
      <c r="D4041" s="18" t="s">
        <v>33</v>
      </c>
      <c r="E4041" s="27">
        <v>42564.40230324074</v>
      </c>
      <c r="F4041" s="19">
        <f>IFERROR(__xludf.DUMMYFUNCTION("IFERROR(TO_DATE(E4041), """")"),42564.40230324074)</f>
        <v>42564.4023</v>
      </c>
      <c r="G4041" s="20">
        <f t="shared" si="1"/>
        <v>9</v>
      </c>
      <c r="H4041" s="18" t="s">
        <v>34</v>
      </c>
      <c r="I4041" s="19" t="str">
        <f>IFERROR(__xludf.DUMMYFUNCTION("IFERROR(TO_DATE(H4041), """")"),"NA")</f>
        <v>NA</v>
      </c>
      <c r="J4041" s="19" t="s">
        <v>14</v>
      </c>
      <c r="K4041" s="22">
        <f t="shared" si="2"/>
        <v>1</v>
      </c>
    </row>
    <row r="4042">
      <c r="A4042" s="18">
        <v>4507.0</v>
      </c>
      <c r="B4042" s="18" t="s">
        <v>32</v>
      </c>
      <c r="C4042" s="18">
        <v>286.0</v>
      </c>
      <c r="D4042" s="18" t="s">
        <v>33</v>
      </c>
      <c r="E4042" s="27">
        <v>42565.38190972222</v>
      </c>
      <c r="F4042" s="19">
        <f>IFERROR(__xludf.DUMMYFUNCTION("IFERROR(TO_DATE(E4042), """")"),42565.38190972222)</f>
        <v>42565.38191</v>
      </c>
      <c r="G4042" s="20">
        <f t="shared" si="1"/>
        <v>9</v>
      </c>
      <c r="H4042" s="18" t="s">
        <v>34</v>
      </c>
      <c r="I4042" s="19" t="str">
        <f>IFERROR(__xludf.DUMMYFUNCTION("IFERROR(TO_DATE(H4042), """")"),"NA")</f>
        <v>NA</v>
      </c>
      <c r="J4042" s="19" t="s">
        <v>14</v>
      </c>
      <c r="K4042" s="22">
        <f t="shared" si="2"/>
        <v>1</v>
      </c>
    </row>
    <row r="4043">
      <c r="A4043" s="18">
        <v>6058.0</v>
      </c>
      <c r="B4043" s="18" t="s">
        <v>32</v>
      </c>
      <c r="C4043" s="18">
        <v>286.0</v>
      </c>
      <c r="D4043" s="18" t="s">
        <v>33</v>
      </c>
      <c r="E4043" s="27">
        <v>42566.57443287037</v>
      </c>
      <c r="F4043" s="19">
        <f>IFERROR(__xludf.DUMMYFUNCTION("IFERROR(TO_DATE(E4043), """")"),42566.57443287037)</f>
        <v>42566.57443</v>
      </c>
      <c r="G4043" s="20">
        <f t="shared" si="1"/>
        <v>13</v>
      </c>
      <c r="H4043" s="18" t="s">
        <v>34</v>
      </c>
      <c r="I4043" s="19" t="str">
        <f>IFERROR(__xludf.DUMMYFUNCTION("IFERROR(TO_DATE(H4043), """")"),"NA")</f>
        <v>NA</v>
      </c>
      <c r="J4043" s="19" t="s">
        <v>10</v>
      </c>
      <c r="K4043" s="22">
        <f t="shared" si="2"/>
        <v>1</v>
      </c>
    </row>
    <row r="4044">
      <c r="A4044" s="18">
        <v>1630.0</v>
      </c>
      <c r="B4044" s="18" t="s">
        <v>32</v>
      </c>
      <c r="C4044" s="18">
        <v>287.0</v>
      </c>
      <c r="D4044" s="18" t="s">
        <v>33</v>
      </c>
      <c r="E4044" s="26">
        <v>42563.29375</v>
      </c>
      <c r="F4044" s="19">
        <f>IFERROR(__xludf.DUMMYFUNCTION("IFERROR(TO_DATE(E4044), """")"),42563.29375)</f>
        <v>42563.29375</v>
      </c>
      <c r="G4044" s="20">
        <f t="shared" si="1"/>
        <v>7</v>
      </c>
      <c r="H4044" s="18" t="s">
        <v>34</v>
      </c>
      <c r="I4044" s="19" t="str">
        <f>IFERROR(__xludf.DUMMYFUNCTION("IFERROR(TO_DATE(H4044), """")"),"NA")</f>
        <v>NA</v>
      </c>
      <c r="J4044" s="19" t="s">
        <v>11</v>
      </c>
      <c r="K4044" s="22">
        <f t="shared" si="2"/>
        <v>1</v>
      </c>
    </row>
    <row r="4045">
      <c r="A4045" s="18">
        <v>3451.0</v>
      </c>
      <c r="B4045" s="18" t="s">
        <v>30</v>
      </c>
      <c r="C4045" s="18">
        <v>287.0</v>
      </c>
      <c r="D4045" s="18" t="s">
        <v>33</v>
      </c>
      <c r="E4045" s="27">
        <v>42564.70412037037</v>
      </c>
      <c r="F4045" s="19">
        <f>IFERROR(__xludf.DUMMYFUNCTION("IFERROR(TO_DATE(E4045), """")"),42564.70412037037)</f>
        <v>42564.70412</v>
      </c>
      <c r="G4045" s="20">
        <f t="shared" si="1"/>
        <v>16</v>
      </c>
      <c r="H4045" s="18" t="s">
        <v>34</v>
      </c>
      <c r="I4045" s="19" t="str">
        <f>IFERROR(__xludf.DUMMYFUNCTION("IFERROR(TO_DATE(H4045), """")"),"NA")</f>
        <v>NA</v>
      </c>
      <c r="J4045" s="19" t="s">
        <v>12</v>
      </c>
      <c r="K4045" s="22">
        <f t="shared" si="2"/>
        <v>1</v>
      </c>
    </row>
    <row r="4046">
      <c r="A4046" s="18">
        <v>3839.0</v>
      </c>
      <c r="B4046" s="18" t="s">
        <v>30</v>
      </c>
      <c r="C4046" s="18">
        <v>287.0</v>
      </c>
      <c r="D4046" s="18" t="s">
        <v>33</v>
      </c>
      <c r="E4046" s="27">
        <v>42564.89491898148</v>
      </c>
      <c r="F4046" s="19">
        <f>IFERROR(__xludf.DUMMYFUNCTION("IFERROR(TO_DATE(E4046), """")"),42564.89491898148)</f>
        <v>42564.89492</v>
      </c>
      <c r="G4046" s="20">
        <f t="shared" si="1"/>
        <v>21</v>
      </c>
      <c r="H4046" s="18" t="s">
        <v>34</v>
      </c>
      <c r="I4046" s="19" t="str">
        <f>IFERROR(__xludf.DUMMYFUNCTION("IFERROR(TO_DATE(H4046), """")"),"NA")</f>
        <v>NA</v>
      </c>
      <c r="J4046" s="19" t="s">
        <v>13</v>
      </c>
      <c r="K4046" s="22">
        <f t="shared" si="2"/>
        <v>1</v>
      </c>
    </row>
    <row r="4047">
      <c r="A4047" s="18">
        <v>4258.0</v>
      </c>
      <c r="B4047" s="18" t="s">
        <v>32</v>
      </c>
      <c r="C4047" s="18">
        <v>287.0</v>
      </c>
      <c r="D4047" s="18" t="s">
        <v>33</v>
      </c>
      <c r="E4047" s="27">
        <v>42565.258368055554</v>
      </c>
      <c r="F4047" s="19">
        <f>IFERROR(__xludf.DUMMYFUNCTION("IFERROR(TO_DATE(E4047), """")"),42565.258368055554)</f>
        <v>42565.25837</v>
      </c>
      <c r="G4047" s="20">
        <f t="shared" si="1"/>
        <v>6</v>
      </c>
      <c r="H4047" s="18" t="s">
        <v>34</v>
      </c>
      <c r="I4047" s="19" t="str">
        <f>IFERROR(__xludf.DUMMYFUNCTION("IFERROR(TO_DATE(H4047), """")"),"NA")</f>
        <v>NA</v>
      </c>
      <c r="J4047" s="19" t="s">
        <v>11</v>
      </c>
      <c r="K4047" s="22">
        <f t="shared" si="2"/>
        <v>1</v>
      </c>
    </row>
    <row r="4048">
      <c r="A4048" s="18">
        <v>4677.0</v>
      </c>
      <c r="B4048" s="18" t="s">
        <v>30</v>
      </c>
      <c r="C4048" s="18">
        <v>287.0</v>
      </c>
      <c r="D4048" s="18" t="s">
        <v>33</v>
      </c>
      <c r="E4048" s="27">
        <v>42565.53125</v>
      </c>
      <c r="F4048" s="19">
        <f>IFERROR(__xludf.DUMMYFUNCTION("IFERROR(TO_DATE(E4048), """")"),42565.53125)</f>
        <v>42565.53125</v>
      </c>
      <c r="G4048" s="20">
        <f t="shared" si="1"/>
        <v>12</v>
      </c>
      <c r="H4048" s="18" t="s">
        <v>34</v>
      </c>
      <c r="I4048" s="19" t="str">
        <f>IFERROR(__xludf.DUMMYFUNCTION("IFERROR(TO_DATE(H4048), """")"),"NA")</f>
        <v>NA</v>
      </c>
      <c r="J4048" s="19" t="s">
        <v>10</v>
      </c>
      <c r="K4048" s="22">
        <f t="shared" si="2"/>
        <v>1</v>
      </c>
    </row>
    <row r="4049">
      <c r="A4049" s="18">
        <v>5603.0</v>
      </c>
      <c r="B4049" s="18" t="s">
        <v>32</v>
      </c>
      <c r="C4049" s="18">
        <v>287.0</v>
      </c>
      <c r="D4049" s="18" t="s">
        <v>33</v>
      </c>
      <c r="E4049" s="27">
        <v>42566.25591435185</v>
      </c>
      <c r="F4049" s="19">
        <f>IFERROR(__xludf.DUMMYFUNCTION("IFERROR(TO_DATE(E4049), """")"),42566.25591435185)</f>
        <v>42566.25591</v>
      </c>
      <c r="G4049" s="20">
        <f t="shared" si="1"/>
        <v>6</v>
      </c>
      <c r="H4049" s="18" t="s">
        <v>34</v>
      </c>
      <c r="I4049" s="19" t="str">
        <f>IFERROR(__xludf.DUMMYFUNCTION("IFERROR(TO_DATE(H4049), """")"),"NA")</f>
        <v>NA</v>
      </c>
      <c r="J4049" s="19" t="s">
        <v>11</v>
      </c>
      <c r="K4049" s="22">
        <f t="shared" si="2"/>
        <v>1</v>
      </c>
    </row>
    <row r="4050">
      <c r="A4050" s="18">
        <v>186.0</v>
      </c>
      <c r="B4050" s="18" t="s">
        <v>32</v>
      </c>
      <c r="C4050" s="18">
        <v>288.0</v>
      </c>
      <c r="D4050" s="18" t="s">
        <v>33</v>
      </c>
      <c r="E4050" s="26">
        <v>42562.24166666667</v>
      </c>
      <c r="F4050" s="19">
        <f>IFERROR(__xludf.DUMMYFUNCTION("IFERROR(TO_DATE(E4050), """")"),42562.24166666667)</f>
        <v>42562.24167</v>
      </c>
      <c r="G4050" s="20">
        <f t="shared" si="1"/>
        <v>5</v>
      </c>
      <c r="H4050" s="18" t="s">
        <v>34</v>
      </c>
      <c r="I4050" s="19" t="str">
        <f>IFERROR(__xludf.DUMMYFUNCTION("IFERROR(TO_DATE(H4050), """")"),"NA")</f>
        <v>NA</v>
      </c>
      <c r="J4050" s="19" t="s">
        <v>11</v>
      </c>
      <c r="K4050" s="22">
        <f t="shared" si="2"/>
        <v>1</v>
      </c>
    </row>
    <row r="4051">
      <c r="A4051" s="18">
        <v>2094.0</v>
      </c>
      <c r="B4051" s="18" t="s">
        <v>30</v>
      </c>
      <c r="C4051" s="18">
        <v>288.0</v>
      </c>
      <c r="D4051" s="18" t="s">
        <v>33</v>
      </c>
      <c r="E4051" s="26">
        <v>42563.660416666666</v>
      </c>
      <c r="F4051" s="19">
        <f>IFERROR(__xludf.DUMMYFUNCTION("IFERROR(TO_DATE(E4051), """")"),42563.660416666666)</f>
        <v>42563.66042</v>
      </c>
      <c r="G4051" s="20">
        <f t="shared" si="1"/>
        <v>15</v>
      </c>
      <c r="H4051" s="18" t="s">
        <v>34</v>
      </c>
      <c r="I4051" s="19" t="str">
        <f>IFERROR(__xludf.DUMMYFUNCTION("IFERROR(TO_DATE(H4051), """")"),"NA")</f>
        <v>NA</v>
      </c>
      <c r="J4051" s="19" t="s">
        <v>10</v>
      </c>
      <c r="K4051" s="22">
        <f t="shared" si="2"/>
        <v>1</v>
      </c>
    </row>
    <row r="4052">
      <c r="A4052" s="18">
        <v>4354.0</v>
      </c>
      <c r="B4052" s="18" t="s">
        <v>32</v>
      </c>
      <c r="C4052" s="18">
        <v>288.0</v>
      </c>
      <c r="D4052" s="18" t="s">
        <v>33</v>
      </c>
      <c r="E4052" s="27">
        <v>42565.31012731481</v>
      </c>
      <c r="F4052" s="19">
        <f>IFERROR(__xludf.DUMMYFUNCTION("IFERROR(TO_DATE(E4052), """")"),42565.31012731481)</f>
        <v>42565.31013</v>
      </c>
      <c r="G4052" s="20">
        <f t="shared" si="1"/>
        <v>7</v>
      </c>
      <c r="H4052" s="18" t="s">
        <v>34</v>
      </c>
      <c r="I4052" s="19" t="str">
        <f>IFERROR(__xludf.DUMMYFUNCTION("IFERROR(TO_DATE(H4052), """")"),"NA")</f>
        <v>NA</v>
      </c>
      <c r="J4052" s="19" t="s">
        <v>11</v>
      </c>
      <c r="K4052" s="22">
        <f t="shared" si="2"/>
        <v>1</v>
      </c>
    </row>
    <row r="4053">
      <c r="A4053" s="18">
        <v>340.0</v>
      </c>
      <c r="B4053" s="18" t="s">
        <v>32</v>
      </c>
      <c r="C4053" s="18">
        <v>289.0</v>
      </c>
      <c r="D4053" s="18" t="s">
        <v>33</v>
      </c>
      <c r="E4053" s="26">
        <v>42562.32708333333</v>
      </c>
      <c r="F4053" s="19">
        <f>IFERROR(__xludf.DUMMYFUNCTION("IFERROR(TO_DATE(E4053), """")"),42562.32708333333)</f>
        <v>42562.32708</v>
      </c>
      <c r="G4053" s="20">
        <f t="shared" si="1"/>
        <v>7</v>
      </c>
      <c r="H4053" s="18" t="s">
        <v>34</v>
      </c>
      <c r="I4053" s="19" t="str">
        <f>IFERROR(__xludf.DUMMYFUNCTION("IFERROR(TO_DATE(H4053), """")"),"NA")</f>
        <v>NA</v>
      </c>
      <c r="J4053" s="19" t="s">
        <v>11</v>
      </c>
      <c r="K4053" s="22">
        <f t="shared" si="2"/>
        <v>1</v>
      </c>
    </row>
    <row r="4054">
      <c r="A4054" s="18">
        <v>5499.0</v>
      </c>
      <c r="B4054" s="18" t="s">
        <v>32</v>
      </c>
      <c r="C4054" s="18">
        <v>289.0</v>
      </c>
      <c r="D4054" s="18" t="s">
        <v>33</v>
      </c>
      <c r="E4054" s="27">
        <v>42566.2133912037</v>
      </c>
      <c r="F4054" s="19">
        <f>IFERROR(__xludf.DUMMYFUNCTION("IFERROR(TO_DATE(E4054), """")"),42566.2133912037)</f>
        <v>42566.21339</v>
      </c>
      <c r="G4054" s="20">
        <f t="shared" si="1"/>
        <v>5</v>
      </c>
      <c r="H4054" s="18" t="s">
        <v>34</v>
      </c>
      <c r="I4054" s="19" t="str">
        <f>IFERROR(__xludf.DUMMYFUNCTION("IFERROR(TO_DATE(H4054), """")"),"NA")</f>
        <v>NA</v>
      </c>
      <c r="J4054" s="19" t="s">
        <v>11</v>
      </c>
      <c r="K4054" s="22">
        <f t="shared" si="2"/>
        <v>1</v>
      </c>
    </row>
    <row r="4055">
      <c r="A4055" s="18">
        <v>151.0</v>
      </c>
      <c r="B4055" s="18" t="s">
        <v>32</v>
      </c>
      <c r="C4055" s="18">
        <v>290.0</v>
      </c>
      <c r="D4055" s="18" t="s">
        <v>33</v>
      </c>
      <c r="E4055" s="26">
        <v>42562.22708333333</v>
      </c>
      <c r="F4055" s="19">
        <f>IFERROR(__xludf.DUMMYFUNCTION("IFERROR(TO_DATE(E4055), """")"),42562.22708333333)</f>
        <v>42562.22708</v>
      </c>
      <c r="G4055" s="20">
        <f t="shared" si="1"/>
        <v>5</v>
      </c>
      <c r="H4055" s="18" t="s">
        <v>34</v>
      </c>
      <c r="I4055" s="19" t="str">
        <f>IFERROR(__xludf.DUMMYFUNCTION("IFERROR(TO_DATE(H4055), """")"),"NA")</f>
        <v>NA</v>
      </c>
      <c r="J4055" s="19" t="s">
        <v>11</v>
      </c>
      <c r="K4055" s="22">
        <f t="shared" si="2"/>
        <v>1</v>
      </c>
    </row>
    <row r="4056">
      <c r="A4056" s="18">
        <v>316.0</v>
      </c>
      <c r="B4056" s="18" t="s">
        <v>32</v>
      </c>
      <c r="C4056" s="18">
        <v>290.0</v>
      </c>
      <c r="D4056" s="18" t="s">
        <v>33</v>
      </c>
      <c r="E4056" s="26">
        <v>42562.30972222222</v>
      </c>
      <c r="F4056" s="19">
        <f>IFERROR(__xludf.DUMMYFUNCTION("IFERROR(TO_DATE(E4056), """")"),42562.30972222222)</f>
        <v>42562.30972</v>
      </c>
      <c r="G4056" s="20">
        <f t="shared" si="1"/>
        <v>7</v>
      </c>
      <c r="H4056" s="18" t="s">
        <v>34</v>
      </c>
      <c r="I4056" s="19" t="str">
        <f>IFERROR(__xludf.DUMMYFUNCTION("IFERROR(TO_DATE(H4056), """")"),"NA")</f>
        <v>NA</v>
      </c>
      <c r="J4056" s="19" t="s">
        <v>11</v>
      </c>
      <c r="K4056" s="22">
        <f t="shared" si="2"/>
        <v>1</v>
      </c>
    </row>
    <row r="4057">
      <c r="A4057" s="18">
        <v>561.0</v>
      </c>
      <c r="B4057" s="18" t="s">
        <v>32</v>
      </c>
      <c r="C4057" s="18">
        <v>290.0</v>
      </c>
      <c r="D4057" s="18" t="s">
        <v>33</v>
      </c>
      <c r="E4057" s="26">
        <v>42562.42361111111</v>
      </c>
      <c r="F4057" s="19">
        <f>IFERROR(__xludf.DUMMYFUNCTION("IFERROR(TO_DATE(E4057), """")"),42562.42361111111)</f>
        <v>42562.42361</v>
      </c>
      <c r="G4057" s="20">
        <f t="shared" si="1"/>
        <v>10</v>
      </c>
      <c r="H4057" s="18" t="s">
        <v>34</v>
      </c>
      <c r="I4057" s="19" t="str">
        <f>IFERROR(__xludf.DUMMYFUNCTION("IFERROR(TO_DATE(H4057), """")"),"NA")</f>
        <v>NA</v>
      </c>
      <c r="J4057" s="19" t="s">
        <v>14</v>
      </c>
      <c r="K4057" s="22">
        <f t="shared" si="2"/>
        <v>1</v>
      </c>
    </row>
    <row r="4058">
      <c r="A4058" s="18">
        <v>1582.0</v>
      </c>
      <c r="B4058" s="18" t="s">
        <v>32</v>
      </c>
      <c r="C4058" s="18">
        <v>290.0</v>
      </c>
      <c r="D4058" s="18" t="s">
        <v>33</v>
      </c>
      <c r="E4058" s="26">
        <v>42563.26597222222</v>
      </c>
      <c r="F4058" s="19">
        <f>IFERROR(__xludf.DUMMYFUNCTION("IFERROR(TO_DATE(E4058), """")"),42563.26597222222)</f>
        <v>42563.26597</v>
      </c>
      <c r="G4058" s="20">
        <f t="shared" si="1"/>
        <v>6</v>
      </c>
      <c r="H4058" s="18" t="s">
        <v>34</v>
      </c>
      <c r="I4058" s="19" t="str">
        <f>IFERROR(__xludf.DUMMYFUNCTION("IFERROR(TO_DATE(H4058), """")"),"NA")</f>
        <v>NA</v>
      </c>
      <c r="J4058" s="19" t="s">
        <v>11</v>
      </c>
      <c r="K4058" s="22">
        <f t="shared" si="2"/>
        <v>1</v>
      </c>
    </row>
    <row r="4059">
      <c r="A4059" s="18">
        <v>1871.0</v>
      </c>
      <c r="B4059" s="18" t="s">
        <v>32</v>
      </c>
      <c r="C4059" s="18">
        <v>290.0</v>
      </c>
      <c r="D4059" s="18" t="s">
        <v>33</v>
      </c>
      <c r="E4059" s="26">
        <v>42563.419444444444</v>
      </c>
      <c r="F4059" s="19">
        <f>IFERROR(__xludf.DUMMYFUNCTION("IFERROR(TO_DATE(E4059), """")"),42563.419444444444)</f>
        <v>42563.41944</v>
      </c>
      <c r="G4059" s="20">
        <f t="shared" si="1"/>
        <v>10</v>
      </c>
      <c r="H4059" s="18" t="s">
        <v>34</v>
      </c>
      <c r="I4059" s="19" t="str">
        <f>IFERROR(__xludf.DUMMYFUNCTION("IFERROR(TO_DATE(H4059), """")"),"NA")</f>
        <v>NA</v>
      </c>
      <c r="J4059" s="19" t="s">
        <v>14</v>
      </c>
      <c r="K4059" s="22">
        <f t="shared" si="2"/>
        <v>1</v>
      </c>
    </row>
    <row r="4060">
      <c r="A4060" s="18">
        <v>4213.0</v>
      </c>
      <c r="B4060" s="18" t="s">
        <v>32</v>
      </c>
      <c r="C4060" s="18">
        <v>290.0</v>
      </c>
      <c r="D4060" s="18" t="s">
        <v>33</v>
      </c>
      <c r="E4060" s="27">
        <v>42565.235439814816</v>
      </c>
      <c r="F4060" s="19">
        <f>IFERROR(__xludf.DUMMYFUNCTION("IFERROR(TO_DATE(E4060), """")"),42565.235439814816)</f>
        <v>42565.23544</v>
      </c>
      <c r="G4060" s="20">
        <f t="shared" si="1"/>
        <v>5</v>
      </c>
      <c r="H4060" s="18" t="s">
        <v>34</v>
      </c>
      <c r="I4060" s="19" t="str">
        <f>IFERROR(__xludf.DUMMYFUNCTION("IFERROR(TO_DATE(H4060), """")"),"NA")</f>
        <v>NA</v>
      </c>
      <c r="J4060" s="19" t="s">
        <v>11</v>
      </c>
      <c r="K4060" s="22">
        <f t="shared" si="2"/>
        <v>1</v>
      </c>
    </row>
    <row r="4061">
      <c r="A4061" s="18">
        <v>5801.0</v>
      </c>
      <c r="B4061" s="18" t="s">
        <v>32</v>
      </c>
      <c r="C4061" s="18">
        <v>290.0</v>
      </c>
      <c r="D4061" s="18" t="s">
        <v>33</v>
      </c>
      <c r="E4061" s="27">
        <v>42566.36114583333</v>
      </c>
      <c r="F4061" s="19">
        <f>IFERROR(__xludf.DUMMYFUNCTION("IFERROR(TO_DATE(E4061), """")"),42566.36114583333)</f>
        <v>42566.36115</v>
      </c>
      <c r="G4061" s="20">
        <f t="shared" si="1"/>
        <v>8</v>
      </c>
      <c r="H4061" s="18" t="s">
        <v>34</v>
      </c>
      <c r="I4061" s="19" t="str">
        <f>IFERROR(__xludf.DUMMYFUNCTION("IFERROR(TO_DATE(H4061), """")"),"NA")</f>
        <v>NA</v>
      </c>
      <c r="J4061" s="19" t="s">
        <v>14</v>
      </c>
      <c r="K4061" s="22">
        <f t="shared" si="2"/>
        <v>1</v>
      </c>
    </row>
    <row r="4062">
      <c r="A4062" s="18">
        <v>144.0</v>
      </c>
      <c r="B4062" s="18" t="s">
        <v>32</v>
      </c>
      <c r="C4062" s="18">
        <v>291.0</v>
      </c>
      <c r="D4062" s="18" t="s">
        <v>33</v>
      </c>
      <c r="E4062" s="26">
        <v>42562.225</v>
      </c>
      <c r="F4062" s="19">
        <f>IFERROR(__xludf.DUMMYFUNCTION("IFERROR(TO_DATE(E4062), """")"),42562.225)</f>
        <v>42562.225</v>
      </c>
      <c r="G4062" s="20">
        <f t="shared" si="1"/>
        <v>5</v>
      </c>
      <c r="H4062" s="18" t="s">
        <v>34</v>
      </c>
      <c r="I4062" s="19" t="str">
        <f>IFERROR(__xludf.DUMMYFUNCTION("IFERROR(TO_DATE(H4062), """")"),"NA")</f>
        <v>NA</v>
      </c>
      <c r="J4062" s="19" t="s">
        <v>11</v>
      </c>
      <c r="K4062" s="22">
        <f t="shared" si="2"/>
        <v>1</v>
      </c>
    </row>
    <row r="4063">
      <c r="A4063" s="18">
        <v>1383.0</v>
      </c>
      <c r="B4063" s="18" t="s">
        <v>32</v>
      </c>
      <c r="C4063" s="18">
        <v>291.0</v>
      </c>
      <c r="D4063" s="18" t="s">
        <v>33</v>
      </c>
      <c r="E4063" s="26">
        <v>42563.05</v>
      </c>
      <c r="F4063" s="19">
        <f>IFERROR(__xludf.DUMMYFUNCTION("IFERROR(TO_DATE(E4063), """")"),42563.05)</f>
        <v>42563.05</v>
      </c>
      <c r="G4063" s="20">
        <f t="shared" si="1"/>
        <v>1</v>
      </c>
      <c r="H4063" s="18" t="s">
        <v>34</v>
      </c>
      <c r="I4063" s="19" t="str">
        <f>IFERROR(__xludf.DUMMYFUNCTION("IFERROR(TO_DATE(H4063), """")"),"NA")</f>
        <v>NA</v>
      </c>
      <c r="J4063" s="19" t="s">
        <v>15</v>
      </c>
      <c r="K4063" s="22">
        <f t="shared" si="2"/>
        <v>1</v>
      </c>
    </row>
    <row r="4064">
      <c r="A4064" s="18">
        <v>3216.0</v>
      </c>
      <c r="B4064" s="18" t="s">
        <v>32</v>
      </c>
      <c r="C4064" s="18">
        <v>291.0</v>
      </c>
      <c r="D4064" s="18" t="s">
        <v>33</v>
      </c>
      <c r="E4064" s="27">
        <v>42564.40998842593</v>
      </c>
      <c r="F4064" s="19">
        <f>IFERROR(__xludf.DUMMYFUNCTION("IFERROR(TO_DATE(E4064), """")"),42564.40998842593)</f>
        <v>42564.40999</v>
      </c>
      <c r="G4064" s="20">
        <f t="shared" si="1"/>
        <v>9</v>
      </c>
      <c r="H4064" s="18" t="s">
        <v>34</v>
      </c>
      <c r="I4064" s="19" t="str">
        <f>IFERROR(__xludf.DUMMYFUNCTION("IFERROR(TO_DATE(H4064), """")"),"NA")</f>
        <v>NA</v>
      </c>
      <c r="J4064" s="19" t="s">
        <v>14</v>
      </c>
      <c r="K4064" s="22">
        <f t="shared" si="2"/>
        <v>1</v>
      </c>
    </row>
    <row r="4065">
      <c r="A4065" s="18">
        <v>184.0</v>
      </c>
      <c r="B4065" s="18" t="s">
        <v>32</v>
      </c>
      <c r="C4065" s="18">
        <v>292.0</v>
      </c>
      <c r="D4065" s="18" t="s">
        <v>33</v>
      </c>
      <c r="E4065" s="26">
        <v>42562.24236111111</v>
      </c>
      <c r="F4065" s="19">
        <f>IFERROR(__xludf.DUMMYFUNCTION("IFERROR(TO_DATE(E4065), """")"),42562.24236111111)</f>
        <v>42562.24236</v>
      </c>
      <c r="G4065" s="20">
        <f t="shared" si="1"/>
        <v>5</v>
      </c>
      <c r="H4065" s="18" t="s">
        <v>34</v>
      </c>
      <c r="I4065" s="19" t="str">
        <f>IFERROR(__xludf.DUMMYFUNCTION("IFERROR(TO_DATE(H4065), """")"),"NA")</f>
        <v>NA</v>
      </c>
      <c r="J4065" s="19" t="s">
        <v>11</v>
      </c>
      <c r="K4065" s="22">
        <f t="shared" si="2"/>
        <v>1</v>
      </c>
    </row>
    <row r="4066">
      <c r="A4066" s="18">
        <v>4435.0</v>
      </c>
      <c r="B4066" s="18" t="s">
        <v>32</v>
      </c>
      <c r="C4066" s="18">
        <v>292.0</v>
      </c>
      <c r="D4066" s="18" t="s">
        <v>33</v>
      </c>
      <c r="E4066" s="27">
        <v>42565.35097222222</v>
      </c>
      <c r="F4066" s="19">
        <f>IFERROR(__xludf.DUMMYFUNCTION("IFERROR(TO_DATE(E4066), """")"),42565.35097222222)</f>
        <v>42565.35097</v>
      </c>
      <c r="G4066" s="20">
        <f t="shared" si="1"/>
        <v>8</v>
      </c>
      <c r="H4066" s="18" t="s">
        <v>34</v>
      </c>
      <c r="I4066" s="19" t="str">
        <f>IFERROR(__xludf.DUMMYFUNCTION("IFERROR(TO_DATE(H4066), """")"),"NA")</f>
        <v>NA</v>
      </c>
      <c r="J4066" s="19" t="s">
        <v>14</v>
      </c>
      <c r="K4066" s="22">
        <f t="shared" si="2"/>
        <v>1</v>
      </c>
    </row>
    <row r="4067">
      <c r="A4067" s="18">
        <v>5623.0</v>
      </c>
      <c r="B4067" s="18" t="s">
        <v>32</v>
      </c>
      <c r="C4067" s="18">
        <v>292.0</v>
      </c>
      <c r="D4067" s="18" t="s">
        <v>33</v>
      </c>
      <c r="E4067" s="27">
        <v>42566.269282407404</v>
      </c>
      <c r="F4067" s="19">
        <f>IFERROR(__xludf.DUMMYFUNCTION("IFERROR(TO_DATE(E4067), """")"),42566.269282407404)</f>
        <v>42566.26928</v>
      </c>
      <c r="G4067" s="20">
        <f t="shared" si="1"/>
        <v>6</v>
      </c>
      <c r="H4067" s="18" t="s">
        <v>34</v>
      </c>
      <c r="I4067" s="19" t="str">
        <f>IFERROR(__xludf.DUMMYFUNCTION("IFERROR(TO_DATE(H4067), """")"),"NA")</f>
        <v>NA</v>
      </c>
      <c r="J4067" s="19" t="s">
        <v>11</v>
      </c>
      <c r="K4067" s="22">
        <f t="shared" si="2"/>
        <v>1</v>
      </c>
    </row>
    <row r="4068">
      <c r="A4068" s="18">
        <v>2837.0</v>
      </c>
      <c r="B4068" s="18" t="s">
        <v>32</v>
      </c>
      <c r="C4068" s="18">
        <v>293.0</v>
      </c>
      <c r="D4068" s="18" t="s">
        <v>33</v>
      </c>
      <c r="E4068" s="27">
        <v>42564.2221412037</v>
      </c>
      <c r="F4068" s="19">
        <f>IFERROR(__xludf.DUMMYFUNCTION("IFERROR(TO_DATE(E4068), """")"),42564.2221412037)</f>
        <v>42564.22214</v>
      </c>
      <c r="G4068" s="20">
        <f t="shared" si="1"/>
        <v>5</v>
      </c>
      <c r="H4068" s="18" t="s">
        <v>34</v>
      </c>
      <c r="I4068" s="19" t="str">
        <f>IFERROR(__xludf.DUMMYFUNCTION("IFERROR(TO_DATE(H4068), """")"),"NA")</f>
        <v>NA</v>
      </c>
      <c r="J4068" s="19" t="s">
        <v>11</v>
      </c>
      <c r="K4068" s="22">
        <f t="shared" si="2"/>
        <v>1</v>
      </c>
    </row>
    <row r="4069">
      <c r="A4069" s="18">
        <v>5812.0</v>
      </c>
      <c r="B4069" s="18" t="s">
        <v>32</v>
      </c>
      <c r="C4069" s="18">
        <v>293.0</v>
      </c>
      <c r="D4069" s="18" t="s">
        <v>33</v>
      </c>
      <c r="E4069" s="27">
        <v>42566.36435185185</v>
      </c>
      <c r="F4069" s="19">
        <f>IFERROR(__xludf.DUMMYFUNCTION("IFERROR(TO_DATE(E4069), """")"),42566.36435185185)</f>
        <v>42566.36435</v>
      </c>
      <c r="G4069" s="20">
        <f t="shared" si="1"/>
        <v>8</v>
      </c>
      <c r="H4069" s="18" t="s">
        <v>34</v>
      </c>
      <c r="I4069" s="19" t="str">
        <f>IFERROR(__xludf.DUMMYFUNCTION("IFERROR(TO_DATE(H4069), """")"),"NA")</f>
        <v>NA</v>
      </c>
      <c r="J4069" s="19" t="s">
        <v>14</v>
      </c>
      <c r="K4069" s="22">
        <f t="shared" si="2"/>
        <v>1</v>
      </c>
    </row>
    <row r="4070">
      <c r="A4070" s="18">
        <v>407.0</v>
      </c>
      <c r="B4070" s="18" t="s">
        <v>32</v>
      </c>
      <c r="C4070" s="18">
        <v>294.0</v>
      </c>
      <c r="D4070" s="18" t="s">
        <v>33</v>
      </c>
      <c r="E4070" s="26">
        <v>42562.35625</v>
      </c>
      <c r="F4070" s="19">
        <f>IFERROR(__xludf.DUMMYFUNCTION("IFERROR(TO_DATE(E4070), """")"),42562.35625)</f>
        <v>42562.35625</v>
      </c>
      <c r="G4070" s="20">
        <f t="shared" si="1"/>
        <v>8</v>
      </c>
      <c r="H4070" s="18" t="s">
        <v>34</v>
      </c>
      <c r="I4070" s="19" t="str">
        <f>IFERROR(__xludf.DUMMYFUNCTION("IFERROR(TO_DATE(H4070), """")"),"NA")</f>
        <v>NA</v>
      </c>
      <c r="J4070" s="19" t="s">
        <v>14</v>
      </c>
      <c r="K4070" s="22">
        <f t="shared" si="2"/>
        <v>1</v>
      </c>
    </row>
    <row r="4071">
      <c r="A4071" s="18">
        <v>486.0</v>
      </c>
      <c r="B4071" s="18" t="s">
        <v>32</v>
      </c>
      <c r="C4071" s="18">
        <v>294.0</v>
      </c>
      <c r="D4071" s="18" t="s">
        <v>33</v>
      </c>
      <c r="E4071" s="26">
        <v>42562.39513888889</v>
      </c>
      <c r="F4071" s="19">
        <f>IFERROR(__xludf.DUMMYFUNCTION("IFERROR(TO_DATE(E4071), """")"),42562.39513888889)</f>
        <v>42562.39514</v>
      </c>
      <c r="G4071" s="20">
        <f t="shared" si="1"/>
        <v>9</v>
      </c>
      <c r="H4071" s="18" t="s">
        <v>34</v>
      </c>
      <c r="I4071" s="19" t="str">
        <f>IFERROR(__xludf.DUMMYFUNCTION("IFERROR(TO_DATE(H4071), """")"),"NA")</f>
        <v>NA</v>
      </c>
      <c r="J4071" s="19" t="s">
        <v>14</v>
      </c>
      <c r="K4071" s="22">
        <f t="shared" si="2"/>
        <v>1</v>
      </c>
    </row>
    <row r="4072">
      <c r="A4072" s="18">
        <v>4489.0</v>
      </c>
      <c r="B4072" s="18" t="s">
        <v>32</v>
      </c>
      <c r="C4072" s="18">
        <v>294.0</v>
      </c>
      <c r="D4072" s="18" t="s">
        <v>33</v>
      </c>
      <c r="E4072" s="27">
        <v>42565.370729166665</v>
      </c>
      <c r="F4072" s="19">
        <f>IFERROR(__xludf.DUMMYFUNCTION("IFERROR(TO_DATE(E4072), """")"),42565.370729166665)</f>
        <v>42565.37073</v>
      </c>
      <c r="G4072" s="20">
        <f t="shared" si="1"/>
        <v>8</v>
      </c>
      <c r="H4072" s="18" t="s">
        <v>34</v>
      </c>
      <c r="I4072" s="19" t="str">
        <f>IFERROR(__xludf.DUMMYFUNCTION("IFERROR(TO_DATE(H4072), """")"),"NA")</f>
        <v>NA</v>
      </c>
      <c r="J4072" s="19" t="s">
        <v>14</v>
      </c>
      <c r="K4072" s="22">
        <f t="shared" si="2"/>
        <v>1</v>
      </c>
    </row>
    <row r="4073">
      <c r="A4073" s="18">
        <v>1251.0</v>
      </c>
      <c r="B4073" s="18" t="s">
        <v>32</v>
      </c>
      <c r="C4073" s="18">
        <v>295.0</v>
      </c>
      <c r="D4073" s="18" t="s">
        <v>33</v>
      </c>
      <c r="E4073" s="26">
        <v>42562.907638888886</v>
      </c>
      <c r="F4073" s="19">
        <f>IFERROR(__xludf.DUMMYFUNCTION("IFERROR(TO_DATE(E4073), """")"),42562.907638888886)</f>
        <v>42562.90764</v>
      </c>
      <c r="G4073" s="20">
        <f t="shared" si="1"/>
        <v>21</v>
      </c>
      <c r="H4073" s="18" t="s">
        <v>34</v>
      </c>
      <c r="I4073" s="19" t="str">
        <f>IFERROR(__xludf.DUMMYFUNCTION("IFERROR(TO_DATE(H4073), """")"),"NA")</f>
        <v>NA</v>
      </c>
      <c r="J4073" s="19" t="s">
        <v>13</v>
      </c>
      <c r="K4073" s="22">
        <f t="shared" si="2"/>
        <v>1</v>
      </c>
    </row>
    <row r="4074">
      <c r="A4074" s="18">
        <v>2875.0</v>
      </c>
      <c r="B4074" s="18" t="s">
        <v>32</v>
      </c>
      <c r="C4074" s="18">
        <v>295.0</v>
      </c>
      <c r="D4074" s="18" t="s">
        <v>33</v>
      </c>
      <c r="E4074" s="27">
        <v>42564.246099537035</v>
      </c>
      <c r="F4074" s="19">
        <f>IFERROR(__xludf.DUMMYFUNCTION("IFERROR(TO_DATE(E4074), """")"),42564.246099537035)</f>
        <v>42564.2461</v>
      </c>
      <c r="G4074" s="20">
        <f t="shared" si="1"/>
        <v>5</v>
      </c>
      <c r="H4074" s="18" t="s">
        <v>34</v>
      </c>
      <c r="I4074" s="19" t="str">
        <f>IFERROR(__xludf.DUMMYFUNCTION("IFERROR(TO_DATE(H4074), """")"),"NA")</f>
        <v>NA</v>
      </c>
      <c r="J4074" s="19" t="s">
        <v>11</v>
      </c>
      <c r="K4074" s="22">
        <f t="shared" si="2"/>
        <v>1</v>
      </c>
    </row>
    <row r="4075">
      <c r="A4075" s="18">
        <v>3104.0</v>
      </c>
      <c r="B4075" s="18" t="s">
        <v>32</v>
      </c>
      <c r="C4075" s="18">
        <v>295.0</v>
      </c>
      <c r="D4075" s="18" t="s">
        <v>33</v>
      </c>
      <c r="E4075" s="27">
        <v>42564.35087962963</v>
      </c>
      <c r="F4075" s="19">
        <f>IFERROR(__xludf.DUMMYFUNCTION("IFERROR(TO_DATE(E4075), """")"),42564.35087962963)</f>
        <v>42564.35088</v>
      </c>
      <c r="G4075" s="20">
        <f t="shared" si="1"/>
        <v>8</v>
      </c>
      <c r="H4075" s="18" t="s">
        <v>34</v>
      </c>
      <c r="I4075" s="19" t="str">
        <f>IFERROR(__xludf.DUMMYFUNCTION("IFERROR(TO_DATE(H4075), """")"),"NA")</f>
        <v>NA</v>
      </c>
      <c r="J4075" s="19" t="s">
        <v>14</v>
      </c>
      <c r="K4075" s="22">
        <f t="shared" si="2"/>
        <v>1</v>
      </c>
    </row>
    <row r="4076">
      <c r="A4076" s="18">
        <v>3909.0</v>
      </c>
      <c r="B4076" s="18" t="s">
        <v>32</v>
      </c>
      <c r="C4076" s="18">
        <v>295.0</v>
      </c>
      <c r="D4076" s="18" t="s">
        <v>33</v>
      </c>
      <c r="E4076" s="27">
        <v>42564.92618055556</v>
      </c>
      <c r="F4076" s="19">
        <f>IFERROR(__xludf.DUMMYFUNCTION("IFERROR(TO_DATE(E4076), """")"),42564.92618055556)</f>
        <v>42564.92618</v>
      </c>
      <c r="G4076" s="20">
        <f t="shared" si="1"/>
        <v>22</v>
      </c>
      <c r="H4076" s="18" t="s">
        <v>34</v>
      </c>
      <c r="I4076" s="19" t="str">
        <f>IFERROR(__xludf.DUMMYFUNCTION("IFERROR(TO_DATE(H4076), """")"),"NA")</f>
        <v>NA</v>
      </c>
      <c r="J4076" s="19" t="s">
        <v>13</v>
      </c>
      <c r="K4076" s="22">
        <f t="shared" si="2"/>
        <v>1</v>
      </c>
    </row>
    <row r="4077">
      <c r="A4077" s="18">
        <v>4338.0</v>
      </c>
      <c r="B4077" s="18" t="s">
        <v>32</v>
      </c>
      <c r="C4077" s="18">
        <v>295.0</v>
      </c>
      <c r="D4077" s="18" t="s">
        <v>33</v>
      </c>
      <c r="E4077" s="27">
        <v>42565.306238425925</v>
      </c>
      <c r="F4077" s="19">
        <f>IFERROR(__xludf.DUMMYFUNCTION("IFERROR(TO_DATE(E4077), """")"),42565.306238425925)</f>
        <v>42565.30624</v>
      </c>
      <c r="G4077" s="20">
        <f t="shared" si="1"/>
        <v>7</v>
      </c>
      <c r="H4077" s="18" t="s">
        <v>34</v>
      </c>
      <c r="I4077" s="19" t="str">
        <f>IFERROR(__xludf.DUMMYFUNCTION("IFERROR(TO_DATE(H4077), """")"),"NA")</f>
        <v>NA</v>
      </c>
      <c r="J4077" s="19" t="s">
        <v>11</v>
      </c>
      <c r="K4077" s="22">
        <f t="shared" si="2"/>
        <v>1</v>
      </c>
    </row>
    <row r="4078">
      <c r="A4078" s="18">
        <v>4479.0</v>
      </c>
      <c r="B4078" s="18" t="s">
        <v>32</v>
      </c>
      <c r="C4078" s="18">
        <v>295.0</v>
      </c>
      <c r="D4078" s="18" t="s">
        <v>33</v>
      </c>
      <c r="E4078" s="27">
        <v>42565.362395833334</v>
      </c>
      <c r="F4078" s="19">
        <f>IFERROR(__xludf.DUMMYFUNCTION("IFERROR(TO_DATE(E4078), """")"),42565.362395833334)</f>
        <v>42565.3624</v>
      </c>
      <c r="G4078" s="20">
        <f t="shared" si="1"/>
        <v>8</v>
      </c>
      <c r="H4078" s="18" t="s">
        <v>34</v>
      </c>
      <c r="I4078" s="19" t="str">
        <f>IFERROR(__xludf.DUMMYFUNCTION("IFERROR(TO_DATE(H4078), """")"),"NA")</f>
        <v>NA</v>
      </c>
      <c r="J4078" s="19" t="s">
        <v>14</v>
      </c>
      <c r="K4078" s="22">
        <f t="shared" si="2"/>
        <v>1</v>
      </c>
    </row>
    <row r="4079">
      <c r="A4079" s="18">
        <v>3187.0</v>
      </c>
      <c r="B4079" s="18" t="s">
        <v>32</v>
      </c>
      <c r="C4079" s="18">
        <v>296.0</v>
      </c>
      <c r="D4079" s="18" t="s">
        <v>33</v>
      </c>
      <c r="E4079" s="27">
        <v>42564.396898148145</v>
      </c>
      <c r="F4079" s="19">
        <f>IFERROR(__xludf.DUMMYFUNCTION("IFERROR(TO_DATE(E4079), """")"),42564.396898148145)</f>
        <v>42564.3969</v>
      </c>
      <c r="G4079" s="20">
        <f t="shared" si="1"/>
        <v>9</v>
      </c>
      <c r="H4079" s="18" t="s">
        <v>34</v>
      </c>
      <c r="I4079" s="19" t="str">
        <f>IFERROR(__xludf.DUMMYFUNCTION("IFERROR(TO_DATE(H4079), """")"),"NA")</f>
        <v>NA</v>
      </c>
      <c r="J4079" s="19" t="s">
        <v>14</v>
      </c>
      <c r="K4079" s="22">
        <f t="shared" si="2"/>
        <v>1</v>
      </c>
    </row>
    <row r="4080">
      <c r="A4080" s="18">
        <v>4251.0</v>
      </c>
      <c r="B4080" s="18" t="s">
        <v>32</v>
      </c>
      <c r="C4080" s="18">
        <v>296.0</v>
      </c>
      <c r="D4080" s="18" t="s">
        <v>33</v>
      </c>
      <c r="E4080" s="27">
        <v>42565.24694444444</v>
      </c>
      <c r="F4080" s="19">
        <f>IFERROR(__xludf.DUMMYFUNCTION("IFERROR(TO_DATE(E4080), """")"),42565.24694444444)</f>
        <v>42565.24694</v>
      </c>
      <c r="G4080" s="20">
        <f t="shared" si="1"/>
        <v>5</v>
      </c>
      <c r="H4080" s="18" t="s">
        <v>34</v>
      </c>
      <c r="I4080" s="19" t="str">
        <f>IFERROR(__xludf.DUMMYFUNCTION("IFERROR(TO_DATE(H4080), """")"),"NA")</f>
        <v>NA</v>
      </c>
      <c r="J4080" s="19" t="s">
        <v>11</v>
      </c>
      <c r="K4080" s="22">
        <f t="shared" si="2"/>
        <v>1</v>
      </c>
    </row>
    <row r="4081">
      <c r="A4081" s="18">
        <v>5514.0</v>
      </c>
      <c r="B4081" s="18" t="s">
        <v>32</v>
      </c>
      <c r="C4081" s="18">
        <v>296.0</v>
      </c>
      <c r="D4081" s="18" t="s">
        <v>33</v>
      </c>
      <c r="E4081" s="27">
        <v>42566.21417824074</v>
      </c>
      <c r="F4081" s="19">
        <f>IFERROR(__xludf.DUMMYFUNCTION("IFERROR(TO_DATE(E4081), """")"),42566.21417824074)</f>
        <v>42566.21418</v>
      </c>
      <c r="G4081" s="20">
        <f t="shared" si="1"/>
        <v>5</v>
      </c>
      <c r="H4081" s="18" t="s">
        <v>34</v>
      </c>
      <c r="I4081" s="19" t="str">
        <f>IFERROR(__xludf.DUMMYFUNCTION("IFERROR(TO_DATE(H4081), """")"),"NA")</f>
        <v>NA</v>
      </c>
      <c r="J4081" s="19" t="s">
        <v>11</v>
      </c>
      <c r="K4081" s="22">
        <f t="shared" si="2"/>
        <v>1</v>
      </c>
    </row>
    <row r="4082">
      <c r="A4082" s="18">
        <v>5690.0</v>
      </c>
      <c r="B4082" s="18" t="s">
        <v>32</v>
      </c>
      <c r="C4082" s="18">
        <v>296.0</v>
      </c>
      <c r="D4082" s="18" t="s">
        <v>33</v>
      </c>
      <c r="E4082" s="27">
        <v>42566.306180555555</v>
      </c>
      <c r="F4082" s="19">
        <f>IFERROR(__xludf.DUMMYFUNCTION("IFERROR(TO_DATE(E4082), """")"),42566.306180555555)</f>
        <v>42566.30618</v>
      </c>
      <c r="G4082" s="20">
        <f t="shared" si="1"/>
        <v>7</v>
      </c>
      <c r="H4082" s="18" t="s">
        <v>34</v>
      </c>
      <c r="I4082" s="19" t="str">
        <f>IFERROR(__xludf.DUMMYFUNCTION("IFERROR(TO_DATE(H4082), """")"),"NA")</f>
        <v>NA</v>
      </c>
      <c r="J4082" s="19" t="s">
        <v>11</v>
      </c>
      <c r="K4082" s="22">
        <f t="shared" si="2"/>
        <v>1</v>
      </c>
    </row>
    <row r="4083">
      <c r="A4083" s="18">
        <v>295.0</v>
      </c>
      <c r="B4083" s="18" t="s">
        <v>30</v>
      </c>
      <c r="C4083" s="18">
        <v>297.0</v>
      </c>
      <c r="D4083" s="18" t="s">
        <v>33</v>
      </c>
      <c r="E4083" s="26">
        <v>42562.29861111111</v>
      </c>
      <c r="F4083" s="19">
        <f>IFERROR(__xludf.DUMMYFUNCTION("IFERROR(TO_DATE(E4083), """")"),42562.29861111111)</f>
        <v>42562.29861</v>
      </c>
      <c r="G4083" s="20">
        <f t="shared" si="1"/>
        <v>7</v>
      </c>
      <c r="H4083" s="18" t="s">
        <v>34</v>
      </c>
      <c r="I4083" s="19" t="str">
        <f>IFERROR(__xludf.DUMMYFUNCTION("IFERROR(TO_DATE(H4083), """")"),"NA")</f>
        <v>NA</v>
      </c>
      <c r="J4083" s="19" t="s">
        <v>11</v>
      </c>
      <c r="K4083" s="22">
        <f t="shared" si="2"/>
        <v>1</v>
      </c>
    </row>
    <row r="4084">
      <c r="A4084" s="18">
        <v>1487.0</v>
      </c>
      <c r="B4084" s="18" t="s">
        <v>32</v>
      </c>
      <c r="C4084" s="18">
        <v>297.0</v>
      </c>
      <c r="D4084" s="18" t="s">
        <v>33</v>
      </c>
      <c r="E4084" s="26">
        <v>42563.22430555556</v>
      </c>
      <c r="F4084" s="19">
        <f>IFERROR(__xludf.DUMMYFUNCTION("IFERROR(TO_DATE(E4084), """")"),42563.22430555556)</f>
        <v>42563.22431</v>
      </c>
      <c r="G4084" s="20">
        <f t="shared" si="1"/>
        <v>5</v>
      </c>
      <c r="H4084" s="18" t="s">
        <v>34</v>
      </c>
      <c r="I4084" s="19" t="str">
        <f>IFERROR(__xludf.DUMMYFUNCTION("IFERROR(TO_DATE(H4084), """")"),"NA")</f>
        <v>NA</v>
      </c>
      <c r="J4084" s="19" t="s">
        <v>11</v>
      </c>
      <c r="K4084" s="22">
        <f t="shared" si="2"/>
        <v>1</v>
      </c>
    </row>
    <row r="4085">
      <c r="A4085" s="18">
        <v>5515.0</v>
      </c>
      <c r="B4085" s="18" t="s">
        <v>32</v>
      </c>
      <c r="C4085" s="18">
        <v>297.0</v>
      </c>
      <c r="D4085" s="18" t="s">
        <v>33</v>
      </c>
      <c r="E4085" s="27">
        <v>42566.21739583334</v>
      </c>
      <c r="F4085" s="19">
        <f>IFERROR(__xludf.DUMMYFUNCTION("IFERROR(TO_DATE(E4085), """")"),42566.21739583334)</f>
        <v>42566.2174</v>
      </c>
      <c r="G4085" s="20">
        <f t="shared" si="1"/>
        <v>5</v>
      </c>
      <c r="H4085" s="18" t="s">
        <v>34</v>
      </c>
      <c r="I4085" s="19" t="str">
        <f>IFERROR(__xludf.DUMMYFUNCTION("IFERROR(TO_DATE(H4085), """")"),"NA")</f>
        <v>NA</v>
      </c>
      <c r="J4085" s="19" t="s">
        <v>11</v>
      </c>
      <c r="K4085" s="22">
        <f t="shared" si="2"/>
        <v>1</v>
      </c>
    </row>
    <row r="4086">
      <c r="A4086" s="18">
        <v>5535.0</v>
      </c>
      <c r="B4086" s="18" t="s">
        <v>32</v>
      </c>
      <c r="C4086" s="18">
        <v>297.0</v>
      </c>
      <c r="D4086" s="18" t="s">
        <v>33</v>
      </c>
      <c r="E4086" s="27">
        <v>42566.222083333334</v>
      </c>
      <c r="F4086" s="19">
        <f>IFERROR(__xludf.DUMMYFUNCTION("IFERROR(TO_DATE(E4086), """")"),42566.222083333334)</f>
        <v>42566.22208</v>
      </c>
      <c r="G4086" s="20">
        <f t="shared" si="1"/>
        <v>5</v>
      </c>
      <c r="H4086" s="18" t="s">
        <v>34</v>
      </c>
      <c r="I4086" s="19" t="str">
        <f>IFERROR(__xludf.DUMMYFUNCTION("IFERROR(TO_DATE(H4086), """")"),"NA")</f>
        <v>NA</v>
      </c>
      <c r="J4086" s="19" t="s">
        <v>11</v>
      </c>
      <c r="K4086" s="22">
        <f t="shared" si="2"/>
        <v>1</v>
      </c>
    </row>
    <row r="4087">
      <c r="A4087" s="18">
        <v>284.0</v>
      </c>
      <c r="B4087" s="18" t="s">
        <v>32</v>
      </c>
      <c r="C4087" s="18">
        <v>298.0</v>
      </c>
      <c r="D4087" s="18" t="s">
        <v>33</v>
      </c>
      <c r="E4087" s="26">
        <v>42562.29513888889</v>
      </c>
      <c r="F4087" s="19">
        <f>IFERROR(__xludf.DUMMYFUNCTION("IFERROR(TO_DATE(E4087), """")"),42562.29513888889)</f>
        <v>42562.29514</v>
      </c>
      <c r="G4087" s="20">
        <f t="shared" si="1"/>
        <v>7</v>
      </c>
      <c r="H4087" s="18" t="s">
        <v>34</v>
      </c>
      <c r="I4087" s="19" t="str">
        <f>IFERROR(__xludf.DUMMYFUNCTION("IFERROR(TO_DATE(H4087), """")"),"NA")</f>
        <v>NA</v>
      </c>
      <c r="J4087" s="19" t="s">
        <v>11</v>
      </c>
      <c r="K4087" s="22">
        <f t="shared" si="2"/>
        <v>1</v>
      </c>
    </row>
    <row r="4088">
      <c r="A4088" s="18">
        <v>2966.0</v>
      </c>
      <c r="B4088" s="18" t="s">
        <v>32</v>
      </c>
      <c r="C4088" s="18">
        <v>298.0</v>
      </c>
      <c r="D4088" s="18" t="s">
        <v>33</v>
      </c>
      <c r="E4088" s="27">
        <v>42564.28765046296</v>
      </c>
      <c r="F4088" s="19">
        <f>IFERROR(__xludf.DUMMYFUNCTION("IFERROR(TO_DATE(E4088), """")"),42564.28765046296)</f>
        <v>42564.28765</v>
      </c>
      <c r="G4088" s="20">
        <f t="shared" si="1"/>
        <v>6</v>
      </c>
      <c r="H4088" s="18" t="s">
        <v>34</v>
      </c>
      <c r="I4088" s="19" t="str">
        <f>IFERROR(__xludf.DUMMYFUNCTION("IFERROR(TO_DATE(H4088), """")"),"NA")</f>
        <v>NA</v>
      </c>
      <c r="J4088" s="19" t="s">
        <v>11</v>
      </c>
      <c r="K4088" s="22">
        <f t="shared" si="2"/>
        <v>1</v>
      </c>
    </row>
    <row r="4089">
      <c r="A4089" s="18">
        <v>3120.0</v>
      </c>
      <c r="B4089" s="18" t="s">
        <v>32</v>
      </c>
      <c r="C4089" s="18">
        <v>298.0</v>
      </c>
      <c r="D4089" s="18" t="s">
        <v>33</v>
      </c>
      <c r="E4089" s="27">
        <v>42564.35564814815</v>
      </c>
      <c r="F4089" s="19">
        <f>IFERROR(__xludf.DUMMYFUNCTION("IFERROR(TO_DATE(E4089), """")"),42564.35564814815)</f>
        <v>42564.35565</v>
      </c>
      <c r="G4089" s="20">
        <f t="shared" si="1"/>
        <v>8</v>
      </c>
      <c r="H4089" s="18" t="s">
        <v>34</v>
      </c>
      <c r="I4089" s="19" t="str">
        <f>IFERROR(__xludf.DUMMYFUNCTION("IFERROR(TO_DATE(H4089), """")"),"NA")</f>
        <v>NA</v>
      </c>
      <c r="J4089" s="19" t="s">
        <v>14</v>
      </c>
      <c r="K4089" s="22">
        <f t="shared" si="2"/>
        <v>1</v>
      </c>
    </row>
    <row r="4090">
      <c r="A4090" s="18">
        <v>4552.0</v>
      </c>
      <c r="B4090" s="18" t="s">
        <v>32</v>
      </c>
      <c r="C4090" s="18">
        <v>298.0</v>
      </c>
      <c r="D4090" s="18" t="s">
        <v>33</v>
      </c>
      <c r="E4090" s="27">
        <v>42565.40315972222</v>
      </c>
      <c r="F4090" s="19">
        <f>IFERROR(__xludf.DUMMYFUNCTION("IFERROR(TO_DATE(E4090), """")"),42565.40315972222)</f>
        <v>42565.40316</v>
      </c>
      <c r="G4090" s="20">
        <f t="shared" si="1"/>
        <v>9</v>
      </c>
      <c r="H4090" s="18" t="s">
        <v>34</v>
      </c>
      <c r="I4090" s="19" t="str">
        <f>IFERROR(__xludf.DUMMYFUNCTION("IFERROR(TO_DATE(H4090), """")"),"NA")</f>
        <v>NA</v>
      </c>
      <c r="J4090" s="19" t="s">
        <v>14</v>
      </c>
      <c r="K4090" s="22">
        <f t="shared" si="2"/>
        <v>1</v>
      </c>
    </row>
    <row r="4091">
      <c r="A4091" s="18">
        <v>758.0</v>
      </c>
      <c r="B4091" s="18" t="s">
        <v>32</v>
      </c>
      <c r="C4091" s="18">
        <v>299.0</v>
      </c>
      <c r="D4091" s="18" t="s">
        <v>33</v>
      </c>
      <c r="E4091" s="26">
        <v>42562.67083333333</v>
      </c>
      <c r="F4091" s="19">
        <f>IFERROR(__xludf.DUMMYFUNCTION("IFERROR(TO_DATE(E4091), """")"),42562.67083333333)</f>
        <v>42562.67083</v>
      </c>
      <c r="G4091" s="20">
        <f t="shared" si="1"/>
        <v>16</v>
      </c>
      <c r="H4091" s="18" t="s">
        <v>34</v>
      </c>
      <c r="I4091" s="19" t="str">
        <f>IFERROR(__xludf.DUMMYFUNCTION("IFERROR(TO_DATE(H4091), """")"),"NA")</f>
        <v>NA</v>
      </c>
      <c r="J4091" s="19" t="s">
        <v>12</v>
      </c>
      <c r="K4091" s="22">
        <f t="shared" si="2"/>
        <v>1</v>
      </c>
    </row>
    <row r="4092">
      <c r="A4092" s="18">
        <v>1641.0</v>
      </c>
      <c r="B4092" s="18" t="s">
        <v>32</v>
      </c>
      <c r="C4092" s="18">
        <v>299.0</v>
      </c>
      <c r="D4092" s="18" t="s">
        <v>33</v>
      </c>
      <c r="E4092" s="26">
        <v>42563.305555555555</v>
      </c>
      <c r="F4092" s="19">
        <f>IFERROR(__xludf.DUMMYFUNCTION("IFERROR(TO_DATE(E4092), """")"),42563.305555555555)</f>
        <v>42563.30556</v>
      </c>
      <c r="G4092" s="20">
        <f t="shared" si="1"/>
        <v>7</v>
      </c>
      <c r="H4092" s="18" t="s">
        <v>34</v>
      </c>
      <c r="I4092" s="19" t="str">
        <f>IFERROR(__xludf.DUMMYFUNCTION("IFERROR(TO_DATE(H4092), """")"),"NA")</f>
        <v>NA</v>
      </c>
      <c r="J4092" s="19" t="s">
        <v>11</v>
      </c>
      <c r="K4092" s="22">
        <f t="shared" si="2"/>
        <v>1</v>
      </c>
    </row>
    <row r="4093">
      <c r="A4093" s="18">
        <v>4158.0</v>
      </c>
      <c r="B4093" s="18" t="s">
        <v>32</v>
      </c>
      <c r="C4093" s="18">
        <v>299.0</v>
      </c>
      <c r="D4093" s="18" t="s">
        <v>33</v>
      </c>
      <c r="E4093" s="27">
        <v>42565.21053240741</v>
      </c>
      <c r="F4093" s="19">
        <f>IFERROR(__xludf.DUMMYFUNCTION("IFERROR(TO_DATE(E4093), """")"),42565.21053240741)</f>
        <v>42565.21053</v>
      </c>
      <c r="G4093" s="20">
        <f t="shared" si="1"/>
        <v>5</v>
      </c>
      <c r="H4093" s="18" t="s">
        <v>34</v>
      </c>
      <c r="I4093" s="19" t="str">
        <f>IFERROR(__xludf.DUMMYFUNCTION("IFERROR(TO_DATE(H4093), """")"),"NA")</f>
        <v>NA</v>
      </c>
      <c r="J4093" s="19" t="s">
        <v>11</v>
      </c>
      <c r="K4093" s="22">
        <f t="shared" si="2"/>
        <v>1</v>
      </c>
    </row>
    <row r="4094">
      <c r="A4094" s="18">
        <v>4164.0</v>
      </c>
      <c r="B4094" s="18" t="s">
        <v>32</v>
      </c>
      <c r="C4094" s="18">
        <v>299.0</v>
      </c>
      <c r="D4094" s="18" t="s">
        <v>33</v>
      </c>
      <c r="E4094" s="27">
        <v>42565.21296296296</v>
      </c>
      <c r="F4094" s="19">
        <f>IFERROR(__xludf.DUMMYFUNCTION("IFERROR(TO_DATE(E4094), """")"),42565.21296296296)</f>
        <v>42565.21296</v>
      </c>
      <c r="G4094" s="20">
        <f t="shared" si="1"/>
        <v>5</v>
      </c>
      <c r="H4094" s="18" t="s">
        <v>34</v>
      </c>
      <c r="I4094" s="19" t="str">
        <f>IFERROR(__xludf.DUMMYFUNCTION("IFERROR(TO_DATE(H4094), """")"),"NA")</f>
        <v>NA</v>
      </c>
      <c r="J4094" s="19" t="s">
        <v>11</v>
      </c>
      <c r="K4094" s="22">
        <f t="shared" si="2"/>
        <v>1</v>
      </c>
    </row>
    <row r="4095">
      <c r="A4095" s="18">
        <v>4448.0</v>
      </c>
      <c r="B4095" s="18" t="s">
        <v>32</v>
      </c>
      <c r="C4095" s="18">
        <v>299.0</v>
      </c>
      <c r="D4095" s="18" t="s">
        <v>33</v>
      </c>
      <c r="E4095" s="27">
        <v>42565.354849537034</v>
      </c>
      <c r="F4095" s="19">
        <f>IFERROR(__xludf.DUMMYFUNCTION("IFERROR(TO_DATE(E4095), """")"),42565.354849537034)</f>
        <v>42565.35485</v>
      </c>
      <c r="G4095" s="20">
        <f t="shared" si="1"/>
        <v>8</v>
      </c>
      <c r="H4095" s="18" t="s">
        <v>34</v>
      </c>
      <c r="I4095" s="19" t="str">
        <f>IFERROR(__xludf.DUMMYFUNCTION("IFERROR(TO_DATE(H4095), """")"),"NA")</f>
        <v>NA</v>
      </c>
      <c r="J4095" s="19" t="s">
        <v>14</v>
      </c>
      <c r="K4095" s="22">
        <f t="shared" si="2"/>
        <v>1</v>
      </c>
    </row>
    <row r="4096">
      <c r="A4096" s="18">
        <v>4225.0</v>
      </c>
      <c r="B4096" s="18" t="s">
        <v>32</v>
      </c>
      <c r="C4096" s="18">
        <v>300.0</v>
      </c>
      <c r="D4096" s="18" t="s">
        <v>33</v>
      </c>
      <c r="E4096" s="27">
        <v>42565.24034722222</v>
      </c>
      <c r="F4096" s="19">
        <f>IFERROR(__xludf.DUMMYFUNCTION("IFERROR(TO_DATE(E4096), """")"),42565.24034722222)</f>
        <v>42565.24035</v>
      </c>
      <c r="G4096" s="20">
        <f t="shared" si="1"/>
        <v>5</v>
      </c>
      <c r="H4096" s="18" t="s">
        <v>34</v>
      </c>
      <c r="I4096" s="19" t="str">
        <f>IFERROR(__xludf.DUMMYFUNCTION("IFERROR(TO_DATE(H4096), """")"),"NA")</f>
        <v>NA</v>
      </c>
      <c r="J4096" s="19" t="s">
        <v>11</v>
      </c>
      <c r="K4096" s="22">
        <f t="shared" si="2"/>
        <v>1</v>
      </c>
    </row>
    <row r="4097">
      <c r="A4097" s="18">
        <v>1362.0</v>
      </c>
      <c r="B4097" s="18" t="s">
        <v>32</v>
      </c>
      <c r="C4097" s="18" t="s">
        <v>34</v>
      </c>
      <c r="D4097" s="18" t="s">
        <v>35</v>
      </c>
      <c r="E4097" s="26">
        <v>42562.001388888886</v>
      </c>
      <c r="F4097" s="19">
        <f>IFERROR(__xludf.DUMMYFUNCTION("IFERROR(TO_DATE(E4097), """")"),42562.001388888886)</f>
        <v>42562.00139</v>
      </c>
      <c r="G4097" s="20">
        <f t="shared" si="1"/>
        <v>0</v>
      </c>
      <c r="H4097" s="18" t="s">
        <v>34</v>
      </c>
      <c r="I4097" s="19" t="str">
        <f>IFERROR(__xludf.DUMMYFUNCTION("IFERROR(TO_DATE(H4097), """")"),"NA")</f>
        <v>NA</v>
      </c>
      <c r="J4097" s="19" t="s">
        <v>15</v>
      </c>
      <c r="K4097" s="22">
        <f t="shared" si="2"/>
        <v>0</v>
      </c>
    </row>
    <row r="4098">
      <c r="A4098" s="18">
        <v>1364.0</v>
      </c>
      <c r="B4098" s="18" t="s">
        <v>32</v>
      </c>
      <c r="C4098" s="18" t="s">
        <v>34</v>
      </c>
      <c r="D4098" s="18" t="s">
        <v>35</v>
      </c>
      <c r="E4098" s="26">
        <v>42562.004166666666</v>
      </c>
      <c r="F4098" s="19">
        <f>IFERROR(__xludf.DUMMYFUNCTION("IFERROR(TO_DATE(E4098), """")"),42562.004166666666)</f>
        <v>42562.00417</v>
      </c>
      <c r="G4098" s="20">
        <f t="shared" si="1"/>
        <v>0</v>
      </c>
      <c r="H4098" s="18" t="s">
        <v>34</v>
      </c>
      <c r="I4098" s="19" t="str">
        <f>IFERROR(__xludf.DUMMYFUNCTION("IFERROR(TO_DATE(H4098), """")"),"NA")</f>
        <v>NA</v>
      </c>
      <c r="J4098" s="19" t="s">
        <v>15</v>
      </c>
      <c r="K4098" s="22">
        <f t="shared" si="2"/>
        <v>0</v>
      </c>
    </row>
    <row r="4099">
      <c r="A4099" s="18">
        <v>1366.0</v>
      </c>
      <c r="B4099" s="18" t="s">
        <v>32</v>
      </c>
      <c r="C4099" s="18" t="s">
        <v>34</v>
      </c>
      <c r="D4099" s="18" t="s">
        <v>35</v>
      </c>
      <c r="E4099" s="26">
        <v>42562.00625</v>
      </c>
      <c r="F4099" s="19">
        <f>IFERROR(__xludf.DUMMYFUNCTION("IFERROR(TO_DATE(E4099), """")"),42562.00625)</f>
        <v>42562.00625</v>
      </c>
      <c r="G4099" s="20">
        <f t="shared" si="1"/>
        <v>0</v>
      </c>
      <c r="H4099" s="18" t="s">
        <v>34</v>
      </c>
      <c r="I4099" s="19" t="str">
        <f>IFERROR(__xludf.DUMMYFUNCTION("IFERROR(TO_DATE(H4099), """")"),"NA")</f>
        <v>NA</v>
      </c>
      <c r="J4099" s="19" t="s">
        <v>15</v>
      </c>
      <c r="K4099" s="22">
        <f t="shared" si="2"/>
        <v>0</v>
      </c>
    </row>
    <row r="4100">
      <c r="A4100" s="18">
        <v>2.0</v>
      </c>
      <c r="B4100" s="18" t="s">
        <v>30</v>
      </c>
      <c r="C4100" s="18" t="s">
        <v>34</v>
      </c>
      <c r="D4100" s="18" t="s">
        <v>35</v>
      </c>
      <c r="E4100" s="26">
        <v>42562.01597222222</v>
      </c>
      <c r="F4100" s="19">
        <f>IFERROR(__xludf.DUMMYFUNCTION("IFERROR(TO_DATE(E4100), """")"),42562.01597222222)</f>
        <v>42562.01597</v>
      </c>
      <c r="G4100" s="20">
        <f t="shared" si="1"/>
        <v>0</v>
      </c>
      <c r="H4100" s="18" t="s">
        <v>34</v>
      </c>
      <c r="I4100" s="19" t="str">
        <f>IFERROR(__xludf.DUMMYFUNCTION("IFERROR(TO_DATE(H4100), """")"),"NA")</f>
        <v>NA</v>
      </c>
      <c r="J4100" s="19" t="s">
        <v>15</v>
      </c>
      <c r="K4100" s="22">
        <f t="shared" si="2"/>
        <v>0</v>
      </c>
    </row>
    <row r="4101">
      <c r="A4101" s="18">
        <v>7.0</v>
      </c>
      <c r="B4101" s="18" t="s">
        <v>30</v>
      </c>
      <c r="C4101" s="18" t="s">
        <v>34</v>
      </c>
      <c r="D4101" s="18" t="s">
        <v>35</v>
      </c>
      <c r="E4101" s="26">
        <v>42562.020833333336</v>
      </c>
      <c r="F4101" s="19">
        <f>IFERROR(__xludf.DUMMYFUNCTION("IFERROR(TO_DATE(E4101), """")"),42562.020833333336)</f>
        <v>42562.02083</v>
      </c>
      <c r="G4101" s="20">
        <f t="shared" si="1"/>
        <v>0</v>
      </c>
      <c r="H4101" s="18" t="s">
        <v>34</v>
      </c>
      <c r="I4101" s="19" t="str">
        <f>IFERROR(__xludf.DUMMYFUNCTION("IFERROR(TO_DATE(H4101), """")"),"NA")</f>
        <v>NA</v>
      </c>
      <c r="J4101" s="19" t="s">
        <v>15</v>
      </c>
      <c r="K4101" s="22">
        <f t="shared" si="2"/>
        <v>0</v>
      </c>
    </row>
    <row r="4102">
      <c r="A4102" s="18">
        <v>6.0</v>
      </c>
      <c r="B4102" s="18" t="s">
        <v>32</v>
      </c>
      <c r="C4102" s="18" t="s">
        <v>34</v>
      </c>
      <c r="D4102" s="18" t="s">
        <v>35</v>
      </c>
      <c r="E4102" s="26">
        <v>42562.025</v>
      </c>
      <c r="F4102" s="19">
        <f>IFERROR(__xludf.DUMMYFUNCTION("IFERROR(TO_DATE(E4102), """")"),42562.025)</f>
        <v>42562.025</v>
      </c>
      <c r="G4102" s="20">
        <f t="shared" si="1"/>
        <v>0</v>
      </c>
      <c r="H4102" s="18" t="s">
        <v>34</v>
      </c>
      <c r="I4102" s="19" t="str">
        <f>IFERROR(__xludf.DUMMYFUNCTION("IFERROR(TO_DATE(H4102), """")"),"NA")</f>
        <v>NA</v>
      </c>
      <c r="J4102" s="19" t="s">
        <v>15</v>
      </c>
      <c r="K4102" s="22">
        <f t="shared" si="2"/>
        <v>0</v>
      </c>
    </row>
    <row r="4103">
      <c r="A4103" s="18">
        <v>4.0</v>
      </c>
      <c r="B4103" s="18" t="s">
        <v>32</v>
      </c>
      <c r="C4103" s="18" t="s">
        <v>34</v>
      </c>
      <c r="D4103" s="18" t="s">
        <v>35</v>
      </c>
      <c r="E4103" s="26">
        <v>42562.02569444444</v>
      </c>
      <c r="F4103" s="19">
        <f>IFERROR(__xludf.DUMMYFUNCTION("IFERROR(TO_DATE(E4103), """")"),42562.02569444444)</f>
        <v>42562.02569</v>
      </c>
      <c r="G4103" s="20">
        <f t="shared" si="1"/>
        <v>0</v>
      </c>
      <c r="H4103" s="18" t="s">
        <v>34</v>
      </c>
      <c r="I4103" s="19" t="str">
        <f>IFERROR(__xludf.DUMMYFUNCTION("IFERROR(TO_DATE(H4103), """")"),"NA")</f>
        <v>NA</v>
      </c>
      <c r="J4103" s="19" t="s">
        <v>15</v>
      </c>
      <c r="K4103" s="22">
        <f t="shared" si="2"/>
        <v>0</v>
      </c>
    </row>
    <row r="4104">
      <c r="A4104" s="18">
        <v>8.0</v>
      </c>
      <c r="B4104" s="18" t="s">
        <v>32</v>
      </c>
      <c r="C4104" s="18" t="s">
        <v>34</v>
      </c>
      <c r="D4104" s="18" t="s">
        <v>35</v>
      </c>
      <c r="E4104" s="26">
        <v>42562.02777777778</v>
      </c>
      <c r="F4104" s="19">
        <f>IFERROR(__xludf.DUMMYFUNCTION("IFERROR(TO_DATE(E4104), """")"),42562.02777777778)</f>
        <v>42562.02778</v>
      </c>
      <c r="G4104" s="20">
        <f t="shared" si="1"/>
        <v>0</v>
      </c>
      <c r="H4104" s="18" t="s">
        <v>34</v>
      </c>
      <c r="I4104" s="19" t="str">
        <f>IFERROR(__xludf.DUMMYFUNCTION("IFERROR(TO_DATE(H4104), """")"),"NA")</f>
        <v>NA</v>
      </c>
      <c r="J4104" s="19" t="s">
        <v>15</v>
      </c>
      <c r="K4104" s="22">
        <f t="shared" si="2"/>
        <v>0</v>
      </c>
    </row>
    <row r="4105">
      <c r="A4105" s="18">
        <v>12.0</v>
      </c>
      <c r="B4105" s="18" t="s">
        <v>32</v>
      </c>
      <c r="C4105" s="18" t="s">
        <v>34</v>
      </c>
      <c r="D4105" s="18" t="s">
        <v>35</v>
      </c>
      <c r="E4105" s="26">
        <v>42562.04722222222</v>
      </c>
      <c r="F4105" s="19">
        <f>IFERROR(__xludf.DUMMYFUNCTION("IFERROR(TO_DATE(E4105), """")"),42562.04722222222)</f>
        <v>42562.04722</v>
      </c>
      <c r="G4105" s="20">
        <f t="shared" si="1"/>
        <v>1</v>
      </c>
      <c r="H4105" s="18" t="s">
        <v>34</v>
      </c>
      <c r="I4105" s="19" t="str">
        <f>IFERROR(__xludf.DUMMYFUNCTION("IFERROR(TO_DATE(H4105), """")"),"NA")</f>
        <v>NA</v>
      </c>
      <c r="J4105" s="19" t="s">
        <v>15</v>
      </c>
      <c r="K4105" s="22">
        <f t="shared" si="2"/>
        <v>0</v>
      </c>
    </row>
    <row r="4106">
      <c r="A4106" s="18">
        <v>16.0</v>
      </c>
      <c r="B4106" s="18" t="s">
        <v>30</v>
      </c>
      <c r="C4106" s="18" t="s">
        <v>34</v>
      </c>
      <c r="D4106" s="18" t="s">
        <v>35</v>
      </c>
      <c r="E4106" s="26">
        <v>42562.04791666667</v>
      </c>
      <c r="F4106" s="19">
        <f>IFERROR(__xludf.DUMMYFUNCTION("IFERROR(TO_DATE(E4106), """")"),42562.04791666667)</f>
        <v>42562.04792</v>
      </c>
      <c r="G4106" s="20">
        <f t="shared" si="1"/>
        <v>1</v>
      </c>
      <c r="H4106" s="18" t="s">
        <v>34</v>
      </c>
      <c r="I4106" s="19" t="str">
        <f>IFERROR(__xludf.DUMMYFUNCTION("IFERROR(TO_DATE(H4106), """")"),"NA")</f>
        <v>NA</v>
      </c>
      <c r="J4106" s="19" t="s">
        <v>15</v>
      </c>
      <c r="K4106" s="22">
        <f t="shared" si="2"/>
        <v>0</v>
      </c>
    </row>
    <row r="4107">
      <c r="A4107" s="18">
        <v>14.0</v>
      </c>
      <c r="B4107" s="18" t="s">
        <v>30</v>
      </c>
      <c r="C4107" s="18" t="s">
        <v>34</v>
      </c>
      <c r="D4107" s="18" t="s">
        <v>35</v>
      </c>
      <c r="E4107" s="26">
        <v>42562.04861111111</v>
      </c>
      <c r="F4107" s="19">
        <f>IFERROR(__xludf.DUMMYFUNCTION("IFERROR(TO_DATE(E4107), """")"),42562.04861111111)</f>
        <v>42562.04861</v>
      </c>
      <c r="G4107" s="20">
        <f t="shared" si="1"/>
        <v>1</v>
      </c>
      <c r="H4107" s="18" t="s">
        <v>34</v>
      </c>
      <c r="I4107" s="19" t="str">
        <f>IFERROR(__xludf.DUMMYFUNCTION("IFERROR(TO_DATE(H4107), """")"),"NA")</f>
        <v>NA</v>
      </c>
      <c r="J4107" s="19" t="s">
        <v>15</v>
      </c>
      <c r="K4107" s="22">
        <f t="shared" si="2"/>
        <v>0</v>
      </c>
    </row>
    <row r="4108">
      <c r="A4108" s="18">
        <v>19.0</v>
      </c>
      <c r="B4108" s="18" t="s">
        <v>32</v>
      </c>
      <c r="C4108" s="18" t="s">
        <v>34</v>
      </c>
      <c r="D4108" s="18" t="s">
        <v>35</v>
      </c>
      <c r="E4108" s="26">
        <v>42562.05138888889</v>
      </c>
      <c r="F4108" s="19">
        <f>IFERROR(__xludf.DUMMYFUNCTION("IFERROR(TO_DATE(E4108), """")"),42562.05138888889)</f>
        <v>42562.05139</v>
      </c>
      <c r="G4108" s="20">
        <f t="shared" si="1"/>
        <v>1</v>
      </c>
      <c r="H4108" s="18" t="s">
        <v>34</v>
      </c>
      <c r="I4108" s="19" t="str">
        <f>IFERROR(__xludf.DUMMYFUNCTION("IFERROR(TO_DATE(H4108), """")"),"NA")</f>
        <v>NA</v>
      </c>
      <c r="J4108" s="19" t="s">
        <v>15</v>
      </c>
      <c r="K4108" s="22">
        <f t="shared" si="2"/>
        <v>0</v>
      </c>
    </row>
    <row r="4109">
      <c r="A4109" s="18">
        <v>15.0</v>
      </c>
      <c r="B4109" s="18" t="s">
        <v>32</v>
      </c>
      <c r="C4109" s="18" t="s">
        <v>34</v>
      </c>
      <c r="D4109" s="18" t="s">
        <v>35</v>
      </c>
      <c r="E4109" s="26">
        <v>42562.052083333336</v>
      </c>
      <c r="F4109" s="19">
        <f>IFERROR(__xludf.DUMMYFUNCTION("IFERROR(TO_DATE(E4109), """")"),42562.052083333336)</f>
        <v>42562.05208</v>
      </c>
      <c r="G4109" s="20">
        <f t="shared" si="1"/>
        <v>1</v>
      </c>
      <c r="H4109" s="18" t="s">
        <v>34</v>
      </c>
      <c r="I4109" s="19" t="str">
        <f>IFERROR(__xludf.DUMMYFUNCTION("IFERROR(TO_DATE(H4109), """")"),"NA")</f>
        <v>NA</v>
      </c>
      <c r="J4109" s="19" t="s">
        <v>15</v>
      </c>
      <c r="K4109" s="22">
        <f t="shared" si="2"/>
        <v>0</v>
      </c>
    </row>
    <row r="4110">
      <c r="A4110" s="18">
        <v>17.0</v>
      </c>
      <c r="B4110" s="18" t="s">
        <v>30</v>
      </c>
      <c r="C4110" s="18" t="s">
        <v>34</v>
      </c>
      <c r="D4110" s="18" t="s">
        <v>35</v>
      </c>
      <c r="E4110" s="26">
        <v>42562.052777777775</v>
      </c>
      <c r="F4110" s="19">
        <f>IFERROR(__xludf.DUMMYFUNCTION("IFERROR(TO_DATE(E4110), """")"),42562.052777777775)</f>
        <v>42562.05278</v>
      </c>
      <c r="G4110" s="20">
        <f t="shared" si="1"/>
        <v>1</v>
      </c>
      <c r="H4110" s="18" t="s">
        <v>34</v>
      </c>
      <c r="I4110" s="19" t="str">
        <f>IFERROR(__xludf.DUMMYFUNCTION("IFERROR(TO_DATE(H4110), """")"),"NA")</f>
        <v>NA</v>
      </c>
      <c r="J4110" s="19" t="s">
        <v>15</v>
      </c>
      <c r="K4110" s="22">
        <f t="shared" si="2"/>
        <v>0</v>
      </c>
    </row>
    <row r="4111">
      <c r="A4111" s="18">
        <v>20.0</v>
      </c>
      <c r="B4111" s="18" t="s">
        <v>30</v>
      </c>
      <c r="C4111" s="18" t="s">
        <v>34</v>
      </c>
      <c r="D4111" s="18" t="s">
        <v>35</v>
      </c>
      <c r="E4111" s="26">
        <v>42562.05763888889</v>
      </c>
      <c r="F4111" s="19">
        <f>IFERROR(__xludf.DUMMYFUNCTION("IFERROR(TO_DATE(E4111), """")"),42562.05763888889)</f>
        <v>42562.05764</v>
      </c>
      <c r="G4111" s="20">
        <f t="shared" si="1"/>
        <v>1</v>
      </c>
      <c r="H4111" s="18" t="s">
        <v>34</v>
      </c>
      <c r="I4111" s="19" t="str">
        <f>IFERROR(__xludf.DUMMYFUNCTION("IFERROR(TO_DATE(H4111), """")"),"NA")</f>
        <v>NA</v>
      </c>
      <c r="J4111" s="19" t="s">
        <v>15</v>
      </c>
      <c r="K4111" s="22">
        <f t="shared" si="2"/>
        <v>0</v>
      </c>
    </row>
    <row r="4112">
      <c r="A4112" s="18">
        <v>23.0</v>
      </c>
      <c r="B4112" s="18" t="s">
        <v>32</v>
      </c>
      <c r="C4112" s="18" t="s">
        <v>34</v>
      </c>
      <c r="D4112" s="18" t="s">
        <v>35</v>
      </c>
      <c r="E4112" s="26">
        <v>42562.06805555556</v>
      </c>
      <c r="F4112" s="19">
        <f>IFERROR(__xludf.DUMMYFUNCTION("IFERROR(TO_DATE(E4112), """")"),42562.06805555556)</f>
        <v>42562.06806</v>
      </c>
      <c r="G4112" s="20">
        <f t="shared" si="1"/>
        <v>1</v>
      </c>
      <c r="H4112" s="18" t="s">
        <v>34</v>
      </c>
      <c r="I4112" s="19" t="str">
        <f>IFERROR(__xludf.DUMMYFUNCTION("IFERROR(TO_DATE(H4112), """")"),"NA")</f>
        <v>NA</v>
      </c>
      <c r="J4112" s="19" t="s">
        <v>15</v>
      </c>
      <c r="K4112" s="22">
        <f t="shared" si="2"/>
        <v>0</v>
      </c>
    </row>
    <row r="4113">
      <c r="A4113" s="18">
        <v>22.0</v>
      </c>
      <c r="B4113" s="18" t="s">
        <v>30</v>
      </c>
      <c r="C4113" s="18" t="s">
        <v>34</v>
      </c>
      <c r="D4113" s="18" t="s">
        <v>35</v>
      </c>
      <c r="E4113" s="26">
        <v>42562.069444444445</v>
      </c>
      <c r="F4113" s="19">
        <f>IFERROR(__xludf.DUMMYFUNCTION("IFERROR(TO_DATE(E4113), """")"),42562.069444444445)</f>
        <v>42562.06944</v>
      </c>
      <c r="G4113" s="20">
        <f t="shared" si="1"/>
        <v>1</v>
      </c>
      <c r="H4113" s="18" t="s">
        <v>34</v>
      </c>
      <c r="I4113" s="19" t="str">
        <f>IFERROR(__xludf.DUMMYFUNCTION("IFERROR(TO_DATE(H4113), """")"),"NA")</f>
        <v>NA</v>
      </c>
      <c r="J4113" s="19" t="s">
        <v>15</v>
      </c>
      <c r="K4113" s="22">
        <f t="shared" si="2"/>
        <v>0</v>
      </c>
    </row>
    <row r="4114">
      <c r="A4114" s="18">
        <v>25.0</v>
      </c>
      <c r="B4114" s="18" t="s">
        <v>30</v>
      </c>
      <c r="C4114" s="18" t="s">
        <v>34</v>
      </c>
      <c r="D4114" s="18" t="s">
        <v>35</v>
      </c>
      <c r="E4114" s="26">
        <v>42562.072916666664</v>
      </c>
      <c r="F4114" s="19">
        <f>IFERROR(__xludf.DUMMYFUNCTION("IFERROR(TO_DATE(E4114), """")"),42562.072916666664)</f>
        <v>42562.07292</v>
      </c>
      <c r="G4114" s="20">
        <f t="shared" si="1"/>
        <v>1</v>
      </c>
      <c r="H4114" s="18" t="s">
        <v>34</v>
      </c>
      <c r="I4114" s="19" t="str">
        <f>IFERROR(__xludf.DUMMYFUNCTION("IFERROR(TO_DATE(H4114), """")"),"NA")</f>
        <v>NA</v>
      </c>
      <c r="J4114" s="19" t="s">
        <v>15</v>
      </c>
      <c r="K4114" s="22">
        <f t="shared" si="2"/>
        <v>0</v>
      </c>
    </row>
    <row r="4115">
      <c r="A4115" s="18">
        <v>24.0</v>
      </c>
      <c r="B4115" s="18" t="s">
        <v>30</v>
      </c>
      <c r="C4115" s="18" t="s">
        <v>34</v>
      </c>
      <c r="D4115" s="18" t="s">
        <v>35</v>
      </c>
      <c r="E4115" s="26">
        <v>42562.075</v>
      </c>
      <c r="F4115" s="19">
        <f>IFERROR(__xludf.DUMMYFUNCTION("IFERROR(TO_DATE(E4115), """")"),42562.075)</f>
        <v>42562.075</v>
      </c>
      <c r="G4115" s="20">
        <f t="shared" si="1"/>
        <v>1</v>
      </c>
      <c r="H4115" s="18" t="s">
        <v>34</v>
      </c>
      <c r="I4115" s="19" t="str">
        <f>IFERROR(__xludf.DUMMYFUNCTION("IFERROR(TO_DATE(H4115), """")"),"NA")</f>
        <v>NA</v>
      </c>
      <c r="J4115" s="19" t="s">
        <v>15</v>
      </c>
      <c r="K4115" s="22">
        <f t="shared" si="2"/>
        <v>0</v>
      </c>
    </row>
    <row r="4116">
      <c r="A4116" s="18">
        <v>27.0</v>
      </c>
      <c r="B4116" s="18" t="s">
        <v>30</v>
      </c>
      <c r="C4116" s="18" t="s">
        <v>34</v>
      </c>
      <c r="D4116" s="18" t="s">
        <v>35</v>
      </c>
      <c r="E4116" s="26">
        <v>42562.075694444444</v>
      </c>
      <c r="F4116" s="19">
        <f>IFERROR(__xludf.DUMMYFUNCTION("IFERROR(TO_DATE(E4116), """")"),42562.075694444444)</f>
        <v>42562.07569</v>
      </c>
      <c r="G4116" s="20">
        <f t="shared" si="1"/>
        <v>1</v>
      </c>
      <c r="H4116" s="18" t="s">
        <v>34</v>
      </c>
      <c r="I4116" s="19" t="str">
        <f>IFERROR(__xludf.DUMMYFUNCTION("IFERROR(TO_DATE(H4116), """")"),"NA")</f>
        <v>NA</v>
      </c>
      <c r="J4116" s="19" t="s">
        <v>15</v>
      </c>
      <c r="K4116" s="22">
        <f t="shared" si="2"/>
        <v>0</v>
      </c>
    </row>
    <row r="4117">
      <c r="A4117" s="18">
        <v>26.0</v>
      </c>
      <c r="B4117" s="18" t="s">
        <v>30</v>
      </c>
      <c r="C4117" s="18" t="s">
        <v>34</v>
      </c>
      <c r="D4117" s="18" t="s">
        <v>35</v>
      </c>
      <c r="E4117" s="26">
        <v>42562.075694444444</v>
      </c>
      <c r="F4117" s="19">
        <f>IFERROR(__xludf.DUMMYFUNCTION("IFERROR(TO_DATE(E4117), """")"),42562.075694444444)</f>
        <v>42562.07569</v>
      </c>
      <c r="G4117" s="20">
        <f t="shared" si="1"/>
        <v>1</v>
      </c>
      <c r="H4117" s="18" t="s">
        <v>34</v>
      </c>
      <c r="I4117" s="19" t="str">
        <f>IFERROR(__xludf.DUMMYFUNCTION("IFERROR(TO_DATE(H4117), """")"),"NA")</f>
        <v>NA</v>
      </c>
      <c r="J4117" s="19" t="s">
        <v>15</v>
      </c>
      <c r="K4117" s="22">
        <f t="shared" si="2"/>
        <v>0</v>
      </c>
    </row>
    <row r="4118">
      <c r="A4118" s="18">
        <v>29.0</v>
      </c>
      <c r="B4118" s="18" t="s">
        <v>32</v>
      </c>
      <c r="C4118" s="18" t="s">
        <v>34</v>
      </c>
      <c r="D4118" s="18" t="s">
        <v>35</v>
      </c>
      <c r="E4118" s="26">
        <v>42562.07986111111</v>
      </c>
      <c r="F4118" s="19">
        <f>IFERROR(__xludf.DUMMYFUNCTION("IFERROR(TO_DATE(E4118), """")"),42562.07986111111)</f>
        <v>42562.07986</v>
      </c>
      <c r="G4118" s="20">
        <f t="shared" si="1"/>
        <v>1</v>
      </c>
      <c r="H4118" s="18" t="s">
        <v>34</v>
      </c>
      <c r="I4118" s="19" t="str">
        <f>IFERROR(__xludf.DUMMYFUNCTION("IFERROR(TO_DATE(H4118), """")"),"NA")</f>
        <v>NA</v>
      </c>
      <c r="J4118" s="19" t="s">
        <v>15</v>
      </c>
      <c r="K4118" s="22">
        <f t="shared" si="2"/>
        <v>0</v>
      </c>
    </row>
    <row r="4119">
      <c r="A4119" s="18">
        <v>28.0</v>
      </c>
      <c r="B4119" s="18" t="s">
        <v>32</v>
      </c>
      <c r="C4119" s="18" t="s">
        <v>34</v>
      </c>
      <c r="D4119" s="18" t="s">
        <v>35</v>
      </c>
      <c r="E4119" s="26">
        <v>42562.08472222222</v>
      </c>
      <c r="F4119" s="19">
        <f>IFERROR(__xludf.DUMMYFUNCTION("IFERROR(TO_DATE(E4119), """")"),42562.08472222222)</f>
        <v>42562.08472</v>
      </c>
      <c r="G4119" s="20">
        <f t="shared" si="1"/>
        <v>2</v>
      </c>
      <c r="H4119" s="18" t="s">
        <v>34</v>
      </c>
      <c r="I4119" s="19" t="str">
        <f>IFERROR(__xludf.DUMMYFUNCTION("IFERROR(TO_DATE(H4119), """")"),"NA")</f>
        <v>NA</v>
      </c>
      <c r="J4119" s="19" t="s">
        <v>15</v>
      </c>
      <c r="K4119" s="22">
        <f t="shared" si="2"/>
        <v>0</v>
      </c>
    </row>
    <row r="4120">
      <c r="A4120" s="18">
        <v>31.0</v>
      </c>
      <c r="B4120" s="18" t="s">
        <v>32</v>
      </c>
      <c r="C4120" s="18" t="s">
        <v>34</v>
      </c>
      <c r="D4120" s="18" t="s">
        <v>35</v>
      </c>
      <c r="E4120" s="26">
        <v>42562.09027777778</v>
      </c>
      <c r="F4120" s="19">
        <f>IFERROR(__xludf.DUMMYFUNCTION("IFERROR(TO_DATE(E4120), """")"),42562.09027777778)</f>
        <v>42562.09028</v>
      </c>
      <c r="G4120" s="20">
        <f t="shared" si="1"/>
        <v>2</v>
      </c>
      <c r="H4120" s="18" t="s">
        <v>34</v>
      </c>
      <c r="I4120" s="19" t="str">
        <f>IFERROR(__xludf.DUMMYFUNCTION("IFERROR(TO_DATE(H4120), """")"),"NA")</f>
        <v>NA</v>
      </c>
      <c r="J4120" s="19" t="s">
        <v>15</v>
      </c>
      <c r="K4120" s="22">
        <f t="shared" si="2"/>
        <v>0</v>
      </c>
    </row>
    <row r="4121">
      <c r="A4121" s="18">
        <v>32.0</v>
      </c>
      <c r="B4121" s="18" t="s">
        <v>30</v>
      </c>
      <c r="C4121" s="18" t="s">
        <v>34</v>
      </c>
      <c r="D4121" s="18" t="s">
        <v>35</v>
      </c>
      <c r="E4121" s="26">
        <v>42562.09375</v>
      </c>
      <c r="F4121" s="19">
        <f>IFERROR(__xludf.DUMMYFUNCTION("IFERROR(TO_DATE(E4121), """")"),42562.09375)</f>
        <v>42562.09375</v>
      </c>
      <c r="G4121" s="20">
        <f t="shared" si="1"/>
        <v>2</v>
      </c>
      <c r="H4121" s="18" t="s">
        <v>34</v>
      </c>
      <c r="I4121" s="19" t="str">
        <f>IFERROR(__xludf.DUMMYFUNCTION("IFERROR(TO_DATE(H4121), """")"),"NA")</f>
        <v>NA</v>
      </c>
      <c r="J4121" s="19" t="s">
        <v>15</v>
      </c>
      <c r="K4121" s="22">
        <f t="shared" si="2"/>
        <v>0</v>
      </c>
    </row>
    <row r="4122">
      <c r="A4122" s="18">
        <v>36.0</v>
      </c>
      <c r="B4122" s="18" t="s">
        <v>32</v>
      </c>
      <c r="C4122" s="18" t="s">
        <v>34</v>
      </c>
      <c r="D4122" s="18" t="s">
        <v>35</v>
      </c>
      <c r="E4122" s="26">
        <v>42562.10625</v>
      </c>
      <c r="F4122" s="19">
        <f>IFERROR(__xludf.DUMMYFUNCTION("IFERROR(TO_DATE(E4122), """")"),42562.10625)</f>
        <v>42562.10625</v>
      </c>
      <c r="G4122" s="20">
        <f t="shared" si="1"/>
        <v>2</v>
      </c>
      <c r="H4122" s="18" t="s">
        <v>34</v>
      </c>
      <c r="I4122" s="19" t="str">
        <f>IFERROR(__xludf.DUMMYFUNCTION("IFERROR(TO_DATE(H4122), """")"),"NA")</f>
        <v>NA</v>
      </c>
      <c r="J4122" s="19" t="s">
        <v>15</v>
      </c>
      <c r="K4122" s="22">
        <f t="shared" si="2"/>
        <v>0</v>
      </c>
    </row>
    <row r="4123">
      <c r="A4123" s="18">
        <v>37.0</v>
      </c>
      <c r="B4123" s="18" t="s">
        <v>30</v>
      </c>
      <c r="C4123" s="18" t="s">
        <v>34</v>
      </c>
      <c r="D4123" s="18" t="s">
        <v>35</v>
      </c>
      <c r="E4123" s="26">
        <v>42562.106944444444</v>
      </c>
      <c r="F4123" s="19">
        <f>IFERROR(__xludf.DUMMYFUNCTION("IFERROR(TO_DATE(E4123), """")"),42562.106944444444)</f>
        <v>42562.10694</v>
      </c>
      <c r="G4123" s="20">
        <f t="shared" si="1"/>
        <v>2</v>
      </c>
      <c r="H4123" s="18" t="s">
        <v>34</v>
      </c>
      <c r="I4123" s="19" t="str">
        <f>IFERROR(__xludf.DUMMYFUNCTION("IFERROR(TO_DATE(H4123), """")"),"NA")</f>
        <v>NA</v>
      </c>
      <c r="J4123" s="19" t="s">
        <v>15</v>
      </c>
      <c r="K4123" s="22">
        <f t="shared" si="2"/>
        <v>0</v>
      </c>
    </row>
    <row r="4124">
      <c r="A4124" s="18">
        <v>38.0</v>
      </c>
      <c r="B4124" s="18" t="s">
        <v>32</v>
      </c>
      <c r="C4124" s="18" t="s">
        <v>34</v>
      </c>
      <c r="D4124" s="18" t="s">
        <v>35</v>
      </c>
      <c r="E4124" s="26">
        <v>42562.11041666667</v>
      </c>
      <c r="F4124" s="19">
        <f>IFERROR(__xludf.DUMMYFUNCTION("IFERROR(TO_DATE(E4124), """")"),42562.11041666667)</f>
        <v>42562.11042</v>
      </c>
      <c r="G4124" s="20">
        <f t="shared" si="1"/>
        <v>2</v>
      </c>
      <c r="H4124" s="18" t="s">
        <v>34</v>
      </c>
      <c r="I4124" s="19" t="str">
        <f>IFERROR(__xludf.DUMMYFUNCTION("IFERROR(TO_DATE(H4124), """")"),"NA")</f>
        <v>NA</v>
      </c>
      <c r="J4124" s="19" t="s">
        <v>15</v>
      </c>
      <c r="K4124" s="22">
        <f t="shared" si="2"/>
        <v>0</v>
      </c>
    </row>
    <row r="4125">
      <c r="A4125" s="18">
        <v>40.0</v>
      </c>
      <c r="B4125" s="18" t="s">
        <v>30</v>
      </c>
      <c r="C4125" s="18" t="s">
        <v>34</v>
      </c>
      <c r="D4125" s="18" t="s">
        <v>35</v>
      </c>
      <c r="E4125" s="26">
        <v>42562.1125</v>
      </c>
      <c r="F4125" s="19">
        <f>IFERROR(__xludf.DUMMYFUNCTION("IFERROR(TO_DATE(E4125), """")"),42562.1125)</f>
        <v>42562.1125</v>
      </c>
      <c r="G4125" s="20">
        <f t="shared" si="1"/>
        <v>2</v>
      </c>
      <c r="H4125" s="18" t="s">
        <v>34</v>
      </c>
      <c r="I4125" s="19" t="str">
        <f>IFERROR(__xludf.DUMMYFUNCTION("IFERROR(TO_DATE(H4125), """")"),"NA")</f>
        <v>NA</v>
      </c>
      <c r="J4125" s="19" t="s">
        <v>15</v>
      </c>
      <c r="K4125" s="22">
        <f t="shared" si="2"/>
        <v>0</v>
      </c>
    </row>
    <row r="4126">
      <c r="A4126" s="18">
        <v>39.0</v>
      </c>
      <c r="B4126" s="18" t="s">
        <v>30</v>
      </c>
      <c r="C4126" s="18" t="s">
        <v>34</v>
      </c>
      <c r="D4126" s="18" t="s">
        <v>35</v>
      </c>
      <c r="E4126" s="26">
        <v>42562.11666666667</v>
      </c>
      <c r="F4126" s="19">
        <f>IFERROR(__xludf.DUMMYFUNCTION("IFERROR(TO_DATE(E4126), """")"),42562.11666666667)</f>
        <v>42562.11667</v>
      </c>
      <c r="G4126" s="20">
        <f t="shared" si="1"/>
        <v>2</v>
      </c>
      <c r="H4126" s="18" t="s">
        <v>34</v>
      </c>
      <c r="I4126" s="19" t="str">
        <f>IFERROR(__xludf.DUMMYFUNCTION("IFERROR(TO_DATE(H4126), """")"),"NA")</f>
        <v>NA</v>
      </c>
      <c r="J4126" s="19" t="s">
        <v>15</v>
      </c>
      <c r="K4126" s="22">
        <f t="shared" si="2"/>
        <v>0</v>
      </c>
    </row>
    <row r="4127">
      <c r="A4127" s="18">
        <v>42.0</v>
      </c>
      <c r="B4127" s="18" t="s">
        <v>30</v>
      </c>
      <c r="C4127" s="18" t="s">
        <v>34</v>
      </c>
      <c r="D4127" s="18" t="s">
        <v>35</v>
      </c>
      <c r="E4127" s="26">
        <v>42562.12152777778</v>
      </c>
      <c r="F4127" s="19">
        <f>IFERROR(__xludf.DUMMYFUNCTION("IFERROR(TO_DATE(E4127), """")"),42562.12152777778)</f>
        <v>42562.12153</v>
      </c>
      <c r="G4127" s="20">
        <f t="shared" si="1"/>
        <v>2</v>
      </c>
      <c r="H4127" s="18" t="s">
        <v>34</v>
      </c>
      <c r="I4127" s="19" t="str">
        <f>IFERROR(__xludf.DUMMYFUNCTION("IFERROR(TO_DATE(H4127), """")"),"NA")</f>
        <v>NA</v>
      </c>
      <c r="J4127" s="19" t="s">
        <v>15</v>
      </c>
      <c r="K4127" s="22">
        <f t="shared" si="2"/>
        <v>0</v>
      </c>
    </row>
    <row r="4128">
      <c r="A4128" s="18">
        <v>43.0</v>
      </c>
      <c r="B4128" s="18" t="s">
        <v>32</v>
      </c>
      <c r="C4128" s="18" t="s">
        <v>34</v>
      </c>
      <c r="D4128" s="18" t="s">
        <v>35</v>
      </c>
      <c r="E4128" s="26">
        <v>42562.129166666666</v>
      </c>
      <c r="F4128" s="19">
        <f>IFERROR(__xludf.DUMMYFUNCTION("IFERROR(TO_DATE(E4128), """")"),42562.129166666666)</f>
        <v>42562.12917</v>
      </c>
      <c r="G4128" s="20">
        <f t="shared" si="1"/>
        <v>3</v>
      </c>
      <c r="H4128" s="18" t="s">
        <v>34</v>
      </c>
      <c r="I4128" s="19" t="str">
        <f>IFERROR(__xludf.DUMMYFUNCTION("IFERROR(TO_DATE(H4128), """")"),"NA")</f>
        <v>NA</v>
      </c>
      <c r="J4128" s="19" t="s">
        <v>15</v>
      </c>
      <c r="K4128" s="22">
        <f t="shared" si="2"/>
        <v>0</v>
      </c>
    </row>
    <row r="4129">
      <c r="A4129" s="18">
        <v>44.0</v>
      </c>
      <c r="B4129" s="18" t="s">
        <v>30</v>
      </c>
      <c r="C4129" s="18" t="s">
        <v>34</v>
      </c>
      <c r="D4129" s="18" t="s">
        <v>35</v>
      </c>
      <c r="E4129" s="26">
        <v>42562.12986111111</v>
      </c>
      <c r="F4129" s="19">
        <f>IFERROR(__xludf.DUMMYFUNCTION("IFERROR(TO_DATE(E4129), """")"),42562.12986111111)</f>
        <v>42562.12986</v>
      </c>
      <c r="G4129" s="20">
        <f t="shared" si="1"/>
        <v>3</v>
      </c>
      <c r="H4129" s="18" t="s">
        <v>34</v>
      </c>
      <c r="I4129" s="19" t="str">
        <f>IFERROR(__xludf.DUMMYFUNCTION("IFERROR(TO_DATE(H4129), """")"),"NA")</f>
        <v>NA</v>
      </c>
      <c r="J4129" s="19" t="s">
        <v>15</v>
      </c>
      <c r="K4129" s="22">
        <f t="shared" si="2"/>
        <v>0</v>
      </c>
    </row>
    <row r="4130">
      <c r="A4130" s="18">
        <v>46.0</v>
      </c>
      <c r="B4130" s="18" t="s">
        <v>30</v>
      </c>
      <c r="C4130" s="18" t="s">
        <v>34</v>
      </c>
      <c r="D4130" s="18" t="s">
        <v>35</v>
      </c>
      <c r="E4130" s="26">
        <v>42562.13611111111</v>
      </c>
      <c r="F4130" s="19">
        <f>IFERROR(__xludf.DUMMYFUNCTION("IFERROR(TO_DATE(E4130), """")"),42562.13611111111)</f>
        <v>42562.13611</v>
      </c>
      <c r="G4130" s="20">
        <f t="shared" si="1"/>
        <v>3</v>
      </c>
      <c r="H4130" s="18" t="s">
        <v>34</v>
      </c>
      <c r="I4130" s="19" t="str">
        <f>IFERROR(__xludf.DUMMYFUNCTION("IFERROR(TO_DATE(H4130), """")"),"NA")</f>
        <v>NA</v>
      </c>
      <c r="J4130" s="19" t="s">
        <v>15</v>
      </c>
      <c r="K4130" s="22">
        <f t="shared" si="2"/>
        <v>0</v>
      </c>
    </row>
    <row r="4131">
      <c r="A4131" s="18">
        <v>49.0</v>
      </c>
      <c r="B4131" s="18" t="s">
        <v>30</v>
      </c>
      <c r="C4131" s="18" t="s">
        <v>34</v>
      </c>
      <c r="D4131" s="18" t="s">
        <v>35</v>
      </c>
      <c r="E4131" s="26">
        <v>42562.14513888889</v>
      </c>
      <c r="F4131" s="19">
        <f>IFERROR(__xludf.DUMMYFUNCTION("IFERROR(TO_DATE(E4131), """")"),42562.14513888889)</f>
        <v>42562.14514</v>
      </c>
      <c r="G4131" s="20">
        <f t="shared" si="1"/>
        <v>3</v>
      </c>
      <c r="H4131" s="18" t="s">
        <v>34</v>
      </c>
      <c r="I4131" s="19" t="str">
        <f>IFERROR(__xludf.DUMMYFUNCTION("IFERROR(TO_DATE(H4131), """")"),"NA")</f>
        <v>NA</v>
      </c>
      <c r="J4131" s="19" t="s">
        <v>15</v>
      </c>
      <c r="K4131" s="22">
        <f t="shared" si="2"/>
        <v>0</v>
      </c>
    </row>
    <row r="4132">
      <c r="A4132" s="18">
        <v>52.0</v>
      </c>
      <c r="B4132" s="18" t="s">
        <v>32</v>
      </c>
      <c r="C4132" s="18" t="s">
        <v>34</v>
      </c>
      <c r="D4132" s="18" t="s">
        <v>35</v>
      </c>
      <c r="E4132" s="26">
        <v>42562.145833333336</v>
      </c>
      <c r="F4132" s="19">
        <f>IFERROR(__xludf.DUMMYFUNCTION("IFERROR(TO_DATE(E4132), """")"),42562.145833333336)</f>
        <v>42562.14583</v>
      </c>
      <c r="G4132" s="20">
        <f t="shared" si="1"/>
        <v>3</v>
      </c>
      <c r="H4132" s="18" t="s">
        <v>34</v>
      </c>
      <c r="I4132" s="19" t="str">
        <f>IFERROR(__xludf.DUMMYFUNCTION("IFERROR(TO_DATE(H4132), """")"),"NA")</f>
        <v>NA</v>
      </c>
      <c r="J4132" s="19" t="s">
        <v>15</v>
      </c>
      <c r="K4132" s="22">
        <f t="shared" si="2"/>
        <v>0</v>
      </c>
    </row>
    <row r="4133">
      <c r="A4133" s="18">
        <v>54.0</v>
      </c>
      <c r="B4133" s="18" t="s">
        <v>32</v>
      </c>
      <c r="C4133" s="18" t="s">
        <v>34</v>
      </c>
      <c r="D4133" s="18" t="s">
        <v>35</v>
      </c>
      <c r="E4133" s="26">
        <v>42562.14861111111</v>
      </c>
      <c r="F4133" s="19">
        <f>IFERROR(__xludf.DUMMYFUNCTION("IFERROR(TO_DATE(E4133), """")"),42562.14861111111)</f>
        <v>42562.14861</v>
      </c>
      <c r="G4133" s="20">
        <f t="shared" si="1"/>
        <v>3</v>
      </c>
      <c r="H4133" s="18" t="s">
        <v>34</v>
      </c>
      <c r="I4133" s="19" t="str">
        <f>IFERROR(__xludf.DUMMYFUNCTION("IFERROR(TO_DATE(H4133), """")"),"NA")</f>
        <v>NA</v>
      </c>
      <c r="J4133" s="19" t="s">
        <v>15</v>
      </c>
      <c r="K4133" s="22">
        <f t="shared" si="2"/>
        <v>0</v>
      </c>
    </row>
    <row r="4134">
      <c r="A4134" s="18">
        <v>55.0</v>
      </c>
      <c r="B4134" s="18" t="s">
        <v>30</v>
      </c>
      <c r="C4134" s="18" t="s">
        <v>34</v>
      </c>
      <c r="D4134" s="18" t="s">
        <v>35</v>
      </c>
      <c r="E4134" s="26">
        <v>42562.15347222222</v>
      </c>
      <c r="F4134" s="19">
        <f>IFERROR(__xludf.DUMMYFUNCTION("IFERROR(TO_DATE(E4134), """")"),42562.15347222222)</f>
        <v>42562.15347</v>
      </c>
      <c r="G4134" s="20">
        <f t="shared" si="1"/>
        <v>3</v>
      </c>
      <c r="H4134" s="18" t="s">
        <v>34</v>
      </c>
      <c r="I4134" s="19" t="str">
        <f>IFERROR(__xludf.DUMMYFUNCTION("IFERROR(TO_DATE(H4134), """")"),"NA")</f>
        <v>NA</v>
      </c>
      <c r="J4134" s="19" t="s">
        <v>15</v>
      </c>
      <c r="K4134" s="22">
        <f t="shared" si="2"/>
        <v>0</v>
      </c>
    </row>
    <row r="4135">
      <c r="A4135" s="18">
        <v>57.0</v>
      </c>
      <c r="B4135" s="18" t="s">
        <v>32</v>
      </c>
      <c r="C4135" s="18" t="s">
        <v>34</v>
      </c>
      <c r="D4135" s="18" t="s">
        <v>35</v>
      </c>
      <c r="E4135" s="26">
        <v>42562.16111111111</v>
      </c>
      <c r="F4135" s="19">
        <f>IFERROR(__xludf.DUMMYFUNCTION("IFERROR(TO_DATE(E4135), """")"),42562.16111111111)</f>
        <v>42562.16111</v>
      </c>
      <c r="G4135" s="20">
        <f t="shared" si="1"/>
        <v>3</v>
      </c>
      <c r="H4135" s="18" t="s">
        <v>34</v>
      </c>
      <c r="I4135" s="19" t="str">
        <f>IFERROR(__xludf.DUMMYFUNCTION("IFERROR(TO_DATE(H4135), """")"),"NA")</f>
        <v>NA</v>
      </c>
      <c r="J4135" s="19" t="s">
        <v>15</v>
      </c>
      <c r="K4135" s="22">
        <f t="shared" si="2"/>
        <v>0</v>
      </c>
    </row>
    <row r="4136">
      <c r="A4136" s="18">
        <v>59.0</v>
      </c>
      <c r="B4136" s="18" t="s">
        <v>32</v>
      </c>
      <c r="C4136" s="18" t="s">
        <v>34</v>
      </c>
      <c r="D4136" s="18" t="s">
        <v>35</v>
      </c>
      <c r="E4136" s="26">
        <v>42562.16527777778</v>
      </c>
      <c r="F4136" s="19">
        <f>IFERROR(__xludf.DUMMYFUNCTION("IFERROR(TO_DATE(E4136), """")"),42562.16527777778)</f>
        <v>42562.16528</v>
      </c>
      <c r="G4136" s="20">
        <f t="shared" si="1"/>
        <v>3</v>
      </c>
      <c r="H4136" s="18" t="s">
        <v>34</v>
      </c>
      <c r="I4136" s="19" t="str">
        <f>IFERROR(__xludf.DUMMYFUNCTION("IFERROR(TO_DATE(H4136), """")"),"NA")</f>
        <v>NA</v>
      </c>
      <c r="J4136" s="19" t="s">
        <v>15</v>
      </c>
      <c r="K4136" s="22">
        <f t="shared" si="2"/>
        <v>0</v>
      </c>
    </row>
    <row r="4137">
      <c r="A4137" s="18">
        <v>56.0</v>
      </c>
      <c r="B4137" s="18" t="s">
        <v>32</v>
      </c>
      <c r="C4137" s="18" t="s">
        <v>34</v>
      </c>
      <c r="D4137" s="18" t="s">
        <v>35</v>
      </c>
      <c r="E4137" s="26">
        <v>42562.16527777778</v>
      </c>
      <c r="F4137" s="19">
        <f>IFERROR(__xludf.DUMMYFUNCTION("IFERROR(TO_DATE(E4137), """")"),42562.16527777778)</f>
        <v>42562.16528</v>
      </c>
      <c r="G4137" s="20">
        <f t="shared" si="1"/>
        <v>3</v>
      </c>
      <c r="H4137" s="18" t="s">
        <v>34</v>
      </c>
      <c r="I4137" s="19" t="str">
        <f>IFERROR(__xludf.DUMMYFUNCTION("IFERROR(TO_DATE(H4137), """")"),"NA")</f>
        <v>NA</v>
      </c>
      <c r="J4137" s="19" t="s">
        <v>15</v>
      </c>
      <c r="K4137" s="22">
        <f t="shared" si="2"/>
        <v>0</v>
      </c>
    </row>
    <row r="4138">
      <c r="A4138" s="18">
        <v>58.0</v>
      </c>
      <c r="B4138" s="18" t="s">
        <v>30</v>
      </c>
      <c r="C4138" s="18" t="s">
        <v>34</v>
      </c>
      <c r="D4138" s="18" t="s">
        <v>35</v>
      </c>
      <c r="E4138" s="26">
        <v>42562.16875</v>
      </c>
      <c r="F4138" s="19">
        <f>IFERROR(__xludf.DUMMYFUNCTION("IFERROR(TO_DATE(E4138), """")"),42562.16875)</f>
        <v>42562.16875</v>
      </c>
      <c r="G4138" s="20">
        <f t="shared" si="1"/>
        <v>4</v>
      </c>
      <c r="H4138" s="18" t="s">
        <v>34</v>
      </c>
      <c r="I4138" s="19" t="str">
        <f>IFERROR(__xludf.DUMMYFUNCTION("IFERROR(TO_DATE(H4138), """")"),"NA")</f>
        <v>NA</v>
      </c>
      <c r="J4138" s="19" t="s">
        <v>11</v>
      </c>
      <c r="K4138" s="22">
        <f t="shared" si="2"/>
        <v>0</v>
      </c>
    </row>
    <row r="4139">
      <c r="A4139" s="18">
        <v>61.0</v>
      </c>
      <c r="B4139" s="18" t="s">
        <v>30</v>
      </c>
      <c r="C4139" s="18" t="s">
        <v>34</v>
      </c>
      <c r="D4139" s="18" t="s">
        <v>35</v>
      </c>
      <c r="E4139" s="26">
        <v>42562.17013888889</v>
      </c>
      <c r="F4139" s="19">
        <f>IFERROR(__xludf.DUMMYFUNCTION("IFERROR(TO_DATE(E4139), """")"),42562.17013888889)</f>
        <v>42562.17014</v>
      </c>
      <c r="G4139" s="20">
        <f t="shared" si="1"/>
        <v>4</v>
      </c>
      <c r="H4139" s="18" t="s">
        <v>34</v>
      </c>
      <c r="I4139" s="19" t="str">
        <f>IFERROR(__xludf.DUMMYFUNCTION("IFERROR(TO_DATE(H4139), """")"),"NA")</f>
        <v>NA</v>
      </c>
      <c r="J4139" s="19" t="s">
        <v>11</v>
      </c>
      <c r="K4139" s="22">
        <f t="shared" si="2"/>
        <v>0</v>
      </c>
    </row>
    <row r="4140">
      <c r="A4140" s="18">
        <v>62.0</v>
      </c>
      <c r="B4140" s="18" t="s">
        <v>30</v>
      </c>
      <c r="C4140" s="18" t="s">
        <v>34</v>
      </c>
      <c r="D4140" s="18" t="s">
        <v>35</v>
      </c>
      <c r="E4140" s="26">
        <v>42562.17361111111</v>
      </c>
      <c r="F4140" s="19">
        <f>IFERROR(__xludf.DUMMYFUNCTION("IFERROR(TO_DATE(E4140), """")"),42562.17361111111)</f>
        <v>42562.17361</v>
      </c>
      <c r="G4140" s="20">
        <f t="shared" si="1"/>
        <v>4</v>
      </c>
      <c r="H4140" s="18" t="s">
        <v>34</v>
      </c>
      <c r="I4140" s="19" t="str">
        <f>IFERROR(__xludf.DUMMYFUNCTION("IFERROR(TO_DATE(H4140), """")"),"NA")</f>
        <v>NA</v>
      </c>
      <c r="J4140" s="19" t="s">
        <v>11</v>
      </c>
      <c r="K4140" s="22">
        <f t="shared" si="2"/>
        <v>0</v>
      </c>
    </row>
    <row r="4141">
      <c r="A4141" s="18">
        <v>63.0</v>
      </c>
      <c r="B4141" s="18" t="s">
        <v>30</v>
      </c>
      <c r="C4141" s="18" t="s">
        <v>34</v>
      </c>
      <c r="D4141" s="18" t="s">
        <v>35</v>
      </c>
      <c r="E4141" s="26">
        <v>42562.17847222222</v>
      </c>
      <c r="F4141" s="19">
        <f>IFERROR(__xludf.DUMMYFUNCTION("IFERROR(TO_DATE(E4141), """")"),42562.17847222222)</f>
        <v>42562.17847</v>
      </c>
      <c r="G4141" s="20">
        <f t="shared" si="1"/>
        <v>4</v>
      </c>
      <c r="H4141" s="18" t="s">
        <v>34</v>
      </c>
      <c r="I4141" s="19" t="str">
        <f>IFERROR(__xludf.DUMMYFUNCTION("IFERROR(TO_DATE(H4141), """")"),"NA")</f>
        <v>NA</v>
      </c>
      <c r="J4141" s="19" t="s">
        <v>11</v>
      </c>
      <c r="K4141" s="22">
        <f t="shared" si="2"/>
        <v>0</v>
      </c>
    </row>
    <row r="4142">
      <c r="A4142" s="18">
        <v>65.0</v>
      </c>
      <c r="B4142" s="18" t="s">
        <v>30</v>
      </c>
      <c r="C4142" s="18" t="s">
        <v>34</v>
      </c>
      <c r="D4142" s="18" t="s">
        <v>35</v>
      </c>
      <c r="E4142" s="26">
        <v>42562.18263888889</v>
      </c>
      <c r="F4142" s="19">
        <f>IFERROR(__xludf.DUMMYFUNCTION("IFERROR(TO_DATE(E4142), """")"),42562.18263888889)</f>
        <v>42562.18264</v>
      </c>
      <c r="G4142" s="20">
        <f t="shared" si="1"/>
        <v>4</v>
      </c>
      <c r="H4142" s="18" t="s">
        <v>34</v>
      </c>
      <c r="I4142" s="19" t="str">
        <f>IFERROR(__xludf.DUMMYFUNCTION("IFERROR(TO_DATE(H4142), """")"),"NA")</f>
        <v>NA</v>
      </c>
      <c r="J4142" s="19" t="s">
        <v>11</v>
      </c>
      <c r="K4142" s="22">
        <f t="shared" si="2"/>
        <v>0</v>
      </c>
    </row>
    <row r="4143">
      <c r="A4143" s="18">
        <v>67.0</v>
      </c>
      <c r="B4143" s="18" t="s">
        <v>30</v>
      </c>
      <c r="C4143" s="18" t="s">
        <v>34</v>
      </c>
      <c r="D4143" s="18" t="s">
        <v>35</v>
      </c>
      <c r="E4143" s="26">
        <v>42562.183333333334</v>
      </c>
      <c r="F4143" s="19">
        <f>IFERROR(__xludf.DUMMYFUNCTION("IFERROR(TO_DATE(E4143), """")"),42562.183333333334)</f>
        <v>42562.18333</v>
      </c>
      <c r="G4143" s="20">
        <f t="shared" si="1"/>
        <v>4</v>
      </c>
      <c r="H4143" s="18" t="s">
        <v>34</v>
      </c>
      <c r="I4143" s="19" t="str">
        <f>IFERROR(__xludf.DUMMYFUNCTION("IFERROR(TO_DATE(H4143), """")"),"NA")</f>
        <v>NA</v>
      </c>
      <c r="J4143" s="19" t="s">
        <v>11</v>
      </c>
      <c r="K4143" s="22">
        <f t="shared" si="2"/>
        <v>0</v>
      </c>
    </row>
    <row r="4144">
      <c r="A4144" s="18">
        <v>69.0</v>
      </c>
      <c r="B4144" s="18" t="s">
        <v>30</v>
      </c>
      <c r="C4144" s="18" t="s">
        <v>34</v>
      </c>
      <c r="D4144" s="18" t="s">
        <v>35</v>
      </c>
      <c r="E4144" s="26">
        <v>42562.18541666667</v>
      </c>
      <c r="F4144" s="19">
        <f>IFERROR(__xludf.DUMMYFUNCTION("IFERROR(TO_DATE(E4144), """")"),42562.18541666667)</f>
        <v>42562.18542</v>
      </c>
      <c r="G4144" s="20">
        <f t="shared" si="1"/>
        <v>4</v>
      </c>
      <c r="H4144" s="18" t="s">
        <v>34</v>
      </c>
      <c r="I4144" s="19" t="str">
        <f>IFERROR(__xludf.DUMMYFUNCTION("IFERROR(TO_DATE(H4144), """")"),"NA")</f>
        <v>NA</v>
      </c>
      <c r="J4144" s="19" t="s">
        <v>11</v>
      </c>
      <c r="K4144" s="22">
        <f t="shared" si="2"/>
        <v>0</v>
      </c>
    </row>
    <row r="4145">
      <c r="A4145" s="18">
        <v>68.0</v>
      </c>
      <c r="B4145" s="18" t="s">
        <v>30</v>
      </c>
      <c r="C4145" s="18" t="s">
        <v>34</v>
      </c>
      <c r="D4145" s="18" t="s">
        <v>35</v>
      </c>
      <c r="E4145" s="26">
        <v>42562.18541666667</v>
      </c>
      <c r="F4145" s="19">
        <f>IFERROR(__xludf.DUMMYFUNCTION("IFERROR(TO_DATE(E4145), """")"),42562.18541666667)</f>
        <v>42562.18542</v>
      </c>
      <c r="G4145" s="20">
        <f t="shared" si="1"/>
        <v>4</v>
      </c>
      <c r="H4145" s="18" t="s">
        <v>34</v>
      </c>
      <c r="I4145" s="19" t="str">
        <f>IFERROR(__xludf.DUMMYFUNCTION("IFERROR(TO_DATE(H4145), """")"),"NA")</f>
        <v>NA</v>
      </c>
      <c r="J4145" s="19" t="s">
        <v>11</v>
      </c>
      <c r="K4145" s="22">
        <f t="shared" si="2"/>
        <v>0</v>
      </c>
    </row>
    <row r="4146">
      <c r="A4146" s="18">
        <v>72.0</v>
      </c>
      <c r="B4146" s="18" t="s">
        <v>32</v>
      </c>
      <c r="C4146" s="18" t="s">
        <v>34</v>
      </c>
      <c r="D4146" s="18" t="s">
        <v>35</v>
      </c>
      <c r="E4146" s="26">
        <v>42562.191666666666</v>
      </c>
      <c r="F4146" s="19">
        <f>IFERROR(__xludf.DUMMYFUNCTION("IFERROR(TO_DATE(E4146), """")"),42562.191666666666)</f>
        <v>42562.19167</v>
      </c>
      <c r="G4146" s="20">
        <f t="shared" si="1"/>
        <v>4</v>
      </c>
      <c r="H4146" s="18" t="s">
        <v>34</v>
      </c>
      <c r="I4146" s="19" t="str">
        <f>IFERROR(__xludf.DUMMYFUNCTION("IFERROR(TO_DATE(H4146), """")"),"NA")</f>
        <v>NA</v>
      </c>
      <c r="J4146" s="19" t="s">
        <v>11</v>
      </c>
      <c r="K4146" s="22">
        <f t="shared" si="2"/>
        <v>0</v>
      </c>
    </row>
    <row r="4147">
      <c r="A4147" s="18">
        <v>73.0</v>
      </c>
      <c r="B4147" s="18" t="s">
        <v>30</v>
      </c>
      <c r="C4147" s="18" t="s">
        <v>34</v>
      </c>
      <c r="D4147" s="18" t="s">
        <v>35</v>
      </c>
      <c r="E4147" s="26">
        <v>42562.191666666666</v>
      </c>
      <c r="F4147" s="19">
        <f>IFERROR(__xludf.DUMMYFUNCTION("IFERROR(TO_DATE(E4147), """")"),42562.191666666666)</f>
        <v>42562.19167</v>
      </c>
      <c r="G4147" s="20">
        <f t="shared" si="1"/>
        <v>4</v>
      </c>
      <c r="H4147" s="18" t="s">
        <v>34</v>
      </c>
      <c r="I4147" s="19" t="str">
        <f>IFERROR(__xludf.DUMMYFUNCTION("IFERROR(TO_DATE(H4147), """")"),"NA")</f>
        <v>NA</v>
      </c>
      <c r="J4147" s="19" t="s">
        <v>11</v>
      </c>
      <c r="K4147" s="22">
        <f t="shared" si="2"/>
        <v>0</v>
      </c>
    </row>
    <row r="4148">
      <c r="A4148" s="18">
        <v>71.0</v>
      </c>
      <c r="B4148" s="18" t="s">
        <v>32</v>
      </c>
      <c r="C4148" s="18" t="s">
        <v>34</v>
      </c>
      <c r="D4148" s="18" t="s">
        <v>35</v>
      </c>
      <c r="E4148" s="26">
        <v>42562.19236111111</v>
      </c>
      <c r="F4148" s="19">
        <f>IFERROR(__xludf.DUMMYFUNCTION("IFERROR(TO_DATE(E4148), """")"),42562.19236111111)</f>
        <v>42562.19236</v>
      </c>
      <c r="G4148" s="20">
        <f t="shared" si="1"/>
        <v>4</v>
      </c>
      <c r="H4148" s="18" t="s">
        <v>34</v>
      </c>
      <c r="I4148" s="19" t="str">
        <f>IFERROR(__xludf.DUMMYFUNCTION("IFERROR(TO_DATE(H4148), """")"),"NA")</f>
        <v>NA</v>
      </c>
      <c r="J4148" s="19" t="s">
        <v>11</v>
      </c>
      <c r="K4148" s="22">
        <f t="shared" si="2"/>
        <v>0</v>
      </c>
    </row>
    <row r="4149">
      <c r="A4149" s="18">
        <v>75.0</v>
      </c>
      <c r="B4149" s="18" t="s">
        <v>30</v>
      </c>
      <c r="C4149" s="18" t="s">
        <v>34</v>
      </c>
      <c r="D4149" s="18" t="s">
        <v>35</v>
      </c>
      <c r="E4149" s="26">
        <v>42562.194444444445</v>
      </c>
      <c r="F4149" s="19">
        <f>IFERROR(__xludf.DUMMYFUNCTION("IFERROR(TO_DATE(E4149), """")"),42562.194444444445)</f>
        <v>42562.19444</v>
      </c>
      <c r="G4149" s="20">
        <f t="shared" si="1"/>
        <v>4</v>
      </c>
      <c r="H4149" s="18" t="s">
        <v>34</v>
      </c>
      <c r="I4149" s="19" t="str">
        <f>IFERROR(__xludf.DUMMYFUNCTION("IFERROR(TO_DATE(H4149), """")"),"NA")</f>
        <v>NA</v>
      </c>
      <c r="J4149" s="19" t="s">
        <v>11</v>
      </c>
      <c r="K4149" s="22">
        <f t="shared" si="2"/>
        <v>0</v>
      </c>
    </row>
    <row r="4150">
      <c r="A4150" s="18">
        <v>79.0</v>
      </c>
      <c r="B4150" s="18" t="s">
        <v>32</v>
      </c>
      <c r="C4150" s="18" t="s">
        <v>34</v>
      </c>
      <c r="D4150" s="18" t="s">
        <v>35</v>
      </c>
      <c r="E4150" s="26">
        <v>42562.19652777778</v>
      </c>
      <c r="F4150" s="19">
        <f>IFERROR(__xludf.DUMMYFUNCTION("IFERROR(TO_DATE(E4150), """")"),42562.19652777778)</f>
        <v>42562.19653</v>
      </c>
      <c r="G4150" s="20">
        <f t="shared" si="1"/>
        <v>4</v>
      </c>
      <c r="H4150" s="18" t="s">
        <v>34</v>
      </c>
      <c r="I4150" s="19" t="str">
        <f>IFERROR(__xludf.DUMMYFUNCTION("IFERROR(TO_DATE(H4150), """")"),"NA")</f>
        <v>NA</v>
      </c>
      <c r="J4150" s="19" t="s">
        <v>11</v>
      </c>
      <c r="K4150" s="22">
        <f t="shared" si="2"/>
        <v>0</v>
      </c>
    </row>
    <row r="4151">
      <c r="A4151" s="18">
        <v>83.0</v>
      </c>
      <c r="B4151" s="18" t="s">
        <v>32</v>
      </c>
      <c r="C4151" s="18" t="s">
        <v>34</v>
      </c>
      <c r="D4151" s="18" t="s">
        <v>35</v>
      </c>
      <c r="E4151" s="26">
        <v>42562.197222222225</v>
      </c>
      <c r="F4151" s="19">
        <f>IFERROR(__xludf.DUMMYFUNCTION("IFERROR(TO_DATE(E4151), """")"),42562.197222222225)</f>
        <v>42562.19722</v>
      </c>
      <c r="G4151" s="20">
        <f t="shared" si="1"/>
        <v>4</v>
      </c>
      <c r="H4151" s="18" t="s">
        <v>34</v>
      </c>
      <c r="I4151" s="19" t="str">
        <f>IFERROR(__xludf.DUMMYFUNCTION("IFERROR(TO_DATE(H4151), """")"),"NA")</f>
        <v>NA</v>
      </c>
      <c r="J4151" s="19" t="s">
        <v>11</v>
      </c>
      <c r="K4151" s="22">
        <f t="shared" si="2"/>
        <v>0</v>
      </c>
    </row>
    <row r="4152">
      <c r="A4152" s="18">
        <v>78.0</v>
      </c>
      <c r="B4152" s="18" t="s">
        <v>32</v>
      </c>
      <c r="C4152" s="18" t="s">
        <v>34</v>
      </c>
      <c r="D4152" s="18" t="s">
        <v>35</v>
      </c>
      <c r="E4152" s="26">
        <v>42562.197916666664</v>
      </c>
      <c r="F4152" s="19">
        <f>IFERROR(__xludf.DUMMYFUNCTION("IFERROR(TO_DATE(E4152), """")"),42562.197916666664)</f>
        <v>42562.19792</v>
      </c>
      <c r="G4152" s="20">
        <f t="shared" si="1"/>
        <v>4</v>
      </c>
      <c r="H4152" s="18" t="s">
        <v>34</v>
      </c>
      <c r="I4152" s="19" t="str">
        <f>IFERROR(__xludf.DUMMYFUNCTION("IFERROR(TO_DATE(H4152), """")"),"NA")</f>
        <v>NA</v>
      </c>
      <c r="J4152" s="19" t="s">
        <v>11</v>
      </c>
      <c r="K4152" s="22">
        <f t="shared" si="2"/>
        <v>0</v>
      </c>
    </row>
    <row r="4153">
      <c r="A4153" s="18">
        <v>104.0</v>
      </c>
      <c r="B4153" s="18" t="s">
        <v>32</v>
      </c>
      <c r="C4153" s="18" t="s">
        <v>34</v>
      </c>
      <c r="D4153" s="18" t="s">
        <v>35</v>
      </c>
      <c r="E4153" s="26">
        <v>42562.208333333336</v>
      </c>
      <c r="F4153" s="19">
        <f>IFERROR(__xludf.DUMMYFUNCTION("IFERROR(TO_DATE(E4153), """")"),42562.208333333336)</f>
        <v>42562.20833</v>
      </c>
      <c r="G4153" s="20">
        <f t="shared" si="1"/>
        <v>5</v>
      </c>
      <c r="H4153" s="18" t="s">
        <v>34</v>
      </c>
      <c r="I4153" s="19" t="str">
        <f>IFERROR(__xludf.DUMMYFUNCTION("IFERROR(TO_DATE(H4153), """")"),"NA")</f>
        <v>NA</v>
      </c>
      <c r="J4153" s="19" t="s">
        <v>11</v>
      </c>
      <c r="K4153" s="22">
        <f t="shared" si="2"/>
        <v>0</v>
      </c>
    </row>
    <row r="4154">
      <c r="A4154" s="18">
        <v>103.0</v>
      </c>
      <c r="B4154" s="18" t="s">
        <v>32</v>
      </c>
      <c r="C4154" s="18" t="s">
        <v>34</v>
      </c>
      <c r="D4154" s="18" t="s">
        <v>35</v>
      </c>
      <c r="E4154" s="26">
        <v>42562.20972222222</v>
      </c>
      <c r="F4154" s="19">
        <f>IFERROR(__xludf.DUMMYFUNCTION("IFERROR(TO_DATE(E4154), """")"),42562.20972222222)</f>
        <v>42562.20972</v>
      </c>
      <c r="G4154" s="20">
        <f t="shared" si="1"/>
        <v>5</v>
      </c>
      <c r="H4154" s="18" t="s">
        <v>34</v>
      </c>
      <c r="I4154" s="19" t="str">
        <f>IFERROR(__xludf.DUMMYFUNCTION("IFERROR(TO_DATE(H4154), """")"),"NA")</f>
        <v>NA</v>
      </c>
      <c r="J4154" s="19" t="s">
        <v>11</v>
      </c>
      <c r="K4154" s="22">
        <f t="shared" si="2"/>
        <v>0</v>
      </c>
    </row>
    <row r="4155">
      <c r="A4155" s="18">
        <v>131.0</v>
      </c>
      <c r="B4155" s="18" t="s">
        <v>32</v>
      </c>
      <c r="C4155" s="18" t="s">
        <v>34</v>
      </c>
      <c r="D4155" s="18" t="s">
        <v>35</v>
      </c>
      <c r="E4155" s="26">
        <v>42562.21527777778</v>
      </c>
      <c r="F4155" s="19">
        <f>IFERROR(__xludf.DUMMYFUNCTION("IFERROR(TO_DATE(E4155), """")"),42562.21527777778)</f>
        <v>42562.21528</v>
      </c>
      <c r="G4155" s="20">
        <f t="shared" si="1"/>
        <v>5</v>
      </c>
      <c r="H4155" s="18" t="s">
        <v>34</v>
      </c>
      <c r="I4155" s="19" t="str">
        <f>IFERROR(__xludf.DUMMYFUNCTION("IFERROR(TO_DATE(H4155), """")"),"NA")</f>
        <v>NA</v>
      </c>
      <c r="J4155" s="19" t="s">
        <v>11</v>
      </c>
      <c r="K4155" s="22">
        <f t="shared" si="2"/>
        <v>0</v>
      </c>
    </row>
    <row r="4156">
      <c r="A4156" s="18">
        <v>124.0</v>
      </c>
      <c r="B4156" s="18" t="s">
        <v>32</v>
      </c>
      <c r="C4156" s="18" t="s">
        <v>34</v>
      </c>
      <c r="D4156" s="18" t="s">
        <v>35</v>
      </c>
      <c r="E4156" s="26">
        <v>42562.21666666667</v>
      </c>
      <c r="F4156" s="19">
        <f>IFERROR(__xludf.DUMMYFUNCTION("IFERROR(TO_DATE(E4156), """")"),42562.21666666667)</f>
        <v>42562.21667</v>
      </c>
      <c r="G4156" s="20">
        <f t="shared" si="1"/>
        <v>5</v>
      </c>
      <c r="H4156" s="18" t="s">
        <v>34</v>
      </c>
      <c r="I4156" s="19" t="str">
        <f>IFERROR(__xludf.DUMMYFUNCTION("IFERROR(TO_DATE(H4156), """")"),"NA")</f>
        <v>NA</v>
      </c>
      <c r="J4156" s="19" t="s">
        <v>11</v>
      </c>
      <c r="K4156" s="22">
        <f t="shared" si="2"/>
        <v>0</v>
      </c>
    </row>
    <row r="4157">
      <c r="A4157" s="18">
        <v>117.0</v>
      </c>
      <c r="B4157" s="18" t="s">
        <v>32</v>
      </c>
      <c r="C4157" s="18" t="s">
        <v>34</v>
      </c>
      <c r="D4157" s="18" t="s">
        <v>35</v>
      </c>
      <c r="E4157" s="26">
        <v>42562.217361111114</v>
      </c>
      <c r="F4157" s="19">
        <f>IFERROR(__xludf.DUMMYFUNCTION("IFERROR(TO_DATE(E4157), """")"),42562.217361111114)</f>
        <v>42562.21736</v>
      </c>
      <c r="G4157" s="20">
        <f t="shared" si="1"/>
        <v>5</v>
      </c>
      <c r="H4157" s="18" t="s">
        <v>34</v>
      </c>
      <c r="I4157" s="19" t="str">
        <f>IFERROR(__xludf.DUMMYFUNCTION("IFERROR(TO_DATE(H4157), """")"),"NA")</f>
        <v>NA</v>
      </c>
      <c r="J4157" s="19" t="s">
        <v>11</v>
      </c>
      <c r="K4157" s="22">
        <f t="shared" si="2"/>
        <v>0</v>
      </c>
    </row>
    <row r="4158">
      <c r="A4158" s="18">
        <v>137.0</v>
      </c>
      <c r="B4158" s="18" t="s">
        <v>32</v>
      </c>
      <c r="C4158" s="18" t="s">
        <v>34</v>
      </c>
      <c r="D4158" s="18" t="s">
        <v>35</v>
      </c>
      <c r="E4158" s="26">
        <v>42562.220138888886</v>
      </c>
      <c r="F4158" s="19">
        <f>IFERROR(__xludf.DUMMYFUNCTION("IFERROR(TO_DATE(E4158), """")"),42562.220138888886)</f>
        <v>42562.22014</v>
      </c>
      <c r="G4158" s="20">
        <f t="shared" si="1"/>
        <v>5</v>
      </c>
      <c r="H4158" s="18" t="s">
        <v>34</v>
      </c>
      <c r="I4158" s="19" t="str">
        <f>IFERROR(__xludf.DUMMYFUNCTION("IFERROR(TO_DATE(H4158), """")"),"NA")</f>
        <v>NA</v>
      </c>
      <c r="J4158" s="19" t="s">
        <v>11</v>
      </c>
      <c r="K4158" s="22">
        <f t="shared" si="2"/>
        <v>0</v>
      </c>
    </row>
    <row r="4159">
      <c r="A4159" s="18">
        <v>136.0</v>
      </c>
      <c r="B4159" s="18" t="s">
        <v>32</v>
      </c>
      <c r="C4159" s="18" t="s">
        <v>34</v>
      </c>
      <c r="D4159" s="18" t="s">
        <v>35</v>
      </c>
      <c r="E4159" s="26">
        <v>42562.22152777778</v>
      </c>
      <c r="F4159" s="19">
        <f>IFERROR(__xludf.DUMMYFUNCTION("IFERROR(TO_DATE(E4159), """")"),42562.22152777778)</f>
        <v>42562.22153</v>
      </c>
      <c r="G4159" s="20">
        <f t="shared" si="1"/>
        <v>5</v>
      </c>
      <c r="H4159" s="18" t="s">
        <v>34</v>
      </c>
      <c r="I4159" s="19" t="str">
        <f>IFERROR(__xludf.DUMMYFUNCTION("IFERROR(TO_DATE(H4159), """")"),"NA")</f>
        <v>NA</v>
      </c>
      <c r="J4159" s="19" t="s">
        <v>11</v>
      </c>
      <c r="K4159" s="22">
        <f t="shared" si="2"/>
        <v>0</v>
      </c>
    </row>
    <row r="4160">
      <c r="A4160" s="18">
        <v>135.0</v>
      </c>
      <c r="B4160" s="18" t="s">
        <v>32</v>
      </c>
      <c r="C4160" s="18" t="s">
        <v>34</v>
      </c>
      <c r="D4160" s="18" t="s">
        <v>35</v>
      </c>
      <c r="E4160" s="26">
        <v>42562.22222222222</v>
      </c>
      <c r="F4160" s="19">
        <f>IFERROR(__xludf.DUMMYFUNCTION("IFERROR(TO_DATE(E4160), """")"),42562.22222222222)</f>
        <v>42562.22222</v>
      </c>
      <c r="G4160" s="20">
        <f t="shared" si="1"/>
        <v>5</v>
      </c>
      <c r="H4160" s="18" t="s">
        <v>34</v>
      </c>
      <c r="I4160" s="19" t="str">
        <f>IFERROR(__xludf.DUMMYFUNCTION("IFERROR(TO_DATE(H4160), """")"),"NA")</f>
        <v>NA</v>
      </c>
      <c r="J4160" s="19" t="s">
        <v>11</v>
      </c>
      <c r="K4160" s="22">
        <f t="shared" si="2"/>
        <v>0</v>
      </c>
    </row>
    <row r="4161">
      <c r="A4161" s="18">
        <v>138.0</v>
      </c>
      <c r="B4161" s="18" t="s">
        <v>32</v>
      </c>
      <c r="C4161" s="18" t="s">
        <v>34</v>
      </c>
      <c r="D4161" s="18" t="s">
        <v>35</v>
      </c>
      <c r="E4161" s="26">
        <v>42562.22222222222</v>
      </c>
      <c r="F4161" s="19">
        <f>IFERROR(__xludf.DUMMYFUNCTION("IFERROR(TO_DATE(E4161), """")"),42562.22222222222)</f>
        <v>42562.22222</v>
      </c>
      <c r="G4161" s="20">
        <f t="shared" si="1"/>
        <v>5</v>
      </c>
      <c r="H4161" s="18" t="s">
        <v>34</v>
      </c>
      <c r="I4161" s="19" t="str">
        <f>IFERROR(__xludf.DUMMYFUNCTION("IFERROR(TO_DATE(H4161), """")"),"NA")</f>
        <v>NA</v>
      </c>
      <c r="J4161" s="19" t="s">
        <v>11</v>
      </c>
      <c r="K4161" s="22">
        <f t="shared" si="2"/>
        <v>0</v>
      </c>
    </row>
    <row r="4162">
      <c r="A4162" s="18">
        <v>154.0</v>
      </c>
      <c r="B4162" s="18" t="s">
        <v>32</v>
      </c>
      <c r="C4162" s="18" t="s">
        <v>34</v>
      </c>
      <c r="D4162" s="18" t="s">
        <v>35</v>
      </c>
      <c r="E4162" s="26">
        <v>42562.22986111111</v>
      </c>
      <c r="F4162" s="19">
        <f>IFERROR(__xludf.DUMMYFUNCTION("IFERROR(TO_DATE(E4162), """")"),42562.22986111111)</f>
        <v>42562.22986</v>
      </c>
      <c r="G4162" s="20">
        <f t="shared" si="1"/>
        <v>5</v>
      </c>
      <c r="H4162" s="18" t="s">
        <v>34</v>
      </c>
      <c r="I4162" s="19" t="str">
        <f>IFERROR(__xludf.DUMMYFUNCTION("IFERROR(TO_DATE(H4162), """")"),"NA")</f>
        <v>NA</v>
      </c>
      <c r="J4162" s="19" t="s">
        <v>11</v>
      </c>
      <c r="K4162" s="22">
        <f t="shared" si="2"/>
        <v>0</v>
      </c>
    </row>
    <row r="4163">
      <c r="A4163" s="18">
        <v>153.0</v>
      </c>
      <c r="B4163" s="18" t="s">
        <v>32</v>
      </c>
      <c r="C4163" s="18" t="s">
        <v>34</v>
      </c>
      <c r="D4163" s="18" t="s">
        <v>35</v>
      </c>
      <c r="E4163" s="26">
        <v>42562.23125</v>
      </c>
      <c r="F4163" s="19">
        <f>IFERROR(__xludf.DUMMYFUNCTION("IFERROR(TO_DATE(E4163), """")"),42562.23125)</f>
        <v>42562.23125</v>
      </c>
      <c r="G4163" s="20">
        <f t="shared" si="1"/>
        <v>5</v>
      </c>
      <c r="H4163" s="18" t="s">
        <v>34</v>
      </c>
      <c r="I4163" s="19" t="str">
        <f>IFERROR(__xludf.DUMMYFUNCTION("IFERROR(TO_DATE(H4163), """")"),"NA")</f>
        <v>NA</v>
      </c>
      <c r="J4163" s="19" t="s">
        <v>11</v>
      </c>
      <c r="K4163" s="22">
        <f t="shared" si="2"/>
        <v>0</v>
      </c>
    </row>
    <row r="4164">
      <c r="A4164" s="18">
        <v>171.0</v>
      </c>
      <c r="B4164" s="18" t="s">
        <v>32</v>
      </c>
      <c r="C4164" s="18" t="s">
        <v>34</v>
      </c>
      <c r="D4164" s="18" t="s">
        <v>35</v>
      </c>
      <c r="E4164" s="26">
        <v>42562.23541666667</v>
      </c>
      <c r="F4164" s="19">
        <f>IFERROR(__xludf.DUMMYFUNCTION("IFERROR(TO_DATE(E4164), """")"),42562.23541666667)</f>
        <v>42562.23542</v>
      </c>
      <c r="G4164" s="20">
        <f t="shared" si="1"/>
        <v>5</v>
      </c>
      <c r="H4164" s="18" t="s">
        <v>34</v>
      </c>
      <c r="I4164" s="19" t="str">
        <f>IFERROR(__xludf.DUMMYFUNCTION("IFERROR(TO_DATE(H4164), """")"),"NA")</f>
        <v>NA</v>
      </c>
      <c r="J4164" s="19" t="s">
        <v>11</v>
      </c>
      <c r="K4164" s="22">
        <f t="shared" si="2"/>
        <v>0</v>
      </c>
    </row>
    <row r="4165">
      <c r="A4165" s="18">
        <v>167.0</v>
      </c>
      <c r="B4165" s="18" t="s">
        <v>32</v>
      </c>
      <c r="C4165" s="18" t="s">
        <v>34</v>
      </c>
      <c r="D4165" s="18" t="s">
        <v>35</v>
      </c>
      <c r="E4165" s="26">
        <v>42562.23611111111</v>
      </c>
      <c r="F4165" s="19">
        <f>IFERROR(__xludf.DUMMYFUNCTION("IFERROR(TO_DATE(E4165), """")"),42562.23611111111)</f>
        <v>42562.23611</v>
      </c>
      <c r="G4165" s="20">
        <f t="shared" si="1"/>
        <v>5</v>
      </c>
      <c r="H4165" s="18" t="s">
        <v>34</v>
      </c>
      <c r="I4165" s="19" t="str">
        <f>IFERROR(__xludf.DUMMYFUNCTION("IFERROR(TO_DATE(H4165), """")"),"NA")</f>
        <v>NA</v>
      </c>
      <c r="J4165" s="19" t="s">
        <v>11</v>
      </c>
      <c r="K4165" s="22">
        <f t="shared" si="2"/>
        <v>0</v>
      </c>
    </row>
    <row r="4166">
      <c r="A4166" s="18">
        <v>159.0</v>
      </c>
      <c r="B4166" s="18" t="s">
        <v>32</v>
      </c>
      <c r="C4166" s="18" t="s">
        <v>34</v>
      </c>
      <c r="D4166" s="18" t="s">
        <v>35</v>
      </c>
      <c r="E4166" s="26">
        <v>42562.23819444444</v>
      </c>
      <c r="F4166" s="19">
        <f>IFERROR(__xludf.DUMMYFUNCTION("IFERROR(TO_DATE(E4166), """")"),42562.23819444444)</f>
        <v>42562.23819</v>
      </c>
      <c r="G4166" s="20">
        <f t="shared" si="1"/>
        <v>5</v>
      </c>
      <c r="H4166" s="18" t="s">
        <v>34</v>
      </c>
      <c r="I4166" s="19" t="str">
        <f>IFERROR(__xludf.DUMMYFUNCTION("IFERROR(TO_DATE(H4166), """")"),"NA")</f>
        <v>NA</v>
      </c>
      <c r="J4166" s="19" t="s">
        <v>11</v>
      </c>
      <c r="K4166" s="22">
        <f t="shared" si="2"/>
        <v>0</v>
      </c>
    </row>
    <row r="4167">
      <c r="A4167" s="18">
        <v>178.0</v>
      </c>
      <c r="B4167" s="18" t="s">
        <v>32</v>
      </c>
      <c r="C4167" s="18" t="s">
        <v>34</v>
      </c>
      <c r="D4167" s="18" t="s">
        <v>35</v>
      </c>
      <c r="E4167" s="26">
        <v>42562.24097222222</v>
      </c>
      <c r="F4167" s="19">
        <f>IFERROR(__xludf.DUMMYFUNCTION("IFERROR(TO_DATE(E4167), """")"),42562.24097222222)</f>
        <v>42562.24097</v>
      </c>
      <c r="G4167" s="20">
        <f t="shared" si="1"/>
        <v>5</v>
      </c>
      <c r="H4167" s="18" t="s">
        <v>34</v>
      </c>
      <c r="I4167" s="19" t="str">
        <f>IFERROR(__xludf.DUMMYFUNCTION("IFERROR(TO_DATE(H4167), """")"),"NA")</f>
        <v>NA</v>
      </c>
      <c r="J4167" s="19" t="s">
        <v>11</v>
      </c>
      <c r="K4167" s="22">
        <f t="shared" si="2"/>
        <v>0</v>
      </c>
    </row>
    <row r="4168">
      <c r="A4168" s="18">
        <v>179.0</v>
      </c>
      <c r="B4168" s="18" t="s">
        <v>32</v>
      </c>
      <c r="C4168" s="18" t="s">
        <v>34</v>
      </c>
      <c r="D4168" s="18" t="s">
        <v>35</v>
      </c>
      <c r="E4168" s="26">
        <v>42562.24236111111</v>
      </c>
      <c r="F4168" s="19">
        <f>IFERROR(__xludf.DUMMYFUNCTION("IFERROR(TO_DATE(E4168), """")"),42562.24236111111)</f>
        <v>42562.24236</v>
      </c>
      <c r="G4168" s="20">
        <f t="shared" si="1"/>
        <v>5</v>
      </c>
      <c r="H4168" s="18" t="s">
        <v>34</v>
      </c>
      <c r="I4168" s="19" t="str">
        <f>IFERROR(__xludf.DUMMYFUNCTION("IFERROR(TO_DATE(H4168), """")"),"NA")</f>
        <v>NA</v>
      </c>
      <c r="J4168" s="19" t="s">
        <v>11</v>
      </c>
      <c r="K4168" s="22">
        <f t="shared" si="2"/>
        <v>0</v>
      </c>
    </row>
    <row r="4169">
      <c r="A4169" s="18">
        <v>190.0</v>
      </c>
      <c r="B4169" s="18" t="s">
        <v>32</v>
      </c>
      <c r="C4169" s="18" t="s">
        <v>34</v>
      </c>
      <c r="D4169" s="18" t="s">
        <v>35</v>
      </c>
      <c r="E4169" s="26">
        <v>42562.24513888889</v>
      </c>
      <c r="F4169" s="19">
        <f>IFERROR(__xludf.DUMMYFUNCTION("IFERROR(TO_DATE(E4169), """")"),42562.24513888889)</f>
        <v>42562.24514</v>
      </c>
      <c r="G4169" s="20">
        <f t="shared" si="1"/>
        <v>5</v>
      </c>
      <c r="H4169" s="18" t="s">
        <v>34</v>
      </c>
      <c r="I4169" s="19" t="str">
        <f>IFERROR(__xludf.DUMMYFUNCTION("IFERROR(TO_DATE(H4169), """")"),"NA")</f>
        <v>NA</v>
      </c>
      <c r="J4169" s="19" t="s">
        <v>11</v>
      </c>
      <c r="K4169" s="22">
        <f t="shared" si="2"/>
        <v>0</v>
      </c>
    </row>
    <row r="4170">
      <c r="A4170" s="18">
        <v>189.0</v>
      </c>
      <c r="B4170" s="18" t="s">
        <v>32</v>
      </c>
      <c r="C4170" s="18" t="s">
        <v>34</v>
      </c>
      <c r="D4170" s="18" t="s">
        <v>35</v>
      </c>
      <c r="E4170" s="26">
        <v>42562.248611111114</v>
      </c>
      <c r="F4170" s="19">
        <f>IFERROR(__xludf.DUMMYFUNCTION("IFERROR(TO_DATE(E4170), """")"),42562.248611111114)</f>
        <v>42562.24861</v>
      </c>
      <c r="G4170" s="20">
        <f t="shared" si="1"/>
        <v>5</v>
      </c>
      <c r="H4170" s="18" t="s">
        <v>34</v>
      </c>
      <c r="I4170" s="19" t="str">
        <f>IFERROR(__xludf.DUMMYFUNCTION("IFERROR(TO_DATE(H4170), """")"),"NA")</f>
        <v>NA</v>
      </c>
      <c r="J4170" s="19" t="s">
        <v>11</v>
      </c>
      <c r="K4170" s="22">
        <f t="shared" si="2"/>
        <v>0</v>
      </c>
    </row>
    <row r="4171">
      <c r="A4171" s="18">
        <v>208.0</v>
      </c>
      <c r="B4171" s="18" t="s">
        <v>30</v>
      </c>
      <c r="C4171" s="18" t="s">
        <v>34</v>
      </c>
      <c r="D4171" s="18" t="s">
        <v>35</v>
      </c>
      <c r="E4171" s="26">
        <v>42562.25347222222</v>
      </c>
      <c r="F4171" s="19">
        <f>IFERROR(__xludf.DUMMYFUNCTION("IFERROR(TO_DATE(E4171), """")"),42562.25347222222)</f>
        <v>42562.25347</v>
      </c>
      <c r="G4171" s="20">
        <f t="shared" si="1"/>
        <v>6</v>
      </c>
      <c r="H4171" s="18" t="s">
        <v>34</v>
      </c>
      <c r="I4171" s="19" t="str">
        <f>IFERROR(__xludf.DUMMYFUNCTION("IFERROR(TO_DATE(H4171), """")"),"NA")</f>
        <v>NA</v>
      </c>
      <c r="J4171" s="19" t="s">
        <v>11</v>
      </c>
      <c r="K4171" s="22">
        <f t="shared" si="2"/>
        <v>0</v>
      </c>
    </row>
    <row r="4172">
      <c r="A4172" s="18">
        <v>194.0</v>
      </c>
      <c r="B4172" s="18" t="s">
        <v>32</v>
      </c>
      <c r="C4172" s="18" t="s">
        <v>34</v>
      </c>
      <c r="D4172" s="18" t="s">
        <v>35</v>
      </c>
      <c r="E4172" s="26">
        <v>42562.25347222222</v>
      </c>
      <c r="F4172" s="19">
        <f>IFERROR(__xludf.DUMMYFUNCTION("IFERROR(TO_DATE(E4172), """")"),42562.25347222222)</f>
        <v>42562.25347</v>
      </c>
      <c r="G4172" s="20">
        <f t="shared" si="1"/>
        <v>6</v>
      </c>
      <c r="H4172" s="18" t="s">
        <v>34</v>
      </c>
      <c r="I4172" s="19" t="str">
        <f>IFERROR(__xludf.DUMMYFUNCTION("IFERROR(TO_DATE(H4172), """")"),"NA")</f>
        <v>NA</v>
      </c>
      <c r="J4172" s="19" t="s">
        <v>11</v>
      </c>
      <c r="K4172" s="22">
        <f t="shared" si="2"/>
        <v>0</v>
      </c>
    </row>
    <row r="4173">
      <c r="A4173" s="18">
        <v>207.0</v>
      </c>
      <c r="B4173" s="18" t="s">
        <v>32</v>
      </c>
      <c r="C4173" s="18" t="s">
        <v>34</v>
      </c>
      <c r="D4173" s="18" t="s">
        <v>35</v>
      </c>
      <c r="E4173" s="26">
        <v>42562.254166666666</v>
      </c>
      <c r="F4173" s="19">
        <f>IFERROR(__xludf.DUMMYFUNCTION("IFERROR(TO_DATE(E4173), """")"),42562.254166666666)</f>
        <v>42562.25417</v>
      </c>
      <c r="G4173" s="20">
        <f t="shared" si="1"/>
        <v>6</v>
      </c>
      <c r="H4173" s="18" t="s">
        <v>34</v>
      </c>
      <c r="I4173" s="19" t="str">
        <f>IFERROR(__xludf.DUMMYFUNCTION("IFERROR(TO_DATE(H4173), """")"),"NA")</f>
        <v>NA</v>
      </c>
      <c r="J4173" s="19" t="s">
        <v>11</v>
      </c>
      <c r="K4173" s="22">
        <f t="shared" si="2"/>
        <v>0</v>
      </c>
    </row>
    <row r="4174">
      <c r="A4174" s="18">
        <v>199.0</v>
      </c>
      <c r="B4174" s="18" t="s">
        <v>32</v>
      </c>
      <c r="C4174" s="18" t="s">
        <v>34</v>
      </c>
      <c r="D4174" s="18" t="s">
        <v>35</v>
      </c>
      <c r="E4174" s="26">
        <v>42562.25486111111</v>
      </c>
      <c r="F4174" s="19">
        <f>IFERROR(__xludf.DUMMYFUNCTION("IFERROR(TO_DATE(E4174), """")"),42562.25486111111)</f>
        <v>42562.25486</v>
      </c>
      <c r="G4174" s="20">
        <f t="shared" si="1"/>
        <v>6</v>
      </c>
      <c r="H4174" s="18" t="s">
        <v>34</v>
      </c>
      <c r="I4174" s="19" t="str">
        <f>IFERROR(__xludf.DUMMYFUNCTION("IFERROR(TO_DATE(H4174), """")"),"NA")</f>
        <v>NA</v>
      </c>
      <c r="J4174" s="19" t="s">
        <v>11</v>
      </c>
      <c r="K4174" s="22">
        <f t="shared" si="2"/>
        <v>0</v>
      </c>
    </row>
    <row r="4175">
      <c r="A4175" s="18">
        <v>203.0</v>
      </c>
      <c r="B4175" s="18" t="s">
        <v>32</v>
      </c>
      <c r="C4175" s="18" t="s">
        <v>34</v>
      </c>
      <c r="D4175" s="18" t="s">
        <v>35</v>
      </c>
      <c r="E4175" s="26">
        <v>42562.25486111111</v>
      </c>
      <c r="F4175" s="19">
        <f>IFERROR(__xludf.DUMMYFUNCTION("IFERROR(TO_DATE(E4175), """")"),42562.25486111111)</f>
        <v>42562.25486</v>
      </c>
      <c r="G4175" s="20">
        <f t="shared" si="1"/>
        <v>6</v>
      </c>
      <c r="H4175" s="18" t="s">
        <v>34</v>
      </c>
      <c r="I4175" s="19" t="str">
        <f>IFERROR(__xludf.DUMMYFUNCTION("IFERROR(TO_DATE(H4175), """")"),"NA")</f>
        <v>NA</v>
      </c>
      <c r="J4175" s="19" t="s">
        <v>11</v>
      </c>
      <c r="K4175" s="22">
        <f t="shared" si="2"/>
        <v>0</v>
      </c>
    </row>
    <row r="4176">
      <c r="A4176" s="18">
        <v>221.0</v>
      </c>
      <c r="B4176" s="18" t="s">
        <v>32</v>
      </c>
      <c r="C4176" s="18" t="s">
        <v>34</v>
      </c>
      <c r="D4176" s="18" t="s">
        <v>35</v>
      </c>
      <c r="E4176" s="26">
        <v>42562.26111111111</v>
      </c>
      <c r="F4176" s="19">
        <f>IFERROR(__xludf.DUMMYFUNCTION("IFERROR(TO_DATE(E4176), """")"),42562.26111111111)</f>
        <v>42562.26111</v>
      </c>
      <c r="G4176" s="20">
        <f t="shared" si="1"/>
        <v>6</v>
      </c>
      <c r="H4176" s="18" t="s">
        <v>34</v>
      </c>
      <c r="I4176" s="19" t="str">
        <f>IFERROR(__xludf.DUMMYFUNCTION("IFERROR(TO_DATE(H4176), """")"),"NA")</f>
        <v>NA</v>
      </c>
      <c r="J4176" s="19" t="s">
        <v>11</v>
      </c>
      <c r="K4176" s="22">
        <f t="shared" si="2"/>
        <v>0</v>
      </c>
    </row>
    <row r="4177">
      <c r="A4177" s="18">
        <v>226.0</v>
      </c>
      <c r="B4177" s="18" t="s">
        <v>32</v>
      </c>
      <c r="C4177" s="18" t="s">
        <v>34</v>
      </c>
      <c r="D4177" s="18" t="s">
        <v>35</v>
      </c>
      <c r="E4177" s="26">
        <v>42562.26458333333</v>
      </c>
      <c r="F4177" s="19">
        <f>IFERROR(__xludf.DUMMYFUNCTION("IFERROR(TO_DATE(E4177), """")"),42562.26458333333)</f>
        <v>42562.26458</v>
      </c>
      <c r="G4177" s="20">
        <f t="shared" si="1"/>
        <v>6</v>
      </c>
      <c r="H4177" s="18" t="s">
        <v>34</v>
      </c>
      <c r="I4177" s="19" t="str">
        <f>IFERROR(__xludf.DUMMYFUNCTION("IFERROR(TO_DATE(H4177), """")"),"NA")</f>
        <v>NA</v>
      </c>
      <c r="J4177" s="19" t="s">
        <v>11</v>
      </c>
      <c r="K4177" s="22">
        <f t="shared" si="2"/>
        <v>0</v>
      </c>
    </row>
    <row r="4178">
      <c r="A4178" s="18">
        <v>228.0</v>
      </c>
      <c r="B4178" s="18" t="s">
        <v>32</v>
      </c>
      <c r="C4178" s="18" t="s">
        <v>34</v>
      </c>
      <c r="D4178" s="18" t="s">
        <v>35</v>
      </c>
      <c r="E4178" s="26">
        <v>42562.26666666667</v>
      </c>
      <c r="F4178" s="19">
        <f>IFERROR(__xludf.DUMMYFUNCTION("IFERROR(TO_DATE(E4178), """")"),42562.26666666667)</f>
        <v>42562.26667</v>
      </c>
      <c r="G4178" s="20">
        <f t="shared" si="1"/>
        <v>6</v>
      </c>
      <c r="H4178" s="18" t="s">
        <v>34</v>
      </c>
      <c r="I4178" s="19" t="str">
        <f>IFERROR(__xludf.DUMMYFUNCTION("IFERROR(TO_DATE(H4178), """")"),"NA")</f>
        <v>NA</v>
      </c>
      <c r="J4178" s="19" t="s">
        <v>11</v>
      </c>
      <c r="K4178" s="22">
        <f t="shared" si="2"/>
        <v>0</v>
      </c>
    </row>
    <row r="4179">
      <c r="A4179" s="18">
        <v>231.0</v>
      </c>
      <c r="B4179" s="18" t="s">
        <v>32</v>
      </c>
      <c r="C4179" s="18" t="s">
        <v>34</v>
      </c>
      <c r="D4179" s="18" t="s">
        <v>35</v>
      </c>
      <c r="E4179" s="26">
        <v>42562.268055555556</v>
      </c>
      <c r="F4179" s="19">
        <f>IFERROR(__xludf.DUMMYFUNCTION("IFERROR(TO_DATE(E4179), """")"),42562.268055555556)</f>
        <v>42562.26806</v>
      </c>
      <c r="G4179" s="20">
        <f t="shared" si="1"/>
        <v>6</v>
      </c>
      <c r="H4179" s="18" t="s">
        <v>34</v>
      </c>
      <c r="I4179" s="19" t="str">
        <f>IFERROR(__xludf.DUMMYFUNCTION("IFERROR(TO_DATE(H4179), """")"),"NA")</f>
        <v>NA</v>
      </c>
      <c r="J4179" s="19" t="s">
        <v>11</v>
      </c>
      <c r="K4179" s="22">
        <f t="shared" si="2"/>
        <v>0</v>
      </c>
    </row>
    <row r="4180">
      <c r="A4180" s="18">
        <v>230.0</v>
      </c>
      <c r="B4180" s="18" t="s">
        <v>32</v>
      </c>
      <c r="C4180" s="18" t="s">
        <v>34</v>
      </c>
      <c r="D4180" s="18" t="s">
        <v>35</v>
      </c>
      <c r="E4180" s="26">
        <v>42562.26875</v>
      </c>
      <c r="F4180" s="19">
        <f>IFERROR(__xludf.DUMMYFUNCTION("IFERROR(TO_DATE(E4180), """")"),42562.26875)</f>
        <v>42562.26875</v>
      </c>
      <c r="G4180" s="20">
        <f t="shared" si="1"/>
        <v>6</v>
      </c>
      <c r="H4180" s="18" t="s">
        <v>34</v>
      </c>
      <c r="I4180" s="19" t="str">
        <f>IFERROR(__xludf.DUMMYFUNCTION("IFERROR(TO_DATE(H4180), """")"),"NA")</f>
        <v>NA</v>
      </c>
      <c r="J4180" s="19" t="s">
        <v>11</v>
      </c>
      <c r="K4180" s="22">
        <f t="shared" si="2"/>
        <v>0</v>
      </c>
    </row>
    <row r="4181">
      <c r="A4181" s="18">
        <v>254.0</v>
      </c>
      <c r="B4181" s="18" t="s">
        <v>32</v>
      </c>
      <c r="C4181" s="18" t="s">
        <v>34</v>
      </c>
      <c r="D4181" s="18" t="s">
        <v>35</v>
      </c>
      <c r="E4181" s="26">
        <v>42562.27777777778</v>
      </c>
      <c r="F4181" s="19">
        <f>IFERROR(__xludf.DUMMYFUNCTION("IFERROR(TO_DATE(E4181), """")"),42562.27777777778)</f>
        <v>42562.27778</v>
      </c>
      <c r="G4181" s="20">
        <f t="shared" si="1"/>
        <v>6</v>
      </c>
      <c r="H4181" s="18" t="s">
        <v>34</v>
      </c>
      <c r="I4181" s="19" t="str">
        <f>IFERROR(__xludf.DUMMYFUNCTION("IFERROR(TO_DATE(H4181), """")"),"NA")</f>
        <v>NA</v>
      </c>
      <c r="J4181" s="19" t="s">
        <v>11</v>
      </c>
      <c r="K4181" s="22">
        <f t="shared" si="2"/>
        <v>0</v>
      </c>
    </row>
    <row r="4182">
      <c r="A4182" s="18">
        <v>263.0</v>
      </c>
      <c r="B4182" s="18" t="s">
        <v>32</v>
      </c>
      <c r="C4182" s="18" t="s">
        <v>34</v>
      </c>
      <c r="D4182" s="18" t="s">
        <v>35</v>
      </c>
      <c r="E4182" s="26">
        <v>42562.28055555555</v>
      </c>
      <c r="F4182" s="19">
        <f>IFERROR(__xludf.DUMMYFUNCTION("IFERROR(TO_DATE(E4182), """")"),42562.28055555555)</f>
        <v>42562.28056</v>
      </c>
      <c r="G4182" s="20">
        <f t="shared" si="1"/>
        <v>6</v>
      </c>
      <c r="H4182" s="18" t="s">
        <v>34</v>
      </c>
      <c r="I4182" s="19" t="str">
        <f>IFERROR(__xludf.DUMMYFUNCTION("IFERROR(TO_DATE(H4182), """")"),"NA")</f>
        <v>NA</v>
      </c>
      <c r="J4182" s="19" t="s">
        <v>11</v>
      </c>
      <c r="K4182" s="22">
        <f t="shared" si="2"/>
        <v>0</v>
      </c>
    </row>
    <row r="4183">
      <c r="A4183" s="18">
        <v>255.0</v>
      </c>
      <c r="B4183" s="18" t="s">
        <v>32</v>
      </c>
      <c r="C4183" s="18" t="s">
        <v>34</v>
      </c>
      <c r="D4183" s="18" t="s">
        <v>35</v>
      </c>
      <c r="E4183" s="26">
        <v>42562.28055555555</v>
      </c>
      <c r="F4183" s="19">
        <f>IFERROR(__xludf.DUMMYFUNCTION("IFERROR(TO_DATE(E4183), """")"),42562.28055555555)</f>
        <v>42562.28056</v>
      </c>
      <c r="G4183" s="20">
        <f t="shared" si="1"/>
        <v>6</v>
      </c>
      <c r="H4183" s="18" t="s">
        <v>34</v>
      </c>
      <c r="I4183" s="19" t="str">
        <f>IFERROR(__xludf.DUMMYFUNCTION("IFERROR(TO_DATE(H4183), """")"),"NA")</f>
        <v>NA</v>
      </c>
      <c r="J4183" s="19" t="s">
        <v>11</v>
      </c>
      <c r="K4183" s="22">
        <f t="shared" si="2"/>
        <v>0</v>
      </c>
    </row>
    <row r="4184">
      <c r="A4184" s="18">
        <v>259.0</v>
      </c>
      <c r="B4184" s="18" t="s">
        <v>32</v>
      </c>
      <c r="C4184" s="18" t="s">
        <v>34</v>
      </c>
      <c r="D4184" s="18" t="s">
        <v>35</v>
      </c>
      <c r="E4184" s="26">
        <v>42562.28194444445</v>
      </c>
      <c r="F4184" s="19">
        <f>IFERROR(__xludf.DUMMYFUNCTION("IFERROR(TO_DATE(E4184), """")"),42562.28194444445)</f>
        <v>42562.28194</v>
      </c>
      <c r="G4184" s="20">
        <f t="shared" si="1"/>
        <v>6</v>
      </c>
      <c r="H4184" s="18" t="s">
        <v>34</v>
      </c>
      <c r="I4184" s="19" t="str">
        <f>IFERROR(__xludf.DUMMYFUNCTION("IFERROR(TO_DATE(H4184), """")"),"NA")</f>
        <v>NA</v>
      </c>
      <c r="J4184" s="19" t="s">
        <v>11</v>
      </c>
      <c r="K4184" s="22">
        <f t="shared" si="2"/>
        <v>0</v>
      </c>
    </row>
    <row r="4185">
      <c r="A4185" s="18">
        <v>266.0</v>
      </c>
      <c r="B4185" s="18" t="s">
        <v>32</v>
      </c>
      <c r="C4185" s="18" t="s">
        <v>34</v>
      </c>
      <c r="D4185" s="18" t="s">
        <v>35</v>
      </c>
      <c r="E4185" s="26">
        <v>42562.282638888886</v>
      </c>
      <c r="F4185" s="19">
        <f>IFERROR(__xludf.DUMMYFUNCTION("IFERROR(TO_DATE(E4185), """")"),42562.282638888886)</f>
        <v>42562.28264</v>
      </c>
      <c r="G4185" s="20">
        <f t="shared" si="1"/>
        <v>6</v>
      </c>
      <c r="H4185" s="18" t="s">
        <v>34</v>
      </c>
      <c r="I4185" s="19" t="str">
        <f>IFERROR(__xludf.DUMMYFUNCTION("IFERROR(TO_DATE(H4185), """")"),"NA")</f>
        <v>NA</v>
      </c>
      <c r="J4185" s="19" t="s">
        <v>11</v>
      </c>
      <c r="K4185" s="22">
        <f t="shared" si="2"/>
        <v>0</v>
      </c>
    </row>
    <row r="4186">
      <c r="A4186" s="18">
        <v>274.0</v>
      </c>
      <c r="B4186" s="18" t="s">
        <v>32</v>
      </c>
      <c r="C4186" s="18" t="s">
        <v>34</v>
      </c>
      <c r="D4186" s="18" t="s">
        <v>35</v>
      </c>
      <c r="E4186" s="26">
        <v>42562.28472222222</v>
      </c>
      <c r="F4186" s="19">
        <f>IFERROR(__xludf.DUMMYFUNCTION("IFERROR(TO_DATE(E4186), """")"),42562.28472222222)</f>
        <v>42562.28472</v>
      </c>
      <c r="G4186" s="20">
        <f t="shared" si="1"/>
        <v>6</v>
      </c>
      <c r="H4186" s="18" t="s">
        <v>34</v>
      </c>
      <c r="I4186" s="19" t="str">
        <f>IFERROR(__xludf.DUMMYFUNCTION("IFERROR(TO_DATE(H4186), """")"),"NA")</f>
        <v>NA</v>
      </c>
      <c r="J4186" s="19" t="s">
        <v>11</v>
      </c>
      <c r="K4186" s="22">
        <f t="shared" si="2"/>
        <v>0</v>
      </c>
    </row>
    <row r="4187">
      <c r="A4187" s="18">
        <v>272.0</v>
      </c>
      <c r="B4187" s="18" t="s">
        <v>32</v>
      </c>
      <c r="C4187" s="18" t="s">
        <v>34</v>
      </c>
      <c r="D4187" s="18" t="s">
        <v>35</v>
      </c>
      <c r="E4187" s="26">
        <v>42562.28472222222</v>
      </c>
      <c r="F4187" s="19">
        <f>IFERROR(__xludf.DUMMYFUNCTION("IFERROR(TO_DATE(E4187), """")"),42562.28472222222)</f>
        <v>42562.28472</v>
      </c>
      <c r="G4187" s="20">
        <f t="shared" si="1"/>
        <v>6</v>
      </c>
      <c r="H4187" s="18" t="s">
        <v>34</v>
      </c>
      <c r="I4187" s="19" t="str">
        <f>IFERROR(__xludf.DUMMYFUNCTION("IFERROR(TO_DATE(H4187), """")"),"NA")</f>
        <v>NA</v>
      </c>
      <c r="J4187" s="19" t="s">
        <v>11</v>
      </c>
      <c r="K4187" s="22">
        <f t="shared" si="2"/>
        <v>0</v>
      </c>
    </row>
    <row r="4188">
      <c r="A4188" s="18">
        <v>287.0</v>
      </c>
      <c r="B4188" s="18" t="s">
        <v>32</v>
      </c>
      <c r="C4188" s="18" t="s">
        <v>34</v>
      </c>
      <c r="D4188" s="18" t="s">
        <v>35</v>
      </c>
      <c r="E4188" s="26">
        <v>42562.29513888889</v>
      </c>
      <c r="F4188" s="19">
        <f>IFERROR(__xludf.DUMMYFUNCTION("IFERROR(TO_DATE(E4188), """")"),42562.29513888889)</f>
        <v>42562.29514</v>
      </c>
      <c r="G4188" s="20">
        <f t="shared" si="1"/>
        <v>7</v>
      </c>
      <c r="H4188" s="18" t="s">
        <v>34</v>
      </c>
      <c r="I4188" s="19" t="str">
        <f>IFERROR(__xludf.DUMMYFUNCTION("IFERROR(TO_DATE(H4188), """")"),"NA")</f>
        <v>NA</v>
      </c>
      <c r="J4188" s="19" t="s">
        <v>11</v>
      </c>
      <c r="K4188" s="22">
        <f t="shared" si="2"/>
        <v>0</v>
      </c>
    </row>
    <row r="4189">
      <c r="A4189" s="18">
        <v>288.0</v>
      </c>
      <c r="B4189" s="18" t="s">
        <v>32</v>
      </c>
      <c r="C4189" s="18" t="s">
        <v>34</v>
      </c>
      <c r="D4189" s="18" t="s">
        <v>35</v>
      </c>
      <c r="E4189" s="26">
        <v>42562.29513888889</v>
      </c>
      <c r="F4189" s="19">
        <f>IFERROR(__xludf.DUMMYFUNCTION("IFERROR(TO_DATE(E4189), """")"),42562.29513888889)</f>
        <v>42562.29514</v>
      </c>
      <c r="G4189" s="20">
        <f t="shared" si="1"/>
        <v>7</v>
      </c>
      <c r="H4189" s="18" t="s">
        <v>34</v>
      </c>
      <c r="I4189" s="19" t="str">
        <f>IFERROR(__xludf.DUMMYFUNCTION("IFERROR(TO_DATE(H4189), """")"),"NA")</f>
        <v>NA</v>
      </c>
      <c r="J4189" s="19" t="s">
        <v>11</v>
      </c>
      <c r="K4189" s="22">
        <f t="shared" si="2"/>
        <v>0</v>
      </c>
    </row>
    <row r="4190">
      <c r="A4190" s="18">
        <v>300.0</v>
      </c>
      <c r="B4190" s="18" t="s">
        <v>32</v>
      </c>
      <c r="C4190" s="18" t="s">
        <v>34</v>
      </c>
      <c r="D4190" s="18" t="s">
        <v>35</v>
      </c>
      <c r="E4190" s="26">
        <v>42562.30069444444</v>
      </c>
      <c r="F4190" s="19">
        <f>IFERROR(__xludf.DUMMYFUNCTION("IFERROR(TO_DATE(E4190), """")"),42562.30069444444)</f>
        <v>42562.30069</v>
      </c>
      <c r="G4190" s="20">
        <f t="shared" si="1"/>
        <v>7</v>
      </c>
      <c r="H4190" s="18" t="s">
        <v>34</v>
      </c>
      <c r="I4190" s="19" t="str">
        <f>IFERROR(__xludf.DUMMYFUNCTION("IFERROR(TO_DATE(H4190), """")"),"NA")</f>
        <v>NA</v>
      </c>
      <c r="J4190" s="19" t="s">
        <v>11</v>
      </c>
      <c r="K4190" s="22">
        <f t="shared" si="2"/>
        <v>0</v>
      </c>
    </row>
    <row r="4191">
      <c r="A4191" s="18">
        <v>331.0</v>
      </c>
      <c r="B4191" s="18" t="s">
        <v>32</v>
      </c>
      <c r="C4191" s="18" t="s">
        <v>34</v>
      </c>
      <c r="D4191" s="18" t="s">
        <v>35</v>
      </c>
      <c r="E4191" s="26">
        <v>42562.32430555556</v>
      </c>
      <c r="F4191" s="19">
        <f>IFERROR(__xludf.DUMMYFUNCTION("IFERROR(TO_DATE(E4191), """")"),42562.32430555556)</f>
        <v>42562.32431</v>
      </c>
      <c r="G4191" s="20">
        <f t="shared" si="1"/>
        <v>7</v>
      </c>
      <c r="H4191" s="18" t="s">
        <v>34</v>
      </c>
      <c r="I4191" s="19" t="str">
        <f>IFERROR(__xludf.DUMMYFUNCTION("IFERROR(TO_DATE(H4191), """")"),"NA")</f>
        <v>NA</v>
      </c>
      <c r="J4191" s="19" t="s">
        <v>11</v>
      </c>
      <c r="K4191" s="22">
        <f t="shared" si="2"/>
        <v>0</v>
      </c>
    </row>
    <row r="4192">
      <c r="A4192" s="18">
        <v>337.0</v>
      </c>
      <c r="B4192" s="18" t="s">
        <v>32</v>
      </c>
      <c r="C4192" s="18" t="s">
        <v>34</v>
      </c>
      <c r="D4192" s="18" t="s">
        <v>35</v>
      </c>
      <c r="E4192" s="26">
        <v>42562.32638888889</v>
      </c>
      <c r="F4192" s="19">
        <f>IFERROR(__xludf.DUMMYFUNCTION("IFERROR(TO_DATE(E4192), """")"),42562.32638888889)</f>
        <v>42562.32639</v>
      </c>
      <c r="G4192" s="20">
        <f t="shared" si="1"/>
        <v>7</v>
      </c>
      <c r="H4192" s="18" t="s">
        <v>34</v>
      </c>
      <c r="I4192" s="19" t="str">
        <f>IFERROR(__xludf.DUMMYFUNCTION("IFERROR(TO_DATE(H4192), """")"),"NA")</f>
        <v>NA</v>
      </c>
      <c r="J4192" s="19" t="s">
        <v>11</v>
      </c>
      <c r="K4192" s="22">
        <f t="shared" si="2"/>
        <v>0</v>
      </c>
    </row>
    <row r="4193">
      <c r="A4193" s="18">
        <v>342.0</v>
      </c>
      <c r="B4193" s="18" t="s">
        <v>32</v>
      </c>
      <c r="C4193" s="18" t="s">
        <v>34</v>
      </c>
      <c r="D4193" s="18" t="s">
        <v>35</v>
      </c>
      <c r="E4193" s="26">
        <v>42562.32708333333</v>
      </c>
      <c r="F4193" s="19">
        <f>IFERROR(__xludf.DUMMYFUNCTION("IFERROR(TO_DATE(E4193), """")"),42562.32708333333)</f>
        <v>42562.32708</v>
      </c>
      <c r="G4193" s="20">
        <f t="shared" si="1"/>
        <v>7</v>
      </c>
      <c r="H4193" s="18" t="s">
        <v>34</v>
      </c>
      <c r="I4193" s="19" t="str">
        <f>IFERROR(__xludf.DUMMYFUNCTION("IFERROR(TO_DATE(H4193), """")"),"NA")</f>
        <v>NA</v>
      </c>
      <c r="J4193" s="19" t="s">
        <v>11</v>
      </c>
      <c r="K4193" s="22">
        <f t="shared" si="2"/>
        <v>0</v>
      </c>
    </row>
    <row r="4194">
      <c r="A4194" s="18">
        <v>349.0</v>
      </c>
      <c r="B4194" s="18" t="s">
        <v>32</v>
      </c>
      <c r="C4194" s="18" t="s">
        <v>34</v>
      </c>
      <c r="D4194" s="18" t="s">
        <v>35</v>
      </c>
      <c r="E4194" s="26">
        <v>42562.32708333333</v>
      </c>
      <c r="F4194" s="19">
        <f>IFERROR(__xludf.DUMMYFUNCTION("IFERROR(TO_DATE(E4194), """")"),42562.32708333333)</f>
        <v>42562.32708</v>
      </c>
      <c r="G4194" s="20">
        <f t="shared" si="1"/>
        <v>7</v>
      </c>
      <c r="H4194" s="18" t="s">
        <v>34</v>
      </c>
      <c r="I4194" s="19" t="str">
        <f>IFERROR(__xludf.DUMMYFUNCTION("IFERROR(TO_DATE(H4194), """")"),"NA")</f>
        <v>NA</v>
      </c>
      <c r="J4194" s="19" t="s">
        <v>11</v>
      </c>
      <c r="K4194" s="22">
        <f t="shared" si="2"/>
        <v>0</v>
      </c>
    </row>
    <row r="4195">
      <c r="A4195" s="18">
        <v>344.0</v>
      </c>
      <c r="B4195" s="18" t="s">
        <v>32</v>
      </c>
      <c r="C4195" s="18" t="s">
        <v>34</v>
      </c>
      <c r="D4195" s="18" t="s">
        <v>35</v>
      </c>
      <c r="E4195" s="26">
        <v>42562.32777777778</v>
      </c>
      <c r="F4195" s="19">
        <f>IFERROR(__xludf.DUMMYFUNCTION("IFERROR(TO_DATE(E4195), """")"),42562.32777777778)</f>
        <v>42562.32778</v>
      </c>
      <c r="G4195" s="20">
        <f t="shared" si="1"/>
        <v>7</v>
      </c>
      <c r="H4195" s="18" t="s">
        <v>34</v>
      </c>
      <c r="I4195" s="19" t="str">
        <f>IFERROR(__xludf.DUMMYFUNCTION("IFERROR(TO_DATE(H4195), """")"),"NA")</f>
        <v>NA</v>
      </c>
      <c r="J4195" s="19" t="s">
        <v>11</v>
      </c>
      <c r="K4195" s="22">
        <f t="shared" si="2"/>
        <v>0</v>
      </c>
    </row>
    <row r="4196">
      <c r="A4196" s="18">
        <v>348.0</v>
      </c>
      <c r="B4196" s="18" t="s">
        <v>32</v>
      </c>
      <c r="C4196" s="18" t="s">
        <v>34</v>
      </c>
      <c r="D4196" s="18" t="s">
        <v>35</v>
      </c>
      <c r="E4196" s="26">
        <v>42562.32916666667</v>
      </c>
      <c r="F4196" s="19">
        <f>IFERROR(__xludf.DUMMYFUNCTION("IFERROR(TO_DATE(E4196), """")"),42562.32916666667)</f>
        <v>42562.32917</v>
      </c>
      <c r="G4196" s="20">
        <f t="shared" si="1"/>
        <v>7</v>
      </c>
      <c r="H4196" s="18" t="s">
        <v>34</v>
      </c>
      <c r="I4196" s="19" t="str">
        <f>IFERROR(__xludf.DUMMYFUNCTION("IFERROR(TO_DATE(H4196), """")"),"NA")</f>
        <v>NA</v>
      </c>
      <c r="J4196" s="19" t="s">
        <v>11</v>
      </c>
      <c r="K4196" s="22">
        <f t="shared" si="2"/>
        <v>0</v>
      </c>
    </row>
    <row r="4197">
      <c r="A4197" s="18">
        <v>359.0</v>
      </c>
      <c r="B4197" s="18" t="s">
        <v>32</v>
      </c>
      <c r="C4197" s="18" t="s">
        <v>34</v>
      </c>
      <c r="D4197" s="18" t="s">
        <v>35</v>
      </c>
      <c r="E4197" s="26">
        <v>42562.33194444444</v>
      </c>
      <c r="F4197" s="19">
        <f>IFERROR(__xludf.DUMMYFUNCTION("IFERROR(TO_DATE(E4197), """")"),42562.33194444444)</f>
        <v>42562.33194</v>
      </c>
      <c r="G4197" s="20">
        <f t="shared" si="1"/>
        <v>7</v>
      </c>
      <c r="H4197" s="18" t="s">
        <v>34</v>
      </c>
      <c r="I4197" s="19" t="str">
        <f>IFERROR(__xludf.DUMMYFUNCTION("IFERROR(TO_DATE(H4197), """")"),"NA")</f>
        <v>NA</v>
      </c>
      <c r="J4197" s="19" t="s">
        <v>11</v>
      </c>
      <c r="K4197" s="22">
        <f t="shared" si="2"/>
        <v>0</v>
      </c>
    </row>
    <row r="4198">
      <c r="A4198" s="18">
        <v>367.0</v>
      </c>
      <c r="B4198" s="18" t="s">
        <v>32</v>
      </c>
      <c r="C4198" s="18" t="s">
        <v>34</v>
      </c>
      <c r="D4198" s="18" t="s">
        <v>35</v>
      </c>
      <c r="E4198" s="26">
        <v>42562.33541666667</v>
      </c>
      <c r="F4198" s="19">
        <f>IFERROR(__xludf.DUMMYFUNCTION("IFERROR(TO_DATE(E4198), """")"),42562.33541666667)</f>
        <v>42562.33542</v>
      </c>
      <c r="G4198" s="20">
        <f t="shared" si="1"/>
        <v>8</v>
      </c>
      <c r="H4198" s="18" t="s">
        <v>34</v>
      </c>
      <c r="I4198" s="19" t="str">
        <f>IFERROR(__xludf.DUMMYFUNCTION("IFERROR(TO_DATE(H4198), """")"),"NA")</f>
        <v>NA</v>
      </c>
      <c r="J4198" s="19" t="s">
        <v>14</v>
      </c>
      <c r="K4198" s="22">
        <f t="shared" si="2"/>
        <v>0</v>
      </c>
    </row>
    <row r="4199">
      <c r="A4199" s="18">
        <v>356.0</v>
      </c>
      <c r="B4199" s="18" t="s">
        <v>32</v>
      </c>
      <c r="C4199" s="18" t="s">
        <v>34</v>
      </c>
      <c r="D4199" s="18" t="s">
        <v>35</v>
      </c>
      <c r="E4199" s="26">
        <v>42562.33541666667</v>
      </c>
      <c r="F4199" s="19">
        <f>IFERROR(__xludf.DUMMYFUNCTION("IFERROR(TO_DATE(E4199), """")"),42562.33541666667)</f>
        <v>42562.33542</v>
      </c>
      <c r="G4199" s="20">
        <f t="shared" si="1"/>
        <v>8</v>
      </c>
      <c r="H4199" s="18" t="s">
        <v>34</v>
      </c>
      <c r="I4199" s="19" t="str">
        <f>IFERROR(__xludf.DUMMYFUNCTION("IFERROR(TO_DATE(H4199), """")"),"NA")</f>
        <v>NA</v>
      </c>
      <c r="J4199" s="19" t="s">
        <v>14</v>
      </c>
      <c r="K4199" s="22">
        <f t="shared" si="2"/>
        <v>0</v>
      </c>
    </row>
    <row r="4200">
      <c r="A4200" s="18">
        <v>369.0</v>
      </c>
      <c r="B4200" s="18" t="s">
        <v>32</v>
      </c>
      <c r="C4200" s="18" t="s">
        <v>34</v>
      </c>
      <c r="D4200" s="18" t="s">
        <v>35</v>
      </c>
      <c r="E4200" s="26">
        <v>42562.33611111111</v>
      </c>
      <c r="F4200" s="19">
        <f>IFERROR(__xludf.DUMMYFUNCTION("IFERROR(TO_DATE(E4200), """")"),42562.33611111111)</f>
        <v>42562.33611</v>
      </c>
      <c r="G4200" s="20">
        <f t="shared" si="1"/>
        <v>8</v>
      </c>
      <c r="H4200" s="18" t="s">
        <v>34</v>
      </c>
      <c r="I4200" s="19" t="str">
        <f>IFERROR(__xludf.DUMMYFUNCTION("IFERROR(TO_DATE(H4200), """")"),"NA")</f>
        <v>NA</v>
      </c>
      <c r="J4200" s="19" t="s">
        <v>14</v>
      </c>
      <c r="K4200" s="22">
        <f t="shared" si="2"/>
        <v>0</v>
      </c>
    </row>
    <row r="4201">
      <c r="A4201" s="18">
        <v>364.0</v>
      </c>
      <c r="B4201" s="18" t="s">
        <v>32</v>
      </c>
      <c r="C4201" s="18" t="s">
        <v>34</v>
      </c>
      <c r="D4201" s="18" t="s">
        <v>35</v>
      </c>
      <c r="E4201" s="26">
        <v>42562.336805555555</v>
      </c>
      <c r="F4201" s="19">
        <f>IFERROR(__xludf.DUMMYFUNCTION("IFERROR(TO_DATE(E4201), """")"),42562.336805555555)</f>
        <v>42562.33681</v>
      </c>
      <c r="G4201" s="20">
        <f t="shared" si="1"/>
        <v>8</v>
      </c>
      <c r="H4201" s="18" t="s">
        <v>34</v>
      </c>
      <c r="I4201" s="19" t="str">
        <f>IFERROR(__xludf.DUMMYFUNCTION("IFERROR(TO_DATE(H4201), """")"),"NA")</f>
        <v>NA</v>
      </c>
      <c r="J4201" s="19" t="s">
        <v>14</v>
      </c>
      <c r="K4201" s="22">
        <f t="shared" si="2"/>
        <v>0</v>
      </c>
    </row>
    <row r="4202">
      <c r="A4202" s="18">
        <v>372.0</v>
      </c>
      <c r="B4202" s="18" t="s">
        <v>32</v>
      </c>
      <c r="C4202" s="18" t="s">
        <v>34</v>
      </c>
      <c r="D4202" s="18" t="s">
        <v>35</v>
      </c>
      <c r="E4202" s="26">
        <v>42562.33819444444</v>
      </c>
      <c r="F4202" s="19">
        <f>IFERROR(__xludf.DUMMYFUNCTION("IFERROR(TO_DATE(E4202), """")"),42562.33819444444)</f>
        <v>42562.33819</v>
      </c>
      <c r="G4202" s="20">
        <f t="shared" si="1"/>
        <v>8</v>
      </c>
      <c r="H4202" s="18" t="s">
        <v>34</v>
      </c>
      <c r="I4202" s="19" t="str">
        <f>IFERROR(__xludf.DUMMYFUNCTION("IFERROR(TO_DATE(H4202), """")"),"NA")</f>
        <v>NA</v>
      </c>
      <c r="J4202" s="19" t="s">
        <v>14</v>
      </c>
      <c r="K4202" s="22">
        <f t="shared" si="2"/>
        <v>0</v>
      </c>
    </row>
    <row r="4203">
      <c r="A4203" s="18">
        <v>365.0</v>
      </c>
      <c r="B4203" s="18" t="s">
        <v>32</v>
      </c>
      <c r="C4203" s="18" t="s">
        <v>34</v>
      </c>
      <c r="D4203" s="18" t="s">
        <v>35</v>
      </c>
      <c r="E4203" s="26">
        <v>42562.33819444444</v>
      </c>
      <c r="F4203" s="19">
        <f>IFERROR(__xludf.DUMMYFUNCTION("IFERROR(TO_DATE(E4203), """")"),42562.33819444444)</f>
        <v>42562.33819</v>
      </c>
      <c r="G4203" s="20">
        <f t="shared" si="1"/>
        <v>8</v>
      </c>
      <c r="H4203" s="18" t="s">
        <v>34</v>
      </c>
      <c r="I4203" s="19" t="str">
        <f>IFERROR(__xludf.DUMMYFUNCTION("IFERROR(TO_DATE(H4203), """")"),"NA")</f>
        <v>NA</v>
      </c>
      <c r="J4203" s="19" t="s">
        <v>14</v>
      </c>
      <c r="K4203" s="22">
        <f t="shared" si="2"/>
        <v>0</v>
      </c>
    </row>
    <row r="4204">
      <c r="A4204" s="18">
        <v>390.0</v>
      </c>
      <c r="B4204" s="18" t="s">
        <v>32</v>
      </c>
      <c r="C4204" s="18" t="s">
        <v>34</v>
      </c>
      <c r="D4204" s="18" t="s">
        <v>35</v>
      </c>
      <c r="E4204" s="26">
        <v>42562.345138888886</v>
      </c>
      <c r="F4204" s="19">
        <f>IFERROR(__xludf.DUMMYFUNCTION("IFERROR(TO_DATE(E4204), """")"),42562.345138888886)</f>
        <v>42562.34514</v>
      </c>
      <c r="G4204" s="20">
        <f t="shared" si="1"/>
        <v>8</v>
      </c>
      <c r="H4204" s="18" t="s">
        <v>34</v>
      </c>
      <c r="I4204" s="19" t="str">
        <f>IFERROR(__xludf.DUMMYFUNCTION("IFERROR(TO_DATE(H4204), """")"),"NA")</f>
        <v>NA</v>
      </c>
      <c r="J4204" s="19" t="s">
        <v>14</v>
      </c>
      <c r="K4204" s="22">
        <f t="shared" si="2"/>
        <v>0</v>
      </c>
    </row>
    <row r="4205">
      <c r="A4205" s="18">
        <v>388.0</v>
      </c>
      <c r="B4205" s="18" t="s">
        <v>32</v>
      </c>
      <c r="C4205" s="18" t="s">
        <v>34</v>
      </c>
      <c r="D4205" s="18" t="s">
        <v>35</v>
      </c>
      <c r="E4205" s="26">
        <v>42562.347916666666</v>
      </c>
      <c r="F4205" s="19">
        <f>IFERROR(__xludf.DUMMYFUNCTION("IFERROR(TO_DATE(E4205), """")"),42562.347916666666)</f>
        <v>42562.34792</v>
      </c>
      <c r="G4205" s="20">
        <f t="shared" si="1"/>
        <v>8</v>
      </c>
      <c r="H4205" s="18" t="s">
        <v>34</v>
      </c>
      <c r="I4205" s="19" t="str">
        <f>IFERROR(__xludf.DUMMYFUNCTION("IFERROR(TO_DATE(H4205), """")"),"NA")</f>
        <v>NA</v>
      </c>
      <c r="J4205" s="19" t="s">
        <v>14</v>
      </c>
      <c r="K4205" s="22">
        <f t="shared" si="2"/>
        <v>0</v>
      </c>
    </row>
    <row r="4206">
      <c r="A4206" s="18">
        <v>385.0</v>
      </c>
      <c r="B4206" s="18" t="s">
        <v>32</v>
      </c>
      <c r="C4206" s="18" t="s">
        <v>34</v>
      </c>
      <c r="D4206" s="18" t="s">
        <v>35</v>
      </c>
      <c r="E4206" s="26">
        <v>42562.347916666666</v>
      </c>
      <c r="F4206" s="19">
        <f>IFERROR(__xludf.DUMMYFUNCTION("IFERROR(TO_DATE(E4206), """")"),42562.347916666666)</f>
        <v>42562.34792</v>
      </c>
      <c r="G4206" s="20">
        <f t="shared" si="1"/>
        <v>8</v>
      </c>
      <c r="H4206" s="18" t="s">
        <v>34</v>
      </c>
      <c r="I4206" s="19" t="str">
        <f>IFERROR(__xludf.DUMMYFUNCTION("IFERROR(TO_DATE(H4206), """")"),"NA")</f>
        <v>NA</v>
      </c>
      <c r="J4206" s="19" t="s">
        <v>14</v>
      </c>
      <c r="K4206" s="22">
        <f t="shared" si="2"/>
        <v>0</v>
      </c>
    </row>
    <row r="4207">
      <c r="A4207" s="18">
        <v>396.0</v>
      </c>
      <c r="B4207" s="18" t="s">
        <v>32</v>
      </c>
      <c r="C4207" s="18" t="s">
        <v>34</v>
      </c>
      <c r="D4207" s="18" t="s">
        <v>35</v>
      </c>
      <c r="E4207" s="26">
        <v>42562.353472222225</v>
      </c>
      <c r="F4207" s="19">
        <f>IFERROR(__xludf.DUMMYFUNCTION("IFERROR(TO_DATE(E4207), """")"),42562.353472222225)</f>
        <v>42562.35347</v>
      </c>
      <c r="G4207" s="20">
        <f t="shared" si="1"/>
        <v>8</v>
      </c>
      <c r="H4207" s="18" t="s">
        <v>34</v>
      </c>
      <c r="I4207" s="19" t="str">
        <f>IFERROR(__xludf.DUMMYFUNCTION("IFERROR(TO_DATE(H4207), """")"),"NA")</f>
        <v>NA</v>
      </c>
      <c r="J4207" s="19" t="s">
        <v>14</v>
      </c>
      <c r="K4207" s="22">
        <f t="shared" si="2"/>
        <v>0</v>
      </c>
    </row>
    <row r="4208">
      <c r="A4208" s="18">
        <v>413.0</v>
      </c>
      <c r="B4208" s="18" t="s">
        <v>32</v>
      </c>
      <c r="C4208" s="18" t="s">
        <v>34</v>
      </c>
      <c r="D4208" s="18" t="s">
        <v>35</v>
      </c>
      <c r="E4208" s="26">
        <v>42562.35902777778</v>
      </c>
      <c r="F4208" s="19">
        <f>IFERROR(__xludf.DUMMYFUNCTION("IFERROR(TO_DATE(E4208), """")"),42562.35902777778)</f>
        <v>42562.35903</v>
      </c>
      <c r="G4208" s="20">
        <f t="shared" si="1"/>
        <v>8</v>
      </c>
      <c r="H4208" s="18" t="s">
        <v>34</v>
      </c>
      <c r="I4208" s="19" t="str">
        <f>IFERROR(__xludf.DUMMYFUNCTION("IFERROR(TO_DATE(H4208), """")"),"NA")</f>
        <v>NA</v>
      </c>
      <c r="J4208" s="19" t="s">
        <v>14</v>
      </c>
      <c r="K4208" s="22">
        <f t="shared" si="2"/>
        <v>0</v>
      </c>
    </row>
    <row r="4209">
      <c r="A4209" s="18">
        <v>408.0</v>
      </c>
      <c r="B4209" s="18" t="s">
        <v>32</v>
      </c>
      <c r="C4209" s="18" t="s">
        <v>34</v>
      </c>
      <c r="D4209" s="18" t="s">
        <v>35</v>
      </c>
      <c r="E4209" s="26">
        <v>42562.35902777778</v>
      </c>
      <c r="F4209" s="19">
        <f>IFERROR(__xludf.DUMMYFUNCTION("IFERROR(TO_DATE(E4209), """")"),42562.35902777778)</f>
        <v>42562.35903</v>
      </c>
      <c r="G4209" s="20">
        <f t="shared" si="1"/>
        <v>8</v>
      </c>
      <c r="H4209" s="18" t="s">
        <v>34</v>
      </c>
      <c r="I4209" s="19" t="str">
        <f>IFERROR(__xludf.DUMMYFUNCTION("IFERROR(TO_DATE(H4209), """")"),"NA")</f>
        <v>NA</v>
      </c>
      <c r="J4209" s="19" t="s">
        <v>14</v>
      </c>
      <c r="K4209" s="22">
        <f t="shared" si="2"/>
        <v>0</v>
      </c>
    </row>
    <row r="4210">
      <c r="A4210" s="18">
        <v>416.0</v>
      </c>
      <c r="B4210" s="18" t="s">
        <v>32</v>
      </c>
      <c r="C4210" s="18" t="s">
        <v>34</v>
      </c>
      <c r="D4210" s="18" t="s">
        <v>35</v>
      </c>
      <c r="E4210" s="26">
        <v>42562.36041666667</v>
      </c>
      <c r="F4210" s="19">
        <f>IFERROR(__xludf.DUMMYFUNCTION("IFERROR(TO_DATE(E4210), """")"),42562.36041666667)</f>
        <v>42562.36042</v>
      </c>
      <c r="G4210" s="20">
        <f t="shared" si="1"/>
        <v>8</v>
      </c>
      <c r="H4210" s="18" t="s">
        <v>34</v>
      </c>
      <c r="I4210" s="19" t="str">
        <f>IFERROR(__xludf.DUMMYFUNCTION("IFERROR(TO_DATE(H4210), """")"),"NA")</f>
        <v>NA</v>
      </c>
      <c r="J4210" s="19" t="s">
        <v>14</v>
      </c>
      <c r="K4210" s="22">
        <f t="shared" si="2"/>
        <v>0</v>
      </c>
    </row>
    <row r="4211">
      <c r="A4211" s="18">
        <v>435.0</v>
      </c>
      <c r="B4211" s="18" t="s">
        <v>32</v>
      </c>
      <c r="C4211" s="18" t="s">
        <v>34</v>
      </c>
      <c r="D4211" s="18" t="s">
        <v>35</v>
      </c>
      <c r="E4211" s="26">
        <v>42562.37152777778</v>
      </c>
      <c r="F4211" s="19">
        <f>IFERROR(__xludf.DUMMYFUNCTION("IFERROR(TO_DATE(E4211), """")"),42562.37152777778)</f>
        <v>42562.37153</v>
      </c>
      <c r="G4211" s="20">
        <f t="shared" si="1"/>
        <v>8</v>
      </c>
      <c r="H4211" s="18" t="s">
        <v>34</v>
      </c>
      <c r="I4211" s="19" t="str">
        <f>IFERROR(__xludf.DUMMYFUNCTION("IFERROR(TO_DATE(H4211), """")"),"NA")</f>
        <v>NA</v>
      </c>
      <c r="J4211" s="19" t="s">
        <v>14</v>
      </c>
      <c r="K4211" s="22">
        <f t="shared" si="2"/>
        <v>0</v>
      </c>
    </row>
    <row r="4212">
      <c r="A4212" s="18">
        <v>440.0</v>
      </c>
      <c r="B4212" s="18" t="s">
        <v>32</v>
      </c>
      <c r="C4212" s="18" t="s">
        <v>34</v>
      </c>
      <c r="D4212" s="18" t="s">
        <v>35</v>
      </c>
      <c r="E4212" s="26">
        <v>42562.38055555556</v>
      </c>
      <c r="F4212" s="19">
        <f>IFERROR(__xludf.DUMMYFUNCTION("IFERROR(TO_DATE(E4212), """")"),42562.38055555556)</f>
        <v>42562.38056</v>
      </c>
      <c r="G4212" s="20">
        <f t="shared" si="1"/>
        <v>9</v>
      </c>
      <c r="H4212" s="18" t="s">
        <v>34</v>
      </c>
      <c r="I4212" s="19" t="str">
        <f>IFERROR(__xludf.DUMMYFUNCTION("IFERROR(TO_DATE(H4212), """")"),"NA")</f>
        <v>NA</v>
      </c>
      <c r="J4212" s="19" t="s">
        <v>14</v>
      </c>
      <c r="K4212" s="22">
        <f t="shared" si="2"/>
        <v>0</v>
      </c>
    </row>
    <row r="4213">
      <c r="A4213" s="18">
        <v>434.0</v>
      </c>
      <c r="B4213" s="18" t="s">
        <v>32</v>
      </c>
      <c r="C4213" s="18" t="s">
        <v>34</v>
      </c>
      <c r="D4213" s="18" t="s">
        <v>35</v>
      </c>
      <c r="E4213" s="26">
        <v>42562.38125</v>
      </c>
      <c r="F4213" s="19">
        <f>IFERROR(__xludf.DUMMYFUNCTION("IFERROR(TO_DATE(E4213), """")"),42562.38125)</f>
        <v>42562.38125</v>
      </c>
      <c r="G4213" s="20">
        <f t="shared" si="1"/>
        <v>9</v>
      </c>
      <c r="H4213" s="18" t="s">
        <v>34</v>
      </c>
      <c r="I4213" s="19" t="str">
        <f>IFERROR(__xludf.DUMMYFUNCTION("IFERROR(TO_DATE(H4213), """")"),"NA")</f>
        <v>NA</v>
      </c>
      <c r="J4213" s="19" t="s">
        <v>14</v>
      </c>
      <c r="K4213" s="22">
        <f t="shared" si="2"/>
        <v>0</v>
      </c>
    </row>
    <row r="4214">
      <c r="A4214" s="18">
        <v>456.0</v>
      </c>
      <c r="B4214" s="18" t="s">
        <v>32</v>
      </c>
      <c r="C4214" s="18" t="s">
        <v>34</v>
      </c>
      <c r="D4214" s="18" t="s">
        <v>35</v>
      </c>
      <c r="E4214" s="26">
        <v>42562.38402777778</v>
      </c>
      <c r="F4214" s="19">
        <f>IFERROR(__xludf.DUMMYFUNCTION("IFERROR(TO_DATE(E4214), """")"),42562.38402777778)</f>
        <v>42562.38403</v>
      </c>
      <c r="G4214" s="20">
        <f t="shared" si="1"/>
        <v>9</v>
      </c>
      <c r="H4214" s="18" t="s">
        <v>34</v>
      </c>
      <c r="I4214" s="19" t="str">
        <f>IFERROR(__xludf.DUMMYFUNCTION("IFERROR(TO_DATE(H4214), """")"),"NA")</f>
        <v>NA</v>
      </c>
      <c r="J4214" s="19" t="s">
        <v>14</v>
      </c>
      <c r="K4214" s="22">
        <f t="shared" si="2"/>
        <v>0</v>
      </c>
    </row>
    <row r="4215">
      <c r="A4215" s="18">
        <v>453.0</v>
      </c>
      <c r="B4215" s="18" t="s">
        <v>32</v>
      </c>
      <c r="C4215" s="18" t="s">
        <v>34</v>
      </c>
      <c r="D4215" s="18" t="s">
        <v>35</v>
      </c>
      <c r="E4215" s="26">
        <v>42562.38402777778</v>
      </c>
      <c r="F4215" s="19">
        <f>IFERROR(__xludf.DUMMYFUNCTION("IFERROR(TO_DATE(E4215), """")"),42562.38402777778)</f>
        <v>42562.38403</v>
      </c>
      <c r="G4215" s="20">
        <f t="shared" si="1"/>
        <v>9</v>
      </c>
      <c r="H4215" s="18" t="s">
        <v>34</v>
      </c>
      <c r="I4215" s="19" t="str">
        <f>IFERROR(__xludf.DUMMYFUNCTION("IFERROR(TO_DATE(H4215), """")"),"NA")</f>
        <v>NA</v>
      </c>
      <c r="J4215" s="19" t="s">
        <v>14</v>
      </c>
      <c r="K4215" s="22">
        <f t="shared" si="2"/>
        <v>0</v>
      </c>
    </row>
    <row r="4216">
      <c r="A4216" s="18">
        <v>442.0</v>
      </c>
      <c r="B4216" s="18" t="s">
        <v>32</v>
      </c>
      <c r="C4216" s="18" t="s">
        <v>34</v>
      </c>
      <c r="D4216" s="18" t="s">
        <v>35</v>
      </c>
      <c r="E4216" s="26">
        <v>42562.385416666664</v>
      </c>
      <c r="F4216" s="19">
        <f>IFERROR(__xludf.DUMMYFUNCTION("IFERROR(TO_DATE(E4216), """")"),42562.385416666664)</f>
        <v>42562.38542</v>
      </c>
      <c r="G4216" s="20">
        <f t="shared" si="1"/>
        <v>9</v>
      </c>
      <c r="H4216" s="18" t="s">
        <v>34</v>
      </c>
      <c r="I4216" s="19" t="str">
        <f>IFERROR(__xludf.DUMMYFUNCTION("IFERROR(TO_DATE(H4216), """")"),"NA")</f>
        <v>NA</v>
      </c>
      <c r="J4216" s="19" t="s">
        <v>14</v>
      </c>
      <c r="K4216" s="22">
        <f t="shared" si="2"/>
        <v>0</v>
      </c>
    </row>
    <row r="4217">
      <c r="A4217" s="18">
        <v>478.0</v>
      </c>
      <c r="B4217" s="18" t="s">
        <v>32</v>
      </c>
      <c r="C4217" s="18" t="s">
        <v>34</v>
      </c>
      <c r="D4217" s="18" t="s">
        <v>35</v>
      </c>
      <c r="E4217" s="26">
        <v>42562.38611111111</v>
      </c>
      <c r="F4217" s="19">
        <f>IFERROR(__xludf.DUMMYFUNCTION("IFERROR(TO_DATE(E4217), """")"),42562.38611111111)</f>
        <v>42562.38611</v>
      </c>
      <c r="G4217" s="20">
        <f t="shared" si="1"/>
        <v>9</v>
      </c>
      <c r="H4217" s="18" t="s">
        <v>34</v>
      </c>
      <c r="I4217" s="19" t="str">
        <f>IFERROR(__xludf.DUMMYFUNCTION("IFERROR(TO_DATE(H4217), """")"),"NA")</f>
        <v>NA</v>
      </c>
      <c r="J4217" s="19" t="s">
        <v>14</v>
      </c>
      <c r="K4217" s="22">
        <f t="shared" si="2"/>
        <v>0</v>
      </c>
    </row>
    <row r="4218">
      <c r="A4218" s="18">
        <v>452.0</v>
      </c>
      <c r="B4218" s="18" t="s">
        <v>32</v>
      </c>
      <c r="C4218" s="18" t="s">
        <v>34</v>
      </c>
      <c r="D4218" s="18" t="s">
        <v>35</v>
      </c>
      <c r="E4218" s="26">
        <v>42562.38611111111</v>
      </c>
      <c r="F4218" s="19">
        <f>IFERROR(__xludf.DUMMYFUNCTION("IFERROR(TO_DATE(E4218), """")"),42562.38611111111)</f>
        <v>42562.38611</v>
      </c>
      <c r="G4218" s="20">
        <f t="shared" si="1"/>
        <v>9</v>
      </c>
      <c r="H4218" s="18" t="s">
        <v>34</v>
      </c>
      <c r="I4218" s="19" t="str">
        <f>IFERROR(__xludf.DUMMYFUNCTION("IFERROR(TO_DATE(H4218), """")"),"NA")</f>
        <v>NA</v>
      </c>
      <c r="J4218" s="19" t="s">
        <v>14</v>
      </c>
      <c r="K4218" s="22">
        <f t="shared" si="2"/>
        <v>0</v>
      </c>
    </row>
    <row r="4219">
      <c r="A4219" s="18">
        <v>460.0</v>
      </c>
      <c r="B4219" s="18" t="s">
        <v>32</v>
      </c>
      <c r="C4219" s="18" t="s">
        <v>34</v>
      </c>
      <c r="D4219" s="18" t="s">
        <v>35</v>
      </c>
      <c r="E4219" s="26">
        <v>42562.38958333333</v>
      </c>
      <c r="F4219" s="19">
        <f>IFERROR(__xludf.DUMMYFUNCTION("IFERROR(TO_DATE(E4219), """")"),42562.38958333333)</f>
        <v>42562.38958</v>
      </c>
      <c r="G4219" s="20">
        <f t="shared" si="1"/>
        <v>9</v>
      </c>
      <c r="H4219" s="18" t="s">
        <v>34</v>
      </c>
      <c r="I4219" s="19" t="str">
        <f>IFERROR(__xludf.DUMMYFUNCTION("IFERROR(TO_DATE(H4219), """")"),"NA")</f>
        <v>NA</v>
      </c>
      <c r="J4219" s="19" t="s">
        <v>14</v>
      </c>
      <c r="K4219" s="22">
        <f t="shared" si="2"/>
        <v>0</v>
      </c>
    </row>
    <row r="4220">
      <c r="A4220" s="18">
        <v>473.0</v>
      </c>
      <c r="B4220" s="18" t="s">
        <v>30</v>
      </c>
      <c r="C4220" s="18" t="s">
        <v>34</v>
      </c>
      <c r="D4220" s="18" t="s">
        <v>35</v>
      </c>
      <c r="E4220" s="26">
        <v>42562.39027777778</v>
      </c>
      <c r="F4220" s="19">
        <f>IFERROR(__xludf.DUMMYFUNCTION("IFERROR(TO_DATE(E4220), """")"),42562.39027777778)</f>
        <v>42562.39028</v>
      </c>
      <c r="G4220" s="20">
        <f t="shared" si="1"/>
        <v>9</v>
      </c>
      <c r="H4220" s="18" t="s">
        <v>34</v>
      </c>
      <c r="I4220" s="19" t="str">
        <f>IFERROR(__xludf.DUMMYFUNCTION("IFERROR(TO_DATE(H4220), """")"),"NA")</f>
        <v>NA</v>
      </c>
      <c r="J4220" s="19" t="s">
        <v>14</v>
      </c>
      <c r="K4220" s="22">
        <f t="shared" si="2"/>
        <v>0</v>
      </c>
    </row>
    <row r="4221">
      <c r="A4221" s="18">
        <v>472.0</v>
      </c>
      <c r="B4221" s="18" t="s">
        <v>32</v>
      </c>
      <c r="C4221" s="18" t="s">
        <v>34</v>
      </c>
      <c r="D4221" s="18" t="s">
        <v>35</v>
      </c>
      <c r="E4221" s="26">
        <v>42562.39236111111</v>
      </c>
      <c r="F4221" s="19">
        <f>IFERROR(__xludf.DUMMYFUNCTION("IFERROR(TO_DATE(E4221), """")"),42562.39236111111)</f>
        <v>42562.39236</v>
      </c>
      <c r="G4221" s="20">
        <f t="shared" si="1"/>
        <v>9</v>
      </c>
      <c r="H4221" s="18" t="s">
        <v>34</v>
      </c>
      <c r="I4221" s="19" t="str">
        <f>IFERROR(__xludf.DUMMYFUNCTION("IFERROR(TO_DATE(H4221), """")"),"NA")</f>
        <v>NA</v>
      </c>
      <c r="J4221" s="19" t="s">
        <v>14</v>
      </c>
      <c r="K4221" s="22">
        <f t="shared" si="2"/>
        <v>0</v>
      </c>
    </row>
    <row r="4222">
      <c r="A4222" s="18">
        <v>496.0</v>
      </c>
      <c r="B4222" s="18" t="s">
        <v>32</v>
      </c>
      <c r="C4222" s="18" t="s">
        <v>34</v>
      </c>
      <c r="D4222" s="18" t="s">
        <v>35</v>
      </c>
      <c r="E4222" s="26">
        <v>42562.39513888889</v>
      </c>
      <c r="F4222" s="19">
        <f>IFERROR(__xludf.DUMMYFUNCTION("IFERROR(TO_DATE(E4222), """")"),42562.39513888889)</f>
        <v>42562.39514</v>
      </c>
      <c r="G4222" s="20">
        <f t="shared" si="1"/>
        <v>9</v>
      </c>
      <c r="H4222" s="18" t="s">
        <v>34</v>
      </c>
      <c r="I4222" s="19" t="str">
        <f>IFERROR(__xludf.DUMMYFUNCTION("IFERROR(TO_DATE(H4222), """")"),"NA")</f>
        <v>NA</v>
      </c>
      <c r="J4222" s="19" t="s">
        <v>14</v>
      </c>
      <c r="K4222" s="22">
        <f t="shared" si="2"/>
        <v>0</v>
      </c>
    </row>
    <row r="4223">
      <c r="A4223" s="18">
        <v>487.0</v>
      </c>
      <c r="B4223" s="18" t="s">
        <v>32</v>
      </c>
      <c r="C4223" s="18" t="s">
        <v>34</v>
      </c>
      <c r="D4223" s="18" t="s">
        <v>35</v>
      </c>
      <c r="E4223" s="26">
        <v>42562.396527777775</v>
      </c>
      <c r="F4223" s="19">
        <f>IFERROR(__xludf.DUMMYFUNCTION("IFERROR(TO_DATE(E4223), """")"),42562.396527777775)</f>
        <v>42562.39653</v>
      </c>
      <c r="G4223" s="20">
        <f t="shared" si="1"/>
        <v>9</v>
      </c>
      <c r="H4223" s="18" t="s">
        <v>34</v>
      </c>
      <c r="I4223" s="19" t="str">
        <f>IFERROR(__xludf.DUMMYFUNCTION("IFERROR(TO_DATE(H4223), """")"),"NA")</f>
        <v>NA</v>
      </c>
      <c r="J4223" s="19" t="s">
        <v>14</v>
      </c>
      <c r="K4223" s="22">
        <f t="shared" si="2"/>
        <v>0</v>
      </c>
    </row>
    <row r="4224">
      <c r="A4224" s="18">
        <v>498.0</v>
      </c>
      <c r="B4224" s="18" t="s">
        <v>32</v>
      </c>
      <c r="C4224" s="18" t="s">
        <v>34</v>
      </c>
      <c r="D4224" s="18" t="s">
        <v>35</v>
      </c>
      <c r="E4224" s="26">
        <v>42562.399305555555</v>
      </c>
      <c r="F4224" s="19">
        <f>IFERROR(__xludf.DUMMYFUNCTION("IFERROR(TO_DATE(E4224), """")"),42562.399305555555)</f>
        <v>42562.39931</v>
      </c>
      <c r="G4224" s="20">
        <f t="shared" si="1"/>
        <v>9</v>
      </c>
      <c r="H4224" s="18" t="s">
        <v>34</v>
      </c>
      <c r="I4224" s="19" t="str">
        <f>IFERROR(__xludf.DUMMYFUNCTION("IFERROR(TO_DATE(H4224), """")"),"NA")</f>
        <v>NA</v>
      </c>
      <c r="J4224" s="19" t="s">
        <v>14</v>
      </c>
      <c r="K4224" s="22">
        <f t="shared" si="2"/>
        <v>0</v>
      </c>
    </row>
    <row r="4225">
      <c r="A4225" s="18">
        <v>503.0</v>
      </c>
      <c r="B4225" s="18" t="s">
        <v>32</v>
      </c>
      <c r="C4225" s="18" t="s">
        <v>34</v>
      </c>
      <c r="D4225" s="18" t="s">
        <v>35</v>
      </c>
      <c r="E4225" s="26">
        <v>42562.40069444444</v>
      </c>
      <c r="F4225" s="19">
        <f>IFERROR(__xludf.DUMMYFUNCTION("IFERROR(TO_DATE(E4225), """")"),42562.40069444444)</f>
        <v>42562.40069</v>
      </c>
      <c r="G4225" s="20">
        <f t="shared" si="1"/>
        <v>9</v>
      </c>
      <c r="H4225" s="18" t="s">
        <v>34</v>
      </c>
      <c r="I4225" s="19" t="str">
        <f>IFERROR(__xludf.DUMMYFUNCTION("IFERROR(TO_DATE(H4225), """")"),"NA")</f>
        <v>NA</v>
      </c>
      <c r="J4225" s="19" t="s">
        <v>14</v>
      </c>
      <c r="K4225" s="22">
        <f t="shared" si="2"/>
        <v>0</v>
      </c>
    </row>
    <row r="4226">
      <c r="A4226" s="18">
        <v>502.0</v>
      </c>
      <c r="B4226" s="18" t="s">
        <v>32</v>
      </c>
      <c r="C4226" s="18" t="s">
        <v>34</v>
      </c>
      <c r="D4226" s="18" t="s">
        <v>35</v>
      </c>
      <c r="E4226" s="26">
        <v>42562.40277777778</v>
      </c>
      <c r="F4226" s="19">
        <f>IFERROR(__xludf.DUMMYFUNCTION("IFERROR(TO_DATE(E4226), """")"),42562.40277777778)</f>
        <v>42562.40278</v>
      </c>
      <c r="G4226" s="20">
        <f t="shared" si="1"/>
        <v>9</v>
      </c>
      <c r="H4226" s="18" t="s">
        <v>34</v>
      </c>
      <c r="I4226" s="19" t="str">
        <f>IFERROR(__xludf.DUMMYFUNCTION("IFERROR(TO_DATE(H4226), """")"),"NA")</f>
        <v>NA</v>
      </c>
      <c r="J4226" s="19" t="s">
        <v>14</v>
      </c>
      <c r="K4226" s="22">
        <f t="shared" si="2"/>
        <v>0</v>
      </c>
    </row>
    <row r="4227">
      <c r="A4227" s="18">
        <v>509.0</v>
      </c>
      <c r="B4227" s="18" t="s">
        <v>32</v>
      </c>
      <c r="C4227" s="18" t="s">
        <v>34</v>
      </c>
      <c r="D4227" s="18" t="s">
        <v>35</v>
      </c>
      <c r="E4227" s="26">
        <v>42562.40416666667</v>
      </c>
      <c r="F4227" s="19">
        <f>IFERROR(__xludf.DUMMYFUNCTION("IFERROR(TO_DATE(E4227), """")"),42562.40416666667)</f>
        <v>42562.40417</v>
      </c>
      <c r="G4227" s="20">
        <f t="shared" si="1"/>
        <v>9</v>
      </c>
      <c r="H4227" s="18" t="s">
        <v>34</v>
      </c>
      <c r="I4227" s="19" t="str">
        <f>IFERROR(__xludf.DUMMYFUNCTION("IFERROR(TO_DATE(H4227), """")"),"NA")</f>
        <v>NA</v>
      </c>
      <c r="J4227" s="19" t="s">
        <v>14</v>
      </c>
      <c r="K4227" s="22">
        <f t="shared" si="2"/>
        <v>0</v>
      </c>
    </row>
    <row r="4228">
      <c r="A4228" s="18">
        <v>506.0</v>
      </c>
      <c r="B4228" s="18" t="s">
        <v>32</v>
      </c>
      <c r="C4228" s="18" t="s">
        <v>34</v>
      </c>
      <c r="D4228" s="18" t="s">
        <v>35</v>
      </c>
      <c r="E4228" s="26">
        <v>42562.404861111114</v>
      </c>
      <c r="F4228" s="19">
        <f>IFERROR(__xludf.DUMMYFUNCTION("IFERROR(TO_DATE(E4228), """")"),42562.404861111114)</f>
        <v>42562.40486</v>
      </c>
      <c r="G4228" s="20">
        <f t="shared" si="1"/>
        <v>9</v>
      </c>
      <c r="H4228" s="18" t="s">
        <v>34</v>
      </c>
      <c r="I4228" s="19" t="str">
        <f>IFERROR(__xludf.DUMMYFUNCTION("IFERROR(TO_DATE(H4228), """")"),"NA")</f>
        <v>NA</v>
      </c>
      <c r="J4228" s="19" t="s">
        <v>14</v>
      </c>
      <c r="K4228" s="22">
        <f t="shared" si="2"/>
        <v>0</v>
      </c>
    </row>
    <row r="4229">
      <c r="A4229" s="18">
        <v>522.0</v>
      </c>
      <c r="B4229" s="18" t="s">
        <v>32</v>
      </c>
      <c r="C4229" s="18" t="s">
        <v>34</v>
      </c>
      <c r="D4229" s="18" t="s">
        <v>35</v>
      </c>
      <c r="E4229" s="26">
        <v>42562.40833333333</v>
      </c>
      <c r="F4229" s="19">
        <f>IFERROR(__xludf.DUMMYFUNCTION("IFERROR(TO_DATE(E4229), """")"),42562.40833333333)</f>
        <v>42562.40833</v>
      </c>
      <c r="G4229" s="20">
        <f t="shared" si="1"/>
        <v>9</v>
      </c>
      <c r="H4229" s="18" t="s">
        <v>34</v>
      </c>
      <c r="I4229" s="19" t="str">
        <f>IFERROR(__xludf.DUMMYFUNCTION("IFERROR(TO_DATE(H4229), """")"),"NA")</f>
        <v>NA</v>
      </c>
      <c r="J4229" s="19" t="s">
        <v>14</v>
      </c>
      <c r="K4229" s="22">
        <f t="shared" si="2"/>
        <v>0</v>
      </c>
    </row>
    <row r="4230">
      <c r="A4230" s="18">
        <v>516.0</v>
      </c>
      <c r="B4230" s="18" t="s">
        <v>32</v>
      </c>
      <c r="C4230" s="18" t="s">
        <v>34</v>
      </c>
      <c r="D4230" s="18" t="s">
        <v>35</v>
      </c>
      <c r="E4230" s="26">
        <v>42562.40902777778</v>
      </c>
      <c r="F4230" s="19">
        <f>IFERROR(__xludf.DUMMYFUNCTION("IFERROR(TO_DATE(E4230), """")"),42562.40902777778)</f>
        <v>42562.40903</v>
      </c>
      <c r="G4230" s="20">
        <f t="shared" si="1"/>
        <v>9</v>
      </c>
      <c r="H4230" s="18" t="s">
        <v>34</v>
      </c>
      <c r="I4230" s="19" t="str">
        <f>IFERROR(__xludf.DUMMYFUNCTION("IFERROR(TO_DATE(H4230), """")"),"NA")</f>
        <v>NA</v>
      </c>
      <c r="J4230" s="19" t="s">
        <v>14</v>
      </c>
      <c r="K4230" s="22">
        <f t="shared" si="2"/>
        <v>0</v>
      </c>
    </row>
    <row r="4231">
      <c r="A4231" s="18">
        <v>524.0</v>
      </c>
      <c r="B4231" s="18" t="s">
        <v>32</v>
      </c>
      <c r="C4231" s="18" t="s">
        <v>34</v>
      </c>
      <c r="D4231" s="18" t="s">
        <v>35</v>
      </c>
      <c r="E4231" s="26">
        <v>42562.40972222222</v>
      </c>
      <c r="F4231" s="19">
        <f>IFERROR(__xludf.DUMMYFUNCTION("IFERROR(TO_DATE(E4231), """")"),42562.40972222222)</f>
        <v>42562.40972</v>
      </c>
      <c r="G4231" s="20">
        <f t="shared" si="1"/>
        <v>9</v>
      </c>
      <c r="H4231" s="18" t="s">
        <v>34</v>
      </c>
      <c r="I4231" s="19" t="str">
        <f>IFERROR(__xludf.DUMMYFUNCTION("IFERROR(TO_DATE(H4231), """")"),"NA")</f>
        <v>NA</v>
      </c>
      <c r="J4231" s="19" t="s">
        <v>14</v>
      </c>
      <c r="K4231" s="22">
        <f t="shared" si="2"/>
        <v>0</v>
      </c>
    </row>
    <row r="4232">
      <c r="A4232" s="18">
        <v>527.0</v>
      </c>
      <c r="B4232" s="18" t="s">
        <v>32</v>
      </c>
      <c r="C4232" s="18" t="s">
        <v>34</v>
      </c>
      <c r="D4232" s="18" t="s">
        <v>35</v>
      </c>
      <c r="E4232" s="26">
        <v>42562.41111111111</v>
      </c>
      <c r="F4232" s="19">
        <f>IFERROR(__xludf.DUMMYFUNCTION("IFERROR(TO_DATE(E4232), """")"),42562.41111111111)</f>
        <v>42562.41111</v>
      </c>
      <c r="G4232" s="20">
        <f t="shared" si="1"/>
        <v>9</v>
      </c>
      <c r="H4232" s="18" t="s">
        <v>34</v>
      </c>
      <c r="I4232" s="19" t="str">
        <f>IFERROR(__xludf.DUMMYFUNCTION("IFERROR(TO_DATE(H4232), """")"),"NA")</f>
        <v>NA</v>
      </c>
      <c r="J4232" s="19" t="s">
        <v>14</v>
      </c>
      <c r="K4232" s="22">
        <f t="shared" si="2"/>
        <v>0</v>
      </c>
    </row>
    <row r="4233">
      <c r="A4233" s="18">
        <v>530.0</v>
      </c>
      <c r="B4233" s="18" t="s">
        <v>32</v>
      </c>
      <c r="C4233" s="18" t="s">
        <v>34</v>
      </c>
      <c r="D4233" s="18" t="s">
        <v>35</v>
      </c>
      <c r="E4233" s="26">
        <v>42562.41458333333</v>
      </c>
      <c r="F4233" s="19">
        <f>IFERROR(__xludf.DUMMYFUNCTION("IFERROR(TO_DATE(E4233), """")"),42562.41458333333)</f>
        <v>42562.41458</v>
      </c>
      <c r="G4233" s="20">
        <f t="shared" si="1"/>
        <v>9</v>
      </c>
      <c r="H4233" s="18" t="s">
        <v>34</v>
      </c>
      <c r="I4233" s="19" t="str">
        <f>IFERROR(__xludf.DUMMYFUNCTION("IFERROR(TO_DATE(H4233), """")"),"NA")</f>
        <v>NA</v>
      </c>
      <c r="J4233" s="19" t="s">
        <v>14</v>
      </c>
      <c r="K4233" s="22">
        <f t="shared" si="2"/>
        <v>0</v>
      </c>
    </row>
    <row r="4234">
      <c r="A4234" s="18">
        <v>539.0</v>
      </c>
      <c r="B4234" s="18" t="s">
        <v>32</v>
      </c>
      <c r="C4234" s="18" t="s">
        <v>34</v>
      </c>
      <c r="D4234" s="18" t="s">
        <v>35</v>
      </c>
      <c r="E4234" s="26">
        <v>42562.415972222225</v>
      </c>
      <c r="F4234" s="19">
        <f>IFERROR(__xludf.DUMMYFUNCTION("IFERROR(TO_DATE(E4234), """")"),42562.415972222225)</f>
        <v>42562.41597</v>
      </c>
      <c r="G4234" s="20">
        <f t="shared" si="1"/>
        <v>9</v>
      </c>
      <c r="H4234" s="18" t="s">
        <v>34</v>
      </c>
      <c r="I4234" s="19" t="str">
        <f>IFERROR(__xludf.DUMMYFUNCTION("IFERROR(TO_DATE(H4234), """")"),"NA")</f>
        <v>NA</v>
      </c>
      <c r="J4234" s="19" t="s">
        <v>14</v>
      </c>
      <c r="K4234" s="22">
        <f t="shared" si="2"/>
        <v>0</v>
      </c>
    </row>
    <row r="4235">
      <c r="A4235" s="18">
        <v>541.0</v>
      </c>
      <c r="B4235" s="18" t="s">
        <v>32</v>
      </c>
      <c r="C4235" s="18" t="s">
        <v>34</v>
      </c>
      <c r="D4235" s="18" t="s">
        <v>35</v>
      </c>
      <c r="E4235" s="26">
        <v>42562.41875</v>
      </c>
      <c r="F4235" s="19">
        <f>IFERROR(__xludf.DUMMYFUNCTION("IFERROR(TO_DATE(E4235), """")"),42562.41875)</f>
        <v>42562.41875</v>
      </c>
      <c r="G4235" s="20">
        <f t="shared" si="1"/>
        <v>10</v>
      </c>
      <c r="H4235" s="18" t="s">
        <v>34</v>
      </c>
      <c r="I4235" s="19" t="str">
        <f>IFERROR(__xludf.DUMMYFUNCTION("IFERROR(TO_DATE(H4235), """")"),"NA")</f>
        <v>NA</v>
      </c>
      <c r="J4235" s="19" t="s">
        <v>14</v>
      </c>
      <c r="K4235" s="22">
        <f t="shared" si="2"/>
        <v>0</v>
      </c>
    </row>
    <row r="4236">
      <c r="A4236" s="18">
        <v>548.0</v>
      </c>
      <c r="B4236" s="18" t="s">
        <v>32</v>
      </c>
      <c r="C4236" s="18" t="s">
        <v>34</v>
      </c>
      <c r="D4236" s="18" t="s">
        <v>35</v>
      </c>
      <c r="E4236" s="26">
        <v>42562.419444444444</v>
      </c>
      <c r="F4236" s="19">
        <f>IFERROR(__xludf.DUMMYFUNCTION("IFERROR(TO_DATE(E4236), """")"),42562.419444444444)</f>
        <v>42562.41944</v>
      </c>
      <c r="G4236" s="20">
        <f t="shared" si="1"/>
        <v>10</v>
      </c>
      <c r="H4236" s="18" t="s">
        <v>34</v>
      </c>
      <c r="I4236" s="19" t="str">
        <f>IFERROR(__xludf.DUMMYFUNCTION("IFERROR(TO_DATE(H4236), """")"),"NA")</f>
        <v>NA</v>
      </c>
      <c r="J4236" s="19" t="s">
        <v>14</v>
      </c>
      <c r="K4236" s="22">
        <f t="shared" si="2"/>
        <v>0</v>
      </c>
    </row>
    <row r="4237">
      <c r="A4237" s="18">
        <v>563.0</v>
      </c>
      <c r="B4237" s="18" t="s">
        <v>30</v>
      </c>
      <c r="C4237" s="18" t="s">
        <v>34</v>
      </c>
      <c r="D4237" s="18" t="s">
        <v>35</v>
      </c>
      <c r="E4237" s="26">
        <v>42562.42847222222</v>
      </c>
      <c r="F4237" s="19">
        <f>IFERROR(__xludf.DUMMYFUNCTION("IFERROR(TO_DATE(E4237), """")"),42562.42847222222)</f>
        <v>42562.42847</v>
      </c>
      <c r="G4237" s="20">
        <f t="shared" si="1"/>
        <v>10</v>
      </c>
      <c r="H4237" s="18" t="s">
        <v>34</v>
      </c>
      <c r="I4237" s="19" t="str">
        <f>IFERROR(__xludf.DUMMYFUNCTION("IFERROR(TO_DATE(H4237), """")"),"NA")</f>
        <v>NA</v>
      </c>
      <c r="J4237" s="19" t="s">
        <v>14</v>
      </c>
      <c r="K4237" s="22">
        <f t="shared" si="2"/>
        <v>0</v>
      </c>
    </row>
    <row r="4238">
      <c r="A4238" s="18">
        <v>562.0</v>
      </c>
      <c r="B4238" s="18" t="s">
        <v>30</v>
      </c>
      <c r="C4238" s="18" t="s">
        <v>34</v>
      </c>
      <c r="D4238" s="18" t="s">
        <v>35</v>
      </c>
      <c r="E4238" s="26">
        <v>42562.42916666667</v>
      </c>
      <c r="F4238" s="19">
        <f>IFERROR(__xludf.DUMMYFUNCTION("IFERROR(TO_DATE(E4238), """")"),42562.42916666667)</f>
        <v>42562.42917</v>
      </c>
      <c r="G4238" s="20">
        <f t="shared" si="1"/>
        <v>10</v>
      </c>
      <c r="H4238" s="18" t="s">
        <v>34</v>
      </c>
      <c r="I4238" s="19" t="str">
        <f>IFERROR(__xludf.DUMMYFUNCTION("IFERROR(TO_DATE(H4238), """")"),"NA")</f>
        <v>NA</v>
      </c>
      <c r="J4238" s="19" t="s">
        <v>14</v>
      </c>
      <c r="K4238" s="22">
        <f t="shared" si="2"/>
        <v>0</v>
      </c>
    </row>
    <row r="4239">
      <c r="A4239" s="18">
        <v>566.0</v>
      </c>
      <c r="B4239" s="18" t="s">
        <v>32</v>
      </c>
      <c r="C4239" s="18" t="s">
        <v>34</v>
      </c>
      <c r="D4239" s="18" t="s">
        <v>35</v>
      </c>
      <c r="E4239" s="26">
        <v>42562.430555555555</v>
      </c>
      <c r="F4239" s="19">
        <f>IFERROR(__xludf.DUMMYFUNCTION("IFERROR(TO_DATE(E4239), """")"),42562.430555555555)</f>
        <v>42562.43056</v>
      </c>
      <c r="G4239" s="20">
        <f t="shared" si="1"/>
        <v>10</v>
      </c>
      <c r="H4239" s="18" t="s">
        <v>34</v>
      </c>
      <c r="I4239" s="19" t="str">
        <f>IFERROR(__xludf.DUMMYFUNCTION("IFERROR(TO_DATE(H4239), """")"),"NA")</f>
        <v>NA</v>
      </c>
      <c r="J4239" s="19" t="s">
        <v>14</v>
      </c>
      <c r="K4239" s="22">
        <f t="shared" si="2"/>
        <v>0</v>
      </c>
    </row>
    <row r="4240">
      <c r="A4240" s="18">
        <v>567.0</v>
      </c>
      <c r="B4240" s="18" t="s">
        <v>30</v>
      </c>
      <c r="C4240" s="18" t="s">
        <v>34</v>
      </c>
      <c r="D4240" s="18" t="s">
        <v>35</v>
      </c>
      <c r="E4240" s="26">
        <v>42562.43125</v>
      </c>
      <c r="F4240" s="19">
        <f>IFERROR(__xludf.DUMMYFUNCTION("IFERROR(TO_DATE(E4240), """")"),42562.43125)</f>
        <v>42562.43125</v>
      </c>
      <c r="G4240" s="20">
        <f t="shared" si="1"/>
        <v>10</v>
      </c>
      <c r="H4240" s="18" t="s">
        <v>34</v>
      </c>
      <c r="I4240" s="19" t="str">
        <f>IFERROR(__xludf.DUMMYFUNCTION("IFERROR(TO_DATE(H4240), """")"),"NA")</f>
        <v>NA</v>
      </c>
      <c r="J4240" s="19" t="s">
        <v>14</v>
      </c>
      <c r="K4240" s="22">
        <f t="shared" si="2"/>
        <v>0</v>
      </c>
    </row>
    <row r="4241">
      <c r="A4241" s="18">
        <v>576.0</v>
      </c>
      <c r="B4241" s="18" t="s">
        <v>32</v>
      </c>
      <c r="C4241" s="18" t="s">
        <v>34</v>
      </c>
      <c r="D4241" s="18" t="s">
        <v>35</v>
      </c>
      <c r="E4241" s="26">
        <v>42562.45694444444</v>
      </c>
      <c r="F4241" s="19">
        <f>IFERROR(__xludf.DUMMYFUNCTION("IFERROR(TO_DATE(E4241), """")"),42562.45694444444)</f>
        <v>42562.45694</v>
      </c>
      <c r="G4241" s="20">
        <f t="shared" si="1"/>
        <v>10</v>
      </c>
      <c r="H4241" s="18" t="s">
        <v>34</v>
      </c>
      <c r="I4241" s="19" t="str">
        <f>IFERROR(__xludf.DUMMYFUNCTION("IFERROR(TO_DATE(H4241), """")"),"NA")</f>
        <v>NA</v>
      </c>
      <c r="J4241" s="19" t="s">
        <v>14</v>
      </c>
      <c r="K4241" s="22">
        <f t="shared" si="2"/>
        <v>0</v>
      </c>
    </row>
    <row r="4242">
      <c r="A4242" s="18">
        <v>581.0</v>
      </c>
      <c r="B4242" s="18" t="s">
        <v>30</v>
      </c>
      <c r="C4242" s="18" t="s">
        <v>34</v>
      </c>
      <c r="D4242" s="18" t="s">
        <v>35</v>
      </c>
      <c r="E4242" s="26">
        <v>42562.458333333336</v>
      </c>
      <c r="F4242" s="19">
        <f>IFERROR(__xludf.DUMMYFUNCTION("IFERROR(TO_DATE(E4242), """")"),42562.458333333336)</f>
        <v>42562.45833</v>
      </c>
      <c r="G4242" s="20">
        <f t="shared" si="1"/>
        <v>11</v>
      </c>
      <c r="H4242" s="18" t="s">
        <v>34</v>
      </c>
      <c r="I4242" s="19" t="str">
        <f>IFERROR(__xludf.DUMMYFUNCTION("IFERROR(TO_DATE(H4242), """")"),"NA")</f>
        <v>NA</v>
      </c>
      <c r="J4242" s="19" t="s">
        <v>14</v>
      </c>
      <c r="K4242" s="22">
        <f t="shared" si="2"/>
        <v>0</v>
      </c>
    </row>
    <row r="4243">
      <c r="A4243" s="18">
        <v>587.0</v>
      </c>
      <c r="B4243" s="18" t="s">
        <v>32</v>
      </c>
      <c r="C4243" s="18" t="s">
        <v>34</v>
      </c>
      <c r="D4243" s="18" t="s">
        <v>35</v>
      </c>
      <c r="E4243" s="26">
        <v>42562.470138888886</v>
      </c>
      <c r="F4243" s="19">
        <f>IFERROR(__xludf.DUMMYFUNCTION("IFERROR(TO_DATE(E4243), """")"),42562.470138888886)</f>
        <v>42562.47014</v>
      </c>
      <c r="G4243" s="20">
        <f t="shared" si="1"/>
        <v>11</v>
      </c>
      <c r="H4243" s="18" t="s">
        <v>34</v>
      </c>
      <c r="I4243" s="19" t="str">
        <f>IFERROR(__xludf.DUMMYFUNCTION("IFERROR(TO_DATE(H4243), """")"),"NA")</f>
        <v>NA</v>
      </c>
      <c r="J4243" s="19" t="s">
        <v>14</v>
      </c>
      <c r="K4243" s="22">
        <f t="shared" si="2"/>
        <v>0</v>
      </c>
    </row>
    <row r="4244">
      <c r="A4244" s="18">
        <v>593.0</v>
      </c>
      <c r="B4244" s="18" t="s">
        <v>32</v>
      </c>
      <c r="C4244" s="18" t="s">
        <v>34</v>
      </c>
      <c r="D4244" s="18" t="s">
        <v>35</v>
      </c>
      <c r="E4244" s="26">
        <v>42562.47361111111</v>
      </c>
      <c r="F4244" s="19">
        <f>IFERROR(__xludf.DUMMYFUNCTION("IFERROR(TO_DATE(E4244), """")"),42562.47361111111)</f>
        <v>42562.47361</v>
      </c>
      <c r="G4244" s="20">
        <f t="shared" si="1"/>
        <v>11</v>
      </c>
      <c r="H4244" s="18" t="s">
        <v>34</v>
      </c>
      <c r="I4244" s="19" t="str">
        <f>IFERROR(__xludf.DUMMYFUNCTION("IFERROR(TO_DATE(H4244), """")"),"NA")</f>
        <v>NA</v>
      </c>
      <c r="J4244" s="19" t="s">
        <v>14</v>
      </c>
      <c r="K4244" s="22">
        <f t="shared" si="2"/>
        <v>0</v>
      </c>
    </row>
    <row r="4245">
      <c r="A4245" s="18">
        <v>594.0</v>
      </c>
      <c r="B4245" s="18" t="s">
        <v>30</v>
      </c>
      <c r="C4245" s="18" t="s">
        <v>34</v>
      </c>
      <c r="D4245" s="18" t="s">
        <v>35</v>
      </c>
      <c r="E4245" s="26">
        <v>42562.47986111111</v>
      </c>
      <c r="F4245" s="19">
        <f>IFERROR(__xludf.DUMMYFUNCTION("IFERROR(TO_DATE(E4245), """")"),42562.47986111111)</f>
        <v>42562.47986</v>
      </c>
      <c r="G4245" s="20">
        <f t="shared" si="1"/>
        <v>11</v>
      </c>
      <c r="H4245" s="18" t="s">
        <v>34</v>
      </c>
      <c r="I4245" s="19" t="str">
        <f>IFERROR(__xludf.DUMMYFUNCTION("IFERROR(TO_DATE(H4245), """")"),"NA")</f>
        <v>NA</v>
      </c>
      <c r="J4245" s="19" t="s">
        <v>14</v>
      </c>
      <c r="K4245" s="22">
        <f t="shared" si="2"/>
        <v>0</v>
      </c>
    </row>
    <row r="4246">
      <c r="A4246" s="18">
        <v>601.0</v>
      </c>
      <c r="B4246" s="18" t="s">
        <v>32</v>
      </c>
      <c r="C4246" s="18" t="s">
        <v>34</v>
      </c>
      <c r="D4246" s="18" t="s">
        <v>35</v>
      </c>
      <c r="E4246" s="26">
        <v>42562.48611111111</v>
      </c>
      <c r="F4246" s="19">
        <f>IFERROR(__xludf.DUMMYFUNCTION("IFERROR(TO_DATE(E4246), """")"),42562.48611111111)</f>
        <v>42562.48611</v>
      </c>
      <c r="G4246" s="20">
        <f t="shared" si="1"/>
        <v>11</v>
      </c>
      <c r="H4246" s="18" t="s">
        <v>34</v>
      </c>
      <c r="I4246" s="19" t="str">
        <f>IFERROR(__xludf.DUMMYFUNCTION("IFERROR(TO_DATE(H4246), """")"),"NA")</f>
        <v>NA</v>
      </c>
      <c r="J4246" s="19" t="s">
        <v>14</v>
      </c>
      <c r="K4246" s="22">
        <f t="shared" si="2"/>
        <v>0</v>
      </c>
    </row>
    <row r="4247">
      <c r="A4247" s="18">
        <v>606.0</v>
      </c>
      <c r="B4247" s="18" t="s">
        <v>32</v>
      </c>
      <c r="C4247" s="18" t="s">
        <v>34</v>
      </c>
      <c r="D4247" s="18" t="s">
        <v>35</v>
      </c>
      <c r="E4247" s="26">
        <v>42562.4875</v>
      </c>
      <c r="F4247" s="19">
        <f>IFERROR(__xludf.DUMMYFUNCTION("IFERROR(TO_DATE(E4247), """")"),42562.4875)</f>
        <v>42562.4875</v>
      </c>
      <c r="G4247" s="20">
        <f t="shared" si="1"/>
        <v>11</v>
      </c>
      <c r="H4247" s="18" t="s">
        <v>34</v>
      </c>
      <c r="I4247" s="19" t="str">
        <f>IFERROR(__xludf.DUMMYFUNCTION("IFERROR(TO_DATE(H4247), """")"),"NA")</f>
        <v>NA</v>
      </c>
      <c r="J4247" s="19" t="s">
        <v>14</v>
      </c>
      <c r="K4247" s="22">
        <f t="shared" si="2"/>
        <v>0</v>
      </c>
    </row>
    <row r="4248">
      <c r="A4248" s="18">
        <v>611.0</v>
      </c>
      <c r="B4248" s="18" t="s">
        <v>30</v>
      </c>
      <c r="C4248" s="18" t="s">
        <v>34</v>
      </c>
      <c r="D4248" s="18" t="s">
        <v>35</v>
      </c>
      <c r="E4248" s="26">
        <v>42562.49513888889</v>
      </c>
      <c r="F4248" s="19">
        <f>IFERROR(__xludf.DUMMYFUNCTION("IFERROR(TO_DATE(E4248), """")"),42562.49513888889)</f>
        <v>42562.49514</v>
      </c>
      <c r="G4248" s="20">
        <f t="shared" si="1"/>
        <v>11</v>
      </c>
      <c r="H4248" s="18" t="s">
        <v>34</v>
      </c>
      <c r="I4248" s="19" t="str">
        <f>IFERROR(__xludf.DUMMYFUNCTION("IFERROR(TO_DATE(H4248), """")"),"NA")</f>
        <v>NA</v>
      </c>
      <c r="J4248" s="19" t="s">
        <v>14</v>
      </c>
      <c r="K4248" s="22">
        <f t="shared" si="2"/>
        <v>0</v>
      </c>
    </row>
    <row r="4249">
      <c r="A4249" s="18">
        <v>613.0</v>
      </c>
      <c r="B4249" s="18" t="s">
        <v>32</v>
      </c>
      <c r="C4249" s="18" t="s">
        <v>34</v>
      </c>
      <c r="D4249" s="18" t="s">
        <v>35</v>
      </c>
      <c r="E4249" s="26">
        <v>42562.49722222222</v>
      </c>
      <c r="F4249" s="19">
        <f>IFERROR(__xludf.DUMMYFUNCTION("IFERROR(TO_DATE(E4249), """")"),42562.49722222222)</f>
        <v>42562.49722</v>
      </c>
      <c r="G4249" s="20">
        <f t="shared" si="1"/>
        <v>11</v>
      </c>
      <c r="H4249" s="18" t="s">
        <v>34</v>
      </c>
      <c r="I4249" s="19" t="str">
        <f>IFERROR(__xludf.DUMMYFUNCTION("IFERROR(TO_DATE(H4249), """")"),"NA")</f>
        <v>NA</v>
      </c>
      <c r="J4249" s="19" t="s">
        <v>14</v>
      </c>
      <c r="K4249" s="22">
        <f t="shared" si="2"/>
        <v>0</v>
      </c>
    </row>
    <row r="4250">
      <c r="A4250" s="18">
        <v>617.0</v>
      </c>
      <c r="B4250" s="18" t="s">
        <v>30</v>
      </c>
      <c r="C4250" s="18" t="s">
        <v>34</v>
      </c>
      <c r="D4250" s="18" t="s">
        <v>35</v>
      </c>
      <c r="E4250" s="26">
        <v>42562.49791666667</v>
      </c>
      <c r="F4250" s="19">
        <f>IFERROR(__xludf.DUMMYFUNCTION("IFERROR(TO_DATE(E4250), """")"),42562.49791666667)</f>
        <v>42562.49792</v>
      </c>
      <c r="G4250" s="20">
        <f t="shared" si="1"/>
        <v>11</v>
      </c>
      <c r="H4250" s="18" t="s">
        <v>34</v>
      </c>
      <c r="I4250" s="19" t="str">
        <f>IFERROR(__xludf.DUMMYFUNCTION("IFERROR(TO_DATE(H4250), """")"),"NA")</f>
        <v>NA</v>
      </c>
      <c r="J4250" s="19" t="s">
        <v>14</v>
      </c>
      <c r="K4250" s="22">
        <f t="shared" si="2"/>
        <v>0</v>
      </c>
    </row>
    <row r="4251">
      <c r="A4251" s="18">
        <v>624.0</v>
      </c>
      <c r="B4251" s="18" t="s">
        <v>32</v>
      </c>
      <c r="C4251" s="18" t="s">
        <v>34</v>
      </c>
      <c r="D4251" s="18" t="s">
        <v>35</v>
      </c>
      <c r="E4251" s="26">
        <v>42562.504166666666</v>
      </c>
      <c r="F4251" s="19">
        <f>IFERROR(__xludf.DUMMYFUNCTION("IFERROR(TO_DATE(E4251), """")"),42562.504166666666)</f>
        <v>42562.50417</v>
      </c>
      <c r="G4251" s="20">
        <f t="shared" si="1"/>
        <v>12</v>
      </c>
      <c r="H4251" s="18" t="s">
        <v>34</v>
      </c>
      <c r="I4251" s="19" t="str">
        <f>IFERROR(__xludf.DUMMYFUNCTION("IFERROR(TO_DATE(H4251), """")"),"NA")</f>
        <v>NA</v>
      </c>
      <c r="J4251" s="19" t="s">
        <v>10</v>
      </c>
      <c r="K4251" s="22">
        <f t="shared" si="2"/>
        <v>0</v>
      </c>
    </row>
    <row r="4252">
      <c r="A4252" s="18">
        <v>633.0</v>
      </c>
      <c r="B4252" s="18" t="s">
        <v>32</v>
      </c>
      <c r="C4252" s="18" t="s">
        <v>34</v>
      </c>
      <c r="D4252" s="18" t="s">
        <v>35</v>
      </c>
      <c r="E4252" s="26">
        <v>42562.518055555556</v>
      </c>
      <c r="F4252" s="19">
        <f>IFERROR(__xludf.DUMMYFUNCTION("IFERROR(TO_DATE(E4252), """")"),42562.518055555556)</f>
        <v>42562.51806</v>
      </c>
      <c r="G4252" s="20">
        <f t="shared" si="1"/>
        <v>12</v>
      </c>
      <c r="H4252" s="18" t="s">
        <v>34</v>
      </c>
      <c r="I4252" s="19" t="str">
        <f>IFERROR(__xludf.DUMMYFUNCTION("IFERROR(TO_DATE(H4252), """")"),"NA")</f>
        <v>NA</v>
      </c>
      <c r="J4252" s="19" t="s">
        <v>10</v>
      </c>
      <c r="K4252" s="22">
        <f t="shared" si="2"/>
        <v>0</v>
      </c>
    </row>
    <row r="4253">
      <c r="A4253" s="18">
        <v>646.0</v>
      </c>
      <c r="B4253" s="18" t="s">
        <v>30</v>
      </c>
      <c r="C4253" s="18" t="s">
        <v>34</v>
      </c>
      <c r="D4253" s="18" t="s">
        <v>35</v>
      </c>
      <c r="E4253" s="26">
        <v>42562.52569444444</v>
      </c>
      <c r="F4253" s="19">
        <f>IFERROR(__xludf.DUMMYFUNCTION("IFERROR(TO_DATE(E4253), """")"),42562.52569444444)</f>
        <v>42562.52569</v>
      </c>
      <c r="G4253" s="20">
        <f t="shared" si="1"/>
        <v>12</v>
      </c>
      <c r="H4253" s="18" t="s">
        <v>34</v>
      </c>
      <c r="I4253" s="19" t="str">
        <f>IFERROR(__xludf.DUMMYFUNCTION("IFERROR(TO_DATE(H4253), """")"),"NA")</f>
        <v>NA</v>
      </c>
      <c r="J4253" s="19" t="s">
        <v>10</v>
      </c>
      <c r="K4253" s="22">
        <f t="shared" si="2"/>
        <v>0</v>
      </c>
    </row>
    <row r="4254">
      <c r="A4254" s="18">
        <v>654.0</v>
      </c>
      <c r="B4254" s="18" t="s">
        <v>30</v>
      </c>
      <c r="C4254" s="18" t="s">
        <v>34</v>
      </c>
      <c r="D4254" s="18" t="s">
        <v>35</v>
      </c>
      <c r="E4254" s="26">
        <v>42562.53125</v>
      </c>
      <c r="F4254" s="19">
        <f>IFERROR(__xludf.DUMMYFUNCTION("IFERROR(TO_DATE(E4254), """")"),42562.53125)</f>
        <v>42562.53125</v>
      </c>
      <c r="G4254" s="20">
        <f t="shared" si="1"/>
        <v>12</v>
      </c>
      <c r="H4254" s="18" t="s">
        <v>34</v>
      </c>
      <c r="I4254" s="19" t="str">
        <f>IFERROR(__xludf.DUMMYFUNCTION("IFERROR(TO_DATE(H4254), """")"),"NA")</f>
        <v>NA</v>
      </c>
      <c r="J4254" s="19" t="s">
        <v>10</v>
      </c>
      <c r="K4254" s="22">
        <f t="shared" si="2"/>
        <v>0</v>
      </c>
    </row>
    <row r="4255">
      <c r="A4255" s="18">
        <v>655.0</v>
      </c>
      <c r="B4255" s="18" t="s">
        <v>32</v>
      </c>
      <c r="C4255" s="18" t="s">
        <v>34</v>
      </c>
      <c r="D4255" s="18" t="s">
        <v>35</v>
      </c>
      <c r="E4255" s="26">
        <v>42562.53680555556</v>
      </c>
      <c r="F4255" s="19">
        <f>IFERROR(__xludf.DUMMYFUNCTION("IFERROR(TO_DATE(E4255), """")"),42562.53680555556)</f>
        <v>42562.53681</v>
      </c>
      <c r="G4255" s="20">
        <f t="shared" si="1"/>
        <v>12</v>
      </c>
      <c r="H4255" s="18" t="s">
        <v>34</v>
      </c>
      <c r="I4255" s="19" t="str">
        <f>IFERROR(__xludf.DUMMYFUNCTION("IFERROR(TO_DATE(H4255), """")"),"NA")</f>
        <v>NA</v>
      </c>
      <c r="J4255" s="19" t="s">
        <v>10</v>
      </c>
      <c r="K4255" s="22">
        <f t="shared" si="2"/>
        <v>0</v>
      </c>
    </row>
    <row r="4256">
      <c r="A4256" s="18">
        <v>658.0</v>
      </c>
      <c r="B4256" s="18" t="s">
        <v>32</v>
      </c>
      <c r="C4256" s="18" t="s">
        <v>34</v>
      </c>
      <c r="D4256" s="18" t="s">
        <v>35</v>
      </c>
      <c r="E4256" s="26">
        <v>42562.5375</v>
      </c>
      <c r="F4256" s="19">
        <f>IFERROR(__xludf.DUMMYFUNCTION("IFERROR(TO_DATE(E4256), """")"),42562.5375)</f>
        <v>42562.5375</v>
      </c>
      <c r="G4256" s="20">
        <f t="shared" si="1"/>
        <v>12</v>
      </c>
      <c r="H4256" s="18" t="s">
        <v>34</v>
      </c>
      <c r="I4256" s="19" t="str">
        <f>IFERROR(__xludf.DUMMYFUNCTION("IFERROR(TO_DATE(H4256), """")"),"NA")</f>
        <v>NA</v>
      </c>
      <c r="J4256" s="19" t="s">
        <v>10</v>
      </c>
      <c r="K4256" s="22">
        <f t="shared" si="2"/>
        <v>0</v>
      </c>
    </row>
    <row r="4257">
      <c r="A4257" s="18">
        <v>659.0</v>
      </c>
      <c r="B4257" s="18" t="s">
        <v>32</v>
      </c>
      <c r="C4257" s="18" t="s">
        <v>34</v>
      </c>
      <c r="D4257" s="18" t="s">
        <v>35</v>
      </c>
      <c r="E4257" s="26">
        <v>42562.538194444445</v>
      </c>
      <c r="F4257" s="19">
        <f>IFERROR(__xludf.DUMMYFUNCTION("IFERROR(TO_DATE(E4257), """")"),42562.538194444445)</f>
        <v>42562.53819</v>
      </c>
      <c r="G4257" s="20">
        <f t="shared" si="1"/>
        <v>12</v>
      </c>
      <c r="H4257" s="18" t="s">
        <v>34</v>
      </c>
      <c r="I4257" s="19" t="str">
        <f>IFERROR(__xludf.DUMMYFUNCTION("IFERROR(TO_DATE(H4257), """")"),"NA")</f>
        <v>NA</v>
      </c>
      <c r="J4257" s="19" t="s">
        <v>10</v>
      </c>
      <c r="K4257" s="22">
        <f t="shared" si="2"/>
        <v>0</v>
      </c>
    </row>
    <row r="4258">
      <c r="A4258" s="18">
        <v>667.0</v>
      </c>
      <c r="B4258" s="18" t="s">
        <v>32</v>
      </c>
      <c r="C4258" s="18" t="s">
        <v>34</v>
      </c>
      <c r="D4258" s="18" t="s">
        <v>35</v>
      </c>
      <c r="E4258" s="26">
        <v>42562.54236111111</v>
      </c>
      <c r="F4258" s="19">
        <f>IFERROR(__xludf.DUMMYFUNCTION("IFERROR(TO_DATE(E4258), """")"),42562.54236111111)</f>
        <v>42562.54236</v>
      </c>
      <c r="G4258" s="20">
        <f t="shared" si="1"/>
        <v>13</v>
      </c>
      <c r="H4258" s="18" t="s">
        <v>34</v>
      </c>
      <c r="I4258" s="19" t="str">
        <f>IFERROR(__xludf.DUMMYFUNCTION("IFERROR(TO_DATE(H4258), """")"),"NA")</f>
        <v>NA</v>
      </c>
      <c r="J4258" s="19" t="s">
        <v>10</v>
      </c>
      <c r="K4258" s="22">
        <f t="shared" si="2"/>
        <v>0</v>
      </c>
    </row>
    <row r="4259">
      <c r="A4259" s="18">
        <v>665.0</v>
      </c>
      <c r="B4259" s="18" t="s">
        <v>30</v>
      </c>
      <c r="C4259" s="18" t="s">
        <v>34</v>
      </c>
      <c r="D4259" s="18" t="s">
        <v>35</v>
      </c>
      <c r="E4259" s="26">
        <v>42562.544444444444</v>
      </c>
      <c r="F4259" s="19">
        <f>IFERROR(__xludf.DUMMYFUNCTION("IFERROR(TO_DATE(E4259), """")"),42562.544444444444)</f>
        <v>42562.54444</v>
      </c>
      <c r="G4259" s="20">
        <f t="shared" si="1"/>
        <v>13</v>
      </c>
      <c r="H4259" s="18" t="s">
        <v>34</v>
      </c>
      <c r="I4259" s="19" t="str">
        <f>IFERROR(__xludf.DUMMYFUNCTION("IFERROR(TO_DATE(H4259), """")"),"NA")</f>
        <v>NA</v>
      </c>
      <c r="J4259" s="19" t="s">
        <v>10</v>
      </c>
      <c r="K4259" s="22">
        <f t="shared" si="2"/>
        <v>0</v>
      </c>
    </row>
    <row r="4260">
      <c r="A4260" s="18">
        <v>668.0</v>
      </c>
      <c r="B4260" s="18" t="s">
        <v>32</v>
      </c>
      <c r="C4260" s="18" t="s">
        <v>34</v>
      </c>
      <c r="D4260" s="18" t="s">
        <v>35</v>
      </c>
      <c r="E4260" s="26">
        <v>42562.54583333333</v>
      </c>
      <c r="F4260" s="19">
        <f>IFERROR(__xludf.DUMMYFUNCTION("IFERROR(TO_DATE(E4260), """")"),42562.54583333333)</f>
        <v>42562.54583</v>
      </c>
      <c r="G4260" s="20">
        <f t="shared" si="1"/>
        <v>13</v>
      </c>
      <c r="H4260" s="18" t="s">
        <v>34</v>
      </c>
      <c r="I4260" s="19" t="str">
        <f>IFERROR(__xludf.DUMMYFUNCTION("IFERROR(TO_DATE(H4260), """")"),"NA")</f>
        <v>NA</v>
      </c>
      <c r="J4260" s="19" t="s">
        <v>10</v>
      </c>
      <c r="K4260" s="22">
        <f t="shared" si="2"/>
        <v>0</v>
      </c>
    </row>
    <row r="4261">
      <c r="A4261" s="18">
        <v>674.0</v>
      </c>
      <c r="B4261" s="18" t="s">
        <v>32</v>
      </c>
      <c r="C4261" s="18" t="s">
        <v>34</v>
      </c>
      <c r="D4261" s="18" t="s">
        <v>35</v>
      </c>
      <c r="E4261" s="26">
        <v>42562.552083333336</v>
      </c>
      <c r="F4261" s="19">
        <f>IFERROR(__xludf.DUMMYFUNCTION("IFERROR(TO_DATE(E4261), """")"),42562.552083333336)</f>
        <v>42562.55208</v>
      </c>
      <c r="G4261" s="20">
        <f t="shared" si="1"/>
        <v>13</v>
      </c>
      <c r="H4261" s="18" t="s">
        <v>34</v>
      </c>
      <c r="I4261" s="19" t="str">
        <f>IFERROR(__xludf.DUMMYFUNCTION("IFERROR(TO_DATE(H4261), """")"),"NA")</f>
        <v>NA</v>
      </c>
      <c r="J4261" s="19" t="s">
        <v>10</v>
      </c>
      <c r="K4261" s="22">
        <f t="shared" si="2"/>
        <v>0</v>
      </c>
    </row>
    <row r="4262">
      <c r="A4262" s="18">
        <v>670.0</v>
      </c>
      <c r="B4262" s="18" t="s">
        <v>30</v>
      </c>
      <c r="C4262" s="18" t="s">
        <v>34</v>
      </c>
      <c r="D4262" s="18" t="s">
        <v>35</v>
      </c>
      <c r="E4262" s="26">
        <v>42562.55416666667</v>
      </c>
      <c r="F4262" s="19">
        <f>IFERROR(__xludf.DUMMYFUNCTION("IFERROR(TO_DATE(E4262), """")"),42562.55416666667)</f>
        <v>42562.55417</v>
      </c>
      <c r="G4262" s="20">
        <f t="shared" si="1"/>
        <v>13</v>
      </c>
      <c r="H4262" s="18" t="s">
        <v>34</v>
      </c>
      <c r="I4262" s="19" t="str">
        <f>IFERROR(__xludf.DUMMYFUNCTION("IFERROR(TO_DATE(H4262), """")"),"NA")</f>
        <v>NA</v>
      </c>
      <c r="J4262" s="19" t="s">
        <v>10</v>
      </c>
      <c r="K4262" s="22">
        <f t="shared" si="2"/>
        <v>0</v>
      </c>
    </row>
    <row r="4263">
      <c r="A4263" s="18">
        <v>673.0</v>
      </c>
      <c r="B4263" s="18" t="s">
        <v>30</v>
      </c>
      <c r="C4263" s="18" t="s">
        <v>34</v>
      </c>
      <c r="D4263" s="18" t="s">
        <v>35</v>
      </c>
      <c r="E4263" s="26">
        <v>42562.558333333334</v>
      </c>
      <c r="F4263" s="19">
        <f>IFERROR(__xludf.DUMMYFUNCTION("IFERROR(TO_DATE(E4263), """")"),42562.558333333334)</f>
        <v>42562.55833</v>
      </c>
      <c r="G4263" s="20">
        <f t="shared" si="1"/>
        <v>13</v>
      </c>
      <c r="H4263" s="18" t="s">
        <v>34</v>
      </c>
      <c r="I4263" s="19" t="str">
        <f>IFERROR(__xludf.DUMMYFUNCTION("IFERROR(TO_DATE(H4263), """")"),"NA")</f>
        <v>NA</v>
      </c>
      <c r="J4263" s="19" t="s">
        <v>10</v>
      </c>
      <c r="K4263" s="22">
        <f t="shared" si="2"/>
        <v>0</v>
      </c>
    </row>
    <row r="4264">
      <c r="A4264" s="18">
        <v>678.0</v>
      </c>
      <c r="B4264" s="18" t="s">
        <v>30</v>
      </c>
      <c r="C4264" s="18" t="s">
        <v>34</v>
      </c>
      <c r="D4264" s="18" t="s">
        <v>35</v>
      </c>
      <c r="E4264" s="26">
        <v>42562.56458333333</v>
      </c>
      <c r="F4264" s="19">
        <f>IFERROR(__xludf.DUMMYFUNCTION("IFERROR(TO_DATE(E4264), """")"),42562.56458333333)</f>
        <v>42562.56458</v>
      </c>
      <c r="G4264" s="20">
        <f t="shared" si="1"/>
        <v>13</v>
      </c>
      <c r="H4264" s="18" t="s">
        <v>34</v>
      </c>
      <c r="I4264" s="19" t="str">
        <f>IFERROR(__xludf.DUMMYFUNCTION("IFERROR(TO_DATE(H4264), """")"),"NA")</f>
        <v>NA</v>
      </c>
      <c r="J4264" s="19" t="s">
        <v>10</v>
      </c>
      <c r="K4264" s="22">
        <f t="shared" si="2"/>
        <v>0</v>
      </c>
    </row>
    <row r="4265">
      <c r="A4265" s="18">
        <v>690.0</v>
      </c>
      <c r="B4265" s="18" t="s">
        <v>30</v>
      </c>
      <c r="C4265" s="18" t="s">
        <v>34</v>
      </c>
      <c r="D4265" s="18" t="s">
        <v>35</v>
      </c>
      <c r="E4265" s="26">
        <v>42562.57013888889</v>
      </c>
      <c r="F4265" s="19">
        <f>IFERROR(__xludf.DUMMYFUNCTION("IFERROR(TO_DATE(E4265), """")"),42562.57013888889)</f>
        <v>42562.57014</v>
      </c>
      <c r="G4265" s="20">
        <f t="shared" si="1"/>
        <v>13</v>
      </c>
      <c r="H4265" s="18" t="s">
        <v>34</v>
      </c>
      <c r="I4265" s="19" t="str">
        <f>IFERROR(__xludf.DUMMYFUNCTION("IFERROR(TO_DATE(H4265), """")"),"NA")</f>
        <v>NA</v>
      </c>
      <c r="J4265" s="19" t="s">
        <v>10</v>
      </c>
      <c r="K4265" s="22">
        <f t="shared" si="2"/>
        <v>0</v>
      </c>
    </row>
    <row r="4266">
      <c r="A4266" s="18">
        <v>685.0</v>
      </c>
      <c r="B4266" s="18" t="s">
        <v>32</v>
      </c>
      <c r="C4266" s="18" t="s">
        <v>34</v>
      </c>
      <c r="D4266" s="18" t="s">
        <v>35</v>
      </c>
      <c r="E4266" s="26">
        <v>42562.57152777778</v>
      </c>
      <c r="F4266" s="19">
        <f>IFERROR(__xludf.DUMMYFUNCTION("IFERROR(TO_DATE(E4266), """")"),42562.57152777778)</f>
        <v>42562.57153</v>
      </c>
      <c r="G4266" s="20">
        <f t="shared" si="1"/>
        <v>13</v>
      </c>
      <c r="H4266" s="18" t="s">
        <v>34</v>
      </c>
      <c r="I4266" s="19" t="str">
        <f>IFERROR(__xludf.DUMMYFUNCTION("IFERROR(TO_DATE(H4266), """")"),"NA")</f>
        <v>NA</v>
      </c>
      <c r="J4266" s="19" t="s">
        <v>10</v>
      </c>
      <c r="K4266" s="22">
        <f t="shared" si="2"/>
        <v>0</v>
      </c>
    </row>
    <row r="4267">
      <c r="A4267" s="18">
        <v>691.0</v>
      </c>
      <c r="B4267" s="18" t="s">
        <v>32</v>
      </c>
      <c r="C4267" s="18" t="s">
        <v>34</v>
      </c>
      <c r="D4267" s="18" t="s">
        <v>35</v>
      </c>
      <c r="E4267" s="26">
        <v>42562.57361111111</v>
      </c>
      <c r="F4267" s="19">
        <f>IFERROR(__xludf.DUMMYFUNCTION("IFERROR(TO_DATE(E4267), """")"),42562.57361111111)</f>
        <v>42562.57361</v>
      </c>
      <c r="G4267" s="20">
        <f t="shared" si="1"/>
        <v>13</v>
      </c>
      <c r="H4267" s="18" t="s">
        <v>34</v>
      </c>
      <c r="I4267" s="19" t="str">
        <f>IFERROR(__xludf.DUMMYFUNCTION("IFERROR(TO_DATE(H4267), """")"),"NA")</f>
        <v>NA</v>
      </c>
      <c r="J4267" s="19" t="s">
        <v>10</v>
      </c>
      <c r="K4267" s="22">
        <f t="shared" si="2"/>
        <v>0</v>
      </c>
    </row>
    <row r="4268">
      <c r="A4268" s="18">
        <v>695.0</v>
      </c>
      <c r="B4268" s="18" t="s">
        <v>32</v>
      </c>
      <c r="C4268" s="18" t="s">
        <v>34</v>
      </c>
      <c r="D4268" s="18" t="s">
        <v>35</v>
      </c>
      <c r="E4268" s="26">
        <v>42562.57916666667</v>
      </c>
      <c r="F4268" s="19">
        <f>IFERROR(__xludf.DUMMYFUNCTION("IFERROR(TO_DATE(E4268), """")"),42562.57916666667)</f>
        <v>42562.57917</v>
      </c>
      <c r="G4268" s="20">
        <f t="shared" si="1"/>
        <v>13</v>
      </c>
      <c r="H4268" s="18" t="s">
        <v>34</v>
      </c>
      <c r="I4268" s="19" t="str">
        <f>IFERROR(__xludf.DUMMYFUNCTION("IFERROR(TO_DATE(H4268), """")"),"NA")</f>
        <v>NA</v>
      </c>
      <c r="J4268" s="19" t="s">
        <v>10</v>
      </c>
      <c r="K4268" s="22">
        <f t="shared" si="2"/>
        <v>0</v>
      </c>
    </row>
    <row r="4269">
      <c r="A4269" s="18">
        <v>696.0</v>
      </c>
      <c r="B4269" s="18" t="s">
        <v>32</v>
      </c>
      <c r="C4269" s="18" t="s">
        <v>34</v>
      </c>
      <c r="D4269" s="18" t="s">
        <v>35</v>
      </c>
      <c r="E4269" s="26">
        <v>42562.584027777775</v>
      </c>
      <c r="F4269" s="19">
        <f>IFERROR(__xludf.DUMMYFUNCTION("IFERROR(TO_DATE(E4269), """")"),42562.584027777775)</f>
        <v>42562.58403</v>
      </c>
      <c r="G4269" s="20">
        <f t="shared" si="1"/>
        <v>14</v>
      </c>
      <c r="H4269" s="18" t="s">
        <v>34</v>
      </c>
      <c r="I4269" s="19" t="str">
        <f>IFERROR(__xludf.DUMMYFUNCTION("IFERROR(TO_DATE(H4269), """")"),"NA")</f>
        <v>NA</v>
      </c>
      <c r="J4269" s="19" t="s">
        <v>10</v>
      </c>
      <c r="K4269" s="22">
        <f t="shared" si="2"/>
        <v>0</v>
      </c>
    </row>
    <row r="4270">
      <c r="A4270" s="18">
        <v>705.0</v>
      </c>
      <c r="B4270" s="18" t="s">
        <v>30</v>
      </c>
      <c r="C4270" s="18" t="s">
        <v>34</v>
      </c>
      <c r="D4270" s="18" t="s">
        <v>35</v>
      </c>
      <c r="E4270" s="26">
        <v>42562.59166666667</v>
      </c>
      <c r="F4270" s="19">
        <f>IFERROR(__xludf.DUMMYFUNCTION("IFERROR(TO_DATE(E4270), """")"),42562.59166666667)</f>
        <v>42562.59167</v>
      </c>
      <c r="G4270" s="20">
        <f t="shared" si="1"/>
        <v>14</v>
      </c>
      <c r="H4270" s="18" t="s">
        <v>34</v>
      </c>
      <c r="I4270" s="19" t="str">
        <f>IFERROR(__xludf.DUMMYFUNCTION("IFERROR(TO_DATE(H4270), """")"),"NA")</f>
        <v>NA</v>
      </c>
      <c r="J4270" s="19" t="s">
        <v>10</v>
      </c>
      <c r="K4270" s="22">
        <f t="shared" si="2"/>
        <v>0</v>
      </c>
    </row>
    <row r="4271">
      <c r="A4271" s="18">
        <v>713.0</v>
      </c>
      <c r="B4271" s="18" t="s">
        <v>32</v>
      </c>
      <c r="C4271" s="18" t="s">
        <v>34</v>
      </c>
      <c r="D4271" s="18" t="s">
        <v>35</v>
      </c>
      <c r="E4271" s="26">
        <v>42562.611805555556</v>
      </c>
      <c r="F4271" s="19">
        <f>IFERROR(__xludf.DUMMYFUNCTION("IFERROR(TO_DATE(E4271), """")"),42562.611805555556)</f>
        <v>42562.61181</v>
      </c>
      <c r="G4271" s="20">
        <f t="shared" si="1"/>
        <v>14</v>
      </c>
      <c r="H4271" s="18" t="s">
        <v>34</v>
      </c>
      <c r="I4271" s="19" t="str">
        <f>IFERROR(__xludf.DUMMYFUNCTION("IFERROR(TO_DATE(H4271), """")"),"NA")</f>
        <v>NA</v>
      </c>
      <c r="J4271" s="19" t="s">
        <v>10</v>
      </c>
      <c r="K4271" s="22">
        <f t="shared" si="2"/>
        <v>0</v>
      </c>
    </row>
    <row r="4272">
      <c r="A4272" s="18">
        <v>716.0</v>
      </c>
      <c r="B4272" s="18" t="s">
        <v>32</v>
      </c>
      <c r="C4272" s="18" t="s">
        <v>34</v>
      </c>
      <c r="D4272" s="18" t="s">
        <v>35</v>
      </c>
      <c r="E4272" s="26">
        <v>42562.61944444444</v>
      </c>
      <c r="F4272" s="19">
        <f>IFERROR(__xludf.DUMMYFUNCTION("IFERROR(TO_DATE(E4272), """")"),42562.61944444444)</f>
        <v>42562.61944</v>
      </c>
      <c r="G4272" s="20">
        <f t="shared" si="1"/>
        <v>14</v>
      </c>
      <c r="H4272" s="18" t="s">
        <v>34</v>
      </c>
      <c r="I4272" s="19" t="str">
        <f>IFERROR(__xludf.DUMMYFUNCTION("IFERROR(TO_DATE(H4272), """")"),"NA")</f>
        <v>NA</v>
      </c>
      <c r="J4272" s="19" t="s">
        <v>10</v>
      </c>
      <c r="K4272" s="22">
        <f t="shared" si="2"/>
        <v>0</v>
      </c>
    </row>
    <row r="4273">
      <c r="A4273" s="18">
        <v>722.0</v>
      </c>
      <c r="B4273" s="18" t="s">
        <v>30</v>
      </c>
      <c r="C4273" s="18" t="s">
        <v>34</v>
      </c>
      <c r="D4273" s="18" t="s">
        <v>35</v>
      </c>
      <c r="E4273" s="26">
        <v>42562.62291666667</v>
      </c>
      <c r="F4273" s="19">
        <f>IFERROR(__xludf.DUMMYFUNCTION("IFERROR(TO_DATE(E4273), """")"),42562.62291666667)</f>
        <v>42562.62292</v>
      </c>
      <c r="G4273" s="20">
        <f t="shared" si="1"/>
        <v>14</v>
      </c>
      <c r="H4273" s="18" t="s">
        <v>34</v>
      </c>
      <c r="I4273" s="19" t="str">
        <f>IFERROR(__xludf.DUMMYFUNCTION("IFERROR(TO_DATE(H4273), """")"),"NA")</f>
        <v>NA</v>
      </c>
      <c r="J4273" s="19" t="s">
        <v>10</v>
      </c>
      <c r="K4273" s="22">
        <f t="shared" si="2"/>
        <v>0</v>
      </c>
    </row>
    <row r="4274">
      <c r="A4274" s="18">
        <v>731.0</v>
      </c>
      <c r="B4274" s="18" t="s">
        <v>32</v>
      </c>
      <c r="C4274" s="18" t="s">
        <v>34</v>
      </c>
      <c r="D4274" s="18" t="s">
        <v>35</v>
      </c>
      <c r="E4274" s="26">
        <v>42562.63263888889</v>
      </c>
      <c r="F4274" s="19">
        <f>IFERROR(__xludf.DUMMYFUNCTION("IFERROR(TO_DATE(E4274), """")"),42562.63263888889)</f>
        <v>42562.63264</v>
      </c>
      <c r="G4274" s="20">
        <f t="shared" si="1"/>
        <v>15</v>
      </c>
      <c r="H4274" s="18" t="s">
        <v>34</v>
      </c>
      <c r="I4274" s="19" t="str">
        <f>IFERROR(__xludf.DUMMYFUNCTION("IFERROR(TO_DATE(H4274), """")"),"NA")</f>
        <v>NA</v>
      </c>
      <c r="J4274" s="19" t="s">
        <v>10</v>
      </c>
      <c r="K4274" s="22">
        <f t="shared" si="2"/>
        <v>0</v>
      </c>
    </row>
    <row r="4275">
      <c r="A4275" s="18">
        <v>730.0</v>
      </c>
      <c r="B4275" s="18" t="s">
        <v>30</v>
      </c>
      <c r="C4275" s="18" t="s">
        <v>34</v>
      </c>
      <c r="D4275" s="18" t="s">
        <v>35</v>
      </c>
      <c r="E4275" s="26">
        <v>42562.634722222225</v>
      </c>
      <c r="F4275" s="19">
        <f>IFERROR(__xludf.DUMMYFUNCTION("IFERROR(TO_DATE(E4275), """")"),42562.634722222225)</f>
        <v>42562.63472</v>
      </c>
      <c r="G4275" s="20">
        <f t="shared" si="1"/>
        <v>15</v>
      </c>
      <c r="H4275" s="18" t="s">
        <v>34</v>
      </c>
      <c r="I4275" s="19" t="str">
        <f>IFERROR(__xludf.DUMMYFUNCTION("IFERROR(TO_DATE(H4275), """")"),"NA")</f>
        <v>NA</v>
      </c>
      <c r="J4275" s="19" t="s">
        <v>10</v>
      </c>
      <c r="K4275" s="22">
        <f t="shared" si="2"/>
        <v>0</v>
      </c>
    </row>
    <row r="4276">
      <c r="A4276" s="18">
        <v>734.0</v>
      </c>
      <c r="B4276" s="18" t="s">
        <v>32</v>
      </c>
      <c r="C4276" s="18" t="s">
        <v>34</v>
      </c>
      <c r="D4276" s="18" t="s">
        <v>35</v>
      </c>
      <c r="E4276" s="26">
        <v>42562.64027777778</v>
      </c>
      <c r="F4276" s="19">
        <f>IFERROR(__xludf.DUMMYFUNCTION("IFERROR(TO_DATE(E4276), """")"),42562.64027777778)</f>
        <v>42562.64028</v>
      </c>
      <c r="G4276" s="20">
        <f t="shared" si="1"/>
        <v>15</v>
      </c>
      <c r="H4276" s="18" t="s">
        <v>34</v>
      </c>
      <c r="I4276" s="19" t="str">
        <f>IFERROR(__xludf.DUMMYFUNCTION("IFERROR(TO_DATE(H4276), """")"),"NA")</f>
        <v>NA</v>
      </c>
      <c r="J4276" s="19" t="s">
        <v>10</v>
      </c>
      <c r="K4276" s="22">
        <f t="shared" si="2"/>
        <v>0</v>
      </c>
    </row>
    <row r="4277">
      <c r="A4277" s="18">
        <v>755.0</v>
      </c>
      <c r="B4277" s="18" t="s">
        <v>30</v>
      </c>
      <c r="C4277" s="18" t="s">
        <v>34</v>
      </c>
      <c r="D4277" s="18" t="s">
        <v>35</v>
      </c>
      <c r="E4277" s="26">
        <v>42562.66875</v>
      </c>
      <c r="F4277" s="19">
        <f>IFERROR(__xludf.DUMMYFUNCTION("IFERROR(TO_DATE(E4277), """")"),42562.66875)</f>
        <v>42562.66875</v>
      </c>
      <c r="G4277" s="20">
        <f t="shared" si="1"/>
        <v>16</v>
      </c>
      <c r="H4277" s="18" t="s">
        <v>34</v>
      </c>
      <c r="I4277" s="19" t="str">
        <f>IFERROR(__xludf.DUMMYFUNCTION("IFERROR(TO_DATE(H4277), """")"),"NA")</f>
        <v>NA</v>
      </c>
      <c r="J4277" s="19" t="s">
        <v>12</v>
      </c>
      <c r="K4277" s="22">
        <f t="shared" si="2"/>
        <v>0</v>
      </c>
    </row>
    <row r="4278">
      <c r="A4278" s="18">
        <v>762.0</v>
      </c>
      <c r="B4278" s="18" t="s">
        <v>32</v>
      </c>
      <c r="C4278" s="18" t="s">
        <v>34</v>
      </c>
      <c r="D4278" s="18" t="s">
        <v>35</v>
      </c>
      <c r="E4278" s="26">
        <v>42562.675</v>
      </c>
      <c r="F4278" s="19">
        <f>IFERROR(__xludf.DUMMYFUNCTION("IFERROR(TO_DATE(E4278), """")"),42562.675)</f>
        <v>42562.675</v>
      </c>
      <c r="G4278" s="20">
        <f t="shared" si="1"/>
        <v>16</v>
      </c>
      <c r="H4278" s="18" t="s">
        <v>34</v>
      </c>
      <c r="I4278" s="19" t="str">
        <f>IFERROR(__xludf.DUMMYFUNCTION("IFERROR(TO_DATE(H4278), """")"),"NA")</f>
        <v>NA</v>
      </c>
      <c r="J4278" s="19" t="s">
        <v>12</v>
      </c>
      <c r="K4278" s="22">
        <f t="shared" si="2"/>
        <v>0</v>
      </c>
    </row>
    <row r="4279">
      <c r="A4279" s="18">
        <v>765.0</v>
      </c>
      <c r="B4279" s="18" t="s">
        <v>30</v>
      </c>
      <c r="C4279" s="18" t="s">
        <v>34</v>
      </c>
      <c r="D4279" s="18" t="s">
        <v>35</v>
      </c>
      <c r="E4279" s="26">
        <v>42562.677777777775</v>
      </c>
      <c r="F4279" s="19">
        <f>IFERROR(__xludf.DUMMYFUNCTION("IFERROR(TO_DATE(E4279), """")"),42562.677777777775)</f>
        <v>42562.67778</v>
      </c>
      <c r="G4279" s="20">
        <f t="shared" si="1"/>
        <v>16</v>
      </c>
      <c r="H4279" s="18" t="s">
        <v>34</v>
      </c>
      <c r="I4279" s="19" t="str">
        <f>IFERROR(__xludf.DUMMYFUNCTION("IFERROR(TO_DATE(H4279), """")"),"NA")</f>
        <v>NA</v>
      </c>
      <c r="J4279" s="19" t="s">
        <v>12</v>
      </c>
      <c r="K4279" s="22">
        <f t="shared" si="2"/>
        <v>0</v>
      </c>
    </row>
    <row r="4280">
      <c r="A4280" s="18">
        <v>764.0</v>
      </c>
      <c r="B4280" s="18" t="s">
        <v>32</v>
      </c>
      <c r="C4280" s="18" t="s">
        <v>34</v>
      </c>
      <c r="D4280" s="18" t="s">
        <v>35</v>
      </c>
      <c r="E4280" s="26">
        <v>42562.68125</v>
      </c>
      <c r="F4280" s="19">
        <f>IFERROR(__xludf.DUMMYFUNCTION("IFERROR(TO_DATE(E4280), """")"),42562.68125)</f>
        <v>42562.68125</v>
      </c>
      <c r="G4280" s="20">
        <f t="shared" si="1"/>
        <v>16</v>
      </c>
      <c r="H4280" s="18" t="s">
        <v>34</v>
      </c>
      <c r="I4280" s="19" t="str">
        <f>IFERROR(__xludf.DUMMYFUNCTION("IFERROR(TO_DATE(H4280), """")"),"NA")</f>
        <v>NA</v>
      </c>
      <c r="J4280" s="19" t="s">
        <v>12</v>
      </c>
      <c r="K4280" s="22">
        <f t="shared" si="2"/>
        <v>0</v>
      </c>
    </row>
    <row r="4281">
      <c r="A4281" s="18">
        <v>767.0</v>
      </c>
      <c r="B4281" s="18" t="s">
        <v>32</v>
      </c>
      <c r="C4281" s="18" t="s">
        <v>34</v>
      </c>
      <c r="D4281" s="18" t="s">
        <v>35</v>
      </c>
      <c r="E4281" s="26">
        <v>42562.683333333334</v>
      </c>
      <c r="F4281" s="19">
        <f>IFERROR(__xludf.DUMMYFUNCTION("IFERROR(TO_DATE(E4281), """")"),42562.683333333334)</f>
        <v>42562.68333</v>
      </c>
      <c r="G4281" s="20">
        <f t="shared" si="1"/>
        <v>16</v>
      </c>
      <c r="H4281" s="18" t="s">
        <v>34</v>
      </c>
      <c r="I4281" s="19" t="str">
        <f>IFERROR(__xludf.DUMMYFUNCTION("IFERROR(TO_DATE(H4281), """")"),"NA")</f>
        <v>NA</v>
      </c>
      <c r="J4281" s="19" t="s">
        <v>12</v>
      </c>
      <c r="K4281" s="22">
        <f t="shared" si="2"/>
        <v>0</v>
      </c>
    </row>
    <row r="4282">
      <c r="A4282" s="18">
        <v>768.0</v>
      </c>
      <c r="B4282" s="18" t="s">
        <v>30</v>
      </c>
      <c r="C4282" s="18" t="s">
        <v>34</v>
      </c>
      <c r="D4282" s="18" t="s">
        <v>35</v>
      </c>
      <c r="E4282" s="26">
        <v>42562.68472222222</v>
      </c>
      <c r="F4282" s="19">
        <f>IFERROR(__xludf.DUMMYFUNCTION("IFERROR(TO_DATE(E4282), """")"),42562.68472222222)</f>
        <v>42562.68472</v>
      </c>
      <c r="G4282" s="20">
        <f t="shared" si="1"/>
        <v>16</v>
      </c>
      <c r="H4282" s="18" t="s">
        <v>34</v>
      </c>
      <c r="I4282" s="19" t="str">
        <f>IFERROR(__xludf.DUMMYFUNCTION("IFERROR(TO_DATE(H4282), """")"),"NA")</f>
        <v>NA</v>
      </c>
      <c r="J4282" s="19" t="s">
        <v>12</v>
      </c>
      <c r="K4282" s="22">
        <f t="shared" si="2"/>
        <v>0</v>
      </c>
    </row>
    <row r="4283">
      <c r="A4283" s="18">
        <v>770.0</v>
      </c>
      <c r="B4283" s="18" t="s">
        <v>30</v>
      </c>
      <c r="C4283" s="18" t="s">
        <v>34</v>
      </c>
      <c r="D4283" s="18" t="s">
        <v>35</v>
      </c>
      <c r="E4283" s="26">
        <v>42562.68541666667</v>
      </c>
      <c r="F4283" s="19">
        <f>IFERROR(__xludf.DUMMYFUNCTION("IFERROR(TO_DATE(E4283), """")"),42562.68541666667)</f>
        <v>42562.68542</v>
      </c>
      <c r="G4283" s="20">
        <f t="shared" si="1"/>
        <v>16</v>
      </c>
      <c r="H4283" s="18" t="s">
        <v>34</v>
      </c>
      <c r="I4283" s="19" t="str">
        <f>IFERROR(__xludf.DUMMYFUNCTION("IFERROR(TO_DATE(H4283), """")"),"NA")</f>
        <v>NA</v>
      </c>
      <c r="J4283" s="19" t="s">
        <v>12</v>
      </c>
      <c r="K4283" s="22">
        <f t="shared" si="2"/>
        <v>0</v>
      </c>
    </row>
    <row r="4284">
      <c r="A4284" s="18">
        <v>776.0</v>
      </c>
      <c r="B4284" s="18" t="s">
        <v>32</v>
      </c>
      <c r="C4284" s="18" t="s">
        <v>34</v>
      </c>
      <c r="D4284" s="18" t="s">
        <v>35</v>
      </c>
      <c r="E4284" s="26">
        <v>42562.69027777778</v>
      </c>
      <c r="F4284" s="19">
        <f>IFERROR(__xludf.DUMMYFUNCTION("IFERROR(TO_DATE(E4284), """")"),42562.69027777778)</f>
        <v>42562.69028</v>
      </c>
      <c r="G4284" s="20">
        <f t="shared" si="1"/>
        <v>16</v>
      </c>
      <c r="H4284" s="18" t="s">
        <v>34</v>
      </c>
      <c r="I4284" s="19" t="str">
        <f>IFERROR(__xludf.DUMMYFUNCTION("IFERROR(TO_DATE(H4284), """")"),"NA")</f>
        <v>NA</v>
      </c>
      <c r="J4284" s="19" t="s">
        <v>12</v>
      </c>
      <c r="K4284" s="22">
        <f t="shared" si="2"/>
        <v>0</v>
      </c>
    </row>
    <row r="4285">
      <c r="A4285" s="18">
        <v>783.0</v>
      </c>
      <c r="B4285" s="18" t="s">
        <v>32</v>
      </c>
      <c r="C4285" s="18" t="s">
        <v>34</v>
      </c>
      <c r="D4285" s="18" t="s">
        <v>35</v>
      </c>
      <c r="E4285" s="26">
        <v>42562.7</v>
      </c>
      <c r="F4285" s="19">
        <f>IFERROR(__xludf.DUMMYFUNCTION("IFERROR(TO_DATE(E4285), """")"),42562.7)</f>
        <v>42562.7</v>
      </c>
      <c r="G4285" s="20">
        <f t="shared" si="1"/>
        <v>16</v>
      </c>
      <c r="H4285" s="18" t="s">
        <v>34</v>
      </c>
      <c r="I4285" s="19" t="str">
        <f>IFERROR(__xludf.DUMMYFUNCTION("IFERROR(TO_DATE(H4285), """")"),"NA")</f>
        <v>NA</v>
      </c>
      <c r="J4285" s="19" t="s">
        <v>12</v>
      </c>
      <c r="K4285" s="22">
        <f t="shared" si="2"/>
        <v>0</v>
      </c>
    </row>
    <row r="4286">
      <c r="A4286" s="18">
        <v>787.0</v>
      </c>
      <c r="B4286" s="18" t="s">
        <v>30</v>
      </c>
      <c r="C4286" s="18" t="s">
        <v>34</v>
      </c>
      <c r="D4286" s="18" t="s">
        <v>35</v>
      </c>
      <c r="E4286" s="26">
        <v>42562.70138888889</v>
      </c>
      <c r="F4286" s="19">
        <f>IFERROR(__xludf.DUMMYFUNCTION("IFERROR(TO_DATE(E4286), """")"),42562.70138888889)</f>
        <v>42562.70139</v>
      </c>
      <c r="G4286" s="20">
        <f t="shared" si="1"/>
        <v>16</v>
      </c>
      <c r="H4286" s="18" t="s">
        <v>34</v>
      </c>
      <c r="I4286" s="19" t="str">
        <f>IFERROR(__xludf.DUMMYFUNCTION("IFERROR(TO_DATE(H4286), """")"),"NA")</f>
        <v>NA</v>
      </c>
      <c r="J4286" s="19" t="s">
        <v>12</v>
      </c>
      <c r="K4286" s="22">
        <f t="shared" si="2"/>
        <v>0</v>
      </c>
    </row>
    <row r="4287">
      <c r="A4287" s="18">
        <v>786.0</v>
      </c>
      <c r="B4287" s="18" t="s">
        <v>30</v>
      </c>
      <c r="C4287" s="18" t="s">
        <v>34</v>
      </c>
      <c r="D4287" s="18" t="s">
        <v>35</v>
      </c>
      <c r="E4287" s="26">
        <v>42562.70138888889</v>
      </c>
      <c r="F4287" s="19">
        <f>IFERROR(__xludf.DUMMYFUNCTION("IFERROR(TO_DATE(E4287), """")"),42562.70138888889)</f>
        <v>42562.70139</v>
      </c>
      <c r="G4287" s="20">
        <f t="shared" si="1"/>
        <v>16</v>
      </c>
      <c r="H4287" s="18" t="s">
        <v>34</v>
      </c>
      <c r="I4287" s="19" t="str">
        <f>IFERROR(__xludf.DUMMYFUNCTION("IFERROR(TO_DATE(H4287), """")"),"NA")</f>
        <v>NA</v>
      </c>
      <c r="J4287" s="19" t="s">
        <v>12</v>
      </c>
      <c r="K4287" s="22">
        <f t="shared" si="2"/>
        <v>0</v>
      </c>
    </row>
    <row r="4288">
      <c r="A4288" s="18">
        <v>795.0</v>
      </c>
      <c r="B4288" s="18" t="s">
        <v>30</v>
      </c>
      <c r="C4288" s="18" t="s">
        <v>34</v>
      </c>
      <c r="D4288" s="18" t="s">
        <v>35</v>
      </c>
      <c r="E4288" s="26">
        <v>42562.714583333334</v>
      </c>
      <c r="F4288" s="19">
        <f>IFERROR(__xludf.DUMMYFUNCTION("IFERROR(TO_DATE(E4288), """")"),42562.714583333334)</f>
        <v>42562.71458</v>
      </c>
      <c r="G4288" s="20">
        <f t="shared" si="1"/>
        <v>17</v>
      </c>
      <c r="H4288" s="18" t="s">
        <v>34</v>
      </c>
      <c r="I4288" s="19" t="str">
        <f>IFERROR(__xludf.DUMMYFUNCTION("IFERROR(TO_DATE(H4288), """")"),"NA")</f>
        <v>NA</v>
      </c>
      <c r="J4288" s="19" t="s">
        <v>12</v>
      </c>
      <c r="K4288" s="22">
        <f t="shared" si="2"/>
        <v>0</v>
      </c>
    </row>
    <row r="4289">
      <c r="A4289" s="18">
        <v>796.0</v>
      </c>
      <c r="B4289" s="18" t="s">
        <v>30</v>
      </c>
      <c r="C4289" s="18" t="s">
        <v>34</v>
      </c>
      <c r="D4289" s="18" t="s">
        <v>35</v>
      </c>
      <c r="E4289" s="26">
        <v>42562.71597222222</v>
      </c>
      <c r="F4289" s="19">
        <f>IFERROR(__xludf.DUMMYFUNCTION("IFERROR(TO_DATE(E4289), """")"),42562.71597222222)</f>
        <v>42562.71597</v>
      </c>
      <c r="G4289" s="20">
        <f t="shared" si="1"/>
        <v>17</v>
      </c>
      <c r="H4289" s="18" t="s">
        <v>34</v>
      </c>
      <c r="I4289" s="19" t="str">
        <f>IFERROR(__xludf.DUMMYFUNCTION("IFERROR(TO_DATE(H4289), """")"),"NA")</f>
        <v>NA</v>
      </c>
      <c r="J4289" s="19" t="s">
        <v>12</v>
      </c>
      <c r="K4289" s="22">
        <f t="shared" si="2"/>
        <v>0</v>
      </c>
    </row>
    <row r="4290">
      <c r="A4290" s="18">
        <v>803.0</v>
      </c>
      <c r="B4290" s="18" t="s">
        <v>30</v>
      </c>
      <c r="C4290" s="18" t="s">
        <v>34</v>
      </c>
      <c r="D4290" s="18" t="s">
        <v>35</v>
      </c>
      <c r="E4290" s="26">
        <v>42562.71805555555</v>
      </c>
      <c r="F4290" s="19">
        <f>IFERROR(__xludf.DUMMYFUNCTION("IFERROR(TO_DATE(E4290), """")"),42562.71805555555)</f>
        <v>42562.71806</v>
      </c>
      <c r="G4290" s="20">
        <f t="shared" si="1"/>
        <v>17</v>
      </c>
      <c r="H4290" s="18" t="s">
        <v>34</v>
      </c>
      <c r="I4290" s="19" t="str">
        <f>IFERROR(__xludf.DUMMYFUNCTION("IFERROR(TO_DATE(H4290), """")"),"NA")</f>
        <v>NA</v>
      </c>
      <c r="J4290" s="19" t="s">
        <v>12</v>
      </c>
      <c r="K4290" s="22">
        <f t="shared" si="2"/>
        <v>0</v>
      </c>
    </row>
    <row r="4291">
      <c r="A4291" s="18">
        <v>802.0</v>
      </c>
      <c r="B4291" s="18" t="s">
        <v>30</v>
      </c>
      <c r="C4291" s="18" t="s">
        <v>34</v>
      </c>
      <c r="D4291" s="18" t="s">
        <v>35</v>
      </c>
      <c r="E4291" s="26">
        <v>42562.71875</v>
      </c>
      <c r="F4291" s="19">
        <f>IFERROR(__xludf.DUMMYFUNCTION("IFERROR(TO_DATE(E4291), """")"),42562.71875)</f>
        <v>42562.71875</v>
      </c>
      <c r="G4291" s="20">
        <f t="shared" si="1"/>
        <v>17</v>
      </c>
      <c r="H4291" s="18" t="s">
        <v>34</v>
      </c>
      <c r="I4291" s="19" t="str">
        <f>IFERROR(__xludf.DUMMYFUNCTION("IFERROR(TO_DATE(H4291), """")"),"NA")</f>
        <v>NA</v>
      </c>
      <c r="J4291" s="19" t="s">
        <v>12</v>
      </c>
      <c r="K4291" s="22">
        <f t="shared" si="2"/>
        <v>0</v>
      </c>
    </row>
    <row r="4292">
      <c r="A4292" s="18">
        <v>806.0</v>
      </c>
      <c r="B4292" s="18" t="s">
        <v>30</v>
      </c>
      <c r="C4292" s="18" t="s">
        <v>34</v>
      </c>
      <c r="D4292" s="18" t="s">
        <v>35</v>
      </c>
      <c r="E4292" s="26">
        <v>42562.71875</v>
      </c>
      <c r="F4292" s="19">
        <f>IFERROR(__xludf.DUMMYFUNCTION("IFERROR(TO_DATE(E4292), """")"),42562.71875)</f>
        <v>42562.71875</v>
      </c>
      <c r="G4292" s="20">
        <f t="shared" si="1"/>
        <v>17</v>
      </c>
      <c r="H4292" s="18" t="s">
        <v>34</v>
      </c>
      <c r="I4292" s="19" t="str">
        <f>IFERROR(__xludf.DUMMYFUNCTION("IFERROR(TO_DATE(H4292), """")"),"NA")</f>
        <v>NA</v>
      </c>
      <c r="J4292" s="19" t="s">
        <v>12</v>
      </c>
      <c r="K4292" s="22">
        <f t="shared" si="2"/>
        <v>0</v>
      </c>
    </row>
    <row r="4293">
      <c r="A4293" s="18">
        <v>798.0</v>
      </c>
      <c r="B4293" s="18" t="s">
        <v>30</v>
      </c>
      <c r="C4293" s="18" t="s">
        <v>34</v>
      </c>
      <c r="D4293" s="18" t="s">
        <v>35</v>
      </c>
      <c r="E4293" s="26">
        <v>42562.720138888886</v>
      </c>
      <c r="F4293" s="19">
        <f>IFERROR(__xludf.DUMMYFUNCTION("IFERROR(TO_DATE(E4293), """")"),42562.720138888886)</f>
        <v>42562.72014</v>
      </c>
      <c r="G4293" s="20">
        <f t="shared" si="1"/>
        <v>17</v>
      </c>
      <c r="H4293" s="18" t="s">
        <v>34</v>
      </c>
      <c r="I4293" s="19" t="str">
        <f>IFERROR(__xludf.DUMMYFUNCTION("IFERROR(TO_DATE(H4293), """")"),"NA")</f>
        <v>NA</v>
      </c>
      <c r="J4293" s="19" t="s">
        <v>12</v>
      </c>
      <c r="K4293" s="22">
        <f t="shared" si="2"/>
        <v>0</v>
      </c>
    </row>
    <row r="4294">
      <c r="A4294" s="18">
        <v>804.0</v>
      </c>
      <c r="B4294" s="18" t="s">
        <v>30</v>
      </c>
      <c r="C4294" s="18" t="s">
        <v>34</v>
      </c>
      <c r="D4294" s="18" t="s">
        <v>35</v>
      </c>
      <c r="E4294" s="26">
        <v>42562.72083333333</v>
      </c>
      <c r="F4294" s="19">
        <f>IFERROR(__xludf.DUMMYFUNCTION("IFERROR(TO_DATE(E4294), """")"),42562.72083333333)</f>
        <v>42562.72083</v>
      </c>
      <c r="G4294" s="20">
        <f t="shared" si="1"/>
        <v>17</v>
      </c>
      <c r="H4294" s="18" t="s">
        <v>34</v>
      </c>
      <c r="I4294" s="19" t="str">
        <f>IFERROR(__xludf.DUMMYFUNCTION("IFERROR(TO_DATE(H4294), """")"),"NA")</f>
        <v>NA</v>
      </c>
      <c r="J4294" s="19" t="s">
        <v>12</v>
      </c>
      <c r="K4294" s="22">
        <f t="shared" si="2"/>
        <v>0</v>
      </c>
    </row>
    <row r="4295">
      <c r="A4295" s="18">
        <v>808.0</v>
      </c>
      <c r="B4295" s="18" t="s">
        <v>30</v>
      </c>
      <c r="C4295" s="18" t="s">
        <v>34</v>
      </c>
      <c r="D4295" s="18" t="s">
        <v>35</v>
      </c>
      <c r="E4295" s="26">
        <v>42562.72152777778</v>
      </c>
      <c r="F4295" s="19">
        <f>IFERROR(__xludf.DUMMYFUNCTION("IFERROR(TO_DATE(E4295), """")"),42562.72152777778)</f>
        <v>42562.72153</v>
      </c>
      <c r="G4295" s="20">
        <f t="shared" si="1"/>
        <v>17</v>
      </c>
      <c r="H4295" s="18" t="s">
        <v>34</v>
      </c>
      <c r="I4295" s="19" t="str">
        <f>IFERROR(__xludf.DUMMYFUNCTION("IFERROR(TO_DATE(H4295), """")"),"NA")</f>
        <v>NA</v>
      </c>
      <c r="J4295" s="19" t="s">
        <v>12</v>
      </c>
      <c r="K4295" s="22">
        <f t="shared" si="2"/>
        <v>0</v>
      </c>
    </row>
    <row r="4296">
      <c r="A4296" s="18">
        <v>810.0</v>
      </c>
      <c r="B4296" s="18" t="s">
        <v>30</v>
      </c>
      <c r="C4296" s="18" t="s">
        <v>34</v>
      </c>
      <c r="D4296" s="18" t="s">
        <v>35</v>
      </c>
      <c r="E4296" s="26">
        <v>42562.72222222222</v>
      </c>
      <c r="F4296" s="19">
        <f>IFERROR(__xludf.DUMMYFUNCTION("IFERROR(TO_DATE(E4296), """")"),42562.72222222222)</f>
        <v>42562.72222</v>
      </c>
      <c r="G4296" s="20">
        <f t="shared" si="1"/>
        <v>17</v>
      </c>
      <c r="H4296" s="18" t="s">
        <v>34</v>
      </c>
      <c r="I4296" s="19" t="str">
        <f>IFERROR(__xludf.DUMMYFUNCTION("IFERROR(TO_DATE(H4296), """")"),"NA")</f>
        <v>NA</v>
      </c>
      <c r="J4296" s="19" t="s">
        <v>12</v>
      </c>
      <c r="K4296" s="22">
        <f t="shared" si="2"/>
        <v>0</v>
      </c>
    </row>
    <row r="4297">
      <c r="A4297" s="18">
        <v>807.0</v>
      </c>
      <c r="B4297" s="18" t="s">
        <v>30</v>
      </c>
      <c r="C4297" s="18" t="s">
        <v>34</v>
      </c>
      <c r="D4297" s="18" t="s">
        <v>35</v>
      </c>
      <c r="E4297" s="26">
        <v>42562.72222222222</v>
      </c>
      <c r="F4297" s="19">
        <f>IFERROR(__xludf.DUMMYFUNCTION("IFERROR(TO_DATE(E4297), """")"),42562.72222222222)</f>
        <v>42562.72222</v>
      </c>
      <c r="G4297" s="20">
        <f t="shared" si="1"/>
        <v>17</v>
      </c>
      <c r="H4297" s="18" t="s">
        <v>34</v>
      </c>
      <c r="I4297" s="19" t="str">
        <f>IFERROR(__xludf.DUMMYFUNCTION("IFERROR(TO_DATE(H4297), """")"),"NA")</f>
        <v>NA</v>
      </c>
      <c r="J4297" s="19" t="s">
        <v>12</v>
      </c>
      <c r="K4297" s="22">
        <f t="shared" si="2"/>
        <v>0</v>
      </c>
    </row>
    <row r="4298">
      <c r="A4298" s="18">
        <v>814.0</v>
      </c>
      <c r="B4298" s="18" t="s">
        <v>30</v>
      </c>
      <c r="C4298" s="18" t="s">
        <v>34</v>
      </c>
      <c r="D4298" s="18" t="s">
        <v>35</v>
      </c>
      <c r="E4298" s="26">
        <v>42562.722916666666</v>
      </c>
      <c r="F4298" s="19">
        <f>IFERROR(__xludf.DUMMYFUNCTION("IFERROR(TO_DATE(E4298), """")"),42562.722916666666)</f>
        <v>42562.72292</v>
      </c>
      <c r="G4298" s="20">
        <f t="shared" si="1"/>
        <v>17</v>
      </c>
      <c r="H4298" s="18" t="s">
        <v>34</v>
      </c>
      <c r="I4298" s="19" t="str">
        <f>IFERROR(__xludf.DUMMYFUNCTION("IFERROR(TO_DATE(H4298), """")"),"NA")</f>
        <v>NA</v>
      </c>
      <c r="J4298" s="19" t="s">
        <v>12</v>
      </c>
      <c r="K4298" s="22">
        <f t="shared" si="2"/>
        <v>0</v>
      </c>
    </row>
    <row r="4299">
      <c r="A4299" s="18">
        <v>820.0</v>
      </c>
      <c r="B4299" s="18" t="s">
        <v>30</v>
      </c>
      <c r="C4299" s="18" t="s">
        <v>34</v>
      </c>
      <c r="D4299" s="18" t="s">
        <v>35</v>
      </c>
      <c r="E4299" s="26">
        <v>42562.722916666666</v>
      </c>
      <c r="F4299" s="19">
        <f>IFERROR(__xludf.DUMMYFUNCTION("IFERROR(TO_DATE(E4299), """")"),42562.722916666666)</f>
        <v>42562.72292</v>
      </c>
      <c r="G4299" s="20">
        <f t="shared" si="1"/>
        <v>17</v>
      </c>
      <c r="H4299" s="18" t="s">
        <v>34</v>
      </c>
      <c r="I4299" s="19" t="str">
        <f>IFERROR(__xludf.DUMMYFUNCTION("IFERROR(TO_DATE(H4299), """")"),"NA")</f>
        <v>NA</v>
      </c>
      <c r="J4299" s="19" t="s">
        <v>12</v>
      </c>
      <c r="K4299" s="22">
        <f t="shared" si="2"/>
        <v>0</v>
      </c>
    </row>
    <row r="4300">
      <c r="A4300" s="18">
        <v>811.0</v>
      </c>
      <c r="B4300" s="18" t="s">
        <v>30</v>
      </c>
      <c r="C4300" s="18" t="s">
        <v>34</v>
      </c>
      <c r="D4300" s="18" t="s">
        <v>35</v>
      </c>
      <c r="E4300" s="26">
        <v>42562.72430555556</v>
      </c>
      <c r="F4300" s="19">
        <f>IFERROR(__xludf.DUMMYFUNCTION("IFERROR(TO_DATE(E4300), """")"),42562.72430555556)</f>
        <v>42562.72431</v>
      </c>
      <c r="G4300" s="20">
        <f t="shared" si="1"/>
        <v>17</v>
      </c>
      <c r="H4300" s="18" t="s">
        <v>34</v>
      </c>
      <c r="I4300" s="19" t="str">
        <f>IFERROR(__xludf.DUMMYFUNCTION("IFERROR(TO_DATE(H4300), """")"),"NA")</f>
        <v>NA</v>
      </c>
      <c r="J4300" s="19" t="s">
        <v>12</v>
      </c>
      <c r="K4300" s="22">
        <f t="shared" si="2"/>
        <v>0</v>
      </c>
    </row>
    <row r="4301">
      <c r="A4301" s="18">
        <v>813.0</v>
      </c>
      <c r="B4301" s="18" t="s">
        <v>30</v>
      </c>
      <c r="C4301" s="18" t="s">
        <v>34</v>
      </c>
      <c r="D4301" s="18" t="s">
        <v>35</v>
      </c>
      <c r="E4301" s="26">
        <v>42562.72430555556</v>
      </c>
      <c r="F4301" s="19">
        <f>IFERROR(__xludf.DUMMYFUNCTION("IFERROR(TO_DATE(E4301), """")"),42562.72430555556)</f>
        <v>42562.72431</v>
      </c>
      <c r="G4301" s="20">
        <f t="shared" si="1"/>
        <v>17</v>
      </c>
      <c r="H4301" s="18" t="s">
        <v>34</v>
      </c>
      <c r="I4301" s="19" t="str">
        <f>IFERROR(__xludf.DUMMYFUNCTION("IFERROR(TO_DATE(H4301), """")"),"NA")</f>
        <v>NA</v>
      </c>
      <c r="J4301" s="19" t="s">
        <v>12</v>
      </c>
      <c r="K4301" s="22">
        <f t="shared" si="2"/>
        <v>0</v>
      </c>
    </row>
    <row r="4302">
      <c r="A4302" s="18">
        <v>809.0</v>
      </c>
      <c r="B4302" s="18" t="s">
        <v>30</v>
      </c>
      <c r="C4302" s="18" t="s">
        <v>34</v>
      </c>
      <c r="D4302" s="18" t="s">
        <v>35</v>
      </c>
      <c r="E4302" s="26">
        <v>42562.725</v>
      </c>
      <c r="F4302" s="19">
        <f>IFERROR(__xludf.DUMMYFUNCTION("IFERROR(TO_DATE(E4302), """")"),42562.725)</f>
        <v>42562.725</v>
      </c>
      <c r="G4302" s="20">
        <f t="shared" si="1"/>
        <v>17</v>
      </c>
      <c r="H4302" s="18" t="s">
        <v>34</v>
      </c>
      <c r="I4302" s="19" t="str">
        <f>IFERROR(__xludf.DUMMYFUNCTION("IFERROR(TO_DATE(H4302), """")"),"NA")</f>
        <v>NA</v>
      </c>
      <c r="J4302" s="19" t="s">
        <v>12</v>
      </c>
      <c r="K4302" s="22">
        <f t="shared" si="2"/>
        <v>0</v>
      </c>
    </row>
    <row r="4303">
      <c r="A4303" s="18">
        <v>816.0</v>
      </c>
      <c r="B4303" s="18" t="s">
        <v>30</v>
      </c>
      <c r="C4303" s="18" t="s">
        <v>34</v>
      </c>
      <c r="D4303" s="18" t="s">
        <v>35</v>
      </c>
      <c r="E4303" s="26">
        <v>42562.725</v>
      </c>
      <c r="F4303" s="19">
        <f>IFERROR(__xludf.DUMMYFUNCTION("IFERROR(TO_DATE(E4303), """")"),42562.725)</f>
        <v>42562.725</v>
      </c>
      <c r="G4303" s="20">
        <f t="shared" si="1"/>
        <v>17</v>
      </c>
      <c r="H4303" s="18" t="s">
        <v>34</v>
      </c>
      <c r="I4303" s="19" t="str">
        <f>IFERROR(__xludf.DUMMYFUNCTION("IFERROR(TO_DATE(H4303), """")"),"NA")</f>
        <v>NA</v>
      </c>
      <c r="J4303" s="19" t="s">
        <v>12</v>
      </c>
      <c r="K4303" s="22">
        <f t="shared" si="2"/>
        <v>0</v>
      </c>
    </row>
    <row r="4304">
      <c r="A4304" s="18">
        <v>815.0</v>
      </c>
      <c r="B4304" s="18" t="s">
        <v>30</v>
      </c>
      <c r="C4304" s="18" t="s">
        <v>34</v>
      </c>
      <c r="D4304" s="18" t="s">
        <v>35</v>
      </c>
      <c r="E4304" s="26">
        <v>42562.725694444445</v>
      </c>
      <c r="F4304" s="19">
        <f>IFERROR(__xludf.DUMMYFUNCTION("IFERROR(TO_DATE(E4304), """")"),42562.725694444445)</f>
        <v>42562.72569</v>
      </c>
      <c r="G4304" s="20">
        <f t="shared" si="1"/>
        <v>17</v>
      </c>
      <c r="H4304" s="18" t="s">
        <v>34</v>
      </c>
      <c r="I4304" s="19" t="str">
        <f>IFERROR(__xludf.DUMMYFUNCTION("IFERROR(TO_DATE(H4304), """")"),"NA")</f>
        <v>NA</v>
      </c>
      <c r="J4304" s="19" t="s">
        <v>12</v>
      </c>
      <c r="K4304" s="22">
        <f t="shared" si="2"/>
        <v>0</v>
      </c>
    </row>
    <row r="4305">
      <c r="A4305" s="18">
        <v>812.0</v>
      </c>
      <c r="B4305" s="18" t="s">
        <v>30</v>
      </c>
      <c r="C4305" s="18" t="s">
        <v>34</v>
      </c>
      <c r="D4305" s="18" t="s">
        <v>35</v>
      </c>
      <c r="E4305" s="26">
        <v>42562.72777777778</v>
      </c>
      <c r="F4305" s="19">
        <f>IFERROR(__xludf.DUMMYFUNCTION("IFERROR(TO_DATE(E4305), """")"),42562.72777777778)</f>
        <v>42562.72778</v>
      </c>
      <c r="G4305" s="20">
        <f t="shared" si="1"/>
        <v>17</v>
      </c>
      <c r="H4305" s="18" t="s">
        <v>34</v>
      </c>
      <c r="I4305" s="19" t="str">
        <f>IFERROR(__xludf.DUMMYFUNCTION("IFERROR(TO_DATE(H4305), """")"),"NA")</f>
        <v>NA</v>
      </c>
      <c r="J4305" s="19" t="s">
        <v>12</v>
      </c>
      <c r="K4305" s="22">
        <f t="shared" si="2"/>
        <v>0</v>
      </c>
    </row>
    <row r="4306">
      <c r="A4306" s="18">
        <v>823.0</v>
      </c>
      <c r="B4306" s="18" t="s">
        <v>30</v>
      </c>
      <c r="C4306" s="18" t="s">
        <v>34</v>
      </c>
      <c r="D4306" s="18" t="s">
        <v>35</v>
      </c>
      <c r="E4306" s="26">
        <v>42562.72777777778</v>
      </c>
      <c r="F4306" s="19">
        <f>IFERROR(__xludf.DUMMYFUNCTION("IFERROR(TO_DATE(E4306), """")"),42562.72777777778)</f>
        <v>42562.72778</v>
      </c>
      <c r="G4306" s="20">
        <f t="shared" si="1"/>
        <v>17</v>
      </c>
      <c r="H4306" s="18" t="s">
        <v>34</v>
      </c>
      <c r="I4306" s="19" t="str">
        <f>IFERROR(__xludf.DUMMYFUNCTION("IFERROR(TO_DATE(H4306), """")"),"NA")</f>
        <v>NA</v>
      </c>
      <c r="J4306" s="19" t="s">
        <v>12</v>
      </c>
      <c r="K4306" s="22">
        <f t="shared" si="2"/>
        <v>0</v>
      </c>
    </row>
    <row r="4307">
      <c r="A4307" s="18">
        <v>818.0</v>
      </c>
      <c r="B4307" s="18" t="s">
        <v>30</v>
      </c>
      <c r="C4307" s="18" t="s">
        <v>34</v>
      </c>
      <c r="D4307" s="18" t="s">
        <v>35</v>
      </c>
      <c r="E4307" s="26">
        <v>42562.72986111111</v>
      </c>
      <c r="F4307" s="19">
        <f>IFERROR(__xludf.DUMMYFUNCTION("IFERROR(TO_DATE(E4307), """")"),42562.72986111111)</f>
        <v>42562.72986</v>
      </c>
      <c r="G4307" s="20">
        <f t="shared" si="1"/>
        <v>17</v>
      </c>
      <c r="H4307" s="18" t="s">
        <v>34</v>
      </c>
      <c r="I4307" s="19" t="str">
        <f>IFERROR(__xludf.DUMMYFUNCTION("IFERROR(TO_DATE(H4307), """")"),"NA")</f>
        <v>NA</v>
      </c>
      <c r="J4307" s="19" t="s">
        <v>12</v>
      </c>
      <c r="K4307" s="22">
        <f t="shared" si="2"/>
        <v>0</v>
      </c>
    </row>
    <row r="4308">
      <c r="A4308" s="18">
        <v>822.0</v>
      </c>
      <c r="B4308" s="18" t="s">
        <v>30</v>
      </c>
      <c r="C4308" s="18" t="s">
        <v>34</v>
      </c>
      <c r="D4308" s="18" t="s">
        <v>35</v>
      </c>
      <c r="E4308" s="26">
        <v>42562.73125</v>
      </c>
      <c r="F4308" s="19">
        <f>IFERROR(__xludf.DUMMYFUNCTION("IFERROR(TO_DATE(E4308), """")"),42562.73125)</f>
        <v>42562.73125</v>
      </c>
      <c r="G4308" s="20">
        <f t="shared" si="1"/>
        <v>17</v>
      </c>
      <c r="H4308" s="18" t="s">
        <v>34</v>
      </c>
      <c r="I4308" s="19" t="str">
        <f>IFERROR(__xludf.DUMMYFUNCTION("IFERROR(TO_DATE(H4308), """")"),"NA")</f>
        <v>NA</v>
      </c>
      <c r="J4308" s="19" t="s">
        <v>12</v>
      </c>
      <c r="K4308" s="22">
        <f t="shared" si="2"/>
        <v>0</v>
      </c>
    </row>
    <row r="4309">
      <c r="A4309" s="18">
        <v>830.0</v>
      </c>
      <c r="B4309" s="18" t="s">
        <v>30</v>
      </c>
      <c r="C4309" s="18" t="s">
        <v>34</v>
      </c>
      <c r="D4309" s="18" t="s">
        <v>35</v>
      </c>
      <c r="E4309" s="26">
        <v>42562.731944444444</v>
      </c>
      <c r="F4309" s="19">
        <f>IFERROR(__xludf.DUMMYFUNCTION("IFERROR(TO_DATE(E4309), """")"),42562.731944444444)</f>
        <v>42562.73194</v>
      </c>
      <c r="G4309" s="20">
        <f t="shared" si="1"/>
        <v>17</v>
      </c>
      <c r="H4309" s="18" t="s">
        <v>34</v>
      </c>
      <c r="I4309" s="19" t="str">
        <f>IFERROR(__xludf.DUMMYFUNCTION("IFERROR(TO_DATE(H4309), """")"),"NA")</f>
        <v>NA</v>
      </c>
      <c r="J4309" s="19" t="s">
        <v>12</v>
      </c>
      <c r="K4309" s="22">
        <f t="shared" si="2"/>
        <v>0</v>
      </c>
    </row>
    <row r="4310">
      <c r="A4310" s="18">
        <v>824.0</v>
      </c>
      <c r="B4310" s="18" t="s">
        <v>30</v>
      </c>
      <c r="C4310" s="18" t="s">
        <v>34</v>
      </c>
      <c r="D4310" s="18" t="s">
        <v>35</v>
      </c>
      <c r="E4310" s="26">
        <v>42562.731944444444</v>
      </c>
      <c r="F4310" s="19">
        <f>IFERROR(__xludf.DUMMYFUNCTION("IFERROR(TO_DATE(E4310), """")"),42562.731944444444)</f>
        <v>42562.73194</v>
      </c>
      <c r="G4310" s="20">
        <f t="shared" si="1"/>
        <v>17</v>
      </c>
      <c r="H4310" s="18" t="s">
        <v>34</v>
      </c>
      <c r="I4310" s="19" t="str">
        <f>IFERROR(__xludf.DUMMYFUNCTION("IFERROR(TO_DATE(H4310), """")"),"NA")</f>
        <v>NA</v>
      </c>
      <c r="J4310" s="19" t="s">
        <v>12</v>
      </c>
      <c r="K4310" s="22">
        <f t="shared" si="2"/>
        <v>0</v>
      </c>
    </row>
    <row r="4311">
      <c r="A4311" s="18">
        <v>827.0</v>
      </c>
      <c r="B4311" s="18" t="s">
        <v>30</v>
      </c>
      <c r="C4311" s="18" t="s">
        <v>34</v>
      </c>
      <c r="D4311" s="18" t="s">
        <v>35</v>
      </c>
      <c r="E4311" s="26">
        <v>42562.73263888889</v>
      </c>
      <c r="F4311" s="19">
        <f>IFERROR(__xludf.DUMMYFUNCTION("IFERROR(TO_DATE(E4311), """")"),42562.73263888889)</f>
        <v>42562.73264</v>
      </c>
      <c r="G4311" s="20">
        <f t="shared" si="1"/>
        <v>17</v>
      </c>
      <c r="H4311" s="18" t="s">
        <v>34</v>
      </c>
      <c r="I4311" s="19" t="str">
        <f>IFERROR(__xludf.DUMMYFUNCTION("IFERROR(TO_DATE(H4311), """")"),"NA")</f>
        <v>NA</v>
      </c>
      <c r="J4311" s="19" t="s">
        <v>12</v>
      </c>
      <c r="K4311" s="22">
        <f t="shared" si="2"/>
        <v>0</v>
      </c>
    </row>
    <row r="4312">
      <c r="A4312" s="18">
        <v>829.0</v>
      </c>
      <c r="B4312" s="18" t="s">
        <v>30</v>
      </c>
      <c r="C4312" s="18" t="s">
        <v>34</v>
      </c>
      <c r="D4312" s="18" t="s">
        <v>35</v>
      </c>
      <c r="E4312" s="26">
        <v>42562.73263888889</v>
      </c>
      <c r="F4312" s="19">
        <f>IFERROR(__xludf.DUMMYFUNCTION("IFERROR(TO_DATE(E4312), """")"),42562.73263888889)</f>
        <v>42562.73264</v>
      </c>
      <c r="G4312" s="20">
        <f t="shared" si="1"/>
        <v>17</v>
      </c>
      <c r="H4312" s="18" t="s">
        <v>34</v>
      </c>
      <c r="I4312" s="19" t="str">
        <f>IFERROR(__xludf.DUMMYFUNCTION("IFERROR(TO_DATE(H4312), """")"),"NA")</f>
        <v>NA</v>
      </c>
      <c r="J4312" s="19" t="s">
        <v>12</v>
      </c>
      <c r="K4312" s="22">
        <f t="shared" si="2"/>
        <v>0</v>
      </c>
    </row>
    <row r="4313">
      <c r="A4313" s="18">
        <v>825.0</v>
      </c>
      <c r="B4313" s="18" t="s">
        <v>30</v>
      </c>
      <c r="C4313" s="18" t="s">
        <v>34</v>
      </c>
      <c r="D4313" s="18" t="s">
        <v>35</v>
      </c>
      <c r="E4313" s="26">
        <v>42562.73333333333</v>
      </c>
      <c r="F4313" s="19">
        <f>IFERROR(__xludf.DUMMYFUNCTION("IFERROR(TO_DATE(E4313), """")"),42562.73333333333)</f>
        <v>42562.73333</v>
      </c>
      <c r="G4313" s="20">
        <f t="shared" si="1"/>
        <v>17</v>
      </c>
      <c r="H4313" s="18" t="s">
        <v>34</v>
      </c>
      <c r="I4313" s="19" t="str">
        <f>IFERROR(__xludf.DUMMYFUNCTION("IFERROR(TO_DATE(H4313), """")"),"NA")</f>
        <v>NA</v>
      </c>
      <c r="J4313" s="19" t="s">
        <v>12</v>
      </c>
      <c r="K4313" s="22">
        <f t="shared" si="2"/>
        <v>0</v>
      </c>
    </row>
    <row r="4314">
      <c r="A4314" s="18">
        <v>841.0</v>
      </c>
      <c r="B4314" s="18" t="s">
        <v>30</v>
      </c>
      <c r="C4314" s="18" t="s">
        <v>34</v>
      </c>
      <c r="D4314" s="18" t="s">
        <v>35</v>
      </c>
      <c r="E4314" s="26">
        <v>42562.73541666667</v>
      </c>
      <c r="F4314" s="19">
        <f>IFERROR(__xludf.DUMMYFUNCTION("IFERROR(TO_DATE(E4314), """")"),42562.73541666667)</f>
        <v>42562.73542</v>
      </c>
      <c r="G4314" s="20">
        <f t="shared" si="1"/>
        <v>17</v>
      </c>
      <c r="H4314" s="18" t="s">
        <v>34</v>
      </c>
      <c r="I4314" s="19" t="str">
        <f>IFERROR(__xludf.DUMMYFUNCTION("IFERROR(TO_DATE(H4314), """")"),"NA")</f>
        <v>NA</v>
      </c>
      <c r="J4314" s="19" t="s">
        <v>12</v>
      </c>
      <c r="K4314" s="22">
        <f t="shared" si="2"/>
        <v>0</v>
      </c>
    </row>
    <row r="4315">
      <c r="A4315" s="18">
        <v>836.0</v>
      </c>
      <c r="B4315" s="18" t="s">
        <v>30</v>
      </c>
      <c r="C4315" s="18" t="s">
        <v>34</v>
      </c>
      <c r="D4315" s="18" t="s">
        <v>35</v>
      </c>
      <c r="E4315" s="26">
        <v>42562.73611111111</v>
      </c>
      <c r="F4315" s="19">
        <f>IFERROR(__xludf.DUMMYFUNCTION("IFERROR(TO_DATE(E4315), """")"),42562.73611111111)</f>
        <v>42562.73611</v>
      </c>
      <c r="G4315" s="20">
        <f t="shared" si="1"/>
        <v>17</v>
      </c>
      <c r="H4315" s="18" t="s">
        <v>34</v>
      </c>
      <c r="I4315" s="19" t="str">
        <f>IFERROR(__xludf.DUMMYFUNCTION("IFERROR(TO_DATE(H4315), """")"),"NA")</f>
        <v>NA</v>
      </c>
      <c r="J4315" s="19" t="s">
        <v>12</v>
      </c>
      <c r="K4315" s="22">
        <f t="shared" si="2"/>
        <v>0</v>
      </c>
    </row>
    <row r="4316">
      <c r="A4316" s="18">
        <v>842.0</v>
      </c>
      <c r="B4316" s="18" t="s">
        <v>30</v>
      </c>
      <c r="C4316" s="18" t="s">
        <v>34</v>
      </c>
      <c r="D4316" s="18" t="s">
        <v>35</v>
      </c>
      <c r="E4316" s="26">
        <v>42562.73611111111</v>
      </c>
      <c r="F4316" s="19">
        <f>IFERROR(__xludf.DUMMYFUNCTION("IFERROR(TO_DATE(E4316), """")"),42562.73611111111)</f>
        <v>42562.73611</v>
      </c>
      <c r="G4316" s="20">
        <f t="shared" si="1"/>
        <v>17</v>
      </c>
      <c r="H4316" s="18" t="s">
        <v>34</v>
      </c>
      <c r="I4316" s="19" t="str">
        <f>IFERROR(__xludf.DUMMYFUNCTION("IFERROR(TO_DATE(H4316), """")"),"NA")</f>
        <v>NA</v>
      </c>
      <c r="J4316" s="19" t="s">
        <v>12</v>
      </c>
      <c r="K4316" s="22">
        <f t="shared" si="2"/>
        <v>0</v>
      </c>
    </row>
    <row r="4317">
      <c r="A4317" s="18">
        <v>837.0</v>
      </c>
      <c r="B4317" s="18" t="s">
        <v>32</v>
      </c>
      <c r="C4317" s="18" t="s">
        <v>34</v>
      </c>
      <c r="D4317" s="18" t="s">
        <v>35</v>
      </c>
      <c r="E4317" s="26">
        <v>42562.736805555556</v>
      </c>
      <c r="F4317" s="19">
        <f>IFERROR(__xludf.DUMMYFUNCTION("IFERROR(TO_DATE(E4317), """")"),42562.736805555556)</f>
        <v>42562.73681</v>
      </c>
      <c r="G4317" s="20">
        <f t="shared" si="1"/>
        <v>17</v>
      </c>
      <c r="H4317" s="18" t="s">
        <v>34</v>
      </c>
      <c r="I4317" s="19" t="str">
        <f>IFERROR(__xludf.DUMMYFUNCTION("IFERROR(TO_DATE(H4317), """")"),"NA")</f>
        <v>NA</v>
      </c>
      <c r="J4317" s="19" t="s">
        <v>12</v>
      </c>
      <c r="K4317" s="22">
        <f t="shared" si="2"/>
        <v>0</v>
      </c>
    </row>
    <row r="4318">
      <c r="A4318" s="18">
        <v>835.0</v>
      </c>
      <c r="B4318" s="18" t="s">
        <v>30</v>
      </c>
      <c r="C4318" s="18" t="s">
        <v>34</v>
      </c>
      <c r="D4318" s="18" t="s">
        <v>35</v>
      </c>
      <c r="E4318" s="26">
        <v>42562.7375</v>
      </c>
      <c r="F4318" s="19">
        <f>IFERROR(__xludf.DUMMYFUNCTION("IFERROR(TO_DATE(E4318), """")"),42562.7375)</f>
        <v>42562.7375</v>
      </c>
      <c r="G4318" s="20">
        <f t="shared" si="1"/>
        <v>17</v>
      </c>
      <c r="H4318" s="18" t="s">
        <v>34</v>
      </c>
      <c r="I4318" s="19" t="str">
        <f>IFERROR(__xludf.DUMMYFUNCTION("IFERROR(TO_DATE(H4318), """")"),"NA")</f>
        <v>NA</v>
      </c>
      <c r="J4318" s="19" t="s">
        <v>12</v>
      </c>
      <c r="K4318" s="22">
        <f t="shared" si="2"/>
        <v>0</v>
      </c>
    </row>
    <row r="4319">
      <c r="A4319" s="18">
        <v>839.0</v>
      </c>
      <c r="B4319" s="18" t="s">
        <v>30</v>
      </c>
      <c r="C4319" s="18" t="s">
        <v>34</v>
      </c>
      <c r="D4319" s="18" t="s">
        <v>35</v>
      </c>
      <c r="E4319" s="26">
        <v>42562.73888888889</v>
      </c>
      <c r="F4319" s="19">
        <f>IFERROR(__xludf.DUMMYFUNCTION("IFERROR(TO_DATE(E4319), """")"),42562.73888888889)</f>
        <v>42562.73889</v>
      </c>
      <c r="G4319" s="20">
        <f t="shared" si="1"/>
        <v>17</v>
      </c>
      <c r="H4319" s="18" t="s">
        <v>34</v>
      </c>
      <c r="I4319" s="19" t="str">
        <f>IFERROR(__xludf.DUMMYFUNCTION("IFERROR(TO_DATE(H4319), """")"),"NA")</f>
        <v>NA</v>
      </c>
      <c r="J4319" s="19" t="s">
        <v>12</v>
      </c>
      <c r="K4319" s="22">
        <f t="shared" si="2"/>
        <v>0</v>
      </c>
    </row>
    <row r="4320">
      <c r="A4320" s="18">
        <v>849.0</v>
      </c>
      <c r="B4320" s="18" t="s">
        <v>30</v>
      </c>
      <c r="C4320" s="18" t="s">
        <v>34</v>
      </c>
      <c r="D4320" s="18" t="s">
        <v>35</v>
      </c>
      <c r="E4320" s="26">
        <v>42562.739583333336</v>
      </c>
      <c r="F4320" s="19">
        <f>IFERROR(__xludf.DUMMYFUNCTION("IFERROR(TO_DATE(E4320), """")"),42562.739583333336)</f>
        <v>42562.73958</v>
      </c>
      <c r="G4320" s="20">
        <f t="shared" si="1"/>
        <v>17</v>
      </c>
      <c r="H4320" s="18" t="s">
        <v>34</v>
      </c>
      <c r="I4320" s="19" t="str">
        <f>IFERROR(__xludf.DUMMYFUNCTION("IFERROR(TO_DATE(H4320), """")"),"NA")</f>
        <v>NA</v>
      </c>
      <c r="J4320" s="19" t="s">
        <v>12</v>
      </c>
      <c r="K4320" s="22">
        <f t="shared" si="2"/>
        <v>0</v>
      </c>
    </row>
    <row r="4321">
      <c r="A4321" s="18">
        <v>854.0</v>
      </c>
      <c r="B4321" s="18" t="s">
        <v>30</v>
      </c>
      <c r="C4321" s="18" t="s">
        <v>34</v>
      </c>
      <c r="D4321" s="18" t="s">
        <v>35</v>
      </c>
      <c r="E4321" s="26">
        <v>42562.74166666667</v>
      </c>
      <c r="F4321" s="19">
        <f>IFERROR(__xludf.DUMMYFUNCTION("IFERROR(TO_DATE(E4321), """")"),42562.74166666667)</f>
        <v>42562.74167</v>
      </c>
      <c r="G4321" s="20">
        <f t="shared" si="1"/>
        <v>17</v>
      </c>
      <c r="H4321" s="18" t="s">
        <v>34</v>
      </c>
      <c r="I4321" s="19" t="str">
        <f>IFERROR(__xludf.DUMMYFUNCTION("IFERROR(TO_DATE(H4321), """")"),"NA")</f>
        <v>NA</v>
      </c>
      <c r="J4321" s="19" t="s">
        <v>12</v>
      </c>
      <c r="K4321" s="22">
        <f t="shared" si="2"/>
        <v>0</v>
      </c>
    </row>
    <row r="4322">
      <c r="A4322" s="18">
        <v>851.0</v>
      </c>
      <c r="B4322" s="18" t="s">
        <v>30</v>
      </c>
      <c r="C4322" s="18" t="s">
        <v>34</v>
      </c>
      <c r="D4322" s="18" t="s">
        <v>35</v>
      </c>
      <c r="E4322" s="26">
        <v>42562.74166666667</v>
      </c>
      <c r="F4322" s="19">
        <f>IFERROR(__xludf.DUMMYFUNCTION("IFERROR(TO_DATE(E4322), """")"),42562.74166666667)</f>
        <v>42562.74167</v>
      </c>
      <c r="G4322" s="20">
        <f t="shared" si="1"/>
        <v>17</v>
      </c>
      <c r="H4322" s="18" t="s">
        <v>34</v>
      </c>
      <c r="I4322" s="19" t="str">
        <f>IFERROR(__xludf.DUMMYFUNCTION("IFERROR(TO_DATE(H4322), """")"),"NA")</f>
        <v>NA</v>
      </c>
      <c r="J4322" s="19" t="s">
        <v>12</v>
      </c>
      <c r="K4322" s="22">
        <f t="shared" si="2"/>
        <v>0</v>
      </c>
    </row>
    <row r="4323">
      <c r="A4323" s="18">
        <v>850.0</v>
      </c>
      <c r="B4323" s="18" t="s">
        <v>30</v>
      </c>
      <c r="C4323" s="18" t="s">
        <v>34</v>
      </c>
      <c r="D4323" s="18" t="s">
        <v>35</v>
      </c>
      <c r="E4323" s="26">
        <v>42562.743055555555</v>
      </c>
      <c r="F4323" s="19">
        <f>IFERROR(__xludf.DUMMYFUNCTION("IFERROR(TO_DATE(E4323), """")"),42562.743055555555)</f>
        <v>42562.74306</v>
      </c>
      <c r="G4323" s="20">
        <f t="shared" si="1"/>
        <v>17</v>
      </c>
      <c r="H4323" s="18" t="s">
        <v>34</v>
      </c>
      <c r="I4323" s="19" t="str">
        <f>IFERROR(__xludf.DUMMYFUNCTION("IFERROR(TO_DATE(H4323), """")"),"NA")</f>
        <v>NA</v>
      </c>
      <c r="J4323" s="19" t="s">
        <v>12</v>
      </c>
      <c r="K4323" s="22">
        <f t="shared" si="2"/>
        <v>0</v>
      </c>
    </row>
    <row r="4324">
      <c r="A4324" s="18">
        <v>862.0</v>
      </c>
      <c r="B4324" s="18" t="s">
        <v>30</v>
      </c>
      <c r="C4324" s="18" t="s">
        <v>34</v>
      </c>
      <c r="D4324" s="18" t="s">
        <v>35</v>
      </c>
      <c r="E4324" s="26">
        <v>42562.74375</v>
      </c>
      <c r="F4324" s="19">
        <f>IFERROR(__xludf.DUMMYFUNCTION("IFERROR(TO_DATE(E4324), """")"),42562.74375)</f>
        <v>42562.74375</v>
      </c>
      <c r="G4324" s="20">
        <f t="shared" si="1"/>
        <v>17</v>
      </c>
      <c r="H4324" s="18" t="s">
        <v>34</v>
      </c>
      <c r="I4324" s="19" t="str">
        <f>IFERROR(__xludf.DUMMYFUNCTION("IFERROR(TO_DATE(H4324), """")"),"NA")</f>
        <v>NA</v>
      </c>
      <c r="J4324" s="19" t="s">
        <v>12</v>
      </c>
      <c r="K4324" s="22">
        <f t="shared" si="2"/>
        <v>0</v>
      </c>
    </row>
    <row r="4325">
      <c r="A4325" s="18">
        <v>861.0</v>
      </c>
      <c r="B4325" s="18" t="s">
        <v>30</v>
      </c>
      <c r="C4325" s="18" t="s">
        <v>34</v>
      </c>
      <c r="D4325" s="18" t="s">
        <v>35</v>
      </c>
      <c r="E4325" s="26">
        <v>42562.74513888889</v>
      </c>
      <c r="F4325" s="19">
        <f>IFERROR(__xludf.DUMMYFUNCTION("IFERROR(TO_DATE(E4325), """")"),42562.74513888889)</f>
        <v>42562.74514</v>
      </c>
      <c r="G4325" s="20">
        <f t="shared" si="1"/>
        <v>17</v>
      </c>
      <c r="H4325" s="18" t="s">
        <v>34</v>
      </c>
      <c r="I4325" s="19" t="str">
        <f>IFERROR(__xludf.DUMMYFUNCTION("IFERROR(TO_DATE(H4325), """")"),"NA")</f>
        <v>NA</v>
      </c>
      <c r="J4325" s="19" t="s">
        <v>12</v>
      </c>
      <c r="K4325" s="22">
        <f t="shared" si="2"/>
        <v>0</v>
      </c>
    </row>
    <row r="4326">
      <c r="A4326" s="18">
        <v>858.0</v>
      </c>
      <c r="B4326" s="18" t="s">
        <v>30</v>
      </c>
      <c r="C4326" s="18" t="s">
        <v>34</v>
      </c>
      <c r="D4326" s="18" t="s">
        <v>35</v>
      </c>
      <c r="E4326" s="26">
        <v>42562.74722222222</v>
      </c>
      <c r="F4326" s="19">
        <f>IFERROR(__xludf.DUMMYFUNCTION("IFERROR(TO_DATE(E4326), """")"),42562.74722222222)</f>
        <v>42562.74722</v>
      </c>
      <c r="G4326" s="20">
        <f t="shared" si="1"/>
        <v>17</v>
      </c>
      <c r="H4326" s="18" t="s">
        <v>34</v>
      </c>
      <c r="I4326" s="19" t="str">
        <f>IFERROR(__xludf.DUMMYFUNCTION("IFERROR(TO_DATE(H4326), """")"),"NA")</f>
        <v>NA</v>
      </c>
      <c r="J4326" s="19" t="s">
        <v>12</v>
      </c>
      <c r="K4326" s="22">
        <f t="shared" si="2"/>
        <v>0</v>
      </c>
    </row>
    <row r="4327">
      <c r="A4327" s="18">
        <v>875.0</v>
      </c>
      <c r="B4327" s="18" t="s">
        <v>30</v>
      </c>
      <c r="C4327" s="18" t="s">
        <v>34</v>
      </c>
      <c r="D4327" s="18" t="s">
        <v>35</v>
      </c>
      <c r="E4327" s="26">
        <v>42562.74791666667</v>
      </c>
      <c r="F4327" s="19">
        <f>IFERROR(__xludf.DUMMYFUNCTION("IFERROR(TO_DATE(E4327), """")"),42562.74791666667)</f>
        <v>42562.74792</v>
      </c>
      <c r="G4327" s="20">
        <f t="shared" si="1"/>
        <v>17</v>
      </c>
      <c r="H4327" s="18" t="s">
        <v>34</v>
      </c>
      <c r="I4327" s="19" t="str">
        <f>IFERROR(__xludf.DUMMYFUNCTION("IFERROR(TO_DATE(H4327), """")"),"NA")</f>
        <v>NA</v>
      </c>
      <c r="J4327" s="19" t="s">
        <v>12</v>
      </c>
      <c r="K4327" s="22">
        <f t="shared" si="2"/>
        <v>0</v>
      </c>
    </row>
    <row r="4328">
      <c r="A4328" s="18">
        <v>873.0</v>
      </c>
      <c r="B4328" s="18" t="s">
        <v>30</v>
      </c>
      <c r="C4328" s="18" t="s">
        <v>34</v>
      </c>
      <c r="D4328" s="18" t="s">
        <v>35</v>
      </c>
      <c r="E4328" s="26">
        <v>42562.74791666667</v>
      </c>
      <c r="F4328" s="19">
        <f>IFERROR(__xludf.DUMMYFUNCTION("IFERROR(TO_DATE(E4328), """")"),42562.74791666667)</f>
        <v>42562.74792</v>
      </c>
      <c r="G4328" s="20">
        <f t="shared" si="1"/>
        <v>17</v>
      </c>
      <c r="H4328" s="18" t="s">
        <v>34</v>
      </c>
      <c r="I4328" s="19" t="str">
        <f>IFERROR(__xludf.DUMMYFUNCTION("IFERROR(TO_DATE(H4328), """")"),"NA")</f>
        <v>NA</v>
      </c>
      <c r="J4328" s="19" t="s">
        <v>12</v>
      </c>
      <c r="K4328" s="22">
        <f t="shared" si="2"/>
        <v>0</v>
      </c>
    </row>
    <row r="4329">
      <c r="A4329" s="18">
        <v>869.0</v>
      </c>
      <c r="B4329" s="18" t="s">
        <v>30</v>
      </c>
      <c r="C4329" s="18" t="s">
        <v>34</v>
      </c>
      <c r="D4329" s="18" t="s">
        <v>35</v>
      </c>
      <c r="E4329" s="26">
        <v>42562.748611111114</v>
      </c>
      <c r="F4329" s="19">
        <f>IFERROR(__xludf.DUMMYFUNCTION("IFERROR(TO_DATE(E4329), """")"),42562.748611111114)</f>
        <v>42562.74861</v>
      </c>
      <c r="G4329" s="20">
        <f t="shared" si="1"/>
        <v>17</v>
      </c>
      <c r="H4329" s="18" t="s">
        <v>34</v>
      </c>
      <c r="I4329" s="19" t="str">
        <f>IFERROR(__xludf.DUMMYFUNCTION("IFERROR(TO_DATE(H4329), """")"),"NA")</f>
        <v>NA</v>
      </c>
      <c r="J4329" s="19" t="s">
        <v>12</v>
      </c>
      <c r="K4329" s="22">
        <f t="shared" si="2"/>
        <v>0</v>
      </c>
    </row>
    <row r="4330">
      <c r="A4330" s="18">
        <v>868.0</v>
      </c>
      <c r="B4330" s="18" t="s">
        <v>30</v>
      </c>
      <c r="C4330" s="18" t="s">
        <v>34</v>
      </c>
      <c r="D4330" s="18" t="s">
        <v>35</v>
      </c>
      <c r="E4330" s="26">
        <v>42562.748611111114</v>
      </c>
      <c r="F4330" s="19">
        <f>IFERROR(__xludf.DUMMYFUNCTION("IFERROR(TO_DATE(E4330), """")"),42562.748611111114)</f>
        <v>42562.74861</v>
      </c>
      <c r="G4330" s="20">
        <f t="shared" si="1"/>
        <v>17</v>
      </c>
      <c r="H4330" s="18" t="s">
        <v>34</v>
      </c>
      <c r="I4330" s="19" t="str">
        <f>IFERROR(__xludf.DUMMYFUNCTION("IFERROR(TO_DATE(H4330), """")"),"NA")</f>
        <v>NA</v>
      </c>
      <c r="J4330" s="19" t="s">
        <v>12</v>
      </c>
      <c r="K4330" s="22">
        <f t="shared" si="2"/>
        <v>0</v>
      </c>
    </row>
    <row r="4331">
      <c r="A4331" s="18">
        <v>864.0</v>
      </c>
      <c r="B4331" s="18" t="s">
        <v>30</v>
      </c>
      <c r="C4331" s="18" t="s">
        <v>34</v>
      </c>
      <c r="D4331" s="18" t="s">
        <v>35</v>
      </c>
      <c r="E4331" s="26">
        <v>42562.74930555555</v>
      </c>
      <c r="F4331" s="19">
        <f>IFERROR(__xludf.DUMMYFUNCTION("IFERROR(TO_DATE(E4331), """")"),42562.74930555555)</f>
        <v>42562.74931</v>
      </c>
      <c r="G4331" s="20">
        <f t="shared" si="1"/>
        <v>17</v>
      </c>
      <c r="H4331" s="18" t="s">
        <v>34</v>
      </c>
      <c r="I4331" s="19" t="str">
        <f>IFERROR(__xludf.DUMMYFUNCTION("IFERROR(TO_DATE(H4331), """")"),"NA")</f>
        <v>NA</v>
      </c>
      <c r="J4331" s="19" t="s">
        <v>12</v>
      </c>
      <c r="K4331" s="22">
        <f t="shared" si="2"/>
        <v>0</v>
      </c>
    </row>
    <row r="4332">
      <c r="A4332" s="18">
        <v>866.0</v>
      </c>
      <c r="B4332" s="18" t="s">
        <v>30</v>
      </c>
      <c r="C4332" s="18" t="s">
        <v>34</v>
      </c>
      <c r="D4332" s="18" t="s">
        <v>35</v>
      </c>
      <c r="E4332" s="26">
        <v>42562.75</v>
      </c>
      <c r="F4332" s="19">
        <f>IFERROR(__xludf.DUMMYFUNCTION("IFERROR(TO_DATE(E4332), """")"),42562.75)</f>
        <v>42562.75</v>
      </c>
      <c r="G4332" s="20">
        <f t="shared" si="1"/>
        <v>18</v>
      </c>
      <c r="H4332" s="18" t="s">
        <v>34</v>
      </c>
      <c r="I4332" s="19" t="str">
        <f>IFERROR(__xludf.DUMMYFUNCTION("IFERROR(TO_DATE(H4332), """")"),"NA")</f>
        <v>NA</v>
      </c>
      <c r="J4332" s="19" t="s">
        <v>12</v>
      </c>
      <c r="K4332" s="22">
        <f t="shared" si="2"/>
        <v>0</v>
      </c>
    </row>
    <row r="4333">
      <c r="A4333" s="18">
        <v>880.0</v>
      </c>
      <c r="B4333" s="18" t="s">
        <v>30</v>
      </c>
      <c r="C4333" s="18" t="s">
        <v>34</v>
      </c>
      <c r="D4333" s="18" t="s">
        <v>35</v>
      </c>
      <c r="E4333" s="26">
        <v>42562.75069444445</v>
      </c>
      <c r="F4333" s="19">
        <f>IFERROR(__xludf.DUMMYFUNCTION("IFERROR(TO_DATE(E4333), """")"),42562.75069444445)</f>
        <v>42562.75069</v>
      </c>
      <c r="G4333" s="20">
        <f t="shared" si="1"/>
        <v>18</v>
      </c>
      <c r="H4333" s="18" t="s">
        <v>34</v>
      </c>
      <c r="I4333" s="19" t="str">
        <f>IFERROR(__xludf.DUMMYFUNCTION("IFERROR(TO_DATE(H4333), """")"),"NA")</f>
        <v>NA</v>
      </c>
      <c r="J4333" s="19" t="s">
        <v>12</v>
      </c>
      <c r="K4333" s="22">
        <f t="shared" si="2"/>
        <v>0</v>
      </c>
    </row>
    <row r="4334">
      <c r="A4334" s="18">
        <v>877.0</v>
      </c>
      <c r="B4334" s="18" t="s">
        <v>30</v>
      </c>
      <c r="C4334" s="18" t="s">
        <v>34</v>
      </c>
      <c r="D4334" s="18" t="s">
        <v>35</v>
      </c>
      <c r="E4334" s="26">
        <v>42562.751388888886</v>
      </c>
      <c r="F4334" s="19">
        <f>IFERROR(__xludf.DUMMYFUNCTION("IFERROR(TO_DATE(E4334), """")"),42562.751388888886)</f>
        <v>42562.75139</v>
      </c>
      <c r="G4334" s="20">
        <f t="shared" si="1"/>
        <v>18</v>
      </c>
      <c r="H4334" s="18" t="s">
        <v>34</v>
      </c>
      <c r="I4334" s="19" t="str">
        <f>IFERROR(__xludf.DUMMYFUNCTION("IFERROR(TO_DATE(H4334), """")"),"NA")</f>
        <v>NA</v>
      </c>
      <c r="J4334" s="19" t="s">
        <v>12</v>
      </c>
      <c r="K4334" s="22">
        <f t="shared" si="2"/>
        <v>0</v>
      </c>
    </row>
    <row r="4335">
      <c r="A4335" s="18">
        <v>879.0</v>
      </c>
      <c r="B4335" s="18" t="s">
        <v>30</v>
      </c>
      <c r="C4335" s="18" t="s">
        <v>34</v>
      </c>
      <c r="D4335" s="18" t="s">
        <v>35</v>
      </c>
      <c r="E4335" s="26">
        <v>42562.751388888886</v>
      </c>
      <c r="F4335" s="19">
        <f>IFERROR(__xludf.DUMMYFUNCTION("IFERROR(TO_DATE(E4335), """")"),42562.751388888886)</f>
        <v>42562.75139</v>
      </c>
      <c r="G4335" s="20">
        <f t="shared" si="1"/>
        <v>18</v>
      </c>
      <c r="H4335" s="18" t="s">
        <v>34</v>
      </c>
      <c r="I4335" s="19" t="str">
        <f>IFERROR(__xludf.DUMMYFUNCTION("IFERROR(TO_DATE(H4335), """")"),"NA")</f>
        <v>NA</v>
      </c>
      <c r="J4335" s="19" t="s">
        <v>12</v>
      </c>
      <c r="K4335" s="22">
        <f t="shared" si="2"/>
        <v>0</v>
      </c>
    </row>
    <row r="4336">
      <c r="A4336" s="18">
        <v>874.0</v>
      </c>
      <c r="B4336" s="18" t="s">
        <v>30</v>
      </c>
      <c r="C4336" s="18" t="s">
        <v>34</v>
      </c>
      <c r="D4336" s="18" t="s">
        <v>35</v>
      </c>
      <c r="E4336" s="26">
        <v>42562.75277777778</v>
      </c>
      <c r="F4336" s="19">
        <f>IFERROR(__xludf.DUMMYFUNCTION("IFERROR(TO_DATE(E4336), """")"),42562.75277777778)</f>
        <v>42562.75278</v>
      </c>
      <c r="G4336" s="20">
        <f t="shared" si="1"/>
        <v>18</v>
      </c>
      <c r="H4336" s="18" t="s">
        <v>34</v>
      </c>
      <c r="I4336" s="19" t="str">
        <f>IFERROR(__xludf.DUMMYFUNCTION("IFERROR(TO_DATE(H4336), """")"),"NA")</f>
        <v>NA</v>
      </c>
      <c r="J4336" s="19" t="s">
        <v>12</v>
      </c>
      <c r="K4336" s="22">
        <f t="shared" si="2"/>
        <v>0</v>
      </c>
    </row>
    <row r="4337">
      <c r="A4337" s="18">
        <v>881.0</v>
      </c>
      <c r="B4337" s="18" t="s">
        <v>30</v>
      </c>
      <c r="C4337" s="18" t="s">
        <v>34</v>
      </c>
      <c r="D4337" s="18" t="s">
        <v>35</v>
      </c>
      <c r="E4337" s="26">
        <v>42562.75347222222</v>
      </c>
      <c r="F4337" s="19">
        <f>IFERROR(__xludf.DUMMYFUNCTION("IFERROR(TO_DATE(E4337), """")"),42562.75347222222)</f>
        <v>42562.75347</v>
      </c>
      <c r="G4337" s="20">
        <f t="shared" si="1"/>
        <v>18</v>
      </c>
      <c r="H4337" s="18" t="s">
        <v>34</v>
      </c>
      <c r="I4337" s="19" t="str">
        <f>IFERROR(__xludf.DUMMYFUNCTION("IFERROR(TO_DATE(H4337), """")"),"NA")</f>
        <v>NA</v>
      </c>
      <c r="J4337" s="19" t="s">
        <v>12</v>
      </c>
      <c r="K4337" s="22">
        <f t="shared" si="2"/>
        <v>0</v>
      </c>
    </row>
    <row r="4338">
      <c r="A4338" s="18">
        <v>886.0</v>
      </c>
      <c r="B4338" s="18" t="s">
        <v>30</v>
      </c>
      <c r="C4338" s="18" t="s">
        <v>34</v>
      </c>
      <c r="D4338" s="18" t="s">
        <v>35</v>
      </c>
      <c r="E4338" s="26">
        <v>42562.75347222222</v>
      </c>
      <c r="F4338" s="19">
        <f>IFERROR(__xludf.DUMMYFUNCTION("IFERROR(TO_DATE(E4338), """")"),42562.75347222222)</f>
        <v>42562.75347</v>
      </c>
      <c r="G4338" s="20">
        <f t="shared" si="1"/>
        <v>18</v>
      </c>
      <c r="H4338" s="18" t="s">
        <v>34</v>
      </c>
      <c r="I4338" s="19" t="str">
        <f>IFERROR(__xludf.DUMMYFUNCTION("IFERROR(TO_DATE(H4338), """")"),"NA")</f>
        <v>NA</v>
      </c>
      <c r="J4338" s="19" t="s">
        <v>12</v>
      </c>
      <c r="K4338" s="22">
        <f t="shared" si="2"/>
        <v>0</v>
      </c>
    </row>
    <row r="4339">
      <c r="A4339" s="18">
        <v>894.0</v>
      </c>
      <c r="B4339" s="18" t="s">
        <v>30</v>
      </c>
      <c r="C4339" s="18" t="s">
        <v>34</v>
      </c>
      <c r="D4339" s="18" t="s">
        <v>35</v>
      </c>
      <c r="E4339" s="26">
        <v>42562.75486111111</v>
      </c>
      <c r="F4339" s="19">
        <f>IFERROR(__xludf.DUMMYFUNCTION("IFERROR(TO_DATE(E4339), """")"),42562.75486111111)</f>
        <v>42562.75486</v>
      </c>
      <c r="G4339" s="20">
        <f t="shared" si="1"/>
        <v>18</v>
      </c>
      <c r="H4339" s="18" t="s">
        <v>34</v>
      </c>
      <c r="I4339" s="19" t="str">
        <f>IFERROR(__xludf.DUMMYFUNCTION("IFERROR(TO_DATE(H4339), """")"),"NA")</f>
        <v>NA</v>
      </c>
      <c r="J4339" s="19" t="s">
        <v>12</v>
      </c>
      <c r="K4339" s="22">
        <f t="shared" si="2"/>
        <v>0</v>
      </c>
    </row>
    <row r="4340">
      <c r="A4340" s="18">
        <v>890.0</v>
      </c>
      <c r="B4340" s="18" t="s">
        <v>30</v>
      </c>
      <c r="C4340" s="18" t="s">
        <v>34</v>
      </c>
      <c r="D4340" s="18" t="s">
        <v>35</v>
      </c>
      <c r="E4340" s="26">
        <v>42562.75486111111</v>
      </c>
      <c r="F4340" s="19">
        <f>IFERROR(__xludf.DUMMYFUNCTION("IFERROR(TO_DATE(E4340), """")"),42562.75486111111)</f>
        <v>42562.75486</v>
      </c>
      <c r="G4340" s="20">
        <f t="shared" si="1"/>
        <v>18</v>
      </c>
      <c r="H4340" s="18" t="s">
        <v>34</v>
      </c>
      <c r="I4340" s="19" t="str">
        <f>IFERROR(__xludf.DUMMYFUNCTION("IFERROR(TO_DATE(H4340), """")"),"NA")</f>
        <v>NA</v>
      </c>
      <c r="J4340" s="19" t="s">
        <v>12</v>
      </c>
      <c r="K4340" s="22">
        <f t="shared" si="2"/>
        <v>0</v>
      </c>
    </row>
    <row r="4341">
      <c r="A4341" s="18">
        <v>883.0</v>
      </c>
      <c r="B4341" s="18" t="s">
        <v>30</v>
      </c>
      <c r="C4341" s="18" t="s">
        <v>34</v>
      </c>
      <c r="D4341" s="18" t="s">
        <v>35</v>
      </c>
      <c r="E4341" s="26">
        <v>42562.75486111111</v>
      </c>
      <c r="F4341" s="19">
        <f>IFERROR(__xludf.DUMMYFUNCTION("IFERROR(TO_DATE(E4341), """")"),42562.75486111111)</f>
        <v>42562.75486</v>
      </c>
      <c r="G4341" s="20">
        <f t="shared" si="1"/>
        <v>18</v>
      </c>
      <c r="H4341" s="18" t="s">
        <v>34</v>
      </c>
      <c r="I4341" s="19" t="str">
        <f>IFERROR(__xludf.DUMMYFUNCTION("IFERROR(TO_DATE(H4341), """")"),"NA")</f>
        <v>NA</v>
      </c>
      <c r="J4341" s="19" t="s">
        <v>12</v>
      </c>
      <c r="K4341" s="22">
        <f t="shared" si="2"/>
        <v>0</v>
      </c>
    </row>
    <row r="4342">
      <c r="A4342" s="18">
        <v>888.0</v>
      </c>
      <c r="B4342" s="18" t="s">
        <v>30</v>
      </c>
      <c r="C4342" s="18" t="s">
        <v>34</v>
      </c>
      <c r="D4342" s="18" t="s">
        <v>35</v>
      </c>
      <c r="E4342" s="26">
        <v>42562.75625</v>
      </c>
      <c r="F4342" s="19">
        <f>IFERROR(__xludf.DUMMYFUNCTION("IFERROR(TO_DATE(E4342), """")"),42562.75625)</f>
        <v>42562.75625</v>
      </c>
      <c r="G4342" s="20">
        <f t="shared" si="1"/>
        <v>18</v>
      </c>
      <c r="H4342" s="18" t="s">
        <v>34</v>
      </c>
      <c r="I4342" s="19" t="str">
        <f>IFERROR(__xludf.DUMMYFUNCTION("IFERROR(TO_DATE(H4342), """")"),"NA")</f>
        <v>NA</v>
      </c>
      <c r="J4342" s="19" t="s">
        <v>12</v>
      </c>
      <c r="K4342" s="22">
        <f t="shared" si="2"/>
        <v>0</v>
      </c>
    </row>
    <row r="4343">
      <c r="A4343" s="18">
        <v>885.0</v>
      </c>
      <c r="B4343" s="18" t="s">
        <v>30</v>
      </c>
      <c r="C4343" s="18" t="s">
        <v>34</v>
      </c>
      <c r="D4343" s="18" t="s">
        <v>35</v>
      </c>
      <c r="E4343" s="26">
        <v>42562.75625</v>
      </c>
      <c r="F4343" s="19">
        <f>IFERROR(__xludf.DUMMYFUNCTION("IFERROR(TO_DATE(E4343), """")"),42562.75625)</f>
        <v>42562.75625</v>
      </c>
      <c r="G4343" s="20">
        <f t="shared" si="1"/>
        <v>18</v>
      </c>
      <c r="H4343" s="18" t="s">
        <v>34</v>
      </c>
      <c r="I4343" s="19" t="str">
        <f>IFERROR(__xludf.DUMMYFUNCTION("IFERROR(TO_DATE(H4343), """")"),"NA")</f>
        <v>NA</v>
      </c>
      <c r="J4343" s="19" t="s">
        <v>12</v>
      </c>
      <c r="K4343" s="22">
        <f t="shared" si="2"/>
        <v>0</v>
      </c>
    </row>
    <row r="4344">
      <c r="A4344" s="18">
        <v>895.0</v>
      </c>
      <c r="B4344" s="18" t="s">
        <v>30</v>
      </c>
      <c r="C4344" s="18" t="s">
        <v>34</v>
      </c>
      <c r="D4344" s="18" t="s">
        <v>35</v>
      </c>
      <c r="E4344" s="26">
        <v>42562.756944444445</v>
      </c>
      <c r="F4344" s="19">
        <f>IFERROR(__xludf.DUMMYFUNCTION("IFERROR(TO_DATE(E4344), """")"),42562.756944444445)</f>
        <v>42562.75694</v>
      </c>
      <c r="G4344" s="20">
        <f t="shared" si="1"/>
        <v>18</v>
      </c>
      <c r="H4344" s="18" t="s">
        <v>34</v>
      </c>
      <c r="I4344" s="19" t="str">
        <f>IFERROR(__xludf.DUMMYFUNCTION("IFERROR(TO_DATE(H4344), """")"),"NA")</f>
        <v>NA</v>
      </c>
      <c r="J4344" s="19" t="s">
        <v>12</v>
      </c>
      <c r="K4344" s="22">
        <f t="shared" si="2"/>
        <v>0</v>
      </c>
    </row>
    <row r="4345">
      <c r="A4345" s="18">
        <v>882.0</v>
      </c>
      <c r="B4345" s="18" t="s">
        <v>30</v>
      </c>
      <c r="C4345" s="18" t="s">
        <v>34</v>
      </c>
      <c r="D4345" s="18" t="s">
        <v>35</v>
      </c>
      <c r="E4345" s="26">
        <v>42562.756944444445</v>
      </c>
      <c r="F4345" s="19">
        <f>IFERROR(__xludf.DUMMYFUNCTION("IFERROR(TO_DATE(E4345), """")"),42562.756944444445)</f>
        <v>42562.75694</v>
      </c>
      <c r="G4345" s="20">
        <f t="shared" si="1"/>
        <v>18</v>
      </c>
      <c r="H4345" s="18" t="s">
        <v>34</v>
      </c>
      <c r="I4345" s="19" t="str">
        <f>IFERROR(__xludf.DUMMYFUNCTION("IFERROR(TO_DATE(H4345), """")"),"NA")</f>
        <v>NA</v>
      </c>
      <c r="J4345" s="19" t="s">
        <v>12</v>
      </c>
      <c r="K4345" s="22">
        <f t="shared" si="2"/>
        <v>0</v>
      </c>
    </row>
    <row r="4346">
      <c r="A4346" s="18">
        <v>889.0</v>
      </c>
      <c r="B4346" s="18" t="s">
        <v>30</v>
      </c>
      <c r="C4346" s="18" t="s">
        <v>34</v>
      </c>
      <c r="D4346" s="18" t="s">
        <v>35</v>
      </c>
      <c r="E4346" s="26">
        <v>42562.75763888889</v>
      </c>
      <c r="F4346" s="19">
        <f>IFERROR(__xludf.DUMMYFUNCTION("IFERROR(TO_DATE(E4346), """")"),42562.75763888889)</f>
        <v>42562.75764</v>
      </c>
      <c r="G4346" s="20">
        <f t="shared" si="1"/>
        <v>18</v>
      </c>
      <c r="H4346" s="18" t="s">
        <v>34</v>
      </c>
      <c r="I4346" s="19" t="str">
        <f>IFERROR(__xludf.DUMMYFUNCTION("IFERROR(TO_DATE(H4346), """")"),"NA")</f>
        <v>NA</v>
      </c>
      <c r="J4346" s="19" t="s">
        <v>12</v>
      </c>
      <c r="K4346" s="22">
        <f t="shared" si="2"/>
        <v>0</v>
      </c>
    </row>
    <row r="4347">
      <c r="A4347" s="18">
        <v>893.0</v>
      </c>
      <c r="B4347" s="18" t="s">
        <v>30</v>
      </c>
      <c r="C4347" s="18" t="s">
        <v>34</v>
      </c>
      <c r="D4347" s="18" t="s">
        <v>35</v>
      </c>
      <c r="E4347" s="26">
        <v>42562.75763888889</v>
      </c>
      <c r="F4347" s="19">
        <f>IFERROR(__xludf.DUMMYFUNCTION("IFERROR(TO_DATE(E4347), """")"),42562.75763888889)</f>
        <v>42562.75764</v>
      </c>
      <c r="G4347" s="20">
        <f t="shared" si="1"/>
        <v>18</v>
      </c>
      <c r="H4347" s="18" t="s">
        <v>34</v>
      </c>
      <c r="I4347" s="19" t="str">
        <f>IFERROR(__xludf.DUMMYFUNCTION("IFERROR(TO_DATE(H4347), """")"),"NA")</f>
        <v>NA</v>
      </c>
      <c r="J4347" s="19" t="s">
        <v>12</v>
      </c>
      <c r="K4347" s="22">
        <f t="shared" si="2"/>
        <v>0</v>
      </c>
    </row>
    <row r="4348">
      <c r="A4348" s="18">
        <v>896.0</v>
      </c>
      <c r="B4348" s="18" t="s">
        <v>32</v>
      </c>
      <c r="C4348" s="18" t="s">
        <v>34</v>
      </c>
      <c r="D4348" s="18" t="s">
        <v>35</v>
      </c>
      <c r="E4348" s="26">
        <v>42562.75763888889</v>
      </c>
      <c r="F4348" s="19">
        <f>IFERROR(__xludf.DUMMYFUNCTION("IFERROR(TO_DATE(E4348), """")"),42562.75763888889)</f>
        <v>42562.75764</v>
      </c>
      <c r="G4348" s="20">
        <f t="shared" si="1"/>
        <v>18</v>
      </c>
      <c r="H4348" s="18" t="s">
        <v>34</v>
      </c>
      <c r="I4348" s="19" t="str">
        <f>IFERROR(__xludf.DUMMYFUNCTION("IFERROR(TO_DATE(H4348), """")"),"NA")</f>
        <v>NA</v>
      </c>
      <c r="J4348" s="19" t="s">
        <v>12</v>
      </c>
      <c r="K4348" s="22">
        <f t="shared" si="2"/>
        <v>0</v>
      </c>
    </row>
    <row r="4349">
      <c r="A4349" s="18">
        <v>892.0</v>
      </c>
      <c r="B4349" s="18" t="s">
        <v>30</v>
      </c>
      <c r="C4349" s="18" t="s">
        <v>34</v>
      </c>
      <c r="D4349" s="18" t="s">
        <v>35</v>
      </c>
      <c r="E4349" s="26">
        <v>42562.75833333333</v>
      </c>
      <c r="F4349" s="19">
        <f>IFERROR(__xludf.DUMMYFUNCTION("IFERROR(TO_DATE(E4349), """")"),42562.75833333333)</f>
        <v>42562.75833</v>
      </c>
      <c r="G4349" s="20">
        <f t="shared" si="1"/>
        <v>18</v>
      </c>
      <c r="H4349" s="18" t="s">
        <v>34</v>
      </c>
      <c r="I4349" s="19" t="str">
        <f>IFERROR(__xludf.DUMMYFUNCTION("IFERROR(TO_DATE(H4349), """")"),"NA")</f>
        <v>NA</v>
      </c>
      <c r="J4349" s="19" t="s">
        <v>12</v>
      </c>
      <c r="K4349" s="22">
        <f t="shared" si="2"/>
        <v>0</v>
      </c>
    </row>
    <row r="4350">
      <c r="A4350" s="18">
        <v>906.0</v>
      </c>
      <c r="B4350" s="18" t="s">
        <v>30</v>
      </c>
      <c r="C4350" s="18" t="s">
        <v>34</v>
      </c>
      <c r="D4350" s="18" t="s">
        <v>35</v>
      </c>
      <c r="E4350" s="26">
        <v>42562.75833333333</v>
      </c>
      <c r="F4350" s="19">
        <f>IFERROR(__xludf.DUMMYFUNCTION("IFERROR(TO_DATE(E4350), """")"),42562.75833333333)</f>
        <v>42562.75833</v>
      </c>
      <c r="G4350" s="20">
        <f t="shared" si="1"/>
        <v>18</v>
      </c>
      <c r="H4350" s="18" t="s">
        <v>34</v>
      </c>
      <c r="I4350" s="19" t="str">
        <f>IFERROR(__xludf.DUMMYFUNCTION("IFERROR(TO_DATE(H4350), """")"),"NA")</f>
        <v>NA</v>
      </c>
      <c r="J4350" s="19" t="s">
        <v>12</v>
      </c>
      <c r="K4350" s="22">
        <f t="shared" si="2"/>
        <v>0</v>
      </c>
    </row>
    <row r="4351">
      <c r="A4351" s="18">
        <v>897.0</v>
      </c>
      <c r="B4351" s="18" t="s">
        <v>30</v>
      </c>
      <c r="C4351" s="18" t="s">
        <v>34</v>
      </c>
      <c r="D4351" s="18" t="s">
        <v>35</v>
      </c>
      <c r="E4351" s="26">
        <v>42562.75902777778</v>
      </c>
      <c r="F4351" s="19">
        <f>IFERROR(__xludf.DUMMYFUNCTION("IFERROR(TO_DATE(E4351), """")"),42562.75902777778)</f>
        <v>42562.75903</v>
      </c>
      <c r="G4351" s="20">
        <f t="shared" si="1"/>
        <v>18</v>
      </c>
      <c r="H4351" s="18" t="s">
        <v>34</v>
      </c>
      <c r="I4351" s="19" t="str">
        <f>IFERROR(__xludf.DUMMYFUNCTION("IFERROR(TO_DATE(H4351), """")"),"NA")</f>
        <v>NA</v>
      </c>
      <c r="J4351" s="19" t="s">
        <v>12</v>
      </c>
      <c r="K4351" s="22">
        <f t="shared" si="2"/>
        <v>0</v>
      </c>
    </row>
    <row r="4352">
      <c r="A4352" s="18">
        <v>902.0</v>
      </c>
      <c r="B4352" s="18" t="s">
        <v>30</v>
      </c>
      <c r="C4352" s="18" t="s">
        <v>34</v>
      </c>
      <c r="D4352" s="18" t="s">
        <v>35</v>
      </c>
      <c r="E4352" s="26">
        <v>42562.75902777778</v>
      </c>
      <c r="F4352" s="19">
        <f>IFERROR(__xludf.DUMMYFUNCTION("IFERROR(TO_DATE(E4352), """")"),42562.75902777778)</f>
        <v>42562.75903</v>
      </c>
      <c r="G4352" s="20">
        <f t="shared" si="1"/>
        <v>18</v>
      </c>
      <c r="H4352" s="18" t="s">
        <v>34</v>
      </c>
      <c r="I4352" s="19" t="str">
        <f>IFERROR(__xludf.DUMMYFUNCTION("IFERROR(TO_DATE(H4352), """")"),"NA")</f>
        <v>NA</v>
      </c>
      <c r="J4352" s="19" t="s">
        <v>12</v>
      </c>
      <c r="K4352" s="22">
        <f t="shared" si="2"/>
        <v>0</v>
      </c>
    </row>
    <row r="4353">
      <c r="A4353" s="18">
        <v>901.0</v>
      </c>
      <c r="B4353" s="18" t="s">
        <v>30</v>
      </c>
      <c r="C4353" s="18" t="s">
        <v>34</v>
      </c>
      <c r="D4353" s="18" t="s">
        <v>35</v>
      </c>
      <c r="E4353" s="26">
        <v>42562.759722222225</v>
      </c>
      <c r="F4353" s="19">
        <f>IFERROR(__xludf.DUMMYFUNCTION("IFERROR(TO_DATE(E4353), """")"),42562.759722222225)</f>
        <v>42562.75972</v>
      </c>
      <c r="G4353" s="20">
        <f t="shared" si="1"/>
        <v>18</v>
      </c>
      <c r="H4353" s="18" t="s">
        <v>34</v>
      </c>
      <c r="I4353" s="19" t="str">
        <f>IFERROR(__xludf.DUMMYFUNCTION("IFERROR(TO_DATE(H4353), """")"),"NA")</f>
        <v>NA</v>
      </c>
      <c r="J4353" s="19" t="s">
        <v>12</v>
      </c>
      <c r="K4353" s="22">
        <f t="shared" si="2"/>
        <v>0</v>
      </c>
    </row>
    <row r="4354">
      <c r="A4354" s="18">
        <v>922.0</v>
      </c>
      <c r="B4354" s="18" t="s">
        <v>30</v>
      </c>
      <c r="C4354" s="18" t="s">
        <v>34</v>
      </c>
      <c r="D4354" s="18" t="s">
        <v>35</v>
      </c>
      <c r="E4354" s="26">
        <v>42562.76111111111</v>
      </c>
      <c r="F4354" s="19">
        <f>IFERROR(__xludf.DUMMYFUNCTION("IFERROR(TO_DATE(E4354), """")"),42562.76111111111)</f>
        <v>42562.76111</v>
      </c>
      <c r="G4354" s="20">
        <f t="shared" si="1"/>
        <v>18</v>
      </c>
      <c r="H4354" s="18" t="s">
        <v>34</v>
      </c>
      <c r="I4354" s="19" t="str">
        <f>IFERROR(__xludf.DUMMYFUNCTION("IFERROR(TO_DATE(H4354), """")"),"NA")</f>
        <v>NA</v>
      </c>
      <c r="J4354" s="19" t="s">
        <v>12</v>
      </c>
      <c r="K4354" s="22">
        <f t="shared" si="2"/>
        <v>0</v>
      </c>
    </row>
    <row r="4355">
      <c r="A4355" s="18">
        <v>905.0</v>
      </c>
      <c r="B4355" s="18" t="s">
        <v>30</v>
      </c>
      <c r="C4355" s="18" t="s">
        <v>34</v>
      </c>
      <c r="D4355" s="18" t="s">
        <v>35</v>
      </c>
      <c r="E4355" s="26">
        <v>42562.76180555556</v>
      </c>
      <c r="F4355" s="19">
        <f>IFERROR(__xludf.DUMMYFUNCTION("IFERROR(TO_DATE(E4355), """")"),42562.76180555556)</f>
        <v>42562.76181</v>
      </c>
      <c r="G4355" s="20">
        <f t="shared" si="1"/>
        <v>18</v>
      </c>
      <c r="H4355" s="18" t="s">
        <v>34</v>
      </c>
      <c r="I4355" s="19" t="str">
        <f>IFERROR(__xludf.DUMMYFUNCTION("IFERROR(TO_DATE(H4355), """")"),"NA")</f>
        <v>NA</v>
      </c>
      <c r="J4355" s="19" t="s">
        <v>12</v>
      </c>
      <c r="K4355" s="22">
        <f t="shared" si="2"/>
        <v>0</v>
      </c>
    </row>
    <row r="4356">
      <c r="A4356" s="18">
        <v>908.0</v>
      </c>
      <c r="B4356" s="18" t="s">
        <v>30</v>
      </c>
      <c r="C4356" s="18" t="s">
        <v>34</v>
      </c>
      <c r="D4356" s="18" t="s">
        <v>35</v>
      </c>
      <c r="E4356" s="26">
        <v>42562.76180555556</v>
      </c>
      <c r="F4356" s="19">
        <f>IFERROR(__xludf.DUMMYFUNCTION("IFERROR(TO_DATE(E4356), """")"),42562.76180555556)</f>
        <v>42562.76181</v>
      </c>
      <c r="G4356" s="20">
        <f t="shared" si="1"/>
        <v>18</v>
      </c>
      <c r="H4356" s="18" t="s">
        <v>34</v>
      </c>
      <c r="I4356" s="19" t="str">
        <f>IFERROR(__xludf.DUMMYFUNCTION("IFERROR(TO_DATE(H4356), """")"),"NA")</f>
        <v>NA</v>
      </c>
      <c r="J4356" s="19" t="s">
        <v>12</v>
      </c>
      <c r="K4356" s="22">
        <f t="shared" si="2"/>
        <v>0</v>
      </c>
    </row>
    <row r="4357">
      <c r="A4357" s="18">
        <v>915.0</v>
      </c>
      <c r="B4357" s="18" t="s">
        <v>30</v>
      </c>
      <c r="C4357" s="18" t="s">
        <v>34</v>
      </c>
      <c r="D4357" s="18" t="s">
        <v>35</v>
      </c>
      <c r="E4357" s="26">
        <v>42562.7625</v>
      </c>
      <c r="F4357" s="19">
        <f>IFERROR(__xludf.DUMMYFUNCTION("IFERROR(TO_DATE(E4357), """")"),42562.7625)</f>
        <v>42562.7625</v>
      </c>
      <c r="G4357" s="20">
        <f t="shared" si="1"/>
        <v>18</v>
      </c>
      <c r="H4357" s="18" t="s">
        <v>34</v>
      </c>
      <c r="I4357" s="19" t="str">
        <f>IFERROR(__xludf.DUMMYFUNCTION("IFERROR(TO_DATE(H4357), """")"),"NA")</f>
        <v>NA</v>
      </c>
      <c r="J4357" s="19" t="s">
        <v>12</v>
      </c>
      <c r="K4357" s="22">
        <f t="shared" si="2"/>
        <v>0</v>
      </c>
    </row>
    <row r="4358">
      <c r="A4358" s="18">
        <v>920.0</v>
      </c>
      <c r="B4358" s="18" t="s">
        <v>30</v>
      </c>
      <c r="C4358" s="18" t="s">
        <v>34</v>
      </c>
      <c r="D4358" s="18" t="s">
        <v>35</v>
      </c>
      <c r="E4358" s="26">
        <v>42562.763194444444</v>
      </c>
      <c r="F4358" s="19">
        <f>IFERROR(__xludf.DUMMYFUNCTION("IFERROR(TO_DATE(E4358), """")"),42562.763194444444)</f>
        <v>42562.76319</v>
      </c>
      <c r="G4358" s="20">
        <f t="shared" si="1"/>
        <v>18</v>
      </c>
      <c r="H4358" s="18" t="s">
        <v>34</v>
      </c>
      <c r="I4358" s="19" t="str">
        <f>IFERROR(__xludf.DUMMYFUNCTION("IFERROR(TO_DATE(H4358), """")"),"NA")</f>
        <v>NA</v>
      </c>
      <c r="J4358" s="19" t="s">
        <v>12</v>
      </c>
      <c r="K4358" s="22">
        <f t="shared" si="2"/>
        <v>0</v>
      </c>
    </row>
    <row r="4359">
      <c r="A4359" s="18">
        <v>911.0</v>
      </c>
      <c r="B4359" s="18" t="s">
        <v>30</v>
      </c>
      <c r="C4359" s="18" t="s">
        <v>34</v>
      </c>
      <c r="D4359" s="18" t="s">
        <v>35</v>
      </c>
      <c r="E4359" s="26">
        <v>42562.76458333333</v>
      </c>
      <c r="F4359" s="19">
        <f>IFERROR(__xludf.DUMMYFUNCTION("IFERROR(TO_DATE(E4359), """")"),42562.76458333333)</f>
        <v>42562.76458</v>
      </c>
      <c r="G4359" s="20">
        <f t="shared" si="1"/>
        <v>18</v>
      </c>
      <c r="H4359" s="18" t="s">
        <v>34</v>
      </c>
      <c r="I4359" s="19" t="str">
        <f>IFERROR(__xludf.DUMMYFUNCTION("IFERROR(TO_DATE(H4359), """")"),"NA")</f>
        <v>NA</v>
      </c>
      <c r="J4359" s="19" t="s">
        <v>12</v>
      </c>
      <c r="K4359" s="22">
        <f t="shared" si="2"/>
        <v>0</v>
      </c>
    </row>
    <row r="4360">
      <c r="A4360" s="18">
        <v>916.0</v>
      </c>
      <c r="B4360" s="18" t="s">
        <v>30</v>
      </c>
      <c r="C4360" s="18" t="s">
        <v>34</v>
      </c>
      <c r="D4360" s="18" t="s">
        <v>35</v>
      </c>
      <c r="E4360" s="26">
        <v>42562.76458333333</v>
      </c>
      <c r="F4360" s="19">
        <f>IFERROR(__xludf.DUMMYFUNCTION("IFERROR(TO_DATE(E4360), """")"),42562.76458333333)</f>
        <v>42562.76458</v>
      </c>
      <c r="G4360" s="20">
        <f t="shared" si="1"/>
        <v>18</v>
      </c>
      <c r="H4360" s="18" t="s">
        <v>34</v>
      </c>
      <c r="I4360" s="19" t="str">
        <f>IFERROR(__xludf.DUMMYFUNCTION("IFERROR(TO_DATE(H4360), """")"),"NA")</f>
        <v>NA</v>
      </c>
      <c r="J4360" s="19" t="s">
        <v>12</v>
      </c>
      <c r="K4360" s="22">
        <f t="shared" si="2"/>
        <v>0</v>
      </c>
    </row>
    <row r="4361">
      <c r="A4361" s="18">
        <v>907.0</v>
      </c>
      <c r="B4361" s="18" t="s">
        <v>30</v>
      </c>
      <c r="C4361" s="18" t="s">
        <v>34</v>
      </c>
      <c r="D4361" s="18" t="s">
        <v>35</v>
      </c>
      <c r="E4361" s="26">
        <v>42562.76458333333</v>
      </c>
      <c r="F4361" s="19">
        <f>IFERROR(__xludf.DUMMYFUNCTION("IFERROR(TO_DATE(E4361), """")"),42562.76458333333)</f>
        <v>42562.76458</v>
      </c>
      <c r="G4361" s="20">
        <f t="shared" si="1"/>
        <v>18</v>
      </c>
      <c r="H4361" s="18" t="s">
        <v>34</v>
      </c>
      <c r="I4361" s="19" t="str">
        <f>IFERROR(__xludf.DUMMYFUNCTION("IFERROR(TO_DATE(H4361), """")"),"NA")</f>
        <v>NA</v>
      </c>
      <c r="J4361" s="19" t="s">
        <v>12</v>
      </c>
      <c r="K4361" s="22">
        <f t="shared" si="2"/>
        <v>0</v>
      </c>
    </row>
    <row r="4362">
      <c r="A4362" s="18">
        <v>925.0</v>
      </c>
      <c r="B4362" s="18" t="s">
        <v>30</v>
      </c>
      <c r="C4362" s="18" t="s">
        <v>34</v>
      </c>
      <c r="D4362" s="18" t="s">
        <v>35</v>
      </c>
      <c r="E4362" s="26">
        <v>42562.76527777778</v>
      </c>
      <c r="F4362" s="19">
        <f>IFERROR(__xludf.DUMMYFUNCTION("IFERROR(TO_DATE(E4362), """")"),42562.76527777778)</f>
        <v>42562.76528</v>
      </c>
      <c r="G4362" s="20">
        <f t="shared" si="1"/>
        <v>18</v>
      </c>
      <c r="H4362" s="18" t="s">
        <v>34</v>
      </c>
      <c r="I4362" s="19" t="str">
        <f>IFERROR(__xludf.DUMMYFUNCTION("IFERROR(TO_DATE(H4362), """")"),"NA")</f>
        <v>NA</v>
      </c>
      <c r="J4362" s="19" t="s">
        <v>12</v>
      </c>
      <c r="K4362" s="22">
        <f t="shared" si="2"/>
        <v>0</v>
      </c>
    </row>
    <row r="4363">
      <c r="A4363" s="18">
        <v>935.0</v>
      </c>
      <c r="B4363" s="18" t="s">
        <v>30</v>
      </c>
      <c r="C4363" s="18" t="s">
        <v>34</v>
      </c>
      <c r="D4363" s="18" t="s">
        <v>35</v>
      </c>
      <c r="E4363" s="26">
        <v>42562.76527777778</v>
      </c>
      <c r="F4363" s="19">
        <f>IFERROR(__xludf.DUMMYFUNCTION("IFERROR(TO_DATE(E4363), """")"),42562.76527777778)</f>
        <v>42562.76528</v>
      </c>
      <c r="G4363" s="20">
        <f t="shared" si="1"/>
        <v>18</v>
      </c>
      <c r="H4363" s="18" t="s">
        <v>34</v>
      </c>
      <c r="I4363" s="19" t="str">
        <f>IFERROR(__xludf.DUMMYFUNCTION("IFERROR(TO_DATE(H4363), """")"),"NA")</f>
        <v>NA</v>
      </c>
      <c r="J4363" s="19" t="s">
        <v>12</v>
      </c>
      <c r="K4363" s="22">
        <f t="shared" si="2"/>
        <v>0</v>
      </c>
    </row>
    <row r="4364">
      <c r="A4364" s="18">
        <v>912.0</v>
      </c>
      <c r="B4364" s="18" t="s">
        <v>30</v>
      </c>
      <c r="C4364" s="18" t="s">
        <v>34</v>
      </c>
      <c r="D4364" s="18" t="s">
        <v>35</v>
      </c>
      <c r="E4364" s="26">
        <v>42562.76597222222</v>
      </c>
      <c r="F4364" s="19">
        <f>IFERROR(__xludf.DUMMYFUNCTION("IFERROR(TO_DATE(E4364), """")"),42562.76597222222)</f>
        <v>42562.76597</v>
      </c>
      <c r="G4364" s="20">
        <f t="shared" si="1"/>
        <v>18</v>
      </c>
      <c r="H4364" s="18" t="s">
        <v>34</v>
      </c>
      <c r="I4364" s="19" t="str">
        <f>IFERROR(__xludf.DUMMYFUNCTION("IFERROR(TO_DATE(H4364), """")"),"NA")</f>
        <v>NA</v>
      </c>
      <c r="J4364" s="19" t="s">
        <v>12</v>
      </c>
      <c r="K4364" s="22">
        <f t="shared" si="2"/>
        <v>0</v>
      </c>
    </row>
    <row r="4365">
      <c r="A4365" s="18">
        <v>921.0</v>
      </c>
      <c r="B4365" s="18" t="s">
        <v>30</v>
      </c>
      <c r="C4365" s="18" t="s">
        <v>34</v>
      </c>
      <c r="D4365" s="18" t="s">
        <v>35</v>
      </c>
      <c r="E4365" s="26">
        <v>42562.76666666667</v>
      </c>
      <c r="F4365" s="19">
        <f>IFERROR(__xludf.DUMMYFUNCTION("IFERROR(TO_DATE(E4365), """")"),42562.76666666667)</f>
        <v>42562.76667</v>
      </c>
      <c r="G4365" s="20">
        <f t="shared" si="1"/>
        <v>18</v>
      </c>
      <c r="H4365" s="18" t="s">
        <v>34</v>
      </c>
      <c r="I4365" s="19" t="str">
        <f>IFERROR(__xludf.DUMMYFUNCTION("IFERROR(TO_DATE(H4365), """")"),"NA")</f>
        <v>NA</v>
      </c>
      <c r="J4365" s="19" t="s">
        <v>12</v>
      </c>
      <c r="K4365" s="22">
        <f t="shared" si="2"/>
        <v>0</v>
      </c>
    </row>
    <row r="4366">
      <c r="A4366" s="18">
        <v>931.0</v>
      </c>
      <c r="B4366" s="18" t="s">
        <v>30</v>
      </c>
      <c r="C4366" s="18" t="s">
        <v>34</v>
      </c>
      <c r="D4366" s="18" t="s">
        <v>35</v>
      </c>
      <c r="E4366" s="26">
        <v>42562.76875</v>
      </c>
      <c r="F4366" s="19">
        <f>IFERROR(__xludf.DUMMYFUNCTION("IFERROR(TO_DATE(E4366), """")"),42562.76875)</f>
        <v>42562.76875</v>
      </c>
      <c r="G4366" s="20">
        <f t="shared" si="1"/>
        <v>18</v>
      </c>
      <c r="H4366" s="18" t="s">
        <v>34</v>
      </c>
      <c r="I4366" s="19" t="str">
        <f>IFERROR(__xludf.DUMMYFUNCTION("IFERROR(TO_DATE(H4366), """")"),"NA")</f>
        <v>NA</v>
      </c>
      <c r="J4366" s="19" t="s">
        <v>12</v>
      </c>
      <c r="K4366" s="22">
        <f t="shared" si="2"/>
        <v>0</v>
      </c>
    </row>
    <row r="4367">
      <c r="A4367" s="18">
        <v>917.0</v>
      </c>
      <c r="B4367" s="18" t="s">
        <v>30</v>
      </c>
      <c r="C4367" s="18" t="s">
        <v>34</v>
      </c>
      <c r="D4367" s="18" t="s">
        <v>35</v>
      </c>
      <c r="E4367" s="26">
        <v>42562.76944444444</v>
      </c>
      <c r="F4367" s="19">
        <f>IFERROR(__xludf.DUMMYFUNCTION("IFERROR(TO_DATE(E4367), """")"),42562.76944444444)</f>
        <v>42562.76944</v>
      </c>
      <c r="G4367" s="20">
        <f t="shared" si="1"/>
        <v>18</v>
      </c>
      <c r="H4367" s="18" t="s">
        <v>34</v>
      </c>
      <c r="I4367" s="19" t="str">
        <f>IFERROR(__xludf.DUMMYFUNCTION("IFERROR(TO_DATE(H4367), """")"),"NA")</f>
        <v>NA</v>
      </c>
      <c r="J4367" s="19" t="s">
        <v>12</v>
      </c>
      <c r="K4367" s="22">
        <f t="shared" si="2"/>
        <v>0</v>
      </c>
    </row>
    <row r="4368">
      <c r="A4368" s="18">
        <v>937.0</v>
      </c>
      <c r="B4368" s="18" t="s">
        <v>30</v>
      </c>
      <c r="C4368" s="18" t="s">
        <v>34</v>
      </c>
      <c r="D4368" s="18" t="s">
        <v>35</v>
      </c>
      <c r="E4368" s="26">
        <v>42562.77013888889</v>
      </c>
      <c r="F4368" s="19">
        <f>IFERROR(__xludf.DUMMYFUNCTION("IFERROR(TO_DATE(E4368), """")"),42562.77013888889)</f>
        <v>42562.77014</v>
      </c>
      <c r="G4368" s="20">
        <f t="shared" si="1"/>
        <v>18</v>
      </c>
      <c r="H4368" s="18" t="s">
        <v>34</v>
      </c>
      <c r="I4368" s="19" t="str">
        <f>IFERROR(__xludf.DUMMYFUNCTION("IFERROR(TO_DATE(H4368), """")"),"NA")</f>
        <v>NA</v>
      </c>
      <c r="J4368" s="19" t="s">
        <v>12</v>
      </c>
      <c r="K4368" s="22">
        <f t="shared" si="2"/>
        <v>0</v>
      </c>
    </row>
    <row r="4369">
      <c r="A4369" s="18">
        <v>934.0</v>
      </c>
      <c r="B4369" s="18" t="s">
        <v>30</v>
      </c>
      <c r="C4369" s="18" t="s">
        <v>34</v>
      </c>
      <c r="D4369" s="18" t="s">
        <v>35</v>
      </c>
      <c r="E4369" s="26">
        <v>42562.77013888889</v>
      </c>
      <c r="F4369" s="19">
        <f>IFERROR(__xludf.DUMMYFUNCTION("IFERROR(TO_DATE(E4369), """")"),42562.77013888889)</f>
        <v>42562.77014</v>
      </c>
      <c r="G4369" s="20">
        <f t="shared" si="1"/>
        <v>18</v>
      </c>
      <c r="H4369" s="18" t="s">
        <v>34</v>
      </c>
      <c r="I4369" s="19" t="str">
        <f>IFERROR(__xludf.DUMMYFUNCTION("IFERROR(TO_DATE(H4369), """")"),"NA")</f>
        <v>NA</v>
      </c>
      <c r="J4369" s="19" t="s">
        <v>12</v>
      </c>
      <c r="K4369" s="22">
        <f t="shared" si="2"/>
        <v>0</v>
      </c>
    </row>
    <row r="4370">
      <c r="A4370" s="18">
        <v>933.0</v>
      </c>
      <c r="B4370" s="18" t="s">
        <v>30</v>
      </c>
      <c r="C4370" s="18" t="s">
        <v>34</v>
      </c>
      <c r="D4370" s="18" t="s">
        <v>35</v>
      </c>
      <c r="E4370" s="26">
        <v>42562.77013888889</v>
      </c>
      <c r="F4370" s="19">
        <f>IFERROR(__xludf.DUMMYFUNCTION("IFERROR(TO_DATE(E4370), """")"),42562.77013888889)</f>
        <v>42562.77014</v>
      </c>
      <c r="G4370" s="20">
        <f t="shared" si="1"/>
        <v>18</v>
      </c>
      <c r="H4370" s="18" t="s">
        <v>34</v>
      </c>
      <c r="I4370" s="19" t="str">
        <f>IFERROR(__xludf.DUMMYFUNCTION("IFERROR(TO_DATE(H4370), """")"),"NA")</f>
        <v>NA</v>
      </c>
      <c r="J4370" s="19" t="s">
        <v>12</v>
      </c>
      <c r="K4370" s="22">
        <f t="shared" si="2"/>
        <v>0</v>
      </c>
    </row>
    <row r="4371">
      <c r="A4371" s="18">
        <v>924.0</v>
      </c>
      <c r="B4371" s="18" t="s">
        <v>30</v>
      </c>
      <c r="C4371" s="18" t="s">
        <v>34</v>
      </c>
      <c r="D4371" s="18" t="s">
        <v>35</v>
      </c>
      <c r="E4371" s="26">
        <v>42562.770833333336</v>
      </c>
      <c r="F4371" s="19">
        <f>IFERROR(__xludf.DUMMYFUNCTION("IFERROR(TO_DATE(E4371), """")"),42562.770833333336)</f>
        <v>42562.77083</v>
      </c>
      <c r="G4371" s="20">
        <f t="shared" si="1"/>
        <v>18</v>
      </c>
      <c r="H4371" s="18" t="s">
        <v>34</v>
      </c>
      <c r="I4371" s="19" t="str">
        <f>IFERROR(__xludf.DUMMYFUNCTION("IFERROR(TO_DATE(H4371), """")"),"NA")</f>
        <v>NA</v>
      </c>
      <c r="J4371" s="19" t="s">
        <v>12</v>
      </c>
      <c r="K4371" s="22">
        <f t="shared" si="2"/>
        <v>0</v>
      </c>
    </row>
    <row r="4372">
      <c r="A4372" s="18">
        <v>942.0</v>
      </c>
      <c r="B4372" s="18" t="s">
        <v>30</v>
      </c>
      <c r="C4372" s="18" t="s">
        <v>34</v>
      </c>
      <c r="D4372" s="18" t="s">
        <v>35</v>
      </c>
      <c r="E4372" s="26">
        <v>42562.770833333336</v>
      </c>
      <c r="F4372" s="19">
        <f>IFERROR(__xludf.DUMMYFUNCTION("IFERROR(TO_DATE(E4372), """")"),42562.770833333336)</f>
        <v>42562.77083</v>
      </c>
      <c r="G4372" s="20">
        <f t="shared" si="1"/>
        <v>18</v>
      </c>
      <c r="H4372" s="18" t="s">
        <v>34</v>
      </c>
      <c r="I4372" s="19" t="str">
        <f>IFERROR(__xludf.DUMMYFUNCTION("IFERROR(TO_DATE(H4372), """")"),"NA")</f>
        <v>NA</v>
      </c>
      <c r="J4372" s="19" t="s">
        <v>12</v>
      </c>
      <c r="K4372" s="22">
        <f t="shared" si="2"/>
        <v>0</v>
      </c>
    </row>
    <row r="4373">
      <c r="A4373" s="18">
        <v>938.0</v>
      </c>
      <c r="B4373" s="18" t="s">
        <v>30</v>
      </c>
      <c r="C4373" s="18" t="s">
        <v>34</v>
      </c>
      <c r="D4373" s="18" t="s">
        <v>35</v>
      </c>
      <c r="E4373" s="26">
        <v>42562.771527777775</v>
      </c>
      <c r="F4373" s="19">
        <f>IFERROR(__xludf.DUMMYFUNCTION("IFERROR(TO_DATE(E4373), """")"),42562.771527777775)</f>
        <v>42562.77153</v>
      </c>
      <c r="G4373" s="20">
        <f t="shared" si="1"/>
        <v>18</v>
      </c>
      <c r="H4373" s="18" t="s">
        <v>34</v>
      </c>
      <c r="I4373" s="19" t="str">
        <f>IFERROR(__xludf.DUMMYFUNCTION("IFERROR(TO_DATE(H4373), """")"),"NA")</f>
        <v>NA</v>
      </c>
      <c r="J4373" s="19" t="s">
        <v>12</v>
      </c>
      <c r="K4373" s="22">
        <f t="shared" si="2"/>
        <v>0</v>
      </c>
    </row>
    <row r="4374">
      <c r="A4374" s="18">
        <v>940.0</v>
      </c>
      <c r="B4374" s="18" t="s">
        <v>30</v>
      </c>
      <c r="C4374" s="18" t="s">
        <v>34</v>
      </c>
      <c r="D4374" s="18" t="s">
        <v>35</v>
      </c>
      <c r="E4374" s="26">
        <v>42562.77222222222</v>
      </c>
      <c r="F4374" s="19">
        <f>IFERROR(__xludf.DUMMYFUNCTION("IFERROR(TO_DATE(E4374), """")"),42562.77222222222)</f>
        <v>42562.77222</v>
      </c>
      <c r="G4374" s="20">
        <f t="shared" si="1"/>
        <v>18</v>
      </c>
      <c r="H4374" s="18" t="s">
        <v>34</v>
      </c>
      <c r="I4374" s="19" t="str">
        <f>IFERROR(__xludf.DUMMYFUNCTION("IFERROR(TO_DATE(H4374), """")"),"NA")</f>
        <v>NA</v>
      </c>
      <c r="J4374" s="19" t="s">
        <v>12</v>
      </c>
      <c r="K4374" s="22">
        <f t="shared" si="2"/>
        <v>0</v>
      </c>
    </row>
    <row r="4375">
      <c r="A4375" s="18">
        <v>953.0</v>
      </c>
      <c r="B4375" s="18" t="s">
        <v>30</v>
      </c>
      <c r="C4375" s="18" t="s">
        <v>34</v>
      </c>
      <c r="D4375" s="18" t="s">
        <v>35</v>
      </c>
      <c r="E4375" s="26">
        <v>42562.774305555555</v>
      </c>
      <c r="F4375" s="19">
        <f>IFERROR(__xludf.DUMMYFUNCTION("IFERROR(TO_DATE(E4375), """")"),42562.774305555555)</f>
        <v>42562.77431</v>
      </c>
      <c r="G4375" s="20">
        <f t="shared" si="1"/>
        <v>18</v>
      </c>
      <c r="H4375" s="18" t="s">
        <v>34</v>
      </c>
      <c r="I4375" s="19" t="str">
        <f>IFERROR(__xludf.DUMMYFUNCTION("IFERROR(TO_DATE(H4375), """")"),"NA")</f>
        <v>NA</v>
      </c>
      <c r="J4375" s="19" t="s">
        <v>12</v>
      </c>
      <c r="K4375" s="22">
        <f t="shared" si="2"/>
        <v>0</v>
      </c>
    </row>
    <row r="4376">
      <c r="A4376" s="18">
        <v>941.0</v>
      </c>
      <c r="B4376" s="18" t="s">
        <v>30</v>
      </c>
      <c r="C4376" s="18" t="s">
        <v>34</v>
      </c>
      <c r="D4376" s="18" t="s">
        <v>35</v>
      </c>
      <c r="E4376" s="26">
        <v>42562.774305555555</v>
      </c>
      <c r="F4376" s="19">
        <f>IFERROR(__xludf.DUMMYFUNCTION("IFERROR(TO_DATE(E4376), """")"),42562.774305555555)</f>
        <v>42562.77431</v>
      </c>
      <c r="G4376" s="20">
        <f t="shared" si="1"/>
        <v>18</v>
      </c>
      <c r="H4376" s="18" t="s">
        <v>34</v>
      </c>
      <c r="I4376" s="19" t="str">
        <f>IFERROR(__xludf.DUMMYFUNCTION("IFERROR(TO_DATE(H4376), """")"),"NA")</f>
        <v>NA</v>
      </c>
      <c r="J4376" s="19" t="s">
        <v>12</v>
      </c>
      <c r="K4376" s="22">
        <f t="shared" si="2"/>
        <v>0</v>
      </c>
    </row>
    <row r="4377">
      <c r="A4377" s="18">
        <v>946.0</v>
      </c>
      <c r="B4377" s="18" t="s">
        <v>30</v>
      </c>
      <c r="C4377" s="18" t="s">
        <v>34</v>
      </c>
      <c r="D4377" s="18" t="s">
        <v>35</v>
      </c>
      <c r="E4377" s="26">
        <v>42562.775</v>
      </c>
      <c r="F4377" s="19">
        <f>IFERROR(__xludf.DUMMYFUNCTION("IFERROR(TO_DATE(E4377), """")"),42562.775)</f>
        <v>42562.775</v>
      </c>
      <c r="G4377" s="20">
        <f t="shared" si="1"/>
        <v>18</v>
      </c>
      <c r="H4377" s="18" t="s">
        <v>34</v>
      </c>
      <c r="I4377" s="19" t="str">
        <f>IFERROR(__xludf.DUMMYFUNCTION("IFERROR(TO_DATE(H4377), """")"),"NA")</f>
        <v>NA</v>
      </c>
      <c r="J4377" s="19" t="s">
        <v>12</v>
      </c>
      <c r="K4377" s="22">
        <f t="shared" si="2"/>
        <v>0</v>
      </c>
    </row>
    <row r="4378">
      <c r="A4378" s="18">
        <v>950.0</v>
      </c>
      <c r="B4378" s="18" t="s">
        <v>30</v>
      </c>
      <c r="C4378" s="18" t="s">
        <v>34</v>
      </c>
      <c r="D4378" s="18" t="s">
        <v>35</v>
      </c>
      <c r="E4378" s="26">
        <v>42562.775</v>
      </c>
      <c r="F4378" s="19">
        <f>IFERROR(__xludf.DUMMYFUNCTION("IFERROR(TO_DATE(E4378), """")"),42562.775)</f>
        <v>42562.775</v>
      </c>
      <c r="G4378" s="20">
        <f t="shared" si="1"/>
        <v>18</v>
      </c>
      <c r="H4378" s="18" t="s">
        <v>34</v>
      </c>
      <c r="I4378" s="19" t="str">
        <f>IFERROR(__xludf.DUMMYFUNCTION("IFERROR(TO_DATE(H4378), """")"),"NA")</f>
        <v>NA</v>
      </c>
      <c r="J4378" s="19" t="s">
        <v>12</v>
      </c>
      <c r="K4378" s="22">
        <f t="shared" si="2"/>
        <v>0</v>
      </c>
    </row>
    <row r="4379">
      <c r="A4379" s="18">
        <v>948.0</v>
      </c>
      <c r="B4379" s="18" t="s">
        <v>30</v>
      </c>
      <c r="C4379" s="18" t="s">
        <v>34</v>
      </c>
      <c r="D4379" s="18" t="s">
        <v>35</v>
      </c>
      <c r="E4379" s="26">
        <v>42562.77569444444</v>
      </c>
      <c r="F4379" s="19">
        <f>IFERROR(__xludf.DUMMYFUNCTION("IFERROR(TO_DATE(E4379), """")"),42562.77569444444)</f>
        <v>42562.77569</v>
      </c>
      <c r="G4379" s="20">
        <f t="shared" si="1"/>
        <v>18</v>
      </c>
      <c r="H4379" s="18" t="s">
        <v>34</v>
      </c>
      <c r="I4379" s="19" t="str">
        <f>IFERROR(__xludf.DUMMYFUNCTION("IFERROR(TO_DATE(H4379), """")"),"NA")</f>
        <v>NA</v>
      </c>
      <c r="J4379" s="19" t="s">
        <v>12</v>
      </c>
      <c r="K4379" s="22">
        <f t="shared" si="2"/>
        <v>0</v>
      </c>
    </row>
    <row r="4380">
      <c r="A4380" s="18">
        <v>945.0</v>
      </c>
      <c r="B4380" s="18" t="s">
        <v>30</v>
      </c>
      <c r="C4380" s="18" t="s">
        <v>34</v>
      </c>
      <c r="D4380" s="18" t="s">
        <v>35</v>
      </c>
      <c r="E4380" s="26">
        <v>42562.77638888889</v>
      </c>
      <c r="F4380" s="19">
        <f>IFERROR(__xludf.DUMMYFUNCTION("IFERROR(TO_DATE(E4380), """")"),42562.77638888889)</f>
        <v>42562.77639</v>
      </c>
      <c r="G4380" s="20">
        <f t="shared" si="1"/>
        <v>18</v>
      </c>
      <c r="H4380" s="18" t="s">
        <v>34</v>
      </c>
      <c r="I4380" s="19" t="str">
        <f>IFERROR(__xludf.DUMMYFUNCTION("IFERROR(TO_DATE(H4380), """")"),"NA")</f>
        <v>NA</v>
      </c>
      <c r="J4380" s="19" t="s">
        <v>12</v>
      </c>
      <c r="K4380" s="22">
        <f t="shared" si="2"/>
        <v>0</v>
      </c>
    </row>
    <row r="4381">
      <c r="A4381" s="18">
        <v>955.0</v>
      </c>
      <c r="B4381" s="18" t="s">
        <v>30</v>
      </c>
      <c r="C4381" s="18" t="s">
        <v>34</v>
      </c>
      <c r="D4381" s="18" t="s">
        <v>35</v>
      </c>
      <c r="E4381" s="26">
        <v>42562.77777777778</v>
      </c>
      <c r="F4381" s="19">
        <f>IFERROR(__xludf.DUMMYFUNCTION("IFERROR(TO_DATE(E4381), """")"),42562.77777777778)</f>
        <v>42562.77778</v>
      </c>
      <c r="G4381" s="20">
        <f t="shared" si="1"/>
        <v>18</v>
      </c>
      <c r="H4381" s="18" t="s">
        <v>34</v>
      </c>
      <c r="I4381" s="19" t="str">
        <f>IFERROR(__xludf.DUMMYFUNCTION("IFERROR(TO_DATE(H4381), """")"),"NA")</f>
        <v>NA</v>
      </c>
      <c r="J4381" s="19" t="s">
        <v>12</v>
      </c>
      <c r="K4381" s="22">
        <f t="shared" si="2"/>
        <v>0</v>
      </c>
    </row>
    <row r="4382">
      <c r="A4382" s="18">
        <v>956.0</v>
      </c>
      <c r="B4382" s="18" t="s">
        <v>30</v>
      </c>
      <c r="C4382" s="18" t="s">
        <v>34</v>
      </c>
      <c r="D4382" s="18" t="s">
        <v>35</v>
      </c>
      <c r="E4382" s="26">
        <v>42562.77777777778</v>
      </c>
      <c r="F4382" s="19">
        <f>IFERROR(__xludf.DUMMYFUNCTION("IFERROR(TO_DATE(E4382), """")"),42562.77777777778)</f>
        <v>42562.77778</v>
      </c>
      <c r="G4382" s="20">
        <f t="shared" si="1"/>
        <v>18</v>
      </c>
      <c r="H4382" s="18" t="s">
        <v>34</v>
      </c>
      <c r="I4382" s="19" t="str">
        <f>IFERROR(__xludf.DUMMYFUNCTION("IFERROR(TO_DATE(H4382), """")"),"NA")</f>
        <v>NA</v>
      </c>
      <c r="J4382" s="19" t="s">
        <v>12</v>
      </c>
      <c r="K4382" s="22">
        <f t="shared" si="2"/>
        <v>0</v>
      </c>
    </row>
    <row r="4383">
      <c r="A4383" s="18">
        <v>949.0</v>
      </c>
      <c r="B4383" s="18" t="s">
        <v>30</v>
      </c>
      <c r="C4383" s="18" t="s">
        <v>34</v>
      </c>
      <c r="D4383" s="18" t="s">
        <v>35</v>
      </c>
      <c r="E4383" s="26">
        <v>42562.77847222222</v>
      </c>
      <c r="F4383" s="19">
        <f>IFERROR(__xludf.DUMMYFUNCTION("IFERROR(TO_DATE(E4383), """")"),42562.77847222222)</f>
        <v>42562.77847</v>
      </c>
      <c r="G4383" s="20">
        <f t="shared" si="1"/>
        <v>18</v>
      </c>
      <c r="H4383" s="18" t="s">
        <v>34</v>
      </c>
      <c r="I4383" s="19" t="str">
        <f>IFERROR(__xludf.DUMMYFUNCTION("IFERROR(TO_DATE(H4383), """")"),"NA")</f>
        <v>NA</v>
      </c>
      <c r="J4383" s="19" t="s">
        <v>12</v>
      </c>
      <c r="K4383" s="22">
        <f t="shared" si="2"/>
        <v>0</v>
      </c>
    </row>
    <row r="4384">
      <c r="A4384" s="18">
        <v>958.0</v>
      </c>
      <c r="B4384" s="18" t="s">
        <v>30</v>
      </c>
      <c r="C4384" s="18" t="s">
        <v>34</v>
      </c>
      <c r="D4384" s="18" t="s">
        <v>35</v>
      </c>
      <c r="E4384" s="26">
        <v>42562.77916666667</v>
      </c>
      <c r="F4384" s="19">
        <f>IFERROR(__xludf.DUMMYFUNCTION("IFERROR(TO_DATE(E4384), """")"),42562.77916666667)</f>
        <v>42562.77917</v>
      </c>
      <c r="G4384" s="20">
        <f t="shared" si="1"/>
        <v>18</v>
      </c>
      <c r="H4384" s="18" t="s">
        <v>34</v>
      </c>
      <c r="I4384" s="19" t="str">
        <f>IFERROR(__xludf.DUMMYFUNCTION("IFERROR(TO_DATE(H4384), """")"),"NA")</f>
        <v>NA</v>
      </c>
      <c r="J4384" s="19" t="s">
        <v>12</v>
      </c>
      <c r="K4384" s="22">
        <f t="shared" si="2"/>
        <v>0</v>
      </c>
    </row>
    <row r="4385">
      <c r="A4385" s="18">
        <v>957.0</v>
      </c>
      <c r="B4385" s="18" t="s">
        <v>30</v>
      </c>
      <c r="C4385" s="18" t="s">
        <v>34</v>
      </c>
      <c r="D4385" s="18" t="s">
        <v>35</v>
      </c>
      <c r="E4385" s="26">
        <v>42562.77916666667</v>
      </c>
      <c r="F4385" s="19">
        <f>IFERROR(__xludf.DUMMYFUNCTION("IFERROR(TO_DATE(E4385), """")"),42562.77916666667)</f>
        <v>42562.77917</v>
      </c>
      <c r="G4385" s="20">
        <f t="shared" si="1"/>
        <v>18</v>
      </c>
      <c r="H4385" s="18" t="s">
        <v>34</v>
      </c>
      <c r="I4385" s="19" t="str">
        <f>IFERROR(__xludf.DUMMYFUNCTION("IFERROR(TO_DATE(H4385), """")"),"NA")</f>
        <v>NA</v>
      </c>
      <c r="J4385" s="19" t="s">
        <v>12</v>
      </c>
      <c r="K4385" s="22">
        <f t="shared" si="2"/>
        <v>0</v>
      </c>
    </row>
    <row r="4386">
      <c r="A4386" s="18">
        <v>959.0</v>
      </c>
      <c r="B4386" s="18" t="s">
        <v>30</v>
      </c>
      <c r="C4386" s="18" t="s">
        <v>34</v>
      </c>
      <c r="D4386" s="18" t="s">
        <v>35</v>
      </c>
      <c r="E4386" s="26">
        <v>42562.779861111114</v>
      </c>
      <c r="F4386" s="19">
        <f>IFERROR(__xludf.DUMMYFUNCTION("IFERROR(TO_DATE(E4386), """")"),42562.779861111114)</f>
        <v>42562.77986</v>
      </c>
      <c r="G4386" s="20">
        <f t="shared" si="1"/>
        <v>18</v>
      </c>
      <c r="H4386" s="18" t="s">
        <v>34</v>
      </c>
      <c r="I4386" s="19" t="str">
        <f>IFERROR(__xludf.DUMMYFUNCTION("IFERROR(TO_DATE(H4386), """")"),"NA")</f>
        <v>NA</v>
      </c>
      <c r="J4386" s="19" t="s">
        <v>12</v>
      </c>
      <c r="K4386" s="22">
        <f t="shared" si="2"/>
        <v>0</v>
      </c>
    </row>
    <row r="4387">
      <c r="A4387" s="18">
        <v>961.0</v>
      </c>
      <c r="B4387" s="18" t="s">
        <v>30</v>
      </c>
      <c r="C4387" s="18" t="s">
        <v>34</v>
      </c>
      <c r="D4387" s="18" t="s">
        <v>35</v>
      </c>
      <c r="E4387" s="26">
        <v>42562.78194444445</v>
      </c>
      <c r="F4387" s="19">
        <f>IFERROR(__xludf.DUMMYFUNCTION("IFERROR(TO_DATE(E4387), """")"),42562.78194444445)</f>
        <v>42562.78194</v>
      </c>
      <c r="G4387" s="20">
        <f t="shared" si="1"/>
        <v>18</v>
      </c>
      <c r="H4387" s="18" t="s">
        <v>34</v>
      </c>
      <c r="I4387" s="19" t="str">
        <f>IFERROR(__xludf.DUMMYFUNCTION("IFERROR(TO_DATE(H4387), """")"),"NA")</f>
        <v>NA</v>
      </c>
      <c r="J4387" s="19" t="s">
        <v>12</v>
      </c>
      <c r="K4387" s="22">
        <f t="shared" si="2"/>
        <v>0</v>
      </c>
    </row>
    <row r="4388">
      <c r="A4388" s="18">
        <v>964.0</v>
      </c>
      <c r="B4388" s="18" t="s">
        <v>30</v>
      </c>
      <c r="C4388" s="18" t="s">
        <v>34</v>
      </c>
      <c r="D4388" s="18" t="s">
        <v>35</v>
      </c>
      <c r="E4388" s="26">
        <v>42562.78194444445</v>
      </c>
      <c r="F4388" s="19">
        <f>IFERROR(__xludf.DUMMYFUNCTION("IFERROR(TO_DATE(E4388), """")"),42562.78194444445)</f>
        <v>42562.78194</v>
      </c>
      <c r="G4388" s="20">
        <f t="shared" si="1"/>
        <v>18</v>
      </c>
      <c r="H4388" s="18" t="s">
        <v>34</v>
      </c>
      <c r="I4388" s="19" t="str">
        <f>IFERROR(__xludf.DUMMYFUNCTION("IFERROR(TO_DATE(H4388), """")"),"NA")</f>
        <v>NA</v>
      </c>
      <c r="J4388" s="19" t="s">
        <v>12</v>
      </c>
      <c r="K4388" s="22">
        <f t="shared" si="2"/>
        <v>0</v>
      </c>
    </row>
    <row r="4389">
      <c r="A4389" s="18">
        <v>966.0</v>
      </c>
      <c r="B4389" s="18" t="s">
        <v>30</v>
      </c>
      <c r="C4389" s="18" t="s">
        <v>34</v>
      </c>
      <c r="D4389" s="18" t="s">
        <v>35</v>
      </c>
      <c r="E4389" s="26">
        <v>42562.78333333333</v>
      </c>
      <c r="F4389" s="19">
        <f>IFERROR(__xludf.DUMMYFUNCTION("IFERROR(TO_DATE(E4389), """")"),42562.78333333333)</f>
        <v>42562.78333</v>
      </c>
      <c r="G4389" s="20">
        <f t="shared" si="1"/>
        <v>18</v>
      </c>
      <c r="H4389" s="18" t="s">
        <v>34</v>
      </c>
      <c r="I4389" s="19" t="str">
        <f>IFERROR(__xludf.DUMMYFUNCTION("IFERROR(TO_DATE(H4389), """")"),"NA")</f>
        <v>NA</v>
      </c>
      <c r="J4389" s="19" t="s">
        <v>12</v>
      </c>
      <c r="K4389" s="22">
        <f t="shared" si="2"/>
        <v>0</v>
      </c>
    </row>
    <row r="4390">
      <c r="A4390" s="18">
        <v>970.0</v>
      </c>
      <c r="B4390" s="18" t="s">
        <v>30</v>
      </c>
      <c r="C4390" s="18" t="s">
        <v>34</v>
      </c>
      <c r="D4390" s="18" t="s">
        <v>35</v>
      </c>
      <c r="E4390" s="26">
        <v>42562.78402777778</v>
      </c>
      <c r="F4390" s="19">
        <f>IFERROR(__xludf.DUMMYFUNCTION("IFERROR(TO_DATE(E4390), """")"),42562.78402777778)</f>
        <v>42562.78403</v>
      </c>
      <c r="G4390" s="20">
        <f t="shared" si="1"/>
        <v>18</v>
      </c>
      <c r="H4390" s="18" t="s">
        <v>34</v>
      </c>
      <c r="I4390" s="19" t="str">
        <f>IFERROR(__xludf.DUMMYFUNCTION("IFERROR(TO_DATE(H4390), """")"),"NA")</f>
        <v>NA</v>
      </c>
      <c r="J4390" s="19" t="s">
        <v>12</v>
      </c>
      <c r="K4390" s="22">
        <f t="shared" si="2"/>
        <v>0</v>
      </c>
    </row>
    <row r="4391">
      <c r="A4391" s="18">
        <v>968.0</v>
      </c>
      <c r="B4391" s="18" t="s">
        <v>30</v>
      </c>
      <c r="C4391" s="18" t="s">
        <v>34</v>
      </c>
      <c r="D4391" s="18" t="s">
        <v>35</v>
      </c>
      <c r="E4391" s="26">
        <v>42562.78402777778</v>
      </c>
      <c r="F4391" s="19">
        <f>IFERROR(__xludf.DUMMYFUNCTION("IFERROR(TO_DATE(E4391), """")"),42562.78402777778)</f>
        <v>42562.78403</v>
      </c>
      <c r="G4391" s="20">
        <f t="shared" si="1"/>
        <v>18</v>
      </c>
      <c r="H4391" s="18" t="s">
        <v>34</v>
      </c>
      <c r="I4391" s="19" t="str">
        <f>IFERROR(__xludf.DUMMYFUNCTION("IFERROR(TO_DATE(H4391), """")"),"NA")</f>
        <v>NA</v>
      </c>
      <c r="J4391" s="19" t="s">
        <v>12</v>
      </c>
      <c r="K4391" s="22">
        <f t="shared" si="2"/>
        <v>0</v>
      </c>
    </row>
    <row r="4392">
      <c r="A4392" s="18">
        <v>971.0</v>
      </c>
      <c r="B4392" s="18" t="s">
        <v>30</v>
      </c>
      <c r="C4392" s="18" t="s">
        <v>34</v>
      </c>
      <c r="D4392" s="18" t="s">
        <v>35</v>
      </c>
      <c r="E4392" s="26">
        <v>42562.78402777778</v>
      </c>
      <c r="F4392" s="19">
        <f>IFERROR(__xludf.DUMMYFUNCTION("IFERROR(TO_DATE(E4392), """")"),42562.78402777778)</f>
        <v>42562.78403</v>
      </c>
      <c r="G4392" s="20">
        <f t="shared" si="1"/>
        <v>18</v>
      </c>
      <c r="H4392" s="18" t="s">
        <v>34</v>
      </c>
      <c r="I4392" s="19" t="str">
        <f>IFERROR(__xludf.DUMMYFUNCTION("IFERROR(TO_DATE(H4392), """")"),"NA")</f>
        <v>NA</v>
      </c>
      <c r="J4392" s="19" t="s">
        <v>12</v>
      </c>
      <c r="K4392" s="22">
        <f t="shared" si="2"/>
        <v>0</v>
      </c>
    </row>
    <row r="4393">
      <c r="A4393" s="18">
        <v>965.0</v>
      </c>
      <c r="B4393" s="18" t="s">
        <v>30</v>
      </c>
      <c r="C4393" s="18" t="s">
        <v>34</v>
      </c>
      <c r="D4393" s="18" t="s">
        <v>35</v>
      </c>
      <c r="E4393" s="26">
        <v>42562.78472222222</v>
      </c>
      <c r="F4393" s="19">
        <f>IFERROR(__xludf.DUMMYFUNCTION("IFERROR(TO_DATE(E4393), """")"),42562.78472222222)</f>
        <v>42562.78472</v>
      </c>
      <c r="G4393" s="20">
        <f t="shared" si="1"/>
        <v>18</v>
      </c>
      <c r="H4393" s="18" t="s">
        <v>34</v>
      </c>
      <c r="I4393" s="19" t="str">
        <f>IFERROR(__xludf.DUMMYFUNCTION("IFERROR(TO_DATE(H4393), """")"),"NA")</f>
        <v>NA</v>
      </c>
      <c r="J4393" s="19" t="s">
        <v>12</v>
      </c>
      <c r="K4393" s="22">
        <f t="shared" si="2"/>
        <v>0</v>
      </c>
    </row>
    <row r="4394">
      <c r="A4394" s="18">
        <v>962.0</v>
      </c>
      <c r="B4394" s="18" t="s">
        <v>30</v>
      </c>
      <c r="C4394" s="18" t="s">
        <v>34</v>
      </c>
      <c r="D4394" s="18" t="s">
        <v>35</v>
      </c>
      <c r="E4394" s="26">
        <v>42562.785416666666</v>
      </c>
      <c r="F4394" s="19">
        <f>IFERROR(__xludf.DUMMYFUNCTION("IFERROR(TO_DATE(E4394), """")"),42562.785416666666)</f>
        <v>42562.78542</v>
      </c>
      <c r="G4394" s="20">
        <f t="shared" si="1"/>
        <v>18</v>
      </c>
      <c r="H4394" s="18" t="s">
        <v>34</v>
      </c>
      <c r="I4394" s="19" t="str">
        <f>IFERROR(__xludf.DUMMYFUNCTION("IFERROR(TO_DATE(H4394), """")"),"NA")</f>
        <v>NA</v>
      </c>
      <c r="J4394" s="19" t="s">
        <v>12</v>
      </c>
      <c r="K4394" s="22">
        <f t="shared" si="2"/>
        <v>0</v>
      </c>
    </row>
    <row r="4395">
      <c r="A4395" s="18">
        <v>973.0</v>
      </c>
      <c r="B4395" s="18" t="s">
        <v>30</v>
      </c>
      <c r="C4395" s="18" t="s">
        <v>34</v>
      </c>
      <c r="D4395" s="18" t="s">
        <v>35</v>
      </c>
      <c r="E4395" s="26">
        <v>42562.7875</v>
      </c>
      <c r="F4395" s="19">
        <f>IFERROR(__xludf.DUMMYFUNCTION("IFERROR(TO_DATE(E4395), """")"),42562.7875)</f>
        <v>42562.7875</v>
      </c>
      <c r="G4395" s="20">
        <f t="shared" si="1"/>
        <v>18</v>
      </c>
      <c r="H4395" s="18" t="s">
        <v>34</v>
      </c>
      <c r="I4395" s="19" t="str">
        <f>IFERROR(__xludf.DUMMYFUNCTION("IFERROR(TO_DATE(H4395), """")"),"NA")</f>
        <v>NA</v>
      </c>
      <c r="J4395" s="19" t="s">
        <v>12</v>
      </c>
      <c r="K4395" s="22">
        <f t="shared" si="2"/>
        <v>0</v>
      </c>
    </row>
    <row r="4396">
      <c r="A4396" s="18">
        <v>969.0</v>
      </c>
      <c r="B4396" s="18" t="s">
        <v>30</v>
      </c>
      <c r="C4396" s="18" t="s">
        <v>34</v>
      </c>
      <c r="D4396" s="18" t="s">
        <v>35</v>
      </c>
      <c r="E4396" s="26">
        <v>42562.788194444445</v>
      </c>
      <c r="F4396" s="19">
        <f>IFERROR(__xludf.DUMMYFUNCTION("IFERROR(TO_DATE(E4396), """")"),42562.788194444445)</f>
        <v>42562.78819</v>
      </c>
      <c r="G4396" s="20">
        <f t="shared" si="1"/>
        <v>18</v>
      </c>
      <c r="H4396" s="18" t="s">
        <v>34</v>
      </c>
      <c r="I4396" s="19" t="str">
        <f>IFERROR(__xludf.DUMMYFUNCTION("IFERROR(TO_DATE(H4396), """")"),"NA")</f>
        <v>NA</v>
      </c>
      <c r="J4396" s="19" t="s">
        <v>12</v>
      </c>
      <c r="K4396" s="22">
        <f t="shared" si="2"/>
        <v>0</v>
      </c>
    </row>
    <row r="4397">
      <c r="A4397" s="18">
        <v>989.0</v>
      </c>
      <c r="B4397" s="18" t="s">
        <v>30</v>
      </c>
      <c r="C4397" s="18" t="s">
        <v>34</v>
      </c>
      <c r="D4397" s="18" t="s">
        <v>35</v>
      </c>
      <c r="E4397" s="26">
        <v>42562.78958333333</v>
      </c>
      <c r="F4397" s="19">
        <f>IFERROR(__xludf.DUMMYFUNCTION("IFERROR(TO_DATE(E4397), """")"),42562.78958333333)</f>
        <v>42562.78958</v>
      </c>
      <c r="G4397" s="20">
        <f t="shared" si="1"/>
        <v>18</v>
      </c>
      <c r="H4397" s="18" t="s">
        <v>34</v>
      </c>
      <c r="I4397" s="19" t="str">
        <f>IFERROR(__xludf.DUMMYFUNCTION("IFERROR(TO_DATE(H4397), """")"),"NA")</f>
        <v>NA</v>
      </c>
      <c r="J4397" s="19" t="s">
        <v>12</v>
      </c>
      <c r="K4397" s="22">
        <f t="shared" si="2"/>
        <v>0</v>
      </c>
    </row>
    <row r="4398">
      <c r="A4398" s="18">
        <v>974.0</v>
      </c>
      <c r="B4398" s="18" t="s">
        <v>30</v>
      </c>
      <c r="C4398" s="18" t="s">
        <v>34</v>
      </c>
      <c r="D4398" s="18" t="s">
        <v>35</v>
      </c>
      <c r="E4398" s="26">
        <v>42562.79027777778</v>
      </c>
      <c r="F4398" s="19">
        <f>IFERROR(__xludf.DUMMYFUNCTION("IFERROR(TO_DATE(E4398), """")"),42562.79027777778)</f>
        <v>42562.79028</v>
      </c>
      <c r="G4398" s="20">
        <f t="shared" si="1"/>
        <v>18</v>
      </c>
      <c r="H4398" s="18" t="s">
        <v>34</v>
      </c>
      <c r="I4398" s="19" t="str">
        <f>IFERROR(__xludf.DUMMYFUNCTION("IFERROR(TO_DATE(H4398), """")"),"NA")</f>
        <v>NA</v>
      </c>
      <c r="J4398" s="19" t="s">
        <v>12</v>
      </c>
      <c r="K4398" s="22">
        <f t="shared" si="2"/>
        <v>0</v>
      </c>
    </row>
    <row r="4399">
      <c r="A4399" s="18">
        <v>983.0</v>
      </c>
      <c r="B4399" s="18" t="s">
        <v>30</v>
      </c>
      <c r="C4399" s="18" t="s">
        <v>34</v>
      </c>
      <c r="D4399" s="18" t="s">
        <v>35</v>
      </c>
      <c r="E4399" s="26">
        <v>42562.79027777778</v>
      </c>
      <c r="F4399" s="19">
        <f>IFERROR(__xludf.DUMMYFUNCTION("IFERROR(TO_DATE(E4399), """")"),42562.79027777778)</f>
        <v>42562.79028</v>
      </c>
      <c r="G4399" s="20">
        <f t="shared" si="1"/>
        <v>18</v>
      </c>
      <c r="H4399" s="18" t="s">
        <v>34</v>
      </c>
      <c r="I4399" s="19" t="str">
        <f>IFERROR(__xludf.DUMMYFUNCTION("IFERROR(TO_DATE(H4399), """")"),"NA")</f>
        <v>NA</v>
      </c>
      <c r="J4399" s="19" t="s">
        <v>12</v>
      </c>
      <c r="K4399" s="22">
        <f t="shared" si="2"/>
        <v>0</v>
      </c>
    </row>
    <row r="4400">
      <c r="A4400" s="18">
        <v>985.0</v>
      </c>
      <c r="B4400" s="18" t="s">
        <v>32</v>
      </c>
      <c r="C4400" s="18" t="s">
        <v>34</v>
      </c>
      <c r="D4400" s="18" t="s">
        <v>35</v>
      </c>
      <c r="E4400" s="26">
        <v>42562.79027777778</v>
      </c>
      <c r="F4400" s="19">
        <f>IFERROR(__xludf.DUMMYFUNCTION("IFERROR(TO_DATE(E4400), """")"),42562.79027777778)</f>
        <v>42562.79028</v>
      </c>
      <c r="G4400" s="20">
        <f t="shared" si="1"/>
        <v>18</v>
      </c>
      <c r="H4400" s="18" t="s">
        <v>34</v>
      </c>
      <c r="I4400" s="19" t="str">
        <f>IFERROR(__xludf.DUMMYFUNCTION("IFERROR(TO_DATE(H4400), """")"),"NA")</f>
        <v>NA</v>
      </c>
      <c r="J4400" s="19" t="s">
        <v>12</v>
      </c>
      <c r="K4400" s="22">
        <f t="shared" si="2"/>
        <v>0</v>
      </c>
    </row>
    <row r="4401">
      <c r="A4401" s="18">
        <v>987.0</v>
      </c>
      <c r="B4401" s="18" t="s">
        <v>30</v>
      </c>
      <c r="C4401" s="18" t="s">
        <v>34</v>
      </c>
      <c r="D4401" s="18" t="s">
        <v>35</v>
      </c>
      <c r="E4401" s="26">
        <v>42562.790972222225</v>
      </c>
      <c r="F4401" s="19">
        <f>IFERROR(__xludf.DUMMYFUNCTION("IFERROR(TO_DATE(E4401), """")"),42562.790972222225)</f>
        <v>42562.79097</v>
      </c>
      <c r="G4401" s="20">
        <f t="shared" si="1"/>
        <v>18</v>
      </c>
      <c r="H4401" s="18" t="s">
        <v>34</v>
      </c>
      <c r="I4401" s="19" t="str">
        <f>IFERROR(__xludf.DUMMYFUNCTION("IFERROR(TO_DATE(H4401), """")"),"NA")</f>
        <v>NA</v>
      </c>
      <c r="J4401" s="19" t="s">
        <v>12</v>
      </c>
      <c r="K4401" s="22">
        <f t="shared" si="2"/>
        <v>0</v>
      </c>
    </row>
    <row r="4402">
      <c r="A4402" s="18">
        <v>979.0</v>
      </c>
      <c r="B4402" s="18" t="s">
        <v>30</v>
      </c>
      <c r="C4402" s="18" t="s">
        <v>34</v>
      </c>
      <c r="D4402" s="18" t="s">
        <v>35</v>
      </c>
      <c r="E4402" s="26">
        <v>42562.791666666664</v>
      </c>
      <c r="F4402" s="19">
        <f>IFERROR(__xludf.DUMMYFUNCTION("IFERROR(TO_DATE(E4402), """")"),42562.791666666664)</f>
        <v>42562.79167</v>
      </c>
      <c r="G4402" s="20">
        <f t="shared" si="1"/>
        <v>19</v>
      </c>
      <c r="H4402" s="18" t="s">
        <v>34</v>
      </c>
      <c r="I4402" s="19" t="str">
        <f>IFERROR(__xludf.DUMMYFUNCTION("IFERROR(TO_DATE(H4402), """")"),"NA")</f>
        <v>NA</v>
      </c>
      <c r="J4402" s="19" t="s">
        <v>12</v>
      </c>
      <c r="K4402" s="22">
        <f t="shared" si="2"/>
        <v>0</v>
      </c>
    </row>
    <row r="4403">
      <c r="A4403" s="18">
        <v>982.0</v>
      </c>
      <c r="B4403" s="18" t="s">
        <v>30</v>
      </c>
      <c r="C4403" s="18" t="s">
        <v>34</v>
      </c>
      <c r="D4403" s="18" t="s">
        <v>35</v>
      </c>
      <c r="E4403" s="26">
        <v>42562.79236111111</v>
      </c>
      <c r="F4403" s="19">
        <f>IFERROR(__xludf.DUMMYFUNCTION("IFERROR(TO_DATE(E4403), """")"),42562.79236111111)</f>
        <v>42562.79236</v>
      </c>
      <c r="G4403" s="20">
        <f t="shared" si="1"/>
        <v>19</v>
      </c>
      <c r="H4403" s="18" t="s">
        <v>34</v>
      </c>
      <c r="I4403" s="19" t="str">
        <f>IFERROR(__xludf.DUMMYFUNCTION("IFERROR(TO_DATE(H4403), """")"),"NA")</f>
        <v>NA</v>
      </c>
      <c r="J4403" s="19" t="s">
        <v>12</v>
      </c>
      <c r="K4403" s="22">
        <f t="shared" si="2"/>
        <v>0</v>
      </c>
    </row>
    <row r="4404">
      <c r="A4404" s="18">
        <v>977.0</v>
      </c>
      <c r="B4404" s="18" t="s">
        <v>30</v>
      </c>
      <c r="C4404" s="18" t="s">
        <v>34</v>
      </c>
      <c r="D4404" s="18" t="s">
        <v>35</v>
      </c>
      <c r="E4404" s="26">
        <v>42562.79236111111</v>
      </c>
      <c r="F4404" s="19">
        <f>IFERROR(__xludf.DUMMYFUNCTION("IFERROR(TO_DATE(E4404), """")"),42562.79236111111)</f>
        <v>42562.79236</v>
      </c>
      <c r="G4404" s="20">
        <f t="shared" si="1"/>
        <v>19</v>
      </c>
      <c r="H4404" s="18" t="s">
        <v>34</v>
      </c>
      <c r="I4404" s="19" t="str">
        <f>IFERROR(__xludf.DUMMYFUNCTION("IFERROR(TO_DATE(H4404), """")"),"NA")</f>
        <v>NA</v>
      </c>
      <c r="J4404" s="19" t="s">
        <v>12</v>
      </c>
      <c r="K4404" s="22">
        <f t="shared" si="2"/>
        <v>0</v>
      </c>
    </row>
    <row r="4405">
      <c r="A4405" s="18">
        <v>986.0</v>
      </c>
      <c r="B4405" s="18" t="s">
        <v>30</v>
      </c>
      <c r="C4405" s="18" t="s">
        <v>34</v>
      </c>
      <c r="D4405" s="18" t="s">
        <v>35</v>
      </c>
      <c r="E4405" s="26">
        <v>42562.79236111111</v>
      </c>
      <c r="F4405" s="19">
        <f>IFERROR(__xludf.DUMMYFUNCTION("IFERROR(TO_DATE(E4405), """")"),42562.79236111111)</f>
        <v>42562.79236</v>
      </c>
      <c r="G4405" s="20">
        <f t="shared" si="1"/>
        <v>19</v>
      </c>
      <c r="H4405" s="18" t="s">
        <v>34</v>
      </c>
      <c r="I4405" s="19" t="str">
        <f>IFERROR(__xludf.DUMMYFUNCTION("IFERROR(TO_DATE(H4405), """")"),"NA")</f>
        <v>NA</v>
      </c>
      <c r="J4405" s="19" t="s">
        <v>12</v>
      </c>
      <c r="K4405" s="22">
        <f t="shared" si="2"/>
        <v>0</v>
      </c>
    </row>
    <row r="4406">
      <c r="A4406" s="18">
        <v>991.0</v>
      </c>
      <c r="B4406" s="18" t="s">
        <v>30</v>
      </c>
      <c r="C4406" s="18" t="s">
        <v>34</v>
      </c>
      <c r="D4406" s="18" t="s">
        <v>35</v>
      </c>
      <c r="E4406" s="26">
        <v>42562.79305555556</v>
      </c>
      <c r="F4406" s="19">
        <f>IFERROR(__xludf.DUMMYFUNCTION("IFERROR(TO_DATE(E4406), """")"),42562.79305555556)</f>
        <v>42562.79306</v>
      </c>
      <c r="G4406" s="20">
        <f t="shared" si="1"/>
        <v>19</v>
      </c>
      <c r="H4406" s="18" t="s">
        <v>34</v>
      </c>
      <c r="I4406" s="19" t="str">
        <f>IFERROR(__xludf.DUMMYFUNCTION("IFERROR(TO_DATE(H4406), """")"),"NA")</f>
        <v>NA</v>
      </c>
      <c r="J4406" s="19" t="s">
        <v>12</v>
      </c>
      <c r="K4406" s="22">
        <f t="shared" si="2"/>
        <v>0</v>
      </c>
    </row>
    <row r="4407">
      <c r="A4407" s="18">
        <v>978.0</v>
      </c>
      <c r="B4407" s="18" t="s">
        <v>30</v>
      </c>
      <c r="C4407" s="18" t="s">
        <v>34</v>
      </c>
      <c r="D4407" s="18" t="s">
        <v>35</v>
      </c>
      <c r="E4407" s="26">
        <v>42562.79305555556</v>
      </c>
      <c r="F4407" s="19">
        <f>IFERROR(__xludf.DUMMYFUNCTION("IFERROR(TO_DATE(E4407), """")"),42562.79305555556)</f>
        <v>42562.79306</v>
      </c>
      <c r="G4407" s="20">
        <f t="shared" si="1"/>
        <v>19</v>
      </c>
      <c r="H4407" s="18" t="s">
        <v>34</v>
      </c>
      <c r="I4407" s="19" t="str">
        <f>IFERROR(__xludf.DUMMYFUNCTION("IFERROR(TO_DATE(H4407), """")"),"NA")</f>
        <v>NA</v>
      </c>
      <c r="J4407" s="19" t="s">
        <v>12</v>
      </c>
      <c r="K4407" s="22">
        <f t="shared" si="2"/>
        <v>0</v>
      </c>
    </row>
    <row r="4408">
      <c r="A4408" s="18">
        <v>984.0</v>
      </c>
      <c r="B4408" s="18" t="s">
        <v>30</v>
      </c>
      <c r="C4408" s="18" t="s">
        <v>34</v>
      </c>
      <c r="D4408" s="18" t="s">
        <v>35</v>
      </c>
      <c r="E4408" s="26">
        <v>42562.79305555556</v>
      </c>
      <c r="F4408" s="19">
        <f>IFERROR(__xludf.DUMMYFUNCTION("IFERROR(TO_DATE(E4408), """")"),42562.79305555556)</f>
        <v>42562.79306</v>
      </c>
      <c r="G4408" s="20">
        <f t="shared" si="1"/>
        <v>19</v>
      </c>
      <c r="H4408" s="18" t="s">
        <v>34</v>
      </c>
      <c r="I4408" s="19" t="str">
        <f>IFERROR(__xludf.DUMMYFUNCTION("IFERROR(TO_DATE(H4408), """")"),"NA")</f>
        <v>NA</v>
      </c>
      <c r="J4408" s="19" t="s">
        <v>12</v>
      </c>
      <c r="K4408" s="22">
        <f t="shared" si="2"/>
        <v>0</v>
      </c>
    </row>
    <row r="4409">
      <c r="A4409" s="18">
        <v>994.0</v>
      </c>
      <c r="B4409" s="18" t="s">
        <v>30</v>
      </c>
      <c r="C4409" s="18" t="s">
        <v>34</v>
      </c>
      <c r="D4409" s="18" t="s">
        <v>35</v>
      </c>
      <c r="E4409" s="26">
        <v>42562.79305555556</v>
      </c>
      <c r="F4409" s="19">
        <f>IFERROR(__xludf.DUMMYFUNCTION("IFERROR(TO_DATE(E4409), """")"),42562.79305555556)</f>
        <v>42562.79306</v>
      </c>
      <c r="G4409" s="20">
        <f t="shared" si="1"/>
        <v>19</v>
      </c>
      <c r="H4409" s="18" t="s">
        <v>34</v>
      </c>
      <c r="I4409" s="19" t="str">
        <f>IFERROR(__xludf.DUMMYFUNCTION("IFERROR(TO_DATE(H4409), """")"),"NA")</f>
        <v>NA</v>
      </c>
      <c r="J4409" s="19" t="s">
        <v>12</v>
      </c>
      <c r="K4409" s="22">
        <f t="shared" si="2"/>
        <v>0</v>
      </c>
    </row>
    <row r="4410">
      <c r="A4410" s="18">
        <v>988.0</v>
      </c>
      <c r="B4410" s="18" t="s">
        <v>30</v>
      </c>
      <c r="C4410" s="18" t="s">
        <v>34</v>
      </c>
      <c r="D4410" s="18" t="s">
        <v>35</v>
      </c>
      <c r="E4410" s="26">
        <v>42562.79305555556</v>
      </c>
      <c r="F4410" s="19">
        <f>IFERROR(__xludf.DUMMYFUNCTION("IFERROR(TO_DATE(E4410), """")"),42562.79305555556)</f>
        <v>42562.79306</v>
      </c>
      <c r="G4410" s="20">
        <f t="shared" si="1"/>
        <v>19</v>
      </c>
      <c r="H4410" s="18" t="s">
        <v>34</v>
      </c>
      <c r="I4410" s="19" t="str">
        <f>IFERROR(__xludf.DUMMYFUNCTION("IFERROR(TO_DATE(H4410), """")"),"NA")</f>
        <v>NA</v>
      </c>
      <c r="J4410" s="19" t="s">
        <v>12</v>
      </c>
      <c r="K4410" s="22">
        <f t="shared" si="2"/>
        <v>0</v>
      </c>
    </row>
    <row r="4411">
      <c r="A4411" s="18">
        <v>1000.0</v>
      </c>
      <c r="B4411" s="18" t="s">
        <v>30</v>
      </c>
      <c r="C4411" s="18" t="s">
        <v>34</v>
      </c>
      <c r="D4411" s="18" t="s">
        <v>35</v>
      </c>
      <c r="E4411" s="26">
        <v>42562.79305555556</v>
      </c>
      <c r="F4411" s="19">
        <f>IFERROR(__xludf.DUMMYFUNCTION("IFERROR(TO_DATE(E4411), """")"),42562.79305555556)</f>
        <v>42562.79306</v>
      </c>
      <c r="G4411" s="20">
        <f t="shared" si="1"/>
        <v>19</v>
      </c>
      <c r="H4411" s="18" t="s">
        <v>34</v>
      </c>
      <c r="I4411" s="19" t="str">
        <f>IFERROR(__xludf.DUMMYFUNCTION("IFERROR(TO_DATE(H4411), """")"),"NA")</f>
        <v>NA</v>
      </c>
      <c r="J4411" s="19" t="s">
        <v>12</v>
      </c>
      <c r="K4411" s="22">
        <f t="shared" si="2"/>
        <v>0</v>
      </c>
    </row>
    <row r="4412">
      <c r="A4412" s="18">
        <v>990.0</v>
      </c>
      <c r="B4412" s="18" t="s">
        <v>30</v>
      </c>
      <c r="C4412" s="18" t="s">
        <v>34</v>
      </c>
      <c r="D4412" s="18" t="s">
        <v>35</v>
      </c>
      <c r="E4412" s="26">
        <v>42562.79375</v>
      </c>
      <c r="F4412" s="19">
        <f>IFERROR(__xludf.DUMMYFUNCTION("IFERROR(TO_DATE(E4412), """")"),42562.79375)</f>
        <v>42562.79375</v>
      </c>
      <c r="G4412" s="20">
        <f t="shared" si="1"/>
        <v>19</v>
      </c>
      <c r="H4412" s="18" t="s">
        <v>34</v>
      </c>
      <c r="I4412" s="19" t="str">
        <f>IFERROR(__xludf.DUMMYFUNCTION("IFERROR(TO_DATE(H4412), """")"),"NA")</f>
        <v>NA</v>
      </c>
      <c r="J4412" s="19" t="s">
        <v>12</v>
      </c>
      <c r="K4412" s="22">
        <f t="shared" si="2"/>
        <v>0</v>
      </c>
    </row>
    <row r="4413">
      <c r="A4413" s="18">
        <v>1001.0</v>
      </c>
      <c r="B4413" s="18" t="s">
        <v>30</v>
      </c>
      <c r="C4413" s="18" t="s">
        <v>34</v>
      </c>
      <c r="D4413" s="18" t="s">
        <v>35</v>
      </c>
      <c r="E4413" s="26">
        <v>42562.79513888889</v>
      </c>
      <c r="F4413" s="19">
        <f>IFERROR(__xludf.DUMMYFUNCTION("IFERROR(TO_DATE(E4413), """")"),42562.79513888889)</f>
        <v>42562.79514</v>
      </c>
      <c r="G4413" s="20">
        <f t="shared" si="1"/>
        <v>19</v>
      </c>
      <c r="H4413" s="18" t="s">
        <v>34</v>
      </c>
      <c r="I4413" s="19" t="str">
        <f>IFERROR(__xludf.DUMMYFUNCTION("IFERROR(TO_DATE(H4413), """")"),"NA")</f>
        <v>NA</v>
      </c>
      <c r="J4413" s="19" t="s">
        <v>12</v>
      </c>
      <c r="K4413" s="22">
        <f t="shared" si="2"/>
        <v>0</v>
      </c>
    </row>
    <row r="4414">
      <c r="A4414" s="18">
        <v>997.0</v>
      </c>
      <c r="B4414" s="18" t="s">
        <v>30</v>
      </c>
      <c r="C4414" s="18" t="s">
        <v>34</v>
      </c>
      <c r="D4414" s="18" t="s">
        <v>35</v>
      </c>
      <c r="E4414" s="26">
        <v>42562.79513888889</v>
      </c>
      <c r="F4414" s="19">
        <f>IFERROR(__xludf.DUMMYFUNCTION("IFERROR(TO_DATE(E4414), """")"),42562.79513888889)</f>
        <v>42562.79514</v>
      </c>
      <c r="G4414" s="20">
        <f t="shared" si="1"/>
        <v>19</v>
      </c>
      <c r="H4414" s="18" t="s">
        <v>34</v>
      </c>
      <c r="I4414" s="19" t="str">
        <f>IFERROR(__xludf.DUMMYFUNCTION("IFERROR(TO_DATE(H4414), """")"),"NA")</f>
        <v>NA</v>
      </c>
      <c r="J4414" s="19" t="s">
        <v>12</v>
      </c>
      <c r="K4414" s="22">
        <f t="shared" si="2"/>
        <v>0</v>
      </c>
    </row>
    <row r="4415">
      <c r="A4415" s="18">
        <v>996.0</v>
      </c>
      <c r="B4415" s="18" t="s">
        <v>30</v>
      </c>
      <c r="C4415" s="18" t="s">
        <v>34</v>
      </c>
      <c r="D4415" s="18" t="s">
        <v>35</v>
      </c>
      <c r="E4415" s="26">
        <v>42562.79861111111</v>
      </c>
      <c r="F4415" s="19">
        <f>IFERROR(__xludf.DUMMYFUNCTION("IFERROR(TO_DATE(E4415), """")"),42562.79861111111)</f>
        <v>42562.79861</v>
      </c>
      <c r="G4415" s="20">
        <f t="shared" si="1"/>
        <v>19</v>
      </c>
      <c r="H4415" s="18" t="s">
        <v>34</v>
      </c>
      <c r="I4415" s="19" t="str">
        <f>IFERROR(__xludf.DUMMYFUNCTION("IFERROR(TO_DATE(H4415), """")"),"NA")</f>
        <v>NA</v>
      </c>
      <c r="J4415" s="19" t="s">
        <v>12</v>
      </c>
      <c r="K4415" s="22">
        <f t="shared" si="2"/>
        <v>0</v>
      </c>
    </row>
    <row r="4416">
      <c r="A4416" s="18">
        <v>1009.0</v>
      </c>
      <c r="B4416" s="18" t="s">
        <v>30</v>
      </c>
      <c r="C4416" s="18" t="s">
        <v>34</v>
      </c>
      <c r="D4416" s="18" t="s">
        <v>35</v>
      </c>
      <c r="E4416" s="26">
        <v>42562.799305555556</v>
      </c>
      <c r="F4416" s="19">
        <f>IFERROR(__xludf.DUMMYFUNCTION("IFERROR(TO_DATE(E4416), """")"),42562.799305555556)</f>
        <v>42562.79931</v>
      </c>
      <c r="G4416" s="20">
        <f t="shared" si="1"/>
        <v>19</v>
      </c>
      <c r="H4416" s="18" t="s">
        <v>34</v>
      </c>
      <c r="I4416" s="19" t="str">
        <f>IFERROR(__xludf.DUMMYFUNCTION("IFERROR(TO_DATE(H4416), """")"),"NA")</f>
        <v>NA</v>
      </c>
      <c r="J4416" s="19" t="s">
        <v>12</v>
      </c>
      <c r="K4416" s="22">
        <f t="shared" si="2"/>
        <v>0</v>
      </c>
    </row>
    <row r="4417">
      <c r="A4417" s="18">
        <v>1004.0</v>
      </c>
      <c r="B4417" s="18" t="s">
        <v>30</v>
      </c>
      <c r="C4417" s="18" t="s">
        <v>34</v>
      </c>
      <c r="D4417" s="18" t="s">
        <v>35</v>
      </c>
      <c r="E4417" s="26">
        <v>42562.799305555556</v>
      </c>
      <c r="F4417" s="19">
        <f>IFERROR(__xludf.DUMMYFUNCTION("IFERROR(TO_DATE(E4417), """")"),42562.799305555556)</f>
        <v>42562.79931</v>
      </c>
      <c r="G4417" s="20">
        <f t="shared" si="1"/>
        <v>19</v>
      </c>
      <c r="H4417" s="18" t="s">
        <v>34</v>
      </c>
      <c r="I4417" s="19" t="str">
        <f>IFERROR(__xludf.DUMMYFUNCTION("IFERROR(TO_DATE(H4417), """")"),"NA")</f>
        <v>NA</v>
      </c>
      <c r="J4417" s="19" t="s">
        <v>12</v>
      </c>
      <c r="K4417" s="22">
        <f t="shared" si="2"/>
        <v>0</v>
      </c>
    </row>
    <row r="4418">
      <c r="A4418" s="18">
        <v>1003.0</v>
      </c>
      <c r="B4418" s="18" t="s">
        <v>30</v>
      </c>
      <c r="C4418" s="18" t="s">
        <v>34</v>
      </c>
      <c r="D4418" s="18" t="s">
        <v>35</v>
      </c>
      <c r="E4418" s="26">
        <v>42562.8</v>
      </c>
      <c r="F4418" s="19">
        <f>IFERROR(__xludf.DUMMYFUNCTION("IFERROR(TO_DATE(E4418), """")"),42562.8)</f>
        <v>42562.8</v>
      </c>
      <c r="G4418" s="20">
        <f t="shared" si="1"/>
        <v>19</v>
      </c>
      <c r="H4418" s="18" t="s">
        <v>34</v>
      </c>
      <c r="I4418" s="19" t="str">
        <f>IFERROR(__xludf.DUMMYFUNCTION("IFERROR(TO_DATE(H4418), """")"),"NA")</f>
        <v>NA</v>
      </c>
      <c r="J4418" s="19" t="s">
        <v>12</v>
      </c>
      <c r="K4418" s="22">
        <f t="shared" si="2"/>
        <v>0</v>
      </c>
    </row>
    <row r="4419">
      <c r="A4419" s="18">
        <v>1016.0</v>
      </c>
      <c r="B4419" s="18" t="s">
        <v>30</v>
      </c>
      <c r="C4419" s="18" t="s">
        <v>34</v>
      </c>
      <c r="D4419" s="18" t="s">
        <v>35</v>
      </c>
      <c r="E4419" s="26">
        <v>42562.802083333336</v>
      </c>
      <c r="F4419" s="19">
        <f>IFERROR(__xludf.DUMMYFUNCTION("IFERROR(TO_DATE(E4419), """")"),42562.802083333336)</f>
        <v>42562.80208</v>
      </c>
      <c r="G4419" s="20">
        <f t="shared" si="1"/>
        <v>19</v>
      </c>
      <c r="H4419" s="18" t="s">
        <v>34</v>
      </c>
      <c r="I4419" s="19" t="str">
        <f>IFERROR(__xludf.DUMMYFUNCTION("IFERROR(TO_DATE(H4419), """")"),"NA")</f>
        <v>NA</v>
      </c>
      <c r="J4419" s="19" t="s">
        <v>12</v>
      </c>
      <c r="K4419" s="22">
        <f t="shared" si="2"/>
        <v>0</v>
      </c>
    </row>
    <row r="4420">
      <c r="A4420" s="18">
        <v>1013.0</v>
      </c>
      <c r="B4420" s="18" t="s">
        <v>30</v>
      </c>
      <c r="C4420" s="18" t="s">
        <v>34</v>
      </c>
      <c r="D4420" s="18" t="s">
        <v>35</v>
      </c>
      <c r="E4420" s="26">
        <v>42562.802083333336</v>
      </c>
      <c r="F4420" s="19">
        <f>IFERROR(__xludf.DUMMYFUNCTION("IFERROR(TO_DATE(E4420), """")"),42562.802083333336)</f>
        <v>42562.80208</v>
      </c>
      <c r="G4420" s="20">
        <f t="shared" si="1"/>
        <v>19</v>
      </c>
      <c r="H4420" s="18" t="s">
        <v>34</v>
      </c>
      <c r="I4420" s="19" t="str">
        <f>IFERROR(__xludf.DUMMYFUNCTION("IFERROR(TO_DATE(H4420), """")"),"NA")</f>
        <v>NA</v>
      </c>
      <c r="J4420" s="19" t="s">
        <v>12</v>
      </c>
      <c r="K4420" s="22">
        <f t="shared" si="2"/>
        <v>0</v>
      </c>
    </row>
    <row r="4421">
      <c r="A4421" s="18">
        <v>1029.0</v>
      </c>
      <c r="B4421" s="18" t="s">
        <v>30</v>
      </c>
      <c r="C4421" s="18" t="s">
        <v>34</v>
      </c>
      <c r="D4421" s="18" t="s">
        <v>35</v>
      </c>
      <c r="E4421" s="26">
        <v>42562.802777777775</v>
      </c>
      <c r="F4421" s="19">
        <f>IFERROR(__xludf.DUMMYFUNCTION("IFERROR(TO_DATE(E4421), """")"),42562.802777777775)</f>
        <v>42562.80278</v>
      </c>
      <c r="G4421" s="20">
        <f t="shared" si="1"/>
        <v>19</v>
      </c>
      <c r="H4421" s="18" t="s">
        <v>34</v>
      </c>
      <c r="I4421" s="19" t="str">
        <f>IFERROR(__xludf.DUMMYFUNCTION("IFERROR(TO_DATE(H4421), """")"),"NA")</f>
        <v>NA</v>
      </c>
      <c r="J4421" s="19" t="s">
        <v>12</v>
      </c>
      <c r="K4421" s="22">
        <f t="shared" si="2"/>
        <v>0</v>
      </c>
    </row>
    <row r="4422">
      <c r="A4422" s="18">
        <v>1017.0</v>
      </c>
      <c r="B4422" s="18" t="s">
        <v>30</v>
      </c>
      <c r="C4422" s="18" t="s">
        <v>34</v>
      </c>
      <c r="D4422" s="18" t="s">
        <v>35</v>
      </c>
      <c r="E4422" s="26">
        <v>42562.80347222222</v>
      </c>
      <c r="F4422" s="19">
        <f>IFERROR(__xludf.DUMMYFUNCTION("IFERROR(TO_DATE(E4422), """")"),42562.80347222222)</f>
        <v>42562.80347</v>
      </c>
      <c r="G4422" s="20">
        <f t="shared" si="1"/>
        <v>19</v>
      </c>
      <c r="H4422" s="18" t="s">
        <v>34</v>
      </c>
      <c r="I4422" s="19" t="str">
        <f>IFERROR(__xludf.DUMMYFUNCTION("IFERROR(TO_DATE(H4422), """")"),"NA")</f>
        <v>NA</v>
      </c>
      <c r="J4422" s="19" t="s">
        <v>12</v>
      </c>
      <c r="K4422" s="22">
        <f t="shared" si="2"/>
        <v>0</v>
      </c>
    </row>
    <row r="4423">
      <c r="A4423" s="18">
        <v>1028.0</v>
      </c>
      <c r="B4423" s="18" t="s">
        <v>30</v>
      </c>
      <c r="C4423" s="18" t="s">
        <v>34</v>
      </c>
      <c r="D4423" s="18" t="s">
        <v>35</v>
      </c>
      <c r="E4423" s="26">
        <v>42562.80347222222</v>
      </c>
      <c r="F4423" s="19">
        <f>IFERROR(__xludf.DUMMYFUNCTION("IFERROR(TO_DATE(E4423), """")"),42562.80347222222)</f>
        <v>42562.80347</v>
      </c>
      <c r="G4423" s="20">
        <f t="shared" si="1"/>
        <v>19</v>
      </c>
      <c r="H4423" s="18" t="s">
        <v>34</v>
      </c>
      <c r="I4423" s="19" t="str">
        <f>IFERROR(__xludf.DUMMYFUNCTION("IFERROR(TO_DATE(H4423), """")"),"NA")</f>
        <v>NA</v>
      </c>
      <c r="J4423" s="19" t="s">
        <v>12</v>
      </c>
      <c r="K4423" s="22">
        <f t="shared" si="2"/>
        <v>0</v>
      </c>
    </row>
    <row r="4424">
      <c r="A4424" s="18">
        <v>1018.0</v>
      </c>
      <c r="B4424" s="18" t="s">
        <v>30</v>
      </c>
      <c r="C4424" s="18" t="s">
        <v>34</v>
      </c>
      <c r="D4424" s="18" t="s">
        <v>35</v>
      </c>
      <c r="E4424" s="26">
        <v>42562.80347222222</v>
      </c>
      <c r="F4424" s="19">
        <f>IFERROR(__xludf.DUMMYFUNCTION("IFERROR(TO_DATE(E4424), """")"),42562.80347222222)</f>
        <v>42562.80347</v>
      </c>
      <c r="G4424" s="20">
        <f t="shared" si="1"/>
        <v>19</v>
      </c>
      <c r="H4424" s="18" t="s">
        <v>34</v>
      </c>
      <c r="I4424" s="19" t="str">
        <f>IFERROR(__xludf.DUMMYFUNCTION("IFERROR(TO_DATE(H4424), """")"),"NA")</f>
        <v>NA</v>
      </c>
      <c r="J4424" s="19" t="s">
        <v>12</v>
      </c>
      <c r="K4424" s="22">
        <f t="shared" si="2"/>
        <v>0</v>
      </c>
    </row>
    <row r="4425">
      <c r="A4425" s="18">
        <v>1023.0</v>
      </c>
      <c r="B4425" s="18" t="s">
        <v>30</v>
      </c>
      <c r="C4425" s="18" t="s">
        <v>34</v>
      </c>
      <c r="D4425" s="18" t="s">
        <v>35</v>
      </c>
      <c r="E4425" s="26">
        <v>42562.80416666667</v>
      </c>
      <c r="F4425" s="19">
        <f>IFERROR(__xludf.DUMMYFUNCTION("IFERROR(TO_DATE(E4425), """")"),42562.80416666667)</f>
        <v>42562.80417</v>
      </c>
      <c r="G4425" s="20">
        <f t="shared" si="1"/>
        <v>19</v>
      </c>
      <c r="H4425" s="18" t="s">
        <v>34</v>
      </c>
      <c r="I4425" s="19" t="str">
        <f>IFERROR(__xludf.DUMMYFUNCTION("IFERROR(TO_DATE(H4425), """")"),"NA")</f>
        <v>NA</v>
      </c>
      <c r="J4425" s="19" t="s">
        <v>12</v>
      </c>
      <c r="K4425" s="22">
        <f t="shared" si="2"/>
        <v>0</v>
      </c>
    </row>
    <row r="4426">
      <c r="A4426" s="18">
        <v>1025.0</v>
      </c>
      <c r="B4426" s="18" t="s">
        <v>30</v>
      </c>
      <c r="C4426" s="18" t="s">
        <v>34</v>
      </c>
      <c r="D4426" s="18" t="s">
        <v>35</v>
      </c>
      <c r="E4426" s="26">
        <v>42562.80486111111</v>
      </c>
      <c r="F4426" s="19">
        <f>IFERROR(__xludf.DUMMYFUNCTION("IFERROR(TO_DATE(E4426), """")"),42562.80486111111)</f>
        <v>42562.80486</v>
      </c>
      <c r="G4426" s="20">
        <f t="shared" si="1"/>
        <v>19</v>
      </c>
      <c r="H4426" s="18" t="s">
        <v>34</v>
      </c>
      <c r="I4426" s="19" t="str">
        <f>IFERROR(__xludf.DUMMYFUNCTION("IFERROR(TO_DATE(H4426), """")"),"NA")</f>
        <v>NA</v>
      </c>
      <c r="J4426" s="19" t="s">
        <v>12</v>
      </c>
      <c r="K4426" s="22">
        <f t="shared" si="2"/>
        <v>0</v>
      </c>
    </row>
    <row r="4427">
      <c r="A4427" s="18">
        <v>1026.0</v>
      </c>
      <c r="B4427" s="18" t="s">
        <v>30</v>
      </c>
      <c r="C4427" s="18" t="s">
        <v>34</v>
      </c>
      <c r="D4427" s="18" t="s">
        <v>35</v>
      </c>
      <c r="E4427" s="26">
        <v>42562.80486111111</v>
      </c>
      <c r="F4427" s="19">
        <f>IFERROR(__xludf.DUMMYFUNCTION("IFERROR(TO_DATE(E4427), """")"),42562.80486111111)</f>
        <v>42562.80486</v>
      </c>
      <c r="G4427" s="20">
        <f t="shared" si="1"/>
        <v>19</v>
      </c>
      <c r="H4427" s="18" t="s">
        <v>34</v>
      </c>
      <c r="I4427" s="19" t="str">
        <f>IFERROR(__xludf.DUMMYFUNCTION("IFERROR(TO_DATE(H4427), """")"),"NA")</f>
        <v>NA</v>
      </c>
      <c r="J4427" s="19" t="s">
        <v>12</v>
      </c>
      <c r="K4427" s="22">
        <f t="shared" si="2"/>
        <v>0</v>
      </c>
    </row>
    <row r="4428">
      <c r="A4428" s="18">
        <v>1021.0</v>
      </c>
      <c r="B4428" s="18" t="s">
        <v>30</v>
      </c>
      <c r="C4428" s="18" t="s">
        <v>34</v>
      </c>
      <c r="D4428" s="18" t="s">
        <v>35</v>
      </c>
      <c r="E4428" s="26">
        <v>42562.805555555555</v>
      </c>
      <c r="F4428" s="19">
        <f>IFERROR(__xludf.DUMMYFUNCTION("IFERROR(TO_DATE(E4428), """")"),42562.805555555555)</f>
        <v>42562.80556</v>
      </c>
      <c r="G4428" s="20">
        <f t="shared" si="1"/>
        <v>19</v>
      </c>
      <c r="H4428" s="18" t="s">
        <v>34</v>
      </c>
      <c r="I4428" s="19" t="str">
        <f>IFERROR(__xludf.DUMMYFUNCTION("IFERROR(TO_DATE(H4428), """")"),"NA")</f>
        <v>NA</v>
      </c>
      <c r="J4428" s="19" t="s">
        <v>12</v>
      </c>
      <c r="K4428" s="22">
        <f t="shared" si="2"/>
        <v>0</v>
      </c>
    </row>
    <row r="4429">
      <c r="A4429" s="18">
        <v>1019.0</v>
      </c>
      <c r="B4429" s="18" t="s">
        <v>30</v>
      </c>
      <c r="C4429" s="18" t="s">
        <v>34</v>
      </c>
      <c r="D4429" s="18" t="s">
        <v>35</v>
      </c>
      <c r="E4429" s="26">
        <v>42562.80694444444</v>
      </c>
      <c r="F4429" s="19">
        <f>IFERROR(__xludf.DUMMYFUNCTION("IFERROR(TO_DATE(E4429), """")"),42562.80694444444)</f>
        <v>42562.80694</v>
      </c>
      <c r="G4429" s="20">
        <f t="shared" si="1"/>
        <v>19</v>
      </c>
      <c r="H4429" s="18" t="s">
        <v>34</v>
      </c>
      <c r="I4429" s="19" t="str">
        <f>IFERROR(__xludf.DUMMYFUNCTION("IFERROR(TO_DATE(H4429), """")"),"NA")</f>
        <v>NA</v>
      </c>
      <c r="J4429" s="19" t="s">
        <v>12</v>
      </c>
      <c r="K4429" s="22">
        <f t="shared" si="2"/>
        <v>0</v>
      </c>
    </row>
    <row r="4430">
      <c r="A4430" s="18">
        <v>1022.0</v>
      </c>
      <c r="B4430" s="18" t="s">
        <v>30</v>
      </c>
      <c r="C4430" s="18" t="s">
        <v>34</v>
      </c>
      <c r="D4430" s="18" t="s">
        <v>35</v>
      </c>
      <c r="E4430" s="26">
        <v>42562.80694444444</v>
      </c>
      <c r="F4430" s="19">
        <f>IFERROR(__xludf.DUMMYFUNCTION("IFERROR(TO_DATE(E4430), """")"),42562.80694444444)</f>
        <v>42562.80694</v>
      </c>
      <c r="G4430" s="20">
        <f t="shared" si="1"/>
        <v>19</v>
      </c>
      <c r="H4430" s="18" t="s">
        <v>34</v>
      </c>
      <c r="I4430" s="19" t="str">
        <f>IFERROR(__xludf.DUMMYFUNCTION("IFERROR(TO_DATE(H4430), """")"),"NA")</f>
        <v>NA</v>
      </c>
      <c r="J4430" s="19" t="s">
        <v>12</v>
      </c>
      <c r="K4430" s="22">
        <f t="shared" si="2"/>
        <v>0</v>
      </c>
    </row>
    <row r="4431">
      <c r="A4431" s="18">
        <v>1031.0</v>
      </c>
      <c r="B4431" s="18" t="s">
        <v>30</v>
      </c>
      <c r="C4431" s="18" t="s">
        <v>34</v>
      </c>
      <c r="D4431" s="18" t="s">
        <v>35</v>
      </c>
      <c r="E4431" s="26">
        <v>42562.808333333334</v>
      </c>
      <c r="F4431" s="19">
        <f>IFERROR(__xludf.DUMMYFUNCTION("IFERROR(TO_DATE(E4431), """")"),42562.808333333334)</f>
        <v>42562.80833</v>
      </c>
      <c r="G4431" s="20">
        <f t="shared" si="1"/>
        <v>19</v>
      </c>
      <c r="H4431" s="18" t="s">
        <v>34</v>
      </c>
      <c r="I4431" s="19" t="str">
        <f>IFERROR(__xludf.DUMMYFUNCTION("IFERROR(TO_DATE(H4431), """")"),"NA")</f>
        <v>NA</v>
      </c>
      <c r="J4431" s="19" t="s">
        <v>12</v>
      </c>
      <c r="K4431" s="22">
        <f t="shared" si="2"/>
        <v>0</v>
      </c>
    </row>
    <row r="4432">
      <c r="A4432" s="18">
        <v>1032.0</v>
      </c>
      <c r="B4432" s="18" t="s">
        <v>30</v>
      </c>
      <c r="C4432" s="18" t="s">
        <v>34</v>
      </c>
      <c r="D4432" s="18" t="s">
        <v>35</v>
      </c>
      <c r="E4432" s="26">
        <v>42562.808333333334</v>
      </c>
      <c r="F4432" s="19">
        <f>IFERROR(__xludf.DUMMYFUNCTION("IFERROR(TO_DATE(E4432), """")"),42562.808333333334)</f>
        <v>42562.80833</v>
      </c>
      <c r="G4432" s="20">
        <f t="shared" si="1"/>
        <v>19</v>
      </c>
      <c r="H4432" s="18" t="s">
        <v>34</v>
      </c>
      <c r="I4432" s="19" t="str">
        <f>IFERROR(__xludf.DUMMYFUNCTION("IFERROR(TO_DATE(H4432), """")"),"NA")</f>
        <v>NA</v>
      </c>
      <c r="J4432" s="19" t="s">
        <v>12</v>
      </c>
      <c r="K4432" s="22">
        <f t="shared" si="2"/>
        <v>0</v>
      </c>
    </row>
    <row r="4433">
      <c r="A4433" s="18">
        <v>1035.0</v>
      </c>
      <c r="B4433" s="18" t="s">
        <v>30</v>
      </c>
      <c r="C4433" s="18" t="s">
        <v>34</v>
      </c>
      <c r="D4433" s="18" t="s">
        <v>35</v>
      </c>
      <c r="E4433" s="26">
        <v>42562.81180555555</v>
      </c>
      <c r="F4433" s="19">
        <f>IFERROR(__xludf.DUMMYFUNCTION("IFERROR(TO_DATE(E4433), """")"),42562.81180555555)</f>
        <v>42562.81181</v>
      </c>
      <c r="G4433" s="20">
        <f t="shared" si="1"/>
        <v>19</v>
      </c>
      <c r="H4433" s="18" t="s">
        <v>34</v>
      </c>
      <c r="I4433" s="19" t="str">
        <f>IFERROR(__xludf.DUMMYFUNCTION("IFERROR(TO_DATE(H4433), """")"),"NA")</f>
        <v>NA</v>
      </c>
      <c r="J4433" s="19" t="s">
        <v>12</v>
      </c>
      <c r="K4433" s="22">
        <f t="shared" si="2"/>
        <v>0</v>
      </c>
    </row>
    <row r="4434">
      <c r="A4434" s="18">
        <v>1033.0</v>
      </c>
      <c r="B4434" s="18" t="s">
        <v>30</v>
      </c>
      <c r="C4434" s="18" t="s">
        <v>34</v>
      </c>
      <c r="D4434" s="18" t="s">
        <v>35</v>
      </c>
      <c r="E4434" s="26">
        <v>42562.8125</v>
      </c>
      <c r="F4434" s="19">
        <f>IFERROR(__xludf.DUMMYFUNCTION("IFERROR(TO_DATE(E4434), """")"),42562.8125)</f>
        <v>42562.8125</v>
      </c>
      <c r="G4434" s="20">
        <f t="shared" si="1"/>
        <v>19</v>
      </c>
      <c r="H4434" s="18" t="s">
        <v>34</v>
      </c>
      <c r="I4434" s="19" t="str">
        <f>IFERROR(__xludf.DUMMYFUNCTION("IFERROR(TO_DATE(H4434), """")"),"NA")</f>
        <v>NA</v>
      </c>
      <c r="J4434" s="19" t="s">
        <v>12</v>
      </c>
      <c r="K4434" s="22">
        <f t="shared" si="2"/>
        <v>0</v>
      </c>
    </row>
    <row r="4435">
      <c r="A4435" s="18">
        <v>1037.0</v>
      </c>
      <c r="B4435" s="18" t="s">
        <v>30</v>
      </c>
      <c r="C4435" s="18" t="s">
        <v>34</v>
      </c>
      <c r="D4435" s="18" t="s">
        <v>35</v>
      </c>
      <c r="E4435" s="26">
        <v>42562.81319444445</v>
      </c>
      <c r="F4435" s="19">
        <f>IFERROR(__xludf.DUMMYFUNCTION("IFERROR(TO_DATE(E4435), """")"),42562.81319444445)</f>
        <v>42562.81319</v>
      </c>
      <c r="G4435" s="20">
        <f t="shared" si="1"/>
        <v>19</v>
      </c>
      <c r="H4435" s="18" t="s">
        <v>34</v>
      </c>
      <c r="I4435" s="19" t="str">
        <f>IFERROR(__xludf.DUMMYFUNCTION("IFERROR(TO_DATE(H4435), """")"),"NA")</f>
        <v>NA</v>
      </c>
      <c r="J4435" s="19" t="s">
        <v>12</v>
      </c>
      <c r="K4435" s="22">
        <f t="shared" si="2"/>
        <v>0</v>
      </c>
    </row>
    <row r="4436">
      <c r="A4436" s="18">
        <v>1042.0</v>
      </c>
      <c r="B4436" s="18" t="s">
        <v>30</v>
      </c>
      <c r="C4436" s="18" t="s">
        <v>34</v>
      </c>
      <c r="D4436" s="18" t="s">
        <v>35</v>
      </c>
      <c r="E4436" s="26">
        <v>42562.81458333333</v>
      </c>
      <c r="F4436" s="19">
        <f>IFERROR(__xludf.DUMMYFUNCTION("IFERROR(TO_DATE(E4436), """")"),42562.81458333333)</f>
        <v>42562.81458</v>
      </c>
      <c r="G4436" s="20">
        <f t="shared" si="1"/>
        <v>19</v>
      </c>
      <c r="H4436" s="18" t="s">
        <v>34</v>
      </c>
      <c r="I4436" s="19" t="str">
        <f>IFERROR(__xludf.DUMMYFUNCTION("IFERROR(TO_DATE(H4436), """")"),"NA")</f>
        <v>NA</v>
      </c>
      <c r="J4436" s="19" t="s">
        <v>12</v>
      </c>
      <c r="K4436" s="22">
        <f t="shared" si="2"/>
        <v>0</v>
      </c>
    </row>
    <row r="4437">
      <c r="A4437" s="18">
        <v>1036.0</v>
      </c>
      <c r="B4437" s="18" t="s">
        <v>30</v>
      </c>
      <c r="C4437" s="18" t="s">
        <v>34</v>
      </c>
      <c r="D4437" s="18" t="s">
        <v>35</v>
      </c>
      <c r="E4437" s="26">
        <v>42562.81458333333</v>
      </c>
      <c r="F4437" s="19">
        <f>IFERROR(__xludf.DUMMYFUNCTION("IFERROR(TO_DATE(E4437), """")"),42562.81458333333)</f>
        <v>42562.81458</v>
      </c>
      <c r="G4437" s="20">
        <f t="shared" si="1"/>
        <v>19</v>
      </c>
      <c r="H4437" s="18" t="s">
        <v>34</v>
      </c>
      <c r="I4437" s="19" t="str">
        <f>IFERROR(__xludf.DUMMYFUNCTION("IFERROR(TO_DATE(H4437), """")"),"NA")</f>
        <v>NA</v>
      </c>
      <c r="J4437" s="19" t="s">
        <v>12</v>
      </c>
      <c r="K4437" s="22">
        <f t="shared" si="2"/>
        <v>0</v>
      </c>
    </row>
    <row r="4438">
      <c r="A4438" s="18">
        <v>1041.0</v>
      </c>
      <c r="B4438" s="18" t="s">
        <v>30</v>
      </c>
      <c r="C4438" s="18" t="s">
        <v>34</v>
      </c>
      <c r="D4438" s="18" t="s">
        <v>35</v>
      </c>
      <c r="E4438" s="26">
        <v>42562.81527777778</v>
      </c>
      <c r="F4438" s="19">
        <f>IFERROR(__xludf.DUMMYFUNCTION("IFERROR(TO_DATE(E4438), """")"),42562.81527777778)</f>
        <v>42562.81528</v>
      </c>
      <c r="G4438" s="20">
        <f t="shared" si="1"/>
        <v>19</v>
      </c>
      <c r="H4438" s="18" t="s">
        <v>34</v>
      </c>
      <c r="I4438" s="19" t="str">
        <f>IFERROR(__xludf.DUMMYFUNCTION("IFERROR(TO_DATE(H4438), """")"),"NA")</f>
        <v>NA</v>
      </c>
      <c r="J4438" s="19" t="s">
        <v>12</v>
      </c>
      <c r="K4438" s="22">
        <f t="shared" si="2"/>
        <v>0</v>
      </c>
    </row>
    <row r="4439">
      <c r="A4439" s="18">
        <v>1043.0</v>
      </c>
      <c r="B4439" s="18" t="s">
        <v>30</v>
      </c>
      <c r="C4439" s="18" t="s">
        <v>34</v>
      </c>
      <c r="D4439" s="18" t="s">
        <v>35</v>
      </c>
      <c r="E4439" s="26">
        <v>42562.81527777778</v>
      </c>
      <c r="F4439" s="19">
        <f>IFERROR(__xludf.DUMMYFUNCTION("IFERROR(TO_DATE(E4439), """")"),42562.81527777778)</f>
        <v>42562.81528</v>
      </c>
      <c r="G4439" s="20">
        <f t="shared" si="1"/>
        <v>19</v>
      </c>
      <c r="H4439" s="18" t="s">
        <v>34</v>
      </c>
      <c r="I4439" s="19" t="str">
        <f>IFERROR(__xludf.DUMMYFUNCTION("IFERROR(TO_DATE(H4439), """")"),"NA")</f>
        <v>NA</v>
      </c>
      <c r="J4439" s="19" t="s">
        <v>12</v>
      </c>
      <c r="K4439" s="22">
        <f t="shared" si="2"/>
        <v>0</v>
      </c>
    </row>
    <row r="4440">
      <c r="A4440" s="18">
        <v>1038.0</v>
      </c>
      <c r="B4440" s="18" t="s">
        <v>30</v>
      </c>
      <c r="C4440" s="18" t="s">
        <v>34</v>
      </c>
      <c r="D4440" s="18" t="s">
        <v>35</v>
      </c>
      <c r="E4440" s="26">
        <v>42562.81597222222</v>
      </c>
      <c r="F4440" s="19">
        <f>IFERROR(__xludf.DUMMYFUNCTION("IFERROR(TO_DATE(E4440), """")"),42562.81597222222)</f>
        <v>42562.81597</v>
      </c>
      <c r="G4440" s="20">
        <f t="shared" si="1"/>
        <v>19</v>
      </c>
      <c r="H4440" s="18" t="s">
        <v>34</v>
      </c>
      <c r="I4440" s="19" t="str">
        <f>IFERROR(__xludf.DUMMYFUNCTION("IFERROR(TO_DATE(H4440), """")"),"NA")</f>
        <v>NA</v>
      </c>
      <c r="J4440" s="19" t="s">
        <v>12</v>
      </c>
      <c r="K4440" s="22">
        <f t="shared" si="2"/>
        <v>0</v>
      </c>
    </row>
    <row r="4441">
      <c r="A4441" s="18">
        <v>1047.0</v>
      </c>
      <c r="B4441" s="18" t="s">
        <v>30</v>
      </c>
      <c r="C4441" s="18" t="s">
        <v>34</v>
      </c>
      <c r="D4441" s="18" t="s">
        <v>35</v>
      </c>
      <c r="E4441" s="26">
        <v>42562.81875</v>
      </c>
      <c r="F4441" s="19">
        <f>IFERROR(__xludf.DUMMYFUNCTION("IFERROR(TO_DATE(E4441), """")"),42562.81875)</f>
        <v>42562.81875</v>
      </c>
      <c r="G4441" s="20">
        <f t="shared" si="1"/>
        <v>19</v>
      </c>
      <c r="H4441" s="18" t="s">
        <v>34</v>
      </c>
      <c r="I4441" s="19" t="str">
        <f>IFERROR(__xludf.DUMMYFUNCTION("IFERROR(TO_DATE(H4441), """")"),"NA")</f>
        <v>NA</v>
      </c>
      <c r="J4441" s="19" t="s">
        <v>12</v>
      </c>
      <c r="K4441" s="22">
        <f t="shared" si="2"/>
        <v>0</v>
      </c>
    </row>
    <row r="4442">
      <c r="A4442" s="18">
        <v>1045.0</v>
      </c>
      <c r="B4442" s="18" t="s">
        <v>32</v>
      </c>
      <c r="C4442" s="18" t="s">
        <v>34</v>
      </c>
      <c r="D4442" s="18" t="s">
        <v>35</v>
      </c>
      <c r="E4442" s="26">
        <v>42562.819444444445</v>
      </c>
      <c r="F4442" s="19">
        <f>IFERROR(__xludf.DUMMYFUNCTION("IFERROR(TO_DATE(E4442), """")"),42562.819444444445)</f>
        <v>42562.81944</v>
      </c>
      <c r="G4442" s="20">
        <f t="shared" si="1"/>
        <v>19</v>
      </c>
      <c r="H4442" s="18" t="s">
        <v>34</v>
      </c>
      <c r="I4442" s="19" t="str">
        <f>IFERROR(__xludf.DUMMYFUNCTION("IFERROR(TO_DATE(H4442), """")"),"NA")</f>
        <v>NA</v>
      </c>
      <c r="J4442" s="19" t="s">
        <v>12</v>
      </c>
      <c r="K4442" s="22">
        <f t="shared" si="2"/>
        <v>0</v>
      </c>
    </row>
    <row r="4443">
      <c r="A4443" s="18">
        <v>1049.0</v>
      </c>
      <c r="B4443" s="18" t="s">
        <v>30</v>
      </c>
      <c r="C4443" s="18" t="s">
        <v>34</v>
      </c>
      <c r="D4443" s="18" t="s">
        <v>35</v>
      </c>
      <c r="E4443" s="26">
        <v>42562.819444444445</v>
      </c>
      <c r="F4443" s="19">
        <f>IFERROR(__xludf.DUMMYFUNCTION("IFERROR(TO_DATE(E4443), """")"),42562.819444444445)</f>
        <v>42562.81944</v>
      </c>
      <c r="G4443" s="20">
        <f t="shared" si="1"/>
        <v>19</v>
      </c>
      <c r="H4443" s="18" t="s">
        <v>34</v>
      </c>
      <c r="I4443" s="19" t="str">
        <f>IFERROR(__xludf.DUMMYFUNCTION("IFERROR(TO_DATE(H4443), """")"),"NA")</f>
        <v>NA</v>
      </c>
      <c r="J4443" s="19" t="s">
        <v>12</v>
      </c>
      <c r="K4443" s="22">
        <f t="shared" si="2"/>
        <v>0</v>
      </c>
    </row>
    <row r="4444">
      <c r="A4444" s="18">
        <v>1048.0</v>
      </c>
      <c r="B4444" s="18" t="s">
        <v>30</v>
      </c>
      <c r="C4444" s="18" t="s">
        <v>34</v>
      </c>
      <c r="D4444" s="18" t="s">
        <v>35</v>
      </c>
      <c r="E4444" s="26">
        <v>42562.82013888889</v>
      </c>
      <c r="F4444" s="19">
        <f>IFERROR(__xludf.DUMMYFUNCTION("IFERROR(TO_DATE(E4444), """")"),42562.82013888889)</f>
        <v>42562.82014</v>
      </c>
      <c r="G4444" s="20">
        <f t="shared" si="1"/>
        <v>19</v>
      </c>
      <c r="H4444" s="18" t="s">
        <v>34</v>
      </c>
      <c r="I4444" s="19" t="str">
        <f>IFERROR(__xludf.DUMMYFUNCTION("IFERROR(TO_DATE(H4444), """")"),"NA")</f>
        <v>NA</v>
      </c>
      <c r="J4444" s="19" t="s">
        <v>12</v>
      </c>
      <c r="K4444" s="22">
        <f t="shared" si="2"/>
        <v>0</v>
      </c>
    </row>
    <row r="4445">
      <c r="A4445" s="18">
        <v>1054.0</v>
      </c>
      <c r="B4445" s="18" t="s">
        <v>30</v>
      </c>
      <c r="C4445" s="18" t="s">
        <v>34</v>
      </c>
      <c r="D4445" s="18" t="s">
        <v>35</v>
      </c>
      <c r="E4445" s="26">
        <v>42562.82083333333</v>
      </c>
      <c r="F4445" s="19">
        <f>IFERROR(__xludf.DUMMYFUNCTION("IFERROR(TO_DATE(E4445), """")"),42562.82083333333)</f>
        <v>42562.82083</v>
      </c>
      <c r="G4445" s="20">
        <f t="shared" si="1"/>
        <v>19</v>
      </c>
      <c r="H4445" s="18" t="s">
        <v>34</v>
      </c>
      <c r="I4445" s="19" t="str">
        <f>IFERROR(__xludf.DUMMYFUNCTION("IFERROR(TO_DATE(H4445), """")"),"NA")</f>
        <v>NA</v>
      </c>
      <c r="J4445" s="19" t="s">
        <v>12</v>
      </c>
      <c r="K4445" s="22">
        <f t="shared" si="2"/>
        <v>0</v>
      </c>
    </row>
    <row r="4446">
      <c r="A4446" s="18">
        <v>1061.0</v>
      </c>
      <c r="B4446" s="18" t="s">
        <v>30</v>
      </c>
      <c r="C4446" s="18" t="s">
        <v>34</v>
      </c>
      <c r="D4446" s="18" t="s">
        <v>35</v>
      </c>
      <c r="E4446" s="26">
        <v>42562.822222222225</v>
      </c>
      <c r="F4446" s="19">
        <f>IFERROR(__xludf.DUMMYFUNCTION("IFERROR(TO_DATE(E4446), """")"),42562.822222222225)</f>
        <v>42562.82222</v>
      </c>
      <c r="G4446" s="20">
        <f t="shared" si="1"/>
        <v>19</v>
      </c>
      <c r="H4446" s="18" t="s">
        <v>34</v>
      </c>
      <c r="I4446" s="19" t="str">
        <f>IFERROR(__xludf.DUMMYFUNCTION("IFERROR(TO_DATE(H4446), """")"),"NA")</f>
        <v>NA</v>
      </c>
      <c r="J4446" s="19" t="s">
        <v>12</v>
      </c>
      <c r="K4446" s="22">
        <f t="shared" si="2"/>
        <v>0</v>
      </c>
    </row>
    <row r="4447">
      <c r="A4447" s="18">
        <v>1053.0</v>
      </c>
      <c r="B4447" s="18" t="s">
        <v>30</v>
      </c>
      <c r="C4447" s="18" t="s">
        <v>34</v>
      </c>
      <c r="D4447" s="18" t="s">
        <v>35</v>
      </c>
      <c r="E4447" s="26">
        <v>42562.822916666664</v>
      </c>
      <c r="F4447" s="19">
        <f>IFERROR(__xludf.DUMMYFUNCTION("IFERROR(TO_DATE(E4447), """")"),42562.822916666664)</f>
        <v>42562.82292</v>
      </c>
      <c r="G4447" s="20">
        <f t="shared" si="1"/>
        <v>19</v>
      </c>
      <c r="H4447" s="18" t="s">
        <v>34</v>
      </c>
      <c r="I4447" s="19" t="str">
        <f>IFERROR(__xludf.DUMMYFUNCTION("IFERROR(TO_DATE(H4447), """")"),"NA")</f>
        <v>NA</v>
      </c>
      <c r="J4447" s="19" t="s">
        <v>12</v>
      </c>
      <c r="K4447" s="22">
        <f t="shared" si="2"/>
        <v>0</v>
      </c>
    </row>
    <row r="4448">
      <c r="A4448" s="18">
        <v>1055.0</v>
      </c>
      <c r="B4448" s="18" t="s">
        <v>32</v>
      </c>
      <c r="C4448" s="18" t="s">
        <v>34</v>
      </c>
      <c r="D4448" s="18" t="s">
        <v>35</v>
      </c>
      <c r="E4448" s="26">
        <v>42562.82361111111</v>
      </c>
      <c r="F4448" s="19">
        <f>IFERROR(__xludf.DUMMYFUNCTION("IFERROR(TO_DATE(E4448), """")"),42562.82361111111)</f>
        <v>42562.82361</v>
      </c>
      <c r="G4448" s="20">
        <f t="shared" si="1"/>
        <v>19</v>
      </c>
      <c r="H4448" s="18" t="s">
        <v>34</v>
      </c>
      <c r="I4448" s="19" t="str">
        <f>IFERROR(__xludf.DUMMYFUNCTION("IFERROR(TO_DATE(H4448), """")"),"NA")</f>
        <v>NA</v>
      </c>
      <c r="J4448" s="19" t="s">
        <v>12</v>
      </c>
      <c r="K4448" s="22">
        <f t="shared" si="2"/>
        <v>0</v>
      </c>
    </row>
    <row r="4449">
      <c r="A4449" s="18">
        <v>1058.0</v>
      </c>
      <c r="B4449" s="18" t="s">
        <v>30</v>
      </c>
      <c r="C4449" s="18" t="s">
        <v>34</v>
      </c>
      <c r="D4449" s="18" t="s">
        <v>35</v>
      </c>
      <c r="E4449" s="26">
        <v>42562.82430555556</v>
      </c>
      <c r="F4449" s="19">
        <f>IFERROR(__xludf.DUMMYFUNCTION("IFERROR(TO_DATE(E4449), """")"),42562.82430555556)</f>
        <v>42562.82431</v>
      </c>
      <c r="G4449" s="20">
        <f t="shared" si="1"/>
        <v>19</v>
      </c>
      <c r="H4449" s="18" t="s">
        <v>34</v>
      </c>
      <c r="I4449" s="19" t="str">
        <f>IFERROR(__xludf.DUMMYFUNCTION("IFERROR(TO_DATE(H4449), """")"),"NA")</f>
        <v>NA</v>
      </c>
      <c r="J4449" s="19" t="s">
        <v>12</v>
      </c>
      <c r="K4449" s="22">
        <f t="shared" si="2"/>
        <v>0</v>
      </c>
    </row>
    <row r="4450">
      <c r="A4450" s="18">
        <v>1063.0</v>
      </c>
      <c r="B4450" s="18" t="s">
        <v>30</v>
      </c>
      <c r="C4450" s="18" t="s">
        <v>34</v>
      </c>
      <c r="D4450" s="18" t="s">
        <v>35</v>
      </c>
      <c r="E4450" s="26">
        <v>42562.82708333333</v>
      </c>
      <c r="F4450" s="19">
        <f>IFERROR(__xludf.DUMMYFUNCTION("IFERROR(TO_DATE(E4450), """")"),42562.82708333333)</f>
        <v>42562.82708</v>
      </c>
      <c r="G4450" s="20">
        <f t="shared" si="1"/>
        <v>19</v>
      </c>
      <c r="H4450" s="18" t="s">
        <v>34</v>
      </c>
      <c r="I4450" s="19" t="str">
        <f>IFERROR(__xludf.DUMMYFUNCTION("IFERROR(TO_DATE(H4450), """")"),"NA")</f>
        <v>NA</v>
      </c>
      <c r="J4450" s="19" t="s">
        <v>12</v>
      </c>
      <c r="K4450" s="22">
        <f t="shared" si="2"/>
        <v>0</v>
      </c>
    </row>
    <row r="4451">
      <c r="A4451" s="18">
        <v>1062.0</v>
      </c>
      <c r="B4451" s="18" t="s">
        <v>30</v>
      </c>
      <c r="C4451" s="18" t="s">
        <v>34</v>
      </c>
      <c r="D4451" s="18" t="s">
        <v>35</v>
      </c>
      <c r="E4451" s="26">
        <v>42562.82847222222</v>
      </c>
      <c r="F4451" s="19">
        <f>IFERROR(__xludf.DUMMYFUNCTION("IFERROR(TO_DATE(E4451), """")"),42562.82847222222)</f>
        <v>42562.82847</v>
      </c>
      <c r="G4451" s="20">
        <f t="shared" si="1"/>
        <v>19</v>
      </c>
      <c r="H4451" s="18" t="s">
        <v>34</v>
      </c>
      <c r="I4451" s="19" t="str">
        <f>IFERROR(__xludf.DUMMYFUNCTION("IFERROR(TO_DATE(H4451), """")"),"NA")</f>
        <v>NA</v>
      </c>
      <c r="J4451" s="19" t="s">
        <v>12</v>
      </c>
      <c r="K4451" s="22">
        <f t="shared" si="2"/>
        <v>0</v>
      </c>
    </row>
    <row r="4452">
      <c r="A4452" s="18">
        <v>1067.0</v>
      </c>
      <c r="B4452" s="18" t="s">
        <v>30</v>
      </c>
      <c r="C4452" s="18" t="s">
        <v>34</v>
      </c>
      <c r="D4452" s="18" t="s">
        <v>35</v>
      </c>
      <c r="E4452" s="26">
        <v>42562.82847222222</v>
      </c>
      <c r="F4452" s="19">
        <f>IFERROR(__xludf.DUMMYFUNCTION("IFERROR(TO_DATE(E4452), """")"),42562.82847222222)</f>
        <v>42562.82847</v>
      </c>
      <c r="G4452" s="20">
        <f t="shared" si="1"/>
        <v>19</v>
      </c>
      <c r="H4452" s="18" t="s">
        <v>34</v>
      </c>
      <c r="I4452" s="19" t="str">
        <f>IFERROR(__xludf.DUMMYFUNCTION("IFERROR(TO_DATE(H4452), """")"),"NA")</f>
        <v>NA</v>
      </c>
      <c r="J4452" s="19" t="s">
        <v>12</v>
      </c>
      <c r="K4452" s="22">
        <f t="shared" si="2"/>
        <v>0</v>
      </c>
    </row>
    <row r="4453">
      <c r="A4453" s="18">
        <v>1072.0</v>
      </c>
      <c r="B4453" s="18" t="s">
        <v>30</v>
      </c>
      <c r="C4453" s="18" t="s">
        <v>34</v>
      </c>
      <c r="D4453" s="18" t="s">
        <v>35</v>
      </c>
      <c r="E4453" s="26">
        <v>42562.82916666667</v>
      </c>
      <c r="F4453" s="19">
        <f>IFERROR(__xludf.DUMMYFUNCTION("IFERROR(TO_DATE(E4453), """")"),42562.82916666667)</f>
        <v>42562.82917</v>
      </c>
      <c r="G4453" s="20">
        <f t="shared" si="1"/>
        <v>19</v>
      </c>
      <c r="H4453" s="18" t="s">
        <v>34</v>
      </c>
      <c r="I4453" s="19" t="str">
        <f>IFERROR(__xludf.DUMMYFUNCTION("IFERROR(TO_DATE(H4453), """")"),"NA")</f>
        <v>NA</v>
      </c>
      <c r="J4453" s="19" t="s">
        <v>12</v>
      </c>
      <c r="K4453" s="22">
        <f t="shared" si="2"/>
        <v>0</v>
      </c>
    </row>
    <row r="4454">
      <c r="A4454" s="18">
        <v>1069.0</v>
      </c>
      <c r="B4454" s="18" t="s">
        <v>30</v>
      </c>
      <c r="C4454" s="18" t="s">
        <v>34</v>
      </c>
      <c r="D4454" s="18" t="s">
        <v>35</v>
      </c>
      <c r="E4454" s="26">
        <v>42562.83125</v>
      </c>
      <c r="F4454" s="19">
        <f>IFERROR(__xludf.DUMMYFUNCTION("IFERROR(TO_DATE(E4454), """")"),42562.83125)</f>
        <v>42562.83125</v>
      </c>
      <c r="G4454" s="20">
        <f t="shared" si="1"/>
        <v>19</v>
      </c>
      <c r="H4454" s="18" t="s">
        <v>34</v>
      </c>
      <c r="I4454" s="19" t="str">
        <f>IFERROR(__xludf.DUMMYFUNCTION("IFERROR(TO_DATE(H4454), """")"),"NA")</f>
        <v>NA</v>
      </c>
      <c r="J4454" s="19" t="s">
        <v>12</v>
      </c>
      <c r="K4454" s="22">
        <f t="shared" si="2"/>
        <v>0</v>
      </c>
    </row>
    <row r="4455">
      <c r="A4455" s="18">
        <v>1073.0</v>
      </c>
      <c r="B4455" s="18" t="s">
        <v>30</v>
      </c>
      <c r="C4455" s="18" t="s">
        <v>34</v>
      </c>
      <c r="D4455" s="18" t="s">
        <v>35</v>
      </c>
      <c r="E4455" s="26">
        <v>42562.83194444444</v>
      </c>
      <c r="F4455" s="19">
        <f>IFERROR(__xludf.DUMMYFUNCTION("IFERROR(TO_DATE(E4455), """")"),42562.83194444444)</f>
        <v>42562.83194</v>
      </c>
      <c r="G4455" s="20">
        <f t="shared" si="1"/>
        <v>19</v>
      </c>
      <c r="H4455" s="18" t="s">
        <v>34</v>
      </c>
      <c r="I4455" s="19" t="str">
        <f>IFERROR(__xludf.DUMMYFUNCTION("IFERROR(TO_DATE(H4455), """")"),"NA")</f>
        <v>NA</v>
      </c>
      <c r="J4455" s="19" t="s">
        <v>12</v>
      </c>
      <c r="K4455" s="22">
        <f t="shared" si="2"/>
        <v>0</v>
      </c>
    </row>
    <row r="4456">
      <c r="A4456" s="18">
        <v>1074.0</v>
      </c>
      <c r="B4456" s="18" t="s">
        <v>30</v>
      </c>
      <c r="C4456" s="18" t="s">
        <v>34</v>
      </c>
      <c r="D4456" s="18" t="s">
        <v>35</v>
      </c>
      <c r="E4456" s="26">
        <v>42562.833333333336</v>
      </c>
      <c r="F4456" s="19">
        <f>IFERROR(__xludf.DUMMYFUNCTION("IFERROR(TO_DATE(E4456), """")"),42562.833333333336)</f>
        <v>42562.83333</v>
      </c>
      <c r="G4456" s="20">
        <f t="shared" si="1"/>
        <v>20</v>
      </c>
      <c r="H4456" s="18" t="s">
        <v>34</v>
      </c>
      <c r="I4456" s="19" t="str">
        <f>IFERROR(__xludf.DUMMYFUNCTION("IFERROR(TO_DATE(H4456), """")"),"NA")</f>
        <v>NA</v>
      </c>
      <c r="J4456" s="19" t="s">
        <v>13</v>
      </c>
      <c r="K4456" s="22">
        <f t="shared" si="2"/>
        <v>0</v>
      </c>
    </row>
    <row r="4457">
      <c r="A4457" s="18">
        <v>1079.0</v>
      </c>
      <c r="B4457" s="18" t="s">
        <v>30</v>
      </c>
      <c r="C4457" s="18" t="s">
        <v>34</v>
      </c>
      <c r="D4457" s="18" t="s">
        <v>35</v>
      </c>
      <c r="E4457" s="26">
        <v>42562.834027777775</v>
      </c>
      <c r="F4457" s="19">
        <f>IFERROR(__xludf.DUMMYFUNCTION("IFERROR(TO_DATE(E4457), """")"),42562.834027777775)</f>
        <v>42562.83403</v>
      </c>
      <c r="G4457" s="20">
        <f t="shared" si="1"/>
        <v>20</v>
      </c>
      <c r="H4457" s="18" t="s">
        <v>34</v>
      </c>
      <c r="I4457" s="19" t="str">
        <f>IFERROR(__xludf.DUMMYFUNCTION("IFERROR(TO_DATE(H4457), """")"),"NA")</f>
        <v>NA</v>
      </c>
      <c r="J4457" s="19" t="s">
        <v>13</v>
      </c>
      <c r="K4457" s="22">
        <f t="shared" si="2"/>
        <v>0</v>
      </c>
    </row>
    <row r="4458">
      <c r="A4458" s="18">
        <v>1075.0</v>
      </c>
      <c r="B4458" s="18" t="s">
        <v>32</v>
      </c>
      <c r="C4458" s="18" t="s">
        <v>34</v>
      </c>
      <c r="D4458" s="18" t="s">
        <v>35</v>
      </c>
      <c r="E4458" s="26">
        <v>42562.834027777775</v>
      </c>
      <c r="F4458" s="19">
        <f>IFERROR(__xludf.DUMMYFUNCTION("IFERROR(TO_DATE(E4458), """")"),42562.834027777775)</f>
        <v>42562.83403</v>
      </c>
      <c r="G4458" s="20">
        <f t="shared" si="1"/>
        <v>20</v>
      </c>
      <c r="H4458" s="18" t="s">
        <v>34</v>
      </c>
      <c r="I4458" s="19" t="str">
        <f>IFERROR(__xludf.DUMMYFUNCTION("IFERROR(TO_DATE(H4458), """")"),"NA")</f>
        <v>NA</v>
      </c>
      <c r="J4458" s="19" t="s">
        <v>13</v>
      </c>
      <c r="K4458" s="22">
        <f t="shared" si="2"/>
        <v>0</v>
      </c>
    </row>
    <row r="4459">
      <c r="A4459" s="18">
        <v>1078.0</v>
      </c>
      <c r="B4459" s="18" t="s">
        <v>30</v>
      </c>
      <c r="C4459" s="18" t="s">
        <v>34</v>
      </c>
      <c r="D4459" s="18" t="s">
        <v>35</v>
      </c>
      <c r="E4459" s="26">
        <v>42562.834027777775</v>
      </c>
      <c r="F4459" s="19">
        <f>IFERROR(__xludf.DUMMYFUNCTION("IFERROR(TO_DATE(E4459), """")"),42562.834027777775)</f>
        <v>42562.83403</v>
      </c>
      <c r="G4459" s="20">
        <f t="shared" si="1"/>
        <v>20</v>
      </c>
      <c r="H4459" s="18" t="s">
        <v>34</v>
      </c>
      <c r="I4459" s="19" t="str">
        <f>IFERROR(__xludf.DUMMYFUNCTION("IFERROR(TO_DATE(H4459), """")"),"NA")</f>
        <v>NA</v>
      </c>
      <c r="J4459" s="19" t="s">
        <v>13</v>
      </c>
      <c r="K4459" s="22">
        <f t="shared" si="2"/>
        <v>0</v>
      </c>
    </row>
    <row r="4460">
      <c r="A4460" s="18">
        <v>1076.0</v>
      </c>
      <c r="B4460" s="18" t="s">
        <v>30</v>
      </c>
      <c r="C4460" s="18" t="s">
        <v>34</v>
      </c>
      <c r="D4460" s="18" t="s">
        <v>35</v>
      </c>
      <c r="E4460" s="26">
        <v>42562.83472222222</v>
      </c>
      <c r="F4460" s="19">
        <f>IFERROR(__xludf.DUMMYFUNCTION("IFERROR(TO_DATE(E4460), """")"),42562.83472222222)</f>
        <v>42562.83472</v>
      </c>
      <c r="G4460" s="20">
        <f t="shared" si="1"/>
        <v>20</v>
      </c>
      <c r="H4460" s="18" t="s">
        <v>34</v>
      </c>
      <c r="I4460" s="19" t="str">
        <f>IFERROR(__xludf.DUMMYFUNCTION("IFERROR(TO_DATE(H4460), """")"),"NA")</f>
        <v>NA</v>
      </c>
      <c r="J4460" s="19" t="s">
        <v>13</v>
      </c>
      <c r="K4460" s="22">
        <f t="shared" si="2"/>
        <v>0</v>
      </c>
    </row>
    <row r="4461">
      <c r="A4461" s="18">
        <v>1090.0</v>
      </c>
      <c r="B4461" s="18" t="s">
        <v>30</v>
      </c>
      <c r="C4461" s="18" t="s">
        <v>34</v>
      </c>
      <c r="D4461" s="18" t="s">
        <v>35</v>
      </c>
      <c r="E4461" s="26">
        <v>42562.83541666667</v>
      </c>
      <c r="F4461" s="19">
        <f>IFERROR(__xludf.DUMMYFUNCTION("IFERROR(TO_DATE(E4461), """")"),42562.83541666667)</f>
        <v>42562.83542</v>
      </c>
      <c r="G4461" s="20">
        <f t="shared" si="1"/>
        <v>20</v>
      </c>
      <c r="H4461" s="18" t="s">
        <v>34</v>
      </c>
      <c r="I4461" s="19" t="str">
        <f>IFERROR(__xludf.DUMMYFUNCTION("IFERROR(TO_DATE(H4461), """")"),"NA")</f>
        <v>NA</v>
      </c>
      <c r="J4461" s="19" t="s">
        <v>13</v>
      </c>
      <c r="K4461" s="22">
        <f t="shared" si="2"/>
        <v>0</v>
      </c>
    </row>
    <row r="4462">
      <c r="A4462" s="18">
        <v>1083.0</v>
      </c>
      <c r="B4462" s="18" t="s">
        <v>30</v>
      </c>
      <c r="C4462" s="18" t="s">
        <v>34</v>
      </c>
      <c r="D4462" s="18" t="s">
        <v>35</v>
      </c>
      <c r="E4462" s="26">
        <v>42562.83611111111</v>
      </c>
      <c r="F4462" s="19">
        <f>IFERROR(__xludf.DUMMYFUNCTION("IFERROR(TO_DATE(E4462), """")"),42562.83611111111)</f>
        <v>42562.83611</v>
      </c>
      <c r="G4462" s="20">
        <f t="shared" si="1"/>
        <v>20</v>
      </c>
      <c r="H4462" s="18" t="s">
        <v>34</v>
      </c>
      <c r="I4462" s="19" t="str">
        <f>IFERROR(__xludf.DUMMYFUNCTION("IFERROR(TO_DATE(H4462), """")"),"NA")</f>
        <v>NA</v>
      </c>
      <c r="J4462" s="19" t="s">
        <v>13</v>
      </c>
      <c r="K4462" s="22">
        <f t="shared" si="2"/>
        <v>0</v>
      </c>
    </row>
    <row r="4463">
      <c r="A4463" s="18">
        <v>1089.0</v>
      </c>
      <c r="B4463" s="18" t="s">
        <v>30</v>
      </c>
      <c r="C4463" s="18" t="s">
        <v>34</v>
      </c>
      <c r="D4463" s="18" t="s">
        <v>35</v>
      </c>
      <c r="E4463" s="26">
        <v>42562.836805555555</v>
      </c>
      <c r="F4463" s="19">
        <f>IFERROR(__xludf.DUMMYFUNCTION("IFERROR(TO_DATE(E4463), """")"),42562.836805555555)</f>
        <v>42562.83681</v>
      </c>
      <c r="G4463" s="20">
        <f t="shared" si="1"/>
        <v>20</v>
      </c>
      <c r="H4463" s="18" t="s">
        <v>34</v>
      </c>
      <c r="I4463" s="19" t="str">
        <f>IFERROR(__xludf.DUMMYFUNCTION("IFERROR(TO_DATE(H4463), """")"),"NA")</f>
        <v>NA</v>
      </c>
      <c r="J4463" s="19" t="s">
        <v>13</v>
      </c>
      <c r="K4463" s="22">
        <f t="shared" si="2"/>
        <v>0</v>
      </c>
    </row>
    <row r="4464">
      <c r="A4464" s="18">
        <v>1091.0</v>
      </c>
      <c r="B4464" s="18" t="s">
        <v>30</v>
      </c>
      <c r="C4464" s="18" t="s">
        <v>34</v>
      </c>
      <c r="D4464" s="18" t="s">
        <v>35</v>
      </c>
      <c r="E4464" s="26">
        <v>42562.836805555555</v>
      </c>
      <c r="F4464" s="19">
        <f>IFERROR(__xludf.DUMMYFUNCTION("IFERROR(TO_DATE(E4464), """")"),42562.836805555555)</f>
        <v>42562.83681</v>
      </c>
      <c r="G4464" s="20">
        <f t="shared" si="1"/>
        <v>20</v>
      </c>
      <c r="H4464" s="18" t="s">
        <v>34</v>
      </c>
      <c r="I4464" s="19" t="str">
        <f>IFERROR(__xludf.DUMMYFUNCTION("IFERROR(TO_DATE(H4464), """")"),"NA")</f>
        <v>NA</v>
      </c>
      <c r="J4464" s="19" t="s">
        <v>13</v>
      </c>
      <c r="K4464" s="22">
        <f t="shared" si="2"/>
        <v>0</v>
      </c>
    </row>
    <row r="4465">
      <c r="A4465" s="18">
        <v>1088.0</v>
      </c>
      <c r="B4465" s="18" t="s">
        <v>30</v>
      </c>
      <c r="C4465" s="18" t="s">
        <v>34</v>
      </c>
      <c r="D4465" s="18" t="s">
        <v>35</v>
      </c>
      <c r="E4465" s="26">
        <v>42562.8375</v>
      </c>
      <c r="F4465" s="19">
        <f>IFERROR(__xludf.DUMMYFUNCTION("IFERROR(TO_DATE(E4465), """")"),42562.8375)</f>
        <v>42562.8375</v>
      </c>
      <c r="G4465" s="20">
        <f t="shared" si="1"/>
        <v>20</v>
      </c>
      <c r="H4465" s="18" t="s">
        <v>34</v>
      </c>
      <c r="I4465" s="19" t="str">
        <f>IFERROR(__xludf.DUMMYFUNCTION("IFERROR(TO_DATE(H4465), """")"),"NA")</f>
        <v>NA</v>
      </c>
      <c r="J4465" s="19" t="s">
        <v>13</v>
      </c>
      <c r="K4465" s="22">
        <f t="shared" si="2"/>
        <v>0</v>
      </c>
    </row>
    <row r="4466">
      <c r="A4466" s="18">
        <v>1093.0</v>
      </c>
      <c r="B4466" s="18" t="s">
        <v>30</v>
      </c>
      <c r="C4466" s="18" t="s">
        <v>34</v>
      </c>
      <c r="D4466" s="18" t="s">
        <v>35</v>
      </c>
      <c r="E4466" s="26">
        <v>42562.8375</v>
      </c>
      <c r="F4466" s="19">
        <f>IFERROR(__xludf.DUMMYFUNCTION("IFERROR(TO_DATE(E4466), """")"),42562.8375)</f>
        <v>42562.8375</v>
      </c>
      <c r="G4466" s="20">
        <f t="shared" si="1"/>
        <v>20</v>
      </c>
      <c r="H4466" s="18" t="s">
        <v>34</v>
      </c>
      <c r="I4466" s="19" t="str">
        <f>IFERROR(__xludf.DUMMYFUNCTION("IFERROR(TO_DATE(H4466), """")"),"NA")</f>
        <v>NA</v>
      </c>
      <c r="J4466" s="19" t="s">
        <v>13</v>
      </c>
      <c r="K4466" s="22">
        <f t="shared" si="2"/>
        <v>0</v>
      </c>
    </row>
    <row r="4467">
      <c r="A4467" s="18">
        <v>1082.0</v>
      </c>
      <c r="B4467" s="18" t="s">
        <v>30</v>
      </c>
      <c r="C4467" s="18" t="s">
        <v>34</v>
      </c>
      <c r="D4467" s="18" t="s">
        <v>35</v>
      </c>
      <c r="E4467" s="26">
        <v>42562.8375</v>
      </c>
      <c r="F4467" s="19">
        <f>IFERROR(__xludf.DUMMYFUNCTION("IFERROR(TO_DATE(E4467), """")"),42562.8375)</f>
        <v>42562.8375</v>
      </c>
      <c r="G4467" s="20">
        <f t="shared" si="1"/>
        <v>20</v>
      </c>
      <c r="H4467" s="18" t="s">
        <v>34</v>
      </c>
      <c r="I4467" s="19" t="str">
        <f>IFERROR(__xludf.DUMMYFUNCTION("IFERROR(TO_DATE(H4467), """")"),"NA")</f>
        <v>NA</v>
      </c>
      <c r="J4467" s="19" t="s">
        <v>13</v>
      </c>
      <c r="K4467" s="22">
        <f t="shared" si="2"/>
        <v>0</v>
      </c>
    </row>
    <row r="4468">
      <c r="A4468" s="18">
        <v>1081.0</v>
      </c>
      <c r="B4468" s="18" t="s">
        <v>30</v>
      </c>
      <c r="C4468" s="18" t="s">
        <v>34</v>
      </c>
      <c r="D4468" s="18" t="s">
        <v>35</v>
      </c>
      <c r="E4468" s="26">
        <v>42562.83819444444</v>
      </c>
      <c r="F4468" s="19">
        <f>IFERROR(__xludf.DUMMYFUNCTION("IFERROR(TO_DATE(E4468), """")"),42562.83819444444)</f>
        <v>42562.83819</v>
      </c>
      <c r="G4468" s="20">
        <f t="shared" si="1"/>
        <v>20</v>
      </c>
      <c r="H4468" s="18" t="s">
        <v>34</v>
      </c>
      <c r="I4468" s="19" t="str">
        <f>IFERROR(__xludf.DUMMYFUNCTION("IFERROR(TO_DATE(H4468), """")"),"NA")</f>
        <v>NA</v>
      </c>
      <c r="J4468" s="19" t="s">
        <v>13</v>
      </c>
      <c r="K4468" s="22">
        <f t="shared" si="2"/>
        <v>0</v>
      </c>
    </row>
    <row r="4469">
      <c r="A4469" s="18">
        <v>1102.0</v>
      </c>
      <c r="B4469" s="18" t="s">
        <v>30</v>
      </c>
      <c r="C4469" s="18" t="s">
        <v>34</v>
      </c>
      <c r="D4469" s="18" t="s">
        <v>35</v>
      </c>
      <c r="E4469" s="26">
        <v>42562.83888888889</v>
      </c>
      <c r="F4469" s="19">
        <f>IFERROR(__xludf.DUMMYFUNCTION("IFERROR(TO_DATE(E4469), """")"),42562.83888888889)</f>
        <v>42562.83889</v>
      </c>
      <c r="G4469" s="20">
        <f t="shared" si="1"/>
        <v>20</v>
      </c>
      <c r="H4469" s="18" t="s">
        <v>34</v>
      </c>
      <c r="I4469" s="19" t="str">
        <f>IFERROR(__xludf.DUMMYFUNCTION("IFERROR(TO_DATE(H4469), """")"),"NA")</f>
        <v>NA</v>
      </c>
      <c r="J4469" s="19" t="s">
        <v>13</v>
      </c>
      <c r="K4469" s="22">
        <f t="shared" si="2"/>
        <v>0</v>
      </c>
    </row>
    <row r="4470">
      <c r="A4470" s="18">
        <v>1087.0</v>
      </c>
      <c r="B4470" s="18" t="s">
        <v>30</v>
      </c>
      <c r="C4470" s="18" t="s">
        <v>34</v>
      </c>
      <c r="D4470" s="18" t="s">
        <v>35</v>
      </c>
      <c r="E4470" s="26">
        <v>42562.839583333334</v>
      </c>
      <c r="F4470" s="19">
        <f>IFERROR(__xludf.DUMMYFUNCTION("IFERROR(TO_DATE(E4470), """")"),42562.839583333334)</f>
        <v>42562.83958</v>
      </c>
      <c r="G4470" s="20">
        <f t="shared" si="1"/>
        <v>20</v>
      </c>
      <c r="H4470" s="18" t="s">
        <v>34</v>
      </c>
      <c r="I4470" s="19" t="str">
        <f>IFERROR(__xludf.DUMMYFUNCTION("IFERROR(TO_DATE(H4470), """")"),"NA")</f>
        <v>NA</v>
      </c>
      <c r="J4470" s="19" t="s">
        <v>13</v>
      </c>
      <c r="K4470" s="22">
        <f t="shared" si="2"/>
        <v>0</v>
      </c>
    </row>
    <row r="4471">
      <c r="A4471" s="18">
        <v>1106.0</v>
      </c>
      <c r="B4471" s="18" t="s">
        <v>30</v>
      </c>
      <c r="C4471" s="18" t="s">
        <v>34</v>
      </c>
      <c r="D4471" s="18" t="s">
        <v>35</v>
      </c>
      <c r="E4471" s="26">
        <v>42562.84097222222</v>
      </c>
      <c r="F4471" s="19">
        <f>IFERROR(__xludf.DUMMYFUNCTION("IFERROR(TO_DATE(E4471), """")"),42562.84097222222)</f>
        <v>42562.84097</v>
      </c>
      <c r="G4471" s="20">
        <f t="shared" si="1"/>
        <v>20</v>
      </c>
      <c r="H4471" s="18" t="s">
        <v>34</v>
      </c>
      <c r="I4471" s="19" t="str">
        <f>IFERROR(__xludf.DUMMYFUNCTION("IFERROR(TO_DATE(H4471), """")"),"NA")</f>
        <v>NA</v>
      </c>
      <c r="J4471" s="19" t="s">
        <v>13</v>
      </c>
      <c r="K4471" s="22">
        <f t="shared" si="2"/>
        <v>0</v>
      </c>
    </row>
    <row r="4472">
      <c r="A4472" s="18">
        <v>1096.0</v>
      </c>
      <c r="B4472" s="18" t="s">
        <v>30</v>
      </c>
      <c r="C4472" s="18" t="s">
        <v>34</v>
      </c>
      <c r="D4472" s="18" t="s">
        <v>35</v>
      </c>
      <c r="E4472" s="26">
        <v>42562.84097222222</v>
      </c>
      <c r="F4472" s="19">
        <f>IFERROR(__xludf.DUMMYFUNCTION("IFERROR(TO_DATE(E4472), """")"),42562.84097222222)</f>
        <v>42562.84097</v>
      </c>
      <c r="G4472" s="20">
        <f t="shared" si="1"/>
        <v>20</v>
      </c>
      <c r="H4472" s="18" t="s">
        <v>34</v>
      </c>
      <c r="I4472" s="19" t="str">
        <f>IFERROR(__xludf.DUMMYFUNCTION("IFERROR(TO_DATE(H4472), """")"),"NA")</f>
        <v>NA</v>
      </c>
      <c r="J4472" s="19" t="s">
        <v>13</v>
      </c>
      <c r="K4472" s="22">
        <f t="shared" si="2"/>
        <v>0</v>
      </c>
    </row>
    <row r="4473">
      <c r="A4473" s="18">
        <v>1095.0</v>
      </c>
      <c r="B4473" s="18" t="s">
        <v>30</v>
      </c>
      <c r="C4473" s="18" t="s">
        <v>34</v>
      </c>
      <c r="D4473" s="18" t="s">
        <v>35</v>
      </c>
      <c r="E4473" s="26">
        <v>42562.84166666667</v>
      </c>
      <c r="F4473" s="19">
        <f>IFERROR(__xludf.DUMMYFUNCTION("IFERROR(TO_DATE(E4473), """")"),42562.84166666667)</f>
        <v>42562.84167</v>
      </c>
      <c r="G4473" s="20">
        <f t="shared" si="1"/>
        <v>20</v>
      </c>
      <c r="H4473" s="18" t="s">
        <v>34</v>
      </c>
      <c r="I4473" s="19" t="str">
        <f>IFERROR(__xludf.DUMMYFUNCTION("IFERROR(TO_DATE(H4473), """")"),"NA")</f>
        <v>NA</v>
      </c>
      <c r="J4473" s="19" t="s">
        <v>13</v>
      </c>
      <c r="K4473" s="22">
        <f t="shared" si="2"/>
        <v>0</v>
      </c>
    </row>
    <row r="4474">
      <c r="A4474" s="18">
        <v>1103.0</v>
      </c>
      <c r="B4474" s="18" t="s">
        <v>30</v>
      </c>
      <c r="C4474" s="18" t="s">
        <v>34</v>
      </c>
      <c r="D4474" s="18" t="s">
        <v>35</v>
      </c>
      <c r="E4474" s="26">
        <v>42562.84166666667</v>
      </c>
      <c r="F4474" s="19">
        <f>IFERROR(__xludf.DUMMYFUNCTION("IFERROR(TO_DATE(E4474), """")"),42562.84166666667)</f>
        <v>42562.84167</v>
      </c>
      <c r="G4474" s="20">
        <f t="shared" si="1"/>
        <v>20</v>
      </c>
      <c r="H4474" s="18" t="s">
        <v>34</v>
      </c>
      <c r="I4474" s="19" t="str">
        <f>IFERROR(__xludf.DUMMYFUNCTION("IFERROR(TO_DATE(H4474), """")"),"NA")</f>
        <v>NA</v>
      </c>
      <c r="J4474" s="19" t="s">
        <v>13</v>
      </c>
      <c r="K4474" s="22">
        <f t="shared" si="2"/>
        <v>0</v>
      </c>
    </row>
    <row r="4475">
      <c r="A4475" s="18">
        <v>1092.0</v>
      </c>
      <c r="B4475" s="18" t="s">
        <v>30</v>
      </c>
      <c r="C4475" s="18" t="s">
        <v>34</v>
      </c>
      <c r="D4475" s="18" t="s">
        <v>35</v>
      </c>
      <c r="E4475" s="26">
        <v>42562.84305555555</v>
      </c>
      <c r="F4475" s="19">
        <f>IFERROR(__xludf.DUMMYFUNCTION("IFERROR(TO_DATE(E4475), """")"),42562.84305555555)</f>
        <v>42562.84306</v>
      </c>
      <c r="G4475" s="20">
        <f t="shared" si="1"/>
        <v>20</v>
      </c>
      <c r="H4475" s="18" t="s">
        <v>34</v>
      </c>
      <c r="I4475" s="19" t="str">
        <f>IFERROR(__xludf.DUMMYFUNCTION("IFERROR(TO_DATE(H4475), """")"),"NA")</f>
        <v>NA</v>
      </c>
      <c r="J4475" s="19" t="s">
        <v>13</v>
      </c>
      <c r="K4475" s="22">
        <f t="shared" si="2"/>
        <v>0</v>
      </c>
    </row>
    <row r="4476">
      <c r="A4476" s="18">
        <v>1099.0</v>
      </c>
      <c r="B4476" s="18" t="s">
        <v>30</v>
      </c>
      <c r="C4476" s="18" t="s">
        <v>34</v>
      </c>
      <c r="D4476" s="18" t="s">
        <v>35</v>
      </c>
      <c r="E4476" s="26">
        <v>42562.84375</v>
      </c>
      <c r="F4476" s="19">
        <f>IFERROR(__xludf.DUMMYFUNCTION("IFERROR(TO_DATE(E4476), """")"),42562.84375)</f>
        <v>42562.84375</v>
      </c>
      <c r="G4476" s="20">
        <f t="shared" si="1"/>
        <v>20</v>
      </c>
      <c r="H4476" s="18" t="s">
        <v>34</v>
      </c>
      <c r="I4476" s="19" t="str">
        <f>IFERROR(__xludf.DUMMYFUNCTION("IFERROR(TO_DATE(H4476), """")"),"NA")</f>
        <v>NA</v>
      </c>
      <c r="J4476" s="19" t="s">
        <v>13</v>
      </c>
      <c r="K4476" s="22">
        <f t="shared" si="2"/>
        <v>0</v>
      </c>
    </row>
    <row r="4477">
      <c r="A4477" s="18">
        <v>1105.0</v>
      </c>
      <c r="B4477" s="18" t="s">
        <v>30</v>
      </c>
      <c r="C4477" s="18" t="s">
        <v>34</v>
      </c>
      <c r="D4477" s="18" t="s">
        <v>35</v>
      </c>
      <c r="E4477" s="26">
        <v>42562.84583333333</v>
      </c>
      <c r="F4477" s="19">
        <f>IFERROR(__xludf.DUMMYFUNCTION("IFERROR(TO_DATE(E4477), """")"),42562.84583333333)</f>
        <v>42562.84583</v>
      </c>
      <c r="G4477" s="20">
        <f t="shared" si="1"/>
        <v>20</v>
      </c>
      <c r="H4477" s="18" t="s">
        <v>34</v>
      </c>
      <c r="I4477" s="19" t="str">
        <f>IFERROR(__xludf.DUMMYFUNCTION("IFERROR(TO_DATE(H4477), """")"),"NA")</f>
        <v>NA</v>
      </c>
      <c r="J4477" s="19" t="s">
        <v>13</v>
      </c>
      <c r="K4477" s="22">
        <f t="shared" si="2"/>
        <v>0</v>
      </c>
    </row>
    <row r="4478">
      <c r="A4478" s="18">
        <v>1111.0</v>
      </c>
      <c r="B4478" s="18" t="s">
        <v>30</v>
      </c>
      <c r="C4478" s="18" t="s">
        <v>34</v>
      </c>
      <c r="D4478" s="18" t="s">
        <v>35</v>
      </c>
      <c r="E4478" s="26">
        <v>42562.84861111111</v>
      </c>
      <c r="F4478" s="19">
        <f>IFERROR(__xludf.DUMMYFUNCTION("IFERROR(TO_DATE(E4478), """")"),42562.84861111111)</f>
        <v>42562.84861</v>
      </c>
      <c r="G4478" s="20">
        <f t="shared" si="1"/>
        <v>20</v>
      </c>
      <c r="H4478" s="18" t="s">
        <v>34</v>
      </c>
      <c r="I4478" s="19" t="str">
        <f>IFERROR(__xludf.DUMMYFUNCTION("IFERROR(TO_DATE(H4478), """")"),"NA")</f>
        <v>NA</v>
      </c>
      <c r="J4478" s="19" t="s">
        <v>13</v>
      </c>
      <c r="K4478" s="22">
        <f t="shared" si="2"/>
        <v>0</v>
      </c>
    </row>
    <row r="4479">
      <c r="A4479" s="18">
        <v>1121.0</v>
      </c>
      <c r="B4479" s="18" t="s">
        <v>30</v>
      </c>
      <c r="C4479" s="18" t="s">
        <v>34</v>
      </c>
      <c r="D4479" s="18" t="s">
        <v>35</v>
      </c>
      <c r="E4479" s="26">
        <v>42562.84930555556</v>
      </c>
      <c r="F4479" s="19">
        <f>IFERROR(__xludf.DUMMYFUNCTION("IFERROR(TO_DATE(E4479), """")"),42562.84930555556)</f>
        <v>42562.84931</v>
      </c>
      <c r="G4479" s="20">
        <f t="shared" si="1"/>
        <v>20</v>
      </c>
      <c r="H4479" s="18" t="s">
        <v>34</v>
      </c>
      <c r="I4479" s="19" t="str">
        <f>IFERROR(__xludf.DUMMYFUNCTION("IFERROR(TO_DATE(H4479), """")"),"NA")</f>
        <v>NA</v>
      </c>
      <c r="J4479" s="19" t="s">
        <v>13</v>
      </c>
      <c r="K4479" s="22">
        <f t="shared" si="2"/>
        <v>0</v>
      </c>
    </row>
    <row r="4480">
      <c r="A4480" s="18">
        <v>1124.0</v>
      </c>
      <c r="B4480" s="18" t="s">
        <v>30</v>
      </c>
      <c r="C4480" s="18" t="s">
        <v>34</v>
      </c>
      <c r="D4480" s="18" t="s">
        <v>35</v>
      </c>
      <c r="E4480" s="26">
        <v>42562.84930555556</v>
      </c>
      <c r="F4480" s="19">
        <f>IFERROR(__xludf.DUMMYFUNCTION("IFERROR(TO_DATE(E4480), """")"),42562.84930555556)</f>
        <v>42562.84931</v>
      </c>
      <c r="G4480" s="20">
        <f t="shared" si="1"/>
        <v>20</v>
      </c>
      <c r="H4480" s="18" t="s">
        <v>34</v>
      </c>
      <c r="I4480" s="19" t="str">
        <f>IFERROR(__xludf.DUMMYFUNCTION("IFERROR(TO_DATE(H4480), """")"),"NA")</f>
        <v>NA</v>
      </c>
      <c r="J4480" s="19" t="s">
        <v>13</v>
      </c>
      <c r="K4480" s="22">
        <f t="shared" si="2"/>
        <v>0</v>
      </c>
    </row>
    <row r="4481">
      <c r="A4481" s="18">
        <v>1118.0</v>
      </c>
      <c r="B4481" s="18" t="s">
        <v>30</v>
      </c>
      <c r="C4481" s="18" t="s">
        <v>34</v>
      </c>
      <c r="D4481" s="18" t="s">
        <v>35</v>
      </c>
      <c r="E4481" s="26">
        <v>42562.84930555556</v>
      </c>
      <c r="F4481" s="19">
        <f>IFERROR(__xludf.DUMMYFUNCTION("IFERROR(TO_DATE(E4481), """")"),42562.84930555556)</f>
        <v>42562.84931</v>
      </c>
      <c r="G4481" s="20">
        <f t="shared" si="1"/>
        <v>20</v>
      </c>
      <c r="H4481" s="18" t="s">
        <v>34</v>
      </c>
      <c r="I4481" s="19" t="str">
        <f>IFERROR(__xludf.DUMMYFUNCTION("IFERROR(TO_DATE(H4481), """")"),"NA")</f>
        <v>NA</v>
      </c>
      <c r="J4481" s="19" t="s">
        <v>13</v>
      </c>
      <c r="K4481" s="22">
        <f t="shared" si="2"/>
        <v>0</v>
      </c>
    </row>
    <row r="4482">
      <c r="A4482" s="18">
        <v>1132.0</v>
      </c>
      <c r="B4482" s="18" t="s">
        <v>32</v>
      </c>
      <c r="C4482" s="18" t="s">
        <v>34</v>
      </c>
      <c r="D4482" s="18" t="s">
        <v>35</v>
      </c>
      <c r="E4482" s="26">
        <v>42562.85138888889</v>
      </c>
      <c r="F4482" s="19">
        <f>IFERROR(__xludf.DUMMYFUNCTION("IFERROR(TO_DATE(E4482), """")"),42562.85138888889)</f>
        <v>42562.85139</v>
      </c>
      <c r="G4482" s="20">
        <f t="shared" si="1"/>
        <v>20</v>
      </c>
      <c r="H4482" s="18" t="s">
        <v>34</v>
      </c>
      <c r="I4482" s="19" t="str">
        <f>IFERROR(__xludf.DUMMYFUNCTION("IFERROR(TO_DATE(H4482), """")"),"NA")</f>
        <v>NA</v>
      </c>
      <c r="J4482" s="19" t="s">
        <v>13</v>
      </c>
      <c r="K4482" s="22">
        <f t="shared" si="2"/>
        <v>0</v>
      </c>
    </row>
    <row r="4483">
      <c r="A4483" s="18">
        <v>1126.0</v>
      </c>
      <c r="B4483" s="18" t="s">
        <v>30</v>
      </c>
      <c r="C4483" s="18" t="s">
        <v>34</v>
      </c>
      <c r="D4483" s="18" t="s">
        <v>35</v>
      </c>
      <c r="E4483" s="26">
        <v>42562.85277777778</v>
      </c>
      <c r="F4483" s="19">
        <f>IFERROR(__xludf.DUMMYFUNCTION("IFERROR(TO_DATE(E4483), """")"),42562.85277777778)</f>
        <v>42562.85278</v>
      </c>
      <c r="G4483" s="20">
        <f t="shared" si="1"/>
        <v>20</v>
      </c>
      <c r="H4483" s="18" t="s">
        <v>34</v>
      </c>
      <c r="I4483" s="19" t="str">
        <f>IFERROR(__xludf.DUMMYFUNCTION("IFERROR(TO_DATE(H4483), """")"),"NA")</f>
        <v>NA</v>
      </c>
      <c r="J4483" s="19" t="s">
        <v>13</v>
      </c>
      <c r="K4483" s="22">
        <f t="shared" si="2"/>
        <v>0</v>
      </c>
    </row>
    <row r="4484">
      <c r="A4484" s="18">
        <v>1120.0</v>
      </c>
      <c r="B4484" s="18" t="s">
        <v>30</v>
      </c>
      <c r="C4484" s="18" t="s">
        <v>34</v>
      </c>
      <c r="D4484" s="18" t="s">
        <v>35</v>
      </c>
      <c r="E4484" s="26">
        <v>42562.853472222225</v>
      </c>
      <c r="F4484" s="19">
        <f>IFERROR(__xludf.DUMMYFUNCTION("IFERROR(TO_DATE(E4484), """")"),42562.853472222225)</f>
        <v>42562.85347</v>
      </c>
      <c r="G4484" s="20">
        <f t="shared" si="1"/>
        <v>20</v>
      </c>
      <c r="H4484" s="18" t="s">
        <v>34</v>
      </c>
      <c r="I4484" s="19" t="str">
        <f>IFERROR(__xludf.DUMMYFUNCTION("IFERROR(TO_DATE(H4484), """")"),"NA")</f>
        <v>NA</v>
      </c>
      <c r="J4484" s="19" t="s">
        <v>13</v>
      </c>
      <c r="K4484" s="22">
        <f t="shared" si="2"/>
        <v>0</v>
      </c>
    </row>
    <row r="4485">
      <c r="A4485" s="18">
        <v>1122.0</v>
      </c>
      <c r="B4485" s="18" t="s">
        <v>30</v>
      </c>
      <c r="C4485" s="18" t="s">
        <v>34</v>
      </c>
      <c r="D4485" s="18" t="s">
        <v>35</v>
      </c>
      <c r="E4485" s="26">
        <v>42562.853472222225</v>
      </c>
      <c r="F4485" s="19">
        <f>IFERROR(__xludf.DUMMYFUNCTION("IFERROR(TO_DATE(E4485), """")"),42562.853472222225)</f>
        <v>42562.85347</v>
      </c>
      <c r="G4485" s="20">
        <f t="shared" si="1"/>
        <v>20</v>
      </c>
      <c r="H4485" s="18" t="s">
        <v>34</v>
      </c>
      <c r="I4485" s="19" t="str">
        <f>IFERROR(__xludf.DUMMYFUNCTION("IFERROR(TO_DATE(H4485), """")"),"NA")</f>
        <v>NA</v>
      </c>
      <c r="J4485" s="19" t="s">
        <v>13</v>
      </c>
      <c r="K4485" s="22">
        <f t="shared" si="2"/>
        <v>0</v>
      </c>
    </row>
    <row r="4486">
      <c r="A4486" s="18">
        <v>1125.0</v>
      </c>
      <c r="B4486" s="18" t="s">
        <v>32</v>
      </c>
      <c r="C4486" s="18" t="s">
        <v>34</v>
      </c>
      <c r="D4486" s="18" t="s">
        <v>35</v>
      </c>
      <c r="E4486" s="26">
        <v>42562.853472222225</v>
      </c>
      <c r="F4486" s="19">
        <f>IFERROR(__xludf.DUMMYFUNCTION("IFERROR(TO_DATE(E4486), """")"),42562.853472222225)</f>
        <v>42562.85347</v>
      </c>
      <c r="G4486" s="20">
        <f t="shared" si="1"/>
        <v>20</v>
      </c>
      <c r="H4486" s="18" t="s">
        <v>34</v>
      </c>
      <c r="I4486" s="19" t="str">
        <f>IFERROR(__xludf.DUMMYFUNCTION("IFERROR(TO_DATE(H4486), """")"),"NA")</f>
        <v>NA</v>
      </c>
      <c r="J4486" s="19" t="s">
        <v>13</v>
      </c>
      <c r="K4486" s="22">
        <f t="shared" si="2"/>
        <v>0</v>
      </c>
    </row>
    <row r="4487">
      <c r="A4487" s="18">
        <v>1127.0</v>
      </c>
      <c r="B4487" s="18" t="s">
        <v>30</v>
      </c>
      <c r="C4487" s="18" t="s">
        <v>34</v>
      </c>
      <c r="D4487" s="18" t="s">
        <v>35</v>
      </c>
      <c r="E4487" s="26">
        <v>42562.854166666664</v>
      </c>
      <c r="F4487" s="19">
        <f>IFERROR(__xludf.DUMMYFUNCTION("IFERROR(TO_DATE(E4487), """")"),42562.854166666664)</f>
        <v>42562.85417</v>
      </c>
      <c r="G4487" s="20">
        <f t="shared" si="1"/>
        <v>20</v>
      </c>
      <c r="H4487" s="18" t="s">
        <v>34</v>
      </c>
      <c r="I4487" s="19" t="str">
        <f>IFERROR(__xludf.DUMMYFUNCTION("IFERROR(TO_DATE(H4487), """")"),"NA")</f>
        <v>NA</v>
      </c>
      <c r="J4487" s="19" t="s">
        <v>13</v>
      </c>
      <c r="K4487" s="22">
        <f t="shared" si="2"/>
        <v>0</v>
      </c>
    </row>
    <row r="4488">
      <c r="A4488" s="18">
        <v>1128.0</v>
      </c>
      <c r="B4488" s="18" t="s">
        <v>30</v>
      </c>
      <c r="C4488" s="18" t="s">
        <v>34</v>
      </c>
      <c r="D4488" s="18" t="s">
        <v>35</v>
      </c>
      <c r="E4488" s="26">
        <v>42562.854166666664</v>
      </c>
      <c r="F4488" s="19">
        <f>IFERROR(__xludf.DUMMYFUNCTION("IFERROR(TO_DATE(E4488), """")"),42562.854166666664)</f>
        <v>42562.85417</v>
      </c>
      <c r="G4488" s="20">
        <f t="shared" si="1"/>
        <v>20</v>
      </c>
      <c r="H4488" s="18" t="s">
        <v>34</v>
      </c>
      <c r="I4488" s="19" t="str">
        <f>IFERROR(__xludf.DUMMYFUNCTION("IFERROR(TO_DATE(H4488), """")"),"NA")</f>
        <v>NA</v>
      </c>
      <c r="J4488" s="19" t="s">
        <v>13</v>
      </c>
      <c r="K4488" s="22">
        <f t="shared" si="2"/>
        <v>0</v>
      </c>
    </row>
    <row r="4489">
      <c r="A4489" s="18">
        <v>1140.0</v>
      </c>
      <c r="B4489" s="18" t="s">
        <v>30</v>
      </c>
      <c r="C4489" s="18" t="s">
        <v>34</v>
      </c>
      <c r="D4489" s="18" t="s">
        <v>35</v>
      </c>
      <c r="E4489" s="26">
        <v>42562.85486111111</v>
      </c>
      <c r="F4489" s="19">
        <f>IFERROR(__xludf.DUMMYFUNCTION("IFERROR(TO_DATE(E4489), """")"),42562.85486111111)</f>
        <v>42562.85486</v>
      </c>
      <c r="G4489" s="20">
        <f t="shared" si="1"/>
        <v>20</v>
      </c>
      <c r="H4489" s="18" t="s">
        <v>34</v>
      </c>
      <c r="I4489" s="19" t="str">
        <f>IFERROR(__xludf.DUMMYFUNCTION("IFERROR(TO_DATE(H4489), """")"),"NA")</f>
        <v>NA</v>
      </c>
      <c r="J4489" s="19" t="s">
        <v>13</v>
      </c>
      <c r="K4489" s="22">
        <f t="shared" si="2"/>
        <v>0</v>
      </c>
    </row>
    <row r="4490">
      <c r="A4490" s="18">
        <v>1139.0</v>
      </c>
      <c r="B4490" s="18" t="s">
        <v>30</v>
      </c>
      <c r="C4490" s="18" t="s">
        <v>34</v>
      </c>
      <c r="D4490" s="18" t="s">
        <v>35</v>
      </c>
      <c r="E4490" s="26">
        <v>42562.85625</v>
      </c>
      <c r="F4490" s="19">
        <f>IFERROR(__xludf.DUMMYFUNCTION("IFERROR(TO_DATE(E4490), """")"),42562.85625)</f>
        <v>42562.85625</v>
      </c>
      <c r="G4490" s="20">
        <f t="shared" si="1"/>
        <v>20</v>
      </c>
      <c r="H4490" s="18" t="s">
        <v>34</v>
      </c>
      <c r="I4490" s="19" t="str">
        <f>IFERROR(__xludf.DUMMYFUNCTION("IFERROR(TO_DATE(H4490), """")"),"NA")</f>
        <v>NA</v>
      </c>
      <c r="J4490" s="19" t="s">
        <v>13</v>
      </c>
      <c r="K4490" s="22">
        <f t="shared" si="2"/>
        <v>0</v>
      </c>
    </row>
    <row r="4491">
      <c r="A4491" s="18">
        <v>1131.0</v>
      </c>
      <c r="B4491" s="18" t="s">
        <v>30</v>
      </c>
      <c r="C4491" s="18" t="s">
        <v>34</v>
      </c>
      <c r="D4491" s="18" t="s">
        <v>35</v>
      </c>
      <c r="E4491" s="26">
        <v>42562.85763888889</v>
      </c>
      <c r="F4491" s="19">
        <f>IFERROR(__xludf.DUMMYFUNCTION("IFERROR(TO_DATE(E4491), """")"),42562.85763888889)</f>
        <v>42562.85764</v>
      </c>
      <c r="G4491" s="20">
        <f t="shared" si="1"/>
        <v>20</v>
      </c>
      <c r="H4491" s="18" t="s">
        <v>34</v>
      </c>
      <c r="I4491" s="19" t="str">
        <f>IFERROR(__xludf.DUMMYFUNCTION("IFERROR(TO_DATE(H4491), """")"),"NA")</f>
        <v>NA</v>
      </c>
      <c r="J4491" s="19" t="s">
        <v>13</v>
      </c>
      <c r="K4491" s="22">
        <f t="shared" si="2"/>
        <v>0</v>
      </c>
    </row>
    <row r="4492">
      <c r="A4492" s="18">
        <v>1143.0</v>
      </c>
      <c r="B4492" s="18" t="s">
        <v>30</v>
      </c>
      <c r="C4492" s="18" t="s">
        <v>34</v>
      </c>
      <c r="D4492" s="18" t="s">
        <v>35</v>
      </c>
      <c r="E4492" s="26">
        <v>42562.85902777778</v>
      </c>
      <c r="F4492" s="19">
        <f>IFERROR(__xludf.DUMMYFUNCTION("IFERROR(TO_DATE(E4492), """")"),42562.85902777778)</f>
        <v>42562.85903</v>
      </c>
      <c r="G4492" s="20">
        <f t="shared" si="1"/>
        <v>20</v>
      </c>
      <c r="H4492" s="18" t="s">
        <v>34</v>
      </c>
      <c r="I4492" s="19" t="str">
        <f>IFERROR(__xludf.DUMMYFUNCTION("IFERROR(TO_DATE(H4492), """")"),"NA")</f>
        <v>NA</v>
      </c>
      <c r="J4492" s="19" t="s">
        <v>13</v>
      </c>
      <c r="K4492" s="22">
        <f t="shared" si="2"/>
        <v>0</v>
      </c>
    </row>
    <row r="4493">
      <c r="A4493" s="18">
        <v>1141.0</v>
      </c>
      <c r="B4493" s="18" t="s">
        <v>30</v>
      </c>
      <c r="C4493" s="18" t="s">
        <v>34</v>
      </c>
      <c r="D4493" s="18" t="s">
        <v>35</v>
      </c>
      <c r="E4493" s="26">
        <v>42562.85972222222</v>
      </c>
      <c r="F4493" s="19">
        <f>IFERROR(__xludf.DUMMYFUNCTION("IFERROR(TO_DATE(E4493), """")"),42562.85972222222)</f>
        <v>42562.85972</v>
      </c>
      <c r="G4493" s="20">
        <f t="shared" si="1"/>
        <v>20</v>
      </c>
      <c r="H4493" s="18" t="s">
        <v>34</v>
      </c>
      <c r="I4493" s="19" t="str">
        <f>IFERROR(__xludf.DUMMYFUNCTION("IFERROR(TO_DATE(H4493), """")"),"NA")</f>
        <v>NA</v>
      </c>
      <c r="J4493" s="19" t="s">
        <v>13</v>
      </c>
      <c r="K4493" s="22">
        <f t="shared" si="2"/>
        <v>0</v>
      </c>
    </row>
    <row r="4494">
      <c r="A4494" s="18">
        <v>1145.0</v>
      </c>
      <c r="B4494" s="18" t="s">
        <v>30</v>
      </c>
      <c r="C4494" s="18" t="s">
        <v>34</v>
      </c>
      <c r="D4494" s="18" t="s">
        <v>35</v>
      </c>
      <c r="E4494" s="26">
        <v>42562.86111111111</v>
      </c>
      <c r="F4494" s="19">
        <f>IFERROR(__xludf.DUMMYFUNCTION("IFERROR(TO_DATE(E4494), """")"),42562.86111111111)</f>
        <v>42562.86111</v>
      </c>
      <c r="G4494" s="20">
        <f t="shared" si="1"/>
        <v>20</v>
      </c>
      <c r="H4494" s="18" t="s">
        <v>34</v>
      </c>
      <c r="I4494" s="19" t="str">
        <f>IFERROR(__xludf.DUMMYFUNCTION("IFERROR(TO_DATE(H4494), """")"),"NA")</f>
        <v>NA</v>
      </c>
      <c r="J4494" s="19" t="s">
        <v>13</v>
      </c>
      <c r="K4494" s="22">
        <f t="shared" si="2"/>
        <v>0</v>
      </c>
    </row>
    <row r="4495">
      <c r="A4495" s="18">
        <v>1153.0</v>
      </c>
      <c r="B4495" s="18" t="s">
        <v>30</v>
      </c>
      <c r="C4495" s="18" t="s">
        <v>34</v>
      </c>
      <c r="D4495" s="18" t="s">
        <v>35</v>
      </c>
      <c r="E4495" s="26">
        <v>42562.86111111111</v>
      </c>
      <c r="F4495" s="19">
        <f>IFERROR(__xludf.DUMMYFUNCTION("IFERROR(TO_DATE(E4495), """")"),42562.86111111111)</f>
        <v>42562.86111</v>
      </c>
      <c r="G4495" s="20">
        <f t="shared" si="1"/>
        <v>20</v>
      </c>
      <c r="H4495" s="18" t="s">
        <v>34</v>
      </c>
      <c r="I4495" s="19" t="str">
        <f>IFERROR(__xludf.DUMMYFUNCTION("IFERROR(TO_DATE(H4495), """")"),"NA")</f>
        <v>NA</v>
      </c>
      <c r="J4495" s="19" t="s">
        <v>13</v>
      </c>
      <c r="K4495" s="22">
        <f t="shared" si="2"/>
        <v>0</v>
      </c>
    </row>
    <row r="4496">
      <c r="A4496" s="18">
        <v>1146.0</v>
      </c>
      <c r="B4496" s="18" t="s">
        <v>30</v>
      </c>
      <c r="C4496" s="18" t="s">
        <v>34</v>
      </c>
      <c r="D4496" s="18" t="s">
        <v>35</v>
      </c>
      <c r="E4496" s="26">
        <v>42562.86111111111</v>
      </c>
      <c r="F4496" s="19">
        <f>IFERROR(__xludf.DUMMYFUNCTION("IFERROR(TO_DATE(E4496), """")"),42562.86111111111)</f>
        <v>42562.86111</v>
      </c>
      <c r="G4496" s="20">
        <f t="shared" si="1"/>
        <v>20</v>
      </c>
      <c r="H4496" s="18" t="s">
        <v>34</v>
      </c>
      <c r="I4496" s="19" t="str">
        <f>IFERROR(__xludf.DUMMYFUNCTION("IFERROR(TO_DATE(H4496), """")"),"NA")</f>
        <v>NA</v>
      </c>
      <c r="J4496" s="19" t="s">
        <v>13</v>
      </c>
      <c r="K4496" s="22">
        <f t="shared" si="2"/>
        <v>0</v>
      </c>
    </row>
    <row r="4497">
      <c r="A4497" s="18">
        <v>1144.0</v>
      </c>
      <c r="B4497" s="18" t="s">
        <v>30</v>
      </c>
      <c r="C4497" s="18" t="s">
        <v>34</v>
      </c>
      <c r="D4497" s="18" t="s">
        <v>35</v>
      </c>
      <c r="E4497" s="26">
        <v>42562.861805555556</v>
      </c>
      <c r="F4497" s="19">
        <f>IFERROR(__xludf.DUMMYFUNCTION("IFERROR(TO_DATE(E4497), """")"),42562.861805555556)</f>
        <v>42562.86181</v>
      </c>
      <c r="G4497" s="20">
        <f t="shared" si="1"/>
        <v>20</v>
      </c>
      <c r="H4497" s="18" t="s">
        <v>34</v>
      </c>
      <c r="I4497" s="19" t="str">
        <f>IFERROR(__xludf.DUMMYFUNCTION("IFERROR(TO_DATE(H4497), """")"),"NA")</f>
        <v>NA</v>
      </c>
      <c r="J4497" s="19" t="s">
        <v>13</v>
      </c>
      <c r="K4497" s="22">
        <f t="shared" si="2"/>
        <v>0</v>
      </c>
    </row>
    <row r="4498">
      <c r="A4498" s="18">
        <v>1149.0</v>
      </c>
      <c r="B4498" s="18" t="s">
        <v>30</v>
      </c>
      <c r="C4498" s="18" t="s">
        <v>34</v>
      </c>
      <c r="D4498" s="18" t="s">
        <v>35</v>
      </c>
      <c r="E4498" s="26">
        <v>42562.86319444444</v>
      </c>
      <c r="F4498" s="19">
        <f>IFERROR(__xludf.DUMMYFUNCTION("IFERROR(TO_DATE(E4498), """")"),42562.86319444444)</f>
        <v>42562.86319</v>
      </c>
      <c r="G4498" s="20">
        <f t="shared" si="1"/>
        <v>20</v>
      </c>
      <c r="H4498" s="18" t="s">
        <v>34</v>
      </c>
      <c r="I4498" s="19" t="str">
        <f>IFERROR(__xludf.DUMMYFUNCTION("IFERROR(TO_DATE(H4498), """")"),"NA")</f>
        <v>NA</v>
      </c>
      <c r="J4498" s="19" t="s">
        <v>13</v>
      </c>
      <c r="K4498" s="22">
        <f t="shared" si="2"/>
        <v>0</v>
      </c>
    </row>
    <row r="4499">
      <c r="A4499" s="18">
        <v>1158.0</v>
      </c>
      <c r="B4499" s="18" t="s">
        <v>30</v>
      </c>
      <c r="C4499" s="18" t="s">
        <v>34</v>
      </c>
      <c r="D4499" s="18" t="s">
        <v>35</v>
      </c>
      <c r="E4499" s="26">
        <v>42562.86388888889</v>
      </c>
      <c r="F4499" s="19">
        <f>IFERROR(__xludf.DUMMYFUNCTION("IFERROR(TO_DATE(E4499), """")"),42562.86388888889)</f>
        <v>42562.86389</v>
      </c>
      <c r="G4499" s="20">
        <f t="shared" si="1"/>
        <v>20</v>
      </c>
      <c r="H4499" s="18" t="s">
        <v>34</v>
      </c>
      <c r="I4499" s="19" t="str">
        <f>IFERROR(__xludf.DUMMYFUNCTION("IFERROR(TO_DATE(H4499), """")"),"NA")</f>
        <v>NA</v>
      </c>
      <c r="J4499" s="19" t="s">
        <v>13</v>
      </c>
      <c r="K4499" s="22">
        <f t="shared" si="2"/>
        <v>0</v>
      </c>
    </row>
    <row r="4500">
      <c r="A4500" s="18">
        <v>1148.0</v>
      </c>
      <c r="B4500" s="18" t="s">
        <v>32</v>
      </c>
      <c r="C4500" s="18" t="s">
        <v>34</v>
      </c>
      <c r="D4500" s="18" t="s">
        <v>35</v>
      </c>
      <c r="E4500" s="26">
        <v>42562.864583333336</v>
      </c>
      <c r="F4500" s="19">
        <f>IFERROR(__xludf.DUMMYFUNCTION("IFERROR(TO_DATE(E4500), """")"),42562.864583333336)</f>
        <v>42562.86458</v>
      </c>
      <c r="G4500" s="20">
        <f t="shared" si="1"/>
        <v>20</v>
      </c>
      <c r="H4500" s="18" t="s">
        <v>34</v>
      </c>
      <c r="I4500" s="19" t="str">
        <f>IFERROR(__xludf.DUMMYFUNCTION("IFERROR(TO_DATE(H4500), """")"),"NA")</f>
        <v>NA</v>
      </c>
      <c r="J4500" s="19" t="s">
        <v>13</v>
      </c>
      <c r="K4500" s="22">
        <f t="shared" si="2"/>
        <v>0</v>
      </c>
    </row>
    <row r="4501">
      <c r="A4501" s="18">
        <v>1159.0</v>
      </c>
      <c r="B4501" s="18" t="s">
        <v>30</v>
      </c>
      <c r="C4501" s="18" t="s">
        <v>34</v>
      </c>
      <c r="D4501" s="18" t="s">
        <v>35</v>
      </c>
      <c r="E4501" s="26">
        <v>42562.864583333336</v>
      </c>
      <c r="F4501" s="19">
        <f>IFERROR(__xludf.DUMMYFUNCTION("IFERROR(TO_DATE(E4501), """")"),42562.864583333336)</f>
        <v>42562.86458</v>
      </c>
      <c r="G4501" s="20">
        <f t="shared" si="1"/>
        <v>20</v>
      </c>
      <c r="H4501" s="18" t="s">
        <v>34</v>
      </c>
      <c r="I4501" s="19" t="str">
        <f>IFERROR(__xludf.DUMMYFUNCTION("IFERROR(TO_DATE(H4501), """")"),"NA")</f>
        <v>NA</v>
      </c>
      <c r="J4501" s="19" t="s">
        <v>13</v>
      </c>
      <c r="K4501" s="22">
        <f t="shared" si="2"/>
        <v>0</v>
      </c>
    </row>
    <row r="4502">
      <c r="A4502" s="18">
        <v>1150.0</v>
      </c>
      <c r="B4502" s="18" t="s">
        <v>30</v>
      </c>
      <c r="C4502" s="18" t="s">
        <v>34</v>
      </c>
      <c r="D4502" s="18" t="s">
        <v>35</v>
      </c>
      <c r="E4502" s="26">
        <v>42562.864583333336</v>
      </c>
      <c r="F4502" s="19">
        <f>IFERROR(__xludf.DUMMYFUNCTION("IFERROR(TO_DATE(E4502), """")"),42562.864583333336)</f>
        <v>42562.86458</v>
      </c>
      <c r="G4502" s="20">
        <f t="shared" si="1"/>
        <v>20</v>
      </c>
      <c r="H4502" s="18" t="s">
        <v>34</v>
      </c>
      <c r="I4502" s="19" t="str">
        <f>IFERROR(__xludf.DUMMYFUNCTION("IFERROR(TO_DATE(H4502), """")"),"NA")</f>
        <v>NA</v>
      </c>
      <c r="J4502" s="19" t="s">
        <v>13</v>
      </c>
      <c r="K4502" s="22">
        <f t="shared" si="2"/>
        <v>0</v>
      </c>
    </row>
    <row r="4503">
      <c r="A4503" s="18">
        <v>1155.0</v>
      </c>
      <c r="B4503" s="18" t="s">
        <v>30</v>
      </c>
      <c r="C4503" s="18" t="s">
        <v>34</v>
      </c>
      <c r="D4503" s="18" t="s">
        <v>35</v>
      </c>
      <c r="E4503" s="26">
        <v>42562.865277777775</v>
      </c>
      <c r="F4503" s="19">
        <f>IFERROR(__xludf.DUMMYFUNCTION("IFERROR(TO_DATE(E4503), """")"),42562.865277777775)</f>
        <v>42562.86528</v>
      </c>
      <c r="G4503" s="20">
        <f t="shared" si="1"/>
        <v>20</v>
      </c>
      <c r="H4503" s="18" t="s">
        <v>34</v>
      </c>
      <c r="I4503" s="19" t="str">
        <f>IFERROR(__xludf.DUMMYFUNCTION("IFERROR(TO_DATE(H4503), """")"),"NA")</f>
        <v>NA</v>
      </c>
      <c r="J4503" s="19" t="s">
        <v>13</v>
      </c>
      <c r="K4503" s="22">
        <f t="shared" si="2"/>
        <v>0</v>
      </c>
    </row>
    <row r="4504">
      <c r="A4504" s="18">
        <v>1160.0</v>
      </c>
      <c r="B4504" s="18" t="s">
        <v>30</v>
      </c>
      <c r="C4504" s="18" t="s">
        <v>34</v>
      </c>
      <c r="D4504" s="18" t="s">
        <v>35</v>
      </c>
      <c r="E4504" s="26">
        <v>42562.86597222222</v>
      </c>
      <c r="F4504" s="19">
        <f>IFERROR(__xludf.DUMMYFUNCTION("IFERROR(TO_DATE(E4504), """")"),42562.86597222222)</f>
        <v>42562.86597</v>
      </c>
      <c r="G4504" s="20">
        <f t="shared" si="1"/>
        <v>20</v>
      </c>
      <c r="H4504" s="18" t="s">
        <v>34</v>
      </c>
      <c r="I4504" s="19" t="str">
        <f>IFERROR(__xludf.DUMMYFUNCTION("IFERROR(TO_DATE(H4504), """")"),"NA")</f>
        <v>NA</v>
      </c>
      <c r="J4504" s="19" t="s">
        <v>13</v>
      </c>
      <c r="K4504" s="22">
        <f t="shared" si="2"/>
        <v>0</v>
      </c>
    </row>
    <row r="4505">
      <c r="A4505" s="18">
        <v>1157.0</v>
      </c>
      <c r="B4505" s="18" t="s">
        <v>30</v>
      </c>
      <c r="C4505" s="18" t="s">
        <v>34</v>
      </c>
      <c r="D4505" s="18" t="s">
        <v>35</v>
      </c>
      <c r="E4505" s="26">
        <v>42562.86597222222</v>
      </c>
      <c r="F4505" s="19">
        <f>IFERROR(__xludf.DUMMYFUNCTION("IFERROR(TO_DATE(E4505), """")"),42562.86597222222)</f>
        <v>42562.86597</v>
      </c>
      <c r="G4505" s="20">
        <f t="shared" si="1"/>
        <v>20</v>
      </c>
      <c r="H4505" s="18" t="s">
        <v>34</v>
      </c>
      <c r="I4505" s="19" t="str">
        <f>IFERROR(__xludf.DUMMYFUNCTION("IFERROR(TO_DATE(H4505), """")"),"NA")</f>
        <v>NA</v>
      </c>
      <c r="J4505" s="19" t="s">
        <v>13</v>
      </c>
      <c r="K4505" s="22">
        <f t="shared" si="2"/>
        <v>0</v>
      </c>
    </row>
    <row r="4506">
      <c r="A4506" s="18">
        <v>1161.0</v>
      </c>
      <c r="B4506" s="18" t="s">
        <v>30</v>
      </c>
      <c r="C4506" s="18" t="s">
        <v>34</v>
      </c>
      <c r="D4506" s="18" t="s">
        <v>35</v>
      </c>
      <c r="E4506" s="26">
        <v>42562.86597222222</v>
      </c>
      <c r="F4506" s="19">
        <f>IFERROR(__xludf.DUMMYFUNCTION("IFERROR(TO_DATE(E4506), """")"),42562.86597222222)</f>
        <v>42562.86597</v>
      </c>
      <c r="G4506" s="20">
        <f t="shared" si="1"/>
        <v>20</v>
      </c>
      <c r="H4506" s="18" t="s">
        <v>34</v>
      </c>
      <c r="I4506" s="19" t="str">
        <f>IFERROR(__xludf.DUMMYFUNCTION("IFERROR(TO_DATE(H4506), """")"),"NA")</f>
        <v>NA</v>
      </c>
      <c r="J4506" s="19" t="s">
        <v>13</v>
      </c>
      <c r="K4506" s="22">
        <f t="shared" si="2"/>
        <v>0</v>
      </c>
    </row>
    <row r="4507">
      <c r="A4507" s="18">
        <v>1154.0</v>
      </c>
      <c r="B4507" s="18" t="s">
        <v>30</v>
      </c>
      <c r="C4507" s="18" t="s">
        <v>34</v>
      </c>
      <c r="D4507" s="18" t="s">
        <v>35</v>
      </c>
      <c r="E4507" s="26">
        <v>42562.86597222222</v>
      </c>
      <c r="F4507" s="19">
        <f>IFERROR(__xludf.DUMMYFUNCTION("IFERROR(TO_DATE(E4507), """")"),42562.86597222222)</f>
        <v>42562.86597</v>
      </c>
      <c r="G4507" s="20">
        <f t="shared" si="1"/>
        <v>20</v>
      </c>
      <c r="H4507" s="18" t="s">
        <v>34</v>
      </c>
      <c r="I4507" s="19" t="str">
        <f>IFERROR(__xludf.DUMMYFUNCTION("IFERROR(TO_DATE(H4507), """")"),"NA")</f>
        <v>NA</v>
      </c>
      <c r="J4507" s="19" t="s">
        <v>13</v>
      </c>
      <c r="K4507" s="22">
        <f t="shared" si="2"/>
        <v>0</v>
      </c>
    </row>
    <row r="4508">
      <c r="A4508" s="18">
        <v>1168.0</v>
      </c>
      <c r="B4508" s="18" t="s">
        <v>30</v>
      </c>
      <c r="C4508" s="18" t="s">
        <v>34</v>
      </c>
      <c r="D4508" s="18" t="s">
        <v>35</v>
      </c>
      <c r="E4508" s="26">
        <v>42562.86666666667</v>
      </c>
      <c r="F4508" s="19">
        <f>IFERROR(__xludf.DUMMYFUNCTION("IFERROR(TO_DATE(E4508), """")"),42562.86666666667)</f>
        <v>42562.86667</v>
      </c>
      <c r="G4508" s="20">
        <f t="shared" si="1"/>
        <v>20</v>
      </c>
      <c r="H4508" s="18" t="s">
        <v>34</v>
      </c>
      <c r="I4508" s="19" t="str">
        <f>IFERROR(__xludf.DUMMYFUNCTION("IFERROR(TO_DATE(H4508), """")"),"NA")</f>
        <v>NA</v>
      </c>
      <c r="J4508" s="19" t="s">
        <v>13</v>
      </c>
      <c r="K4508" s="22">
        <f t="shared" si="2"/>
        <v>0</v>
      </c>
    </row>
    <row r="4509">
      <c r="A4509" s="18">
        <v>1165.0</v>
      </c>
      <c r="B4509" s="18" t="s">
        <v>32</v>
      </c>
      <c r="C4509" s="18" t="s">
        <v>34</v>
      </c>
      <c r="D4509" s="18" t="s">
        <v>35</v>
      </c>
      <c r="E4509" s="26">
        <v>42562.86666666667</v>
      </c>
      <c r="F4509" s="19">
        <f>IFERROR(__xludf.DUMMYFUNCTION("IFERROR(TO_DATE(E4509), """")"),42562.86666666667)</f>
        <v>42562.86667</v>
      </c>
      <c r="G4509" s="20">
        <f t="shared" si="1"/>
        <v>20</v>
      </c>
      <c r="H4509" s="18" t="s">
        <v>34</v>
      </c>
      <c r="I4509" s="19" t="str">
        <f>IFERROR(__xludf.DUMMYFUNCTION("IFERROR(TO_DATE(H4509), """")"),"NA")</f>
        <v>NA</v>
      </c>
      <c r="J4509" s="19" t="s">
        <v>13</v>
      </c>
      <c r="K4509" s="22">
        <f t="shared" si="2"/>
        <v>0</v>
      </c>
    </row>
    <row r="4510">
      <c r="A4510" s="18">
        <v>1166.0</v>
      </c>
      <c r="B4510" s="18" t="s">
        <v>30</v>
      </c>
      <c r="C4510" s="18" t="s">
        <v>34</v>
      </c>
      <c r="D4510" s="18" t="s">
        <v>35</v>
      </c>
      <c r="E4510" s="26">
        <v>42562.86736111111</v>
      </c>
      <c r="F4510" s="19">
        <f>IFERROR(__xludf.DUMMYFUNCTION("IFERROR(TO_DATE(E4510), """")"),42562.86736111111)</f>
        <v>42562.86736</v>
      </c>
      <c r="G4510" s="20">
        <f t="shared" si="1"/>
        <v>20</v>
      </c>
      <c r="H4510" s="18" t="s">
        <v>34</v>
      </c>
      <c r="I4510" s="19" t="str">
        <f>IFERROR(__xludf.DUMMYFUNCTION("IFERROR(TO_DATE(H4510), """")"),"NA")</f>
        <v>NA</v>
      </c>
      <c r="J4510" s="19" t="s">
        <v>13</v>
      </c>
      <c r="K4510" s="22">
        <f t="shared" si="2"/>
        <v>0</v>
      </c>
    </row>
    <row r="4511">
      <c r="A4511" s="18">
        <v>1169.0</v>
      </c>
      <c r="B4511" s="18" t="s">
        <v>30</v>
      </c>
      <c r="C4511" s="18" t="s">
        <v>34</v>
      </c>
      <c r="D4511" s="18" t="s">
        <v>35</v>
      </c>
      <c r="E4511" s="26">
        <v>42562.870833333334</v>
      </c>
      <c r="F4511" s="19">
        <f>IFERROR(__xludf.DUMMYFUNCTION("IFERROR(TO_DATE(E4511), """")"),42562.870833333334)</f>
        <v>42562.87083</v>
      </c>
      <c r="G4511" s="20">
        <f t="shared" si="1"/>
        <v>20</v>
      </c>
      <c r="H4511" s="18" t="s">
        <v>34</v>
      </c>
      <c r="I4511" s="19" t="str">
        <f>IFERROR(__xludf.DUMMYFUNCTION("IFERROR(TO_DATE(H4511), """")"),"NA")</f>
        <v>NA</v>
      </c>
      <c r="J4511" s="19" t="s">
        <v>13</v>
      </c>
      <c r="K4511" s="22">
        <f t="shared" si="2"/>
        <v>0</v>
      </c>
    </row>
    <row r="4512">
      <c r="A4512" s="18">
        <v>1173.0</v>
      </c>
      <c r="B4512" s="18" t="s">
        <v>30</v>
      </c>
      <c r="C4512" s="18" t="s">
        <v>34</v>
      </c>
      <c r="D4512" s="18" t="s">
        <v>35</v>
      </c>
      <c r="E4512" s="26">
        <v>42562.87291666667</v>
      </c>
      <c r="F4512" s="19">
        <f>IFERROR(__xludf.DUMMYFUNCTION("IFERROR(TO_DATE(E4512), """")"),42562.87291666667)</f>
        <v>42562.87292</v>
      </c>
      <c r="G4512" s="20">
        <f t="shared" si="1"/>
        <v>20</v>
      </c>
      <c r="H4512" s="18" t="s">
        <v>34</v>
      </c>
      <c r="I4512" s="19" t="str">
        <f>IFERROR(__xludf.DUMMYFUNCTION("IFERROR(TO_DATE(H4512), """")"),"NA")</f>
        <v>NA</v>
      </c>
      <c r="J4512" s="19" t="s">
        <v>13</v>
      </c>
      <c r="K4512" s="22">
        <f t="shared" si="2"/>
        <v>0</v>
      </c>
    </row>
    <row r="4513">
      <c r="A4513" s="18">
        <v>1174.0</v>
      </c>
      <c r="B4513" s="18" t="s">
        <v>30</v>
      </c>
      <c r="C4513" s="18" t="s">
        <v>34</v>
      </c>
      <c r="D4513" s="18" t="s">
        <v>35</v>
      </c>
      <c r="E4513" s="26">
        <v>42562.873611111114</v>
      </c>
      <c r="F4513" s="19">
        <f>IFERROR(__xludf.DUMMYFUNCTION("IFERROR(TO_DATE(E4513), """")"),42562.873611111114)</f>
        <v>42562.87361</v>
      </c>
      <c r="G4513" s="20">
        <f t="shared" si="1"/>
        <v>20</v>
      </c>
      <c r="H4513" s="18" t="s">
        <v>34</v>
      </c>
      <c r="I4513" s="19" t="str">
        <f>IFERROR(__xludf.DUMMYFUNCTION("IFERROR(TO_DATE(H4513), """")"),"NA")</f>
        <v>NA</v>
      </c>
      <c r="J4513" s="19" t="s">
        <v>13</v>
      </c>
      <c r="K4513" s="22">
        <f t="shared" si="2"/>
        <v>0</v>
      </c>
    </row>
    <row r="4514">
      <c r="A4514" s="18">
        <v>1182.0</v>
      </c>
      <c r="B4514" s="18" t="s">
        <v>30</v>
      </c>
      <c r="C4514" s="18" t="s">
        <v>34</v>
      </c>
      <c r="D4514" s="18" t="s">
        <v>35</v>
      </c>
      <c r="E4514" s="26">
        <v>42562.875</v>
      </c>
      <c r="F4514" s="19">
        <f>IFERROR(__xludf.DUMMYFUNCTION("IFERROR(TO_DATE(E4514), """")"),42562.875)</f>
        <v>42562.875</v>
      </c>
      <c r="G4514" s="20">
        <f t="shared" si="1"/>
        <v>21</v>
      </c>
      <c r="H4514" s="18" t="s">
        <v>34</v>
      </c>
      <c r="I4514" s="19" t="str">
        <f>IFERROR(__xludf.DUMMYFUNCTION("IFERROR(TO_DATE(H4514), """")"),"NA")</f>
        <v>NA</v>
      </c>
      <c r="J4514" s="19" t="s">
        <v>13</v>
      </c>
      <c r="K4514" s="22">
        <f t="shared" si="2"/>
        <v>0</v>
      </c>
    </row>
    <row r="4515">
      <c r="A4515" s="18">
        <v>1176.0</v>
      </c>
      <c r="B4515" s="18" t="s">
        <v>30</v>
      </c>
      <c r="C4515" s="18" t="s">
        <v>34</v>
      </c>
      <c r="D4515" s="18" t="s">
        <v>35</v>
      </c>
      <c r="E4515" s="26">
        <v>42562.87569444445</v>
      </c>
      <c r="F4515" s="19">
        <f>IFERROR(__xludf.DUMMYFUNCTION("IFERROR(TO_DATE(E4515), """")"),42562.87569444445)</f>
        <v>42562.87569</v>
      </c>
      <c r="G4515" s="20">
        <f t="shared" si="1"/>
        <v>21</v>
      </c>
      <c r="H4515" s="18" t="s">
        <v>34</v>
      </c>
      <c r="I4515" s="19" t="str">
        <f>IFERROR(__xludf.DUMMYFUNCTION("IFERROR(TO_DATE(H4515), """")"),"NA")</f>
        <v>NA</v>
      </c>
      <c r="J4515" s="19" t="s">
        <v>13</v>
      </c>
      <c r="K4515" s="22">
        <f t="shared" si="2"/>
        <v>0</v>
      </c>
    </row>
    <row r="4516">
      <c r="A4516" s="18">
        <v>1177.0</v>
      </c>
      <c r="B4516" s="18" t="s">
        <v>30</v>
      </c>
      <c r="C4516" s="18" t="s">
        <v>34</v>
      </c>
      <c r="D4516" s="18" t="s">
        <v>35</v>
      </c>
      <c r="E4516" s="26">
        <v>42562.87708333333</v>
      </c>
      <c r="F4516" s="19">
        <f>IFERROR(__xludf.DUMMYFUNCTION("IFERROR(TO_DATE(E4516), """")"),42562.87708333333)</f>
        <v>42562.87708</v>
      </c>
      <c r="G4516" s="20">
        <f t="shared" si="1"/>
        <v>21</v>
      </c>
      <c r="H4516" s="18" t="s">
        <v>34</v>
      </c>
      <c r="I4516" s="19" t="str">
        <f>IFERROR(__xludf.DUMMYFUNCTION("IFERROR(TO_DATE(H4516), """")"),"NA")</f>
        <v>NA</v>
      </c>
      <c r="J4516" s="19" t="s">
        <v>13</v>
      </c>
      <c r="K4516" s="22">
        <f t="shared" si="2"/>
        <v>0</v>
      </c>
    </row>
    <row r="4517">
      <c r="A4517" s="18">
        <v>1185.0</v>
      </c>
      <c r="B4517" s="18" t="s">
        <v>30</v>
      </c>
      <c r="C4517" s="18" t="s">
        <v>34</v>
      </c>
      <c r="D4517" s="18" t="s">
        <v>35</v>
      </c>
      <c r="E4517" s="26">
        <v>42562.87847222222</v>
      </c>
      <c r="F4517" s="19">
        <f>IFERROR(__xludf.DUMMYFUNCTION("IFERROR(TO_DATE(E4517), """")"),42562.87847222222)</f>
        <v>42562.87847</v>
      </c>
      <c r="G4517" s="20">
        <f t="shared" si="1"/>
        <v>21</v>
      </c>
      <c r="H4517" s="18" t="s">
        <v>34</v>
      </c>
      <c r="I4517" s="19" t="str">
        <f>IFERROR(__xludf.DUMMYFUNCTION("IFERROR(TO_DATE(H4517), """")"),"NA")</f>
        <v>NA</v>
      </c>
      <c r="J4517" s="19" t="s">
        <v>13</v>
      </c>
      <c r="K4517" s="22">
        <f t="shared" si="2"/>
        <v>0</v>
      </c>
    </row>
    <row r="4518">
      <c r="A4518" s="18">
        <v>1189.0</v>
      </c>
      <c r="B4518" s="18" t="s">
        <v>30</v>
      </c>
      <c r="C4518" s="18" t="s">
        <v>34</v>
      </c>
      <c r="D4518" s="18" t="s">
        <v>35</v>
      </c>
      <c r="E4518" s="26">
        <v>42562.88055555556</v>
      </c>
      <c r="F4518" s="19">
        <f>IFERROR(__xludf.DUMMYFUNCTION("IFERROR(TO_DATE(E4518), """")"),42562.88055555556)</f>
        <v>42562.88056</v>
      </c>
      <c r="G4518" s="20">
        <f t="shared" si="1"/>
        <v>21</v>
      </c>
      <c r="H4518" s="18" t="s">
        <v>34</v>
      </c>
      <c r="I4518" s="19" t="str">
        <f>IFERROR(__xludf.DUMMYFUNCTION("IFERROR(TO_DATE(H4518), """")"),"NA")</f>
        <v>NA</v>
      </c>
      <c r="J4518" s="19" t="s">
        <v>13</v>
      </c>
      <c r="K4518" s="22">
        <f t="shared" si="2"/>
        <v>0</v>
      </c>
    </row>
    <row r="4519">
      <c r="A4519" s="18">
        <v>1191.0</v>
      </c>
      <c r="B4519" s="18" t="s">
        <v>30</v>
      </c>
      <c r="C4519" s="18" t="s">
        <v>34</v>
      </c>
      <c r="D4519" s="18" t="s">
        <v>35</v>
      </c>
      <c r="E4519" s="26">
        <v>42562.881944444445</v>
      </c>
      <c r="F4519" s="19">
        <f>IFERROR(__xludf.DUMMYFUNCTION("IFERROR(TO_DATE(E4519), """")"),42562.881944444445)</f>
        <v>42562.88194</v>
      </c>
      <c r="G4519" s="20">
        <f t="shared" si="1"/>
        <v>21</v>
      </c>
      <c r="H4519" s="18" t="s">
        <v>34</v>
      </c>
      <c r="I4519" s="19" t="str">
        <f>IFERROR(__xludf.DUMMYFUNCTION("IFERROR(TO_DATE(H4519), """")"),"NA")</f>
        <v>NA</v>
      </c>
      <c r="J4519" s="19" t="s">
        <v>13</v>
      </c>
      <c r="K4519" s="22">
        <f t="shared" si="2"/>
        <v>0</v>
      </c>
    </row>
    <row r="4520">
      <c r="A4520" s="18">
        <v>1188.0</v>
      </c>
      <c r="B4520" s="18" t="s">
        <v>32</v>
      </c>
      <c r="C4520" s="18" t="s">
        <v>34</v>
      </c>
      <c r="D4520" s="18" t="s">
        <v>35</v>
      </c>
      <c r="E4520" s="26">
        <v>42562.884722222225</v>
      </c>
      <c r="F4520" s="19">
        <f>IFERROR(__xludf.DUMMYFUNCTION("IFERROR(TO_DATE(E4520), """")"),42562.884722222225)</f>
        <v>42562.88472</v>
      </c>
      <c r="G4520" s="20">
        <f t="shared" si="1"/>
        <v>21</v>
      </c>
      <c r="H4520" s="18" t="s">
        <v>34</v>
      </c>
      <c r="I4520" s="19" t="str">
        <f>IFERROR(__xludf.DUMMYFUNCTION("IFERROR(TO_DATE(H4520), """")"),"NA")</f>
        <v>NA</v>
      </c>
      <c r="J4520" s="19" t="s">
        <v>13</v>
      </c>
      <c r="K4520" s="22">
        <f t="shared" si="2"/>
        <v>0</v>
      </c>
    </row>
    <row r="4521">
      <c r="A4521" s="18">
        <v>1192.0</v>
      </c>
      <c r="B4521" s="18" t="s">
        <v>30</v>
      </c>
      <c r="C4521" s="18" t="s">
        <v>34</v>
      </c>
      <c r="D4521" s="18" t="s">
        <v>35</v>
      </c>
      <c r="E4521" s="26">
        <v>42562.885416666664</v>
      </c>
      <c r="F4521" s="19">
        <f>IFERROR(__xludf.DUMMYFUNCTION("IFERROR(TO_DATE(E4521), """")"),42562.885416666664)</f>
        <v>42562.88542</v>
      </c>
      <c r="G4521" s="20">
        <f t="shared" si="1"/>
        <v>21</v>
      </c>
      <c r="H4521" s="18" t="s">
        <v>34</v>
      </c>
      <c r="I4521" s="19" t="str">
        <f>IFERROR(__xludf.DUMMYFUNCTION("IFERROR(TO_DATE(H4521), """")"),"NA")</f>
        <v>NA</v>
      </c>
      <c r="J4521" s="19" t="s">
        <v>13</v>
      </c>
      <c r="K4521" s="22">
        <f t="shared" si="2"/>
        <v>0</v>
      </c>
    </row>
    <row r="4522">
      <c r="A4522" s="18">
        <v>1195.0</v>
      </c>
      <c r="B4522" s="18" t="s">
        <v>30</v>
      </c>
      <c r="C4522" s="18" t="s">
        <v>34</v>
      </c>
      <c r="D4522" s="18" t="s">
        <v>35</v>
      </c>
      <c r="E4522" s="26">
        <v>42562.885416666664</v>
      </c>
      <c r="F4522" s="19">
        <f>IFERROR(__xludf.DUMMYFUNCTION("IFERROR(TO_DATE(E4522), """")"),42562.885416666664)</f>
        <v>42562.88542</v>
      </c>
      <c r="G4522" s="20">
        <f t="shared" si="1"/>
        <v>21</v>
      </c>
      <c r="H4522" s="18" t="s">
        <v>34</v>
      </c>
      <c r="I4522" s="19" t="str">
        <f>IFERROR(__xludf.DUMMYFUNCTION("IFERROR(TO_DATE(H4522), """")"),"NA")</f>
        <v>NA</v>
      </c>
      <c r="J4522" s="19" t="s">
        <v>13</v>
      </c>
      <c r="K4522" s="22">
        <f t="shared" si="2"/>
        <v>0</v>
      </c>
    </row>
    <row r="4523">
      <c r="A4523" s="18">
        <v>1194.0</v>
      </c>
      <c r="B4523" s="18" t="s">
        <v>30</v>
      </c>
      <c r="C4523" s="18" t="s">
        <v>34</v>
      </c>
      <c r="D4523" s="18" t="s">
        <v>35</v>
      </c>
      <c r="E4523" s="26">
        <v>42562.885416666664</v>
      </c>
      <c r="F4523" s="19">
        <f>IFERROR(__xludf.DUMMYFUNCTION("IFERROR(TO_DATE(E4523), """")"),42562.885416666664)</f>
        <v>42562.88542</v>
      </c>
      <c r="G4523" s="20">
        <f t="shared" si="1"/>
        <v>21</v>
      </c>
      <c r="H4523" s="18" t="s">
        <v>34</v>
      </c>
      <c r="I4523" s="19" t="str">
        <f>IFERROR(__xludf.DUMMYFUNCTION("IFERROR(TO_DATE(H4523), """")"),"NA")</f>
        <v>NA</v>
      </c>
      <c r="J4523" s="19" t="s">
        <v>13</v>
      </c>
      <c r="K4523" s="22">
        <f t="shared" si="2"/>
        <v>0</v>
      </c>
    </row>
    <row r="4524">
      <c r="A4524" s="18">
        <v>1198.0</v>
      </c>
      <c r="B4524" s="18" t="s">
        <v>30</v>
      </c>
      <c r="C4524" s="18" t="s">
        <v>34</v>
      </c>
      <c r="D4524" s="18" t="s">
        <v>35</v>
      </c>
      <c r="E4524" s="26">
        <v>42562.88611111111</v>
      </c>
      <c r="F4524" s="19">
        <f>IFERROR(__xludf.DUMMYFUNCTION("IFERROR(TO_DATE(E4524), """")"),42562.88611111111)</f>
        <v>42562.88611</v>
      </c>
      <c r="G4524" s="20">
        <f t="shared" si="1"/>
        <v>21</v>
      </c>
      <c r="H4524" s="18" t="s">
        <v>34</v>
      </c>
      <c r="I4524" s="19" t="str">
        <f>IFERROR(__xludf.DUMMYFUNCTION("IFERROR(TO_DATE(H4524), """")"),"NA")</f>
        <v>NA</v>
      </c>
      <c r="J4524" s="19" t="s">
        <v>13</v>
      </c>
      <c r="K4524" s="22">
        <f t="shared" si="2"/>
        <v>0</v>
      </c>
    </row>
    <row r="4525">
      <c r="A4525" s="18">
        <v>1193.0</v>
      </c>
      <c r="B4525" s="18" t="s">
        <v>30</v>
      </c>
      <c r="C4525" s="18" t="s">
        <v>34</v>
      </c>
      <c r="D4525" s="18" t="s">
        <v>35</v>
      </c>
      <c r="E4525" s="26">
        <v>42562.88680555556</v>
      </c>
      <c r="F4525" s="19">
        <f>IFERROR(__xludf.DUMMYFUNCTION("IFERROR(TO_DATE(E4525), """")"),42562.88680555556)</f>
        <v>42562.88681</v>
      </c>
      <c r="G4525" s="20">
        <f t="shared" si="1"/>
        <v>21</v>
      </c>
      <c r="H4525" s="18" t="s">
        <v>34</v>
      </c>
      <c r="I4525" s="19" t="str">
        <f>IFERROR(__xludf.DUMMYFUNCTION("IFERROR(TO_DATE(H4525), """")"),"NA")</f>
        <v>NA</v>
      </c>
      <c r="J4525" s="19" t="s">
        <v>13</v>
      </c>
      <c r="K4525" s="22">
        <f t="shared" si="2"/>
        <v>0</v>
      </c>
    </row>
    <row r="4526">
      <c r="A4526" s="18">
        <v>1204.0</v>
      </c>
      <c r="B4526" s="18" t="s">
        <v>30</v>
      </c>
      <c r="C4526" s="18" t="s">
        <v>34</v>
      </c>
      <c r="D4526" s="18" t="s">
        <v>35</v>
      </c>
      <c r="E4526" s="26">
        <v>42562.8875</v>
      </c>
      <c r="F4526" s="19">
        <f>IFERROR(__xludf.DUMMYFUNCTION("IFERROR(TO_DATE(E4526), """")"),42562.8875)</f>
        <v>42562.8875</v>
      </c>
      <c r="G4526" s="20">
        <f t="shared" si="1"/>
        <v>21</v>
      </c>
      <c r="H4526" s="18" t="s">
        <v>34</v>
      </c>
      <c r="I4526" s="19" t="str">
        <f>IFERROR(__xludf.DUMMYFUNCTION("IFERROR(TO_DATE(H4526), """")"),"NA")</f>
        <v>NA</v>
      </c>
      <c r="J4526" s="19" t="s">
        <v>13</v>
      </c>
      <c r="K4526" s="22">
        <f t="shared" si="2"/>
        <v>0</v>
      </c>
    </row>
    <row r="4527">
      <c r="A4527" s="18">
        <v>1201.0</v>
      </c>
      <c r="B4527" s="18" t="s">
        <v>30</v>
      </c>
      <c r="C4527" s="18" t="s">
        <v>34</v>
      </c>
      <c r="D4527" s="18" t="s">
        <v>35</v>
      </c>
      <c r="E4527" s="26">
        <v>42562.888194444444</v>
      </c>
      <c r="F4527" s="19">
        <f>IFERROR(__xludf.DUMMYFUNCTION("IFERROR(TO_DATE(E4527), """")"),42562.888194444444)</f>
        <v>42562.88819</v>
      </c>
      <c r="G4527" s="20">
        <f t="shared" si="1"/>
        <v>21</v>
      </c>
      <c r="H4527" s="18" t="s">
        <v>34</v>
      </c>
      <c r="I4527" s="19" t="str">
        <f>IFERROR(__xludf.DUMMYFUNCTION("IFERROR(TO_DATE(H4527), """")"),"NA")</f>
        <v>NA</v>
      </c>
      <c r="J4527" s="19" t="s">
        <v>13</v>
      </c>
      <c r="K4527" s="22">
        <f t="shared" si="2"/>
        <v>0</v>
      </c>
    </row>
    <row r="4528">
      <c r="A4528" s="18">
        <v>1205.0</v>
      </c>
      <c r="B4528" s="18" t="s">
        <v>30</v>
      </c>
      <c r="C4528" s="18" t="s">
        <v>34</v>
      </c>
      <c r="D4528" s="18" t="s">
        <v>35</v>
      </c>
      <c r="E4528" s="26">
        <v>42562.88888888889</v>
      </c>
      <c r="F4528" s="19">
        <f>IFERROR(__xludf.DUMMYFUNCTION("IFERROR(TO_DATE(E4528), """")"),42562.88888888889)</f>
        <v>42562.88889</v>
      </c>
      <c r="G4528" s="20">
        <f t="shared" si="1"/>
        <v>21</v>
      </c>
      <c r="H4528" s="18" t="s">
        <v>34</v>
      </c>
      <c r="I4528" s="19" t="str">
        <f>IFERROR(__xludf.DUMMYFUNCTION("IFERROR(TO_DATE(H4528), """")"),"NA")</f>
        <v>NA</v>
      </c>
      <c r="J4528" s="19" t="s">
        <v>13</v>
      </c>
      <c r="K4528" s="22">
        <f t="shared" si="2"/>
        <v>0</v>
      </c>
    </row>
    <row r="4529">
      <c r="A4529" s="18">
        <v>1211.0</v>
      </c>
      <c r="B4529" s="18" t="s">
        <v>30</v>
      </c>
      <c r="C4529" s="18" t="s">
        <v>34</v>
      </c>
      <c r="D4529" s="18" t="s">
        <v>35</v>
      </c>
      <c r="E4529" s="26">
        <v>42562.89236111111</v>
      </c>
      <c r="F4529" s="19">
        <f>IFERROR(__xludf.DUMMYFUNCTION("IFERROR(TO_DATE(E4529), """")"),42562.89236111111)</f>
        <v>42562.89236</v>
      </c>
      <c r="G4529" s="20">
        <f t="shared" si="1"/>
        <v>21</v>
      </c>
      <c r="H4529" s="18" t="s">
        <v>34</v>
      </c>
      <c r="I4529" s="19" t="str">
        <f>IFERROR(__xludf.DUMMYFUNCTION("IFERROR(TO_DATE(H4529), """")"),"NA")</f>
        <v>NA</v>
      </c>
      <c r="J4529" s="19" t="s">
        <v>13</v>
      </c>
      <c r="K4529" s="22">
        <f t="shared" si="2"/>
        <v>0</v>
      </c>
    </row>
    <row r="4530">
      <c r="A4530" s="18">
        <v>1213.0</v>
      </c>
      <c r="B4530" s="18" t="s">
        <v>30</v>
      </c>
      <c r="C4530" s="18" t="s">
        <v>34</v>
      </c>
      <c r="D4530" s="18" t="s">
        <v>35</v>
      </c>
      <c r="E4530" s="26">
        <v>42562.893055555556</v>
      </c>
      <c r="F4530" s="19">
        <f>IFERROR(__xludf.DUMMYFUNCTION("IFERROR(TO_DATE(E4530), """")"),42562.893055555556)</f>
        <v>42562.89306</v>
      </c>
      <c r="G4530" s="20">
        <f t="shared" si="1"/>
        <v>21</v>
      </c>
      <c r="H4530" s="18" t="s">
        <v>34</v>
      </c>
      <c r="I4530" s="19" t="str">
        <f>IFERROR(__xludf.DUMMYFUNCTION("IFERROR(TO_DATE(H4530), """")"),"NA")</f>
        <v>NA</v>
      </c>
      <c r="J4530" s="19" t="s">
        <v>13</v>
      </c>
      <c r="K4530" s="22">
        <f t="shared" si="2"/>
        <v>0</v>
      </c>
    </row>
    <row r="4531">
      <c r="A4531" s="18">
        <v>1219.0</v>
      </c>
      <c r="B4531" s="18" t="s">
        <v>30</v>
      </c>
      <c r="C4531" s="18" t="s">
        <v>34</v>
      </c>
      <c r="D4531" s="18" t="s">
        <v>35</v>
      </c>
      <c r="E4531" s="26">
        <v>42562.893055555556</v>
      </c>
      <c r="F4531" s="19">
        <f>IFERROR(__xludf.DUMMYFUNCTION("IFERROR(TO_DATE(E4531), """")"),42562.893055555556)</f>
        <v>42562.89306</v>
      </c>
      <c r="G4531" s="20">
        <f t="shared" si="1"/>
        <v>21</v>
      </c>
      <c r="H4531" s="18" t="s">
        <v>34</v>
      </c>
      <c r="I4531" s="19" t="str">
        <f>IFERROR(__xludf.DUMMYFUNCTION("IFERROR(TO_DATE(H4531), """")"),"NA")</f>
        <v>NA</v>
      </c>
      <c r="J4531" s="19" t="s">
        <v>13</v>
      </c>
      <c r="K4531" s="22">
        <f t="shared" si="2"/>
        <v>0</v>
      </c>
    </row>
    <row r="4532">
      <c r="A4532" s="18">
        <v>1218.0</v>
      </c>
      <c r="B4532" s="18" t="s">
        <v>30</v>
      </c>
      <c r="C4532" s="18" t="s">
        <v>34</v>
      </c>
      <c r="D4532" s="18" t="s">
        <v>35</v>
      </c>
      <c r="E4532" s="26">
        <v>42562.893055555556</v>
      </c>
      <c r="F4532" s="19">
        <f>IFERROR(__xludf.DUMMYFUNCTION("IFERROR(TO_DATE(E4532), """")"),42562.893055555556)</f>
        <v>42562.89306</v>
      </c>
      <c r="G4532" s="20">
        <f t="shared" si="1"/>
        <v>21</v>
      </c>
      <c r="H4532" s="18" t="s">
        <v>34</v>
      </c>
      <c r="I4532" s="19" t="str">
        <f>IFERROR(__xludf.DUMMYFUNCTION("IFERROR(TO_DATE(H4532), """")"),"NA")</f>
        <v>NA</v>
      </c>
      <c r="J4532" s="19" t="s">
        <v>13</v>
      </c>
      <c r="K4532" s="22">
        <f t="shared" si="2"/>
        <v>0</v>
      </c>
    </row>
    <row r="4533">
      <c r="A4533" s="18">
        <v>1208.0</v>
      </c>
      <c r="B4533" s="18" t="s">
        <v>30</v>
      </c>
      <c r="C4533" s="18" t="s">
        <v>34</v>
      </c>
      <c r="D4533" s="18" t="s">
        <v>35</v>
      </c>
      <c r="E4533" s="26">
        <v>42562.89444444444</v>
      </c>
      <c r="F4533" s="19">
        <f>IFERROR(__xludf.DUMMYFUNCTION("IFERROR(TO_DATE(E4533), """")"),42562.89444444444)</f>
        <v>42562.89444</v>
      </c>
      <c r="G4533" s="20">
        <f t="shared" si="1"/>
        <v>21</v>
      </c>
      <c r="H4533" s="18" t="s">
        <v>34</v>
      </c>
      <c r="I4533" s="19" t="str">
        <f>IFERROR(__xludf.DUMMYFUNCTION("IFERROR(TO_DATE(H4533), """")"),"NA")</f>
        <v>NA</v>
      </c>
      <c r="J4533" s="19" t="s">
        <v>13</v>
      </c>
      <c r="K4533" s="22">
        <f t="shared" si="2"/>
        <v>0</v>
      </c>
    </row>
    <row r="4534">
      <c r="A4534" s="18">
        <v>1220.0</v>
      </c>
      <c r="B4534" s="18" t="s">
        <v>30</v>
      </c>
      <c r="C4534" s="18" t="s">
        <v>34</v>
      </c>
      <c r="D4534" s="18" t="s">
        <v>35</v>
      </c>
      <c r="E4534" s="26">
        <v>42562.89513888889</v>
      </c>
      <c r="F4534" s="19">
        <f>IFERROR(__xludf.DUMMYFUNCTION("IFERROR(TO_DATE(E4534), """")"),42562.89513888889)</f>
        <v>42562.89514</v>
      </c>
      <c r="G4534" s="20">
        <f t="shared" si="1"/>
        <v>21</v>
      </c>
      <c r="H4534" s="18" t="s">
        <v>34</v>
      </c>
      <c r="I4534" s="19" t="str">
        <f>IFERROR(__xludf.DUMMYFUNCTION("IFERROR(TO_DATE(H4534), """")"),"NA")</f>
        <v>NA</v>
      </c>
      <c r="J4534" s="19" t="s">
        <v>13</v>
      </c>
      <c r="K4534" s="22">
        <f t="shared" si="2"/>
        <v>0</v>
      </c>
    </row>
    <row r="4535">
      <c r="A4535" s="18">
        <v>1212.0</v>
      </c>
      <c r="B4535" s="18" t="s">
        <v>30</v>
      </c>
      <c r="C4535" s="18" t="s">
        <v>34</v>
      </c>
      <c r="D4535" s="18" t="s">
        <v>35</v>
      </c>
      <c r="E4535" s="26">
        <v>42562.89513888889</v>
      </c>
      <c r="F4535" s="19">
        <f>IFERROR(__xludf.DUMMYFUNCTION("IFERROR(TO_DATE(E4535), """")"),42562.89513888889)</f>
        <v>42562.89514</v>
      </c>
      <c r="G4535" s="20">
        <f t="shared" si="1"/>
        <v>21</v>
      </c>
      <c r="H4535" s="18" t="s">
        <v>34</v>
      </c>
      <c r="I4535" s="19" t="str">
        <f>IFERROR(__xludf.DUMMYFUNCTION("IFERROR(TO_DATE(H4535), """")"),"NA")</f>
        <v>NA</v>
      </c>
      <c r="J4535" s="19" t="s">
        <v>13</v>
      </c>
      <c r="K4535" s="22">
        <f t="shared" si="2"/>
        <v>0</v>
      </c>
    </row>
    <row r="4536">
      <c r="A4536" s="18">
        <v>1223.0</v>
      </c>
      <c r="B4536" s="18" t="s">
        <v>30</v>
      </c>
      <c r="C4536" s="18" t="s">
        <v>34</v>
      </c>
      <c r="D4536" s="18" t="s">
        <v>35</v>
      </c>
      <c r="E4536" s="26">
        <v>42562.89513888889</v>
      </c>
      <c r="F4536" s="19">
        <f>IFERROR(__xludf.DUMMYFUNCTION("IFERROR(TO_DATE(E4536), """")"),42562.89513888889)</f>
        <v>42562.89514</v>
      </c>
      <c r="G4536" s="20">
        <f t="shared" si="1"/>
        <v>21</v>
      </c>
      <c r="H4536" s="18" t="s">
        <v>34</v>
      </c>
      <c r="I4536" s="19" t="str">
        <f>IFERROR(__xludf.DUMMYFUNCTION("IFERROR(TO_DATE(H4536), """")"),"NA")</f>
        <v>NA</v>
      </c>
      <c r="J4536" s="19" t="s">
        <v>13</v>
      </c>
      <c r="K4536" s="22">
        <f t="shared" si="2"/>
        <v>0</v>
      </c>
    </row>
    <row r="4537">
      <c r="A4537" s="18">
        <v>1222.0</v>
      </c>
      <c r="B4537" s="18" t="s">
        <v>30</v>
      </c>
      <c r="C4537" s="18" t="s">
        <v>34</v>
      </c>
      <c r="D4537" s="18" t="s">
        <v>35</v>
      </c>
      <c r="E4537" s="26">
        <v>42562.89513888889</v>
      </c>
      <c r="F4537" s="19">
        <f>IFERROR(__xludf.DUMMYFUNCTION("IFERROR(TO_DATE(E4537), """")"),42562.89513888889)</f>
        <v>42562.89514</v>
      </c>
      <c r="G4537" s="20">
        <f t="shared" si="1"/>
        <v>21</v>
      </c>
      <c r="H4537" s="18" t="s">
        <v>34</v>
      </c>
      <c r="I4537" s="19" t="str">
        <f>IFERROR(__xludf.DUMMYFUNCTION("IFERROR(TO_DATE(H4537), """")"),"NA")</f>
        <v>NA</v>
      </c>
      <c r="J4537" s="19" t="s">
        <v>13</v>
      </c>
      <c r="K4537" s="22">
        <f t="shared" si="2"/>
        <v>0</v>
      </c>
    </row>
    <row r="4538">
      <c r="A4538" s="18">
        <v>1209.0</v>
      </c>
      <c r="B4538" s="18" t="s">
        <v>30</v>
      </c>
      <c r="C4538" s="18" t="s">
        <v>34</v>
      </c>
      <c r="D4538" s="18" t="s">
        <v>35</v>
      </c>
      <c r="E4538" s="26">
        <v>42562.895833333336</v>
      </c>
      <c r="F4538" s="19">
        <f>IFERROR(__xludf.DUMMYFUNCTION("IFERROR(TO_DATE(E4538), """")"),42562.895833333336)</f>
        <v>42562.89583</v>
      </c>
      <c r="G4538" s="20">
        <f t="shared" si="1"/>
        <v>21</v>
      </c>
      <c r="H4538" s="18" t="s">
        <v>34</v>
      </c>
      <c r="I4538" s="19" t="str">
        <f>IFERROR(__xludf.DUMMYFUNCTION("IFERROR(TO_DATE(H4538), """")"),"NA")</f>
        <v>NA</v>
      </c>
      <c r="J4538" s="19" t="s">
        <v>13</v>
      </c>
      <c r="K4538" s="22">
        <f t="shared" si="2"/>
        <v>0</v>
      </c>
    </row>
    <row r="4539">
      <c r="A4539" s="18">
        <v>1239.0</v>
      </c>
      <c r="B4539" s="18" t="s">
        <v>30</v>
      </c>
      <c r="C4539" s="18" t="s">
        <v>34</v>
      </c>
      <c r="D4539" s="18" t="s">
        <v>35</v>
      </c>
      <c r="E4539" s="26">
        <v>42562.89861111111</v>
      </c>
      <c r="F4539" s="19">
        <f>IFERROR(__xludf.DUMMYFUNCTION("IFERROR(TO_DATE(E4539), """")"),42562.89861111111)</f>
        <v>42562.89861</v>
      </c>
      <c r="G4539" s="20">
        <f t="shared" si="1"/>
        <v>21</v>
      </c>
      <c r="H4539" s="18" t="s">
        <v>34</v>
      </c>
      <c r="I4539" s="19" t="str">
        <f>IFERROR(__xludf.DUMMYFUNCTION("IFERROR(TO_DATE(H4539), """")"),"NA")</f>
        <v>NA</v>
      </c>
      <c r="J4539" s="19" t="s">
        <v>13</v>
      </c>
      <c r="K4539" s="22">
        <f t="shared" si="2"/>
        <v>0</v>
      </c>
    </row>
    <row r="4540">
      <c r="A4540" s="18">
        <v>1221.0</v>
      </c>
      <c r="B4540" s="18" t="s">
        <v>30</v>
      </c>
      <c r="C4540" s="18" t="s">
        <v>34</v>
      </c>
      <c r="D4540" s="18" t="s">
        <v>35</v>
      </c>
      <c r="E4540" s="26">
        <v>42562.899305555555</v>
      </c>
      <c r="F4540" s="19">
        <f>IFERROR(__xludf.DUMMYFUNCTION("IFERROR(TO_DATE(E4540), """")"),42562.899305555555)</f>
        <v>42562.89931</v>
      </c>
      <c r="G4540" s="20">
        <f t="shared" si="1"/>
        <v>21</v>
      </c>
      <c r="H4540" s="18" t="s">
        <v>34</v>
      </c>
      <c r="I4540" s="19" t="str">
        <f>IFERROR(__xludf.DUMMYFUNCTION("IFERROR(TO_DATE(H4540), """")"),"NA")</f>
        <v>NA</v>
      </c>
      <c r="J4540" s="19" t="s">
        <v>13</v>
      </c>
      <c r="K4540" s="22">
        <f t="shared" si="2"/>
        <v>0</v>
      </c>
    </row>
    <row r="4541">
      <c r="A4541" s="18">
        <v>1229.0</v>
      </c>
      <c r="B4541" s="18" t="s">
        <v>30</v>
      </c>
      <c r="C4541" s="18" t="s">
        <v>34</v>
      </c>
      <c r="D4541" s="18" t="s">
        <v>35</v>
      </c>
      <c r="E4541" s="26">
        <v>42562.899305555555</v>
      </c>
      <c r="F4541" s="19">
        <f>IFERROR(__xludf.DUMMYFUNCTION("IFERROR(TO_DATE(E4541), """")"),42562.899305555555)</f>
        <v>42562.89931</v>
      </c>
      <c r="G4541" s="20">
        <f t="shared" si="1"/>
        <v>21</v>
      </c>
      <c r="H4541" s="18" t="s">
        <v>34</v>
      </c>
      <c r="I4541" s="19" t="str">
        <f>IFERROR(__xludf.DUMMYFUNCTION("IFERROR(TO_DATE(H4541), """")"),"NA")</f>
        <v>NA</v>
      </c>
      <c r="J4541" s="19" t="s">
        <v>13</v>
      </c>
      <c r="K4541" s="22">
        <f t="shared" si="2"/>
        <v>0</v>
      </c>
    </row>
    <row r="4542">
      <c r="A4542" s="18">
        <v>1242.0</v>
      </c>
      <c r="B4542" s="18" t="s">
        <v>30</v>
      </c>
      <c r="C4542" s="18" t="s">
        <v>34</v>
      </c>
      <c r="D4542" s="18" t="s">
        <v>35</v>
      </c>
      <c r="E4542" s="26">
        <v>42562.9</v>
      </c>
      <c r="F4542" s="19">
        <f>IFERROR(__xludf.DUMMYFUNCTION("IFERROR(TO_DATE(E4542), """")"),42562.9)</f>
        <v>42562.9</v>
      </c>
      <c r="G4542" s="20">
        <f t="shared" si="1"/>
        <v>21</v>
      </c>
      <c r="H4542" s="18" t="s">
        <v>34</v>
      </c>
      <c r="I4542" s="19" t="str">
        <f>IFERROR(__xludf.DUMMYFUNCTION("IFERROR(TO_DATE(H4542), """")"),"NA")</f>
        <v>NA</v>
      </c>
      <c r="J4542" s="19" t="s">
        <v>13</v>
      </c>
      <c r="K4542" s="22">
        <f t="shared" si="2"/>
        <v>0</v>
      </c>
    </row>
    <row r="4543">
      <c r="A4543" s="18">
        <v>1237.0</v>
      </c>
      <c r="B4543" s="18" t="s">
        <v>30</v>
      </c>
      <c r="C4543" s="18" t="s">
        <v>34</v>
      </c>
      <c r="D4543" s="18" t="s">
        <v>35</v>
      </c>
      <c r="E4543" s="26">
        <v>42562.90069444444</v>
      </c>
      <c r="F4543" s="19">
        <f>IFERROR(__xludf.DUMMYFUNCTION("IFERROR(TO_DATE(E4543), """")"),42562.90069444444)</f>
        <v>42562.90069</v>
      </c>
      <c r="G4543" s="20">
        <f t="shared" si="1"/>
        <v>21</v>
      </c>
      <c r="H4543" s="18" t="s">
        <v>34</v>
      </c>
      <c r="I4543" s="19" t="str">
        <f>IFERROR(__xludf.DUMMYFUNCTION("IFERROR(TO_DATE(H4543), """")"),"NA")</f>
        <v>NA</v>
      </c>
      <c r="J4543" s="19" t="s">
        <v>13</v>
      </c>
      <c r="K4543" s="22">
        <f t="shared" si="2"/>
        <v>0</v>
      </c>
    </row>
    <row r="4544">
      <c r="A4544" s="18">
        <v>1225.0</v>
      </c>
      <c r="B4544" s="18" t="s">
        <v>30</v>
      </c>
      <c r="C4544" s="18" t="s">
        <v>34</v>
      </c>
      <c r="D4544" s="18" t="s">
        <v>35</v>
      </c>
      <c r="E4544" s="26">
        <v>42562.90069444444</v>
      </c>
      <c r="F4544" s="19">
        <f>IFERROR(__xludf.DUMMYFUNCTION("IFERROR(TO_DATE(E4544), """")"),42562.90069444444)</f>
        <v>42562.90069</v>
      </c>
      <c r="G4544" s="20">
        <f t="shared" si="1"/>
        <v>21</v>
      </c>
      <c r="H4544" s="18" t="s">
        <v>34</v>
      </c>
      <c r="I4544" s="19" t="str">
        <f>IFERROR(__xludf.DUMMYFUNCTION("IFERROR(TO_DATE(H4544), """")"),"NA")</f>
        <v>NA</v>
      </c>
      <c r="J4544" s="19" t="s">
        <v>13</v>
      </c>
      <c r="K4544" s="22">
        <f t="shared" si="2"/>
        <v>0</v>
      </c>
    </row>
    <row r="4545">
      <c r="A4545" s="18">
        <v>1224.0</v>
      </c>
      <c r="B4545" s="18" t="s">
        <v>30</v>
      </c>
      <c r="C4545" s="18" t="s">
        <v>34</v>
      </c>
      <c r="D4545" s="18" t="s">
        <v>35</v>
      </c>
      <c r="E4545" s="26">
        <v>42562.90138888889</v>
      </c>
      <c r="F4545" s="19">
        <f>IFERROR(__xludf.DUMMYFUNCTION("IFERROR(TO_DATE(E4545), """")"),42562.90138888889)</f>
        <v>42562.90139</v>
      </c>
      <c r="G4545" s="20">
        <f t="shared" si="1"/>
        <v>21</v>
      </c>
      <c r="H4545" s="18" t="s">
        <v>34</v>
      </c>
      <c r="I4545" s="19" t="str">
        <f>IFERROR(__xludf.DUMMYFUNCTION("IFERROR(TO_DATE(H4545), """")"),"NA")</f>
        <v>NA</v>
      </c>
      <c r="J4545" s="19" t="s">
        <v>13</v>
      </c>
      <c r="K4545" s="22">
        <f t="shared" si="2"/>
        <v>0</v>
      </c>
    </row>
    <row r="4546">
      <c r="A4546" s="18">
        <v>1243.0</v>
      </c>
      <c r="B4546" s="18" t="s">
        <v>30</v>
      </c>
      <c r="C4546" s="18" t="s">
        <v>34</v>
      </c>
      <c r="D4546" s="18" t="s">
        <v>35</v>
      </c>
      <c r="E4546" s="26">
        <v>42562.90138888889</v>
      </c>
      <c r="F4546" s="19">
        <f>IFERROR(__xludf.DUMMYFUNCTION("IFERROR(TO_DATE(E4546), """")"),42562.90138888889)</f>
        <v>42562.90139</v>
      </c>
      <c r="G4546" s="20">
        <f t="shared" si="1"/>
        <v>21</v>
      </c>
      <c r="H4546" s="18" t="s">
        <v>34</v>
      </c>
      <c r="I4546" s="19" t="str">
        <f>IFERROR(__xludf.DUMMYFUNCTION("IFERROR(TO_DATE(H4546), """")"),"NA")</f>
        <v>NA</v>
      </c>
      <c r="J4546" s="19" t="s">
        <v>13</v>
      </c>
      <c r="K4546" s="22">
        <f t="shared" si="2"/>
        <v>0</v>
      </c>
    </row>
    <row r="4547">
      <c r="A4547" s="18">
        <v>1232.0</v>
      </c>
      <c r="B4547" s="18" t="s">
        <v>30</v>
      </c>
      <c r="C4547" s="18" t="s">
        <v>34</v>
      </c>
      <c r="D4547" s="18" t="s">
        <v>35</v>
      </c>
      <c r="E4547" s="26">
        <v>42562.902083333334</v>
      </c>
      <c r="F4547" s="19">
        <f>IFERROR(__xludf.DUMMYFUNCTION("IFERROR(TO_DATE(E4547), """")"),42562.902083333334)</f>
        <v>42562.90208</v>
      </c>
      <c r="G4547" s="20">
        <f t="shared" si="1"/>
        <v>21</v>
      </c>
      <c r="H4547" s="18" t="s">
        <v>34</v>
      </c>
      <c r="I4547" s="19" t="str">
        <f>IFERROR(__xludf.DUMMYFUNCTION("IFERROR(TO_DATE(H4547), """")"),"NA")</f>
        <v>NA</v>
      </c>
      <c r="J4547" s="19" t="s">
        <v>13</v>
      </c>
      <c r="K4547" s="22">
        <f t="shared" si="2"/>
        <v>0</v>
      </c>
    </row>
    <row r="4548">
      <c r="A4548" s="18">
        <v>1236.0</v>
      </c>
      <c r="B4548" s="18" t="s">
        <v>30</v>
      </c>
      <c r="C4548" s="18" t="s">
        <v>34</v>
      </c>
      <c r="D4548" s="18" t="s">
        <v>35</v>
      </c>
      <c r="E4548" s="26">
        <v>42562.902083333334</v>
      </c>
      <c r="F4548" s="19">
        <f>IFERROR(__xludf.DUMMYFUNCTION("IFERROR(TO_DATE(E4548), """")"),42562.902083333334)</f>
        <v>42562.90208</v>
      </c>
      <c r="G4548" s="20">
        <f t="shared" si="1"/>
        <v>21</v>
      </c>
      <c r="H4548" s="18" t="s">
        <v>34</v>
      </c>
      <c r="I4548" s="19" t="str">
        <f>IFERROR(__xludf.DUMMYFUNCTION("IFERROR(TO_DATE(H4548), """")"),"NA")</f>
        <v>NA</v>
      </c>
      <c r="J4548" s="19" t="s">
        <v>13</v>
      </c>
      <c r="K4548" s="22">
        <f t="shared" si="2"/>
        <v>0</v>
      </c>
    </row>
    <row r="4549">
      <c r="A4549" s="18">
        <v>1226.0</v>
      </c>
      <c r="B4549" s="18" t="s">
        <v>32</v>
      </c>
      <c r="C4549" s="18" t="s">
        <v>34</v>
      </c>
      <c r="D4549" s="18" t="s">
        <v>35</v>
      </c>
      <c r="E4549" s="26">
        <v>42562.902083333334</v>
      </c>
      <c r="F4549" s="19">
        <f>IFERROR(__xludf.DUMMYFUNCTION("IFERROR(TO_DATE(E4549), """")"),42562.902083333334)</f>
        <v>42562.90208</v>
      </c>
      <c r="G4549" s="20">
        <f t="shared" si="1"/>
        <v>21</v>
      </c>
      <c r="H4549" s="18" t="s">
        <v>34</v>
      </c>
      <c r="I4549" s="19" t="str">
        <f>IFERROR(__xludf.DUMMYFUNCTION("IFERROR(TO_DATE(H4549), """")"),"NA")</f>
        <v>NA</v>
      </c>
      <c r="J4549" s="19" t="s">
        <v>13</v>
      </c>
      <c r="K4549" s="22">
        <f t="shared" si="2"/>
        <v>0</v>
      </c>
    </row>
    <row r="4550">
      <c r="A4550" s="18">
        <v>1230.0</v>
      </c>
      <c r="B4550" s="18" t="s">
        <v>30</v>
      </c>
      <c r="C4550" s="18" t="s">
        <v>34</v>
      </c>
      <c r="D4550" s="18" t="s">
        <v>35</v>
      </c>
      <c r="E4550" s="26">
        <v>42562.90416666667</v>
      </c>
      <c r="F4550" s="19">
        <f>IFERROR(__xludf.DUMMYFUNCTION("IFERROR(TO_DATE(E4550), """")"),42562.90416666667)</f>
        <v>42562.90417</v>
      </c>
      <c r="G4550" s="20">
        <f t="shared" si="1"/>
        <v>21</v>
      </c>
      <c r="H4550" s="18" t="s">
        <v>34</v>
      </c>
      <c r="I4550" s="19" t="str">
        <f>IFERROR(__xludf.DUMMYFUNCTION("IFERROR(TO_DATE(H4550), """")"),"NA")</f>
        <v>NA</v>
      </c>
      <c r="J4550" s="19" t="s">
        <v>13</v>
      </c>
      <c r="K4550" s="22">
        <f t="shared" si="2"/>
        <v>0</v>
      </c>
    </row>
    <row r="4551">
      <c r="A4551" s="18">
        <v>1240.0</v>
      </c>
      <c r="B4551" s="18" t="s">
        <v>30</v>
      </c>
      <c r="C4551" s="18" t="s">
        <v>34</v>
      </c>
      <c r="D4551" s="18" t="s">
        <v>35</v>
      </c>
      <c r="E4551" s="26">
        <v>42562.904861111114</v>
      </c>
      <c r="F4551" s="19">
        <f>IFERROR(__xludf.DUMMYFUNCTION("IFERROR(TO_DATE(E4551), """")"),42562.904861111114)</f>
        <v>42562.90486</v>
      </c>
      <c r="G4551" s="20">
        <f t="shared" si="1"/>
        <v>21</v>
      </c>
      <c r="H4551" s="18" t="s">
        <v>34</v>
      </c>
      <c r="I4551" s="19" t="str">
        <f>IFERROR(__xludf.DUMMYFUNCTION("IFERROR(TO_DATE(H4551), """")"),"NA")</f>
        <v>NA</v>
      </c>
      <c r="J4551" s="19" t="s">
        <v>13</v>
      </c>
      <c r="K4551" s="22">
        <f t="shared" si="2"/>
        <v>0</v>
      </c>
    </row>
    <row r="4552">
      <c r="A4552" s="18">
        <v>1235.0</v>
      </c>
      <c r="B4552" s="18" t="s">
        <v>30</v>
      </c>
      <c r="C4552" s="18" t="s">
        <v>34</v>
      </c>
      <c r="D4552" s="18" t="s">
        <v>35</v>
      </c>
      <c r="E4552" s="26">
        <v>42562.904861111114</v>
      </c>
      <c r="F4552" s="19">
        <f>IFERROR(__xludf.DUMMYFUNCTION("IFERROR(TO_DATE(E4552), """")"),42562.904861111114)</f>
        <v>42562.90486</v>
      </c>
      <c r="G4552" s="20">
        <f t="shared" si="1"/>
        <v>21</v>
      </c>
      <c r="H4552" s="18" t="s">
        <v>34</v>
      </c>
      <c r="I4552" s="19" t="str">
        <f>IFERROR(__xludf.DUMMYFUNCTION("IFERROR(TO_DATE(H4552), """")"),"NA")</f>
        <v>NA</v>
      </c>
      <c r="J4552" s="19" t="s">
        <v>13</v>
      </c>
      <c r="K4552" s="22">
        <f t="shared" si="2"/>
        <v>0</v>
      </c>
    </row>
    <row r="4553">
      <c r="A4553" s="18">
        <v>1248.0</v>
      </c>
      <c r="B4553" s="18" t="s">
        <v>30</v>
      </c>
      <c r="C4553" s="18" t="s">
        <v>34</v>
      </c>
      <c r="D4553" s="18" t="s">
        <v>35</v>
      </c>
      <c r="E4553" s="26">
        <v>42562.90555555555</v>
      </c>
      <c r="F4553" s="19">
        <f>IFERROR(__xludf.DUMMYFUNCTION("IFERROR(TO_DATE(E4553), """")"),42562.90555555555)</f>
        <v>42562.90556</v>
      </c>
      <c r="G4553" s="20">
        <f t="shared" si="1"/>
        <v>21</v>
      </c>
      <c r="H4553" s="18" t="s">
        <v>34</v>
      </c>
      <c r="I4553" s="19" t="str">
        <f>IFERROR(__xludf.DUMMYFUNCTION("IFERROR(TO_DATE(H4553), """")"),"NA")</f>
        <v>NA</v>
      </c>
      <c r="J4553" s="19" t="s">
        <v>13</v>
      </c>
      <c r="K4553" s="22">
        <f t="shared" si="2"/>
        <v>0</v>
      </c>
    </row>
    <row r="4554">
      <c r="A4554" s="18">
        <v>1234.0</v>
      </c>
      <c r="B4554" s="18" t="s">
        <v>30</v>
      </c>
      <c r="C4554" s="18" t="s">
        <v>34</v>
      </c>
      <c r="D4554" s="18" t="s">
        <v>35</v>
      </c>
      <c r="E4554" s="26">
        <v>42562.90625</v>
      </c>
      <c r="F4554" s="19">
        <f>IFERROR(__xludf.DUMMYFUNCTION("IFERROR(TO_DATE(E4554), """")"),42562.90625)</f>
        <v>42562.90625</v>
      </c>
      <c r="G4554" s="20">
        <f t="shared" si="1"/>
        <v>21</v>
      </c>
      <c r="H4554" s="18" t="s">
        <v>34</v>
      </c>
      <c r="I4554" s="19" t="str">
        <f>IFERROR(__xludf.DUMMYFUNCTION("IFERROR(TO_DATE(H4554), """")"),"NA")</f>
        <v>NA</v>
      </c>
      <c r="J4554" s="19" t="s">
        <v>13</v>
      </c>
      <c r="K4554" s="22">
        <f t="shared" si="2"/>
        <v>0</v>
      </c>
    </row>
    <row r="4555">
      <c r="A4555" s="18">
        <v>1246.0</v>
      </c>
      <c r="B4555" s="18" t="s">
        <v>30</v>
      </c>
      <c r="C4555" s="18" t="s">
        <v>34</v>
      </c>
      <c r="D4555" s="18" t="s">
        <v>35</v>
      </c>
      <c r="E4555" s="26">
        <v>42562.907638888886</v>
      </c>
      <c r="F4555" s="19">
        <f>IFERROR(__xludf.DUMMYFUNCTION("IFERROR(TO_DATE(E4555), """")"),42562.907638888886)</f>
        <v>42562.90764</v>
      </c>
      <c r="G4555" s="20">
        <f t="shared" si="1"/>
        <v>21</v>
      </c>
      <c r="H4555" s="18" t="s">
        <v>34</v>
      </c>
      <c r="I4555" s="19" t="str">
        <f>IFERROR(__xludf.DUMMYFUNCTION("IFERROR(TO_DATE(H4555), """")"),"NA")</f>
        <v>NA</v>
      </c>
      <c r="J4555" s="19" t="s">
        <v>13</v>
      </c>
      <c r="K4555" s="22">
        <f t="shared" si="2"/>
        <v>0</v>
      </c>
    </row>
    <row r="4556">
      <c r="A4556" s="18">
        <v>1249.0</v>
      </c>
      <c r="B4556" s="18" t="s">
        <v>30</v>
      </c>
      <c r="C4556" s="18" t="s">
        <v>34</v>
      </c>
      <c r="D4556" s="18" t="s">
        <v>35</v>
      </c>
      <c r="E4556" s="26">
        <v>42562.90902777778</v>
      </c>
      <c r="F4556" s="19">
        <f>IFERROR(__xludf.DUMMYFUNCTION("IFERROR(TO_DATE(E4556), """")"),42562.90902777778)</f>
        <v>42562.90903</v>
      </c>
      <c r="G4556" s="20">
        <f t="shared" si="1"/>
        <v>21</v>
      </c>
      <c r="H4556" s="18" t="s">
        <v>34</v>
      </c>
      <c r="I4556" s="19" t="str">
        <f>IFERROR(__xludf.DUMMYFUNCTION("IFERROR(TO_DATE(H4556), """")"),"NA")</f>
        <v>NA</v>
      </c>
      <c r="J4556" s="19" t="s">
        <v>13</v>
      </c>
      <c r="K4556" s="22">
        <f t="shared" si="2"/>
        <v>0</v>
      </c>
    </row>
    <row r="4557">
      <c r="A4557" s="18">
        <v>1250.0</v>
      </c>
      <c r="B4557" s="18" t="s">
        <v>30</v>
      </c>
      <c r="C4557" s="18" t="s">
        <v>34</v>
      </c>
      <c r="D4557" s="18" t="s">
        <v>35</v>
      </c>
      <c r="E4557" s="26">
        <v>42562.90972222222</v>
      </c>
      <c r="F4557" s="19">
        <f>IFERROR(__xludf.DUMMYFUNCTION("IFERROR(TO_DATE(E4557), """")"),42562.90972222222)</f>
        <v>42562.90972</v>
      </c>
      <c r="G4557" s="20">
        <f t="shared" si="1"/>
        <v>21</v>
      </c>
      <c r="H4557" s="18" t="s">
        <v>34</v>
      </c>
      <c r="I4557" s="19" t="str">
        <f>IFERROR(__xludf.DUMMYFUNCTION("IFERROR(TO_DATE(H4557), """")"),"NA")</f>
        <v>NA</v>
      </c>
      <c r="J4557" s="19" t="s">
        <v>13</v>
      </c>
      <c r="K4557" s="22">
        <f t="shared" si="2"/>
        <v>0</v>
      </c>
    </row>
    <row r="4558">
      <c r="A4558" s="18">
        <v>1255.0</v>
      </c>
      <c r="B4558" s="18" t="s">
        <v>30</v>
      </c>
      <c r="C4558" s="18" t="s">
        <v>34</v>
      </c>
      <c r="D4558" s="18" t="s">
        <v>35</v>
      </c>
      <c r="E4558" s="26">
        <v>42562.9125</v>
      </c>
      <c r="F4558" s="19">
        <f>IFERROR(__xludf.DUMMYFUNCTION("IFERROR(TO_DATE(E4558), """")"),42562.9125)</f>
        <v>42562.9125</v>
      </c>
      <c r="G4558" s="20">
        <f t="shared" si="1"/>
        <v>21</v>
      </c>
      <c r="H4558" s="18" t="s">
        <v>34</v>
      </c>
      <c r="I4558" s="19" t="str">
        <f>IFERROR(__xludf.DUMMYFUNCTION("IFERROR(TO_DATE(H4558), """")"),"NA")</f>
        <v>NA</v>
      </c>
      <c r="J4558" s="19" t="s">
        <v>13</v>
      </c>
      <c r="K4558" s="22">
        <f t="shared" si="2"/>
        <v>0</v>
      </c>
    </row>
    <row r="4559">
      <c r="A4559" s="18">
        <v>1257.0</v>
      </c>
      <c r="B4559" s="18" t="s">
        <v>30</v>
      </c>
      <c r="C4559" s="18" t="s">
        <v>34</v>
      </c>
      <c r="D4559" s="18" t="s">
        <v>35</v>
      </c>
      <c r="E4559" s="26">
        <v>42562.913194444445</v>
      </c>
      <c r="F4559" s="19">
        <f>IFERROR(__xludf.DUMMYFUNCTION("IFERROR(TO_DATE(E4559), """")"),42562.913194444445)</f>
        <v>42562.91319</v>
      </c>
      <c r="G4559" s="20">
        <f t="shared" si="1"/>
        <v>21</v>
      </c>
      <c r="H4559" s="18" t="s">
        <v>34</v>
      </c>
      <c r="I4559" s="19" t="str">
        <f>IFERROR(__xludf.DUMMYFUNCTION("IFERROR(TO_DATE(H4559), """")"),"NA")</f>
        <v>NA</v>
      </c>
      <c r="J4559" s="19" t="s">
        <v>13</v>
      </c>
      <c r="K4559" s="22">
        <f t="shared" si="2"/>
        <v>0</v>
      </c>
    </row>
    <row r="4560">
      <c r="A4560" s="18">
        <v>1256.0</v>
      </c>
      <c r="B4560" s="18" t="s">
        <v>30</v>
      </c>
      <c r="C4560" s="18" t="s">
        <v>34</v>
      </c>
      <c r="D4560" s="18" t="s">
        <v>35</v>
      </c>
      <c r="E4560" s="26">
        <v>42562.913194444445</v>
      </c>
      <c r="F4560" s="19">
        <f>IFERROR(__xludf.DUMMYFUNCTION("IFERROR(TO_DATE(E4560), """")"),42562.913194444445)</f>
        <v>42562.91319</v>
      </c>
      <c r="G4560" s="20">
        <f t="shared" si="1"/>
        <v>21</v>
      </c>
      <c r="H4560" s="18" t="s">
        <v>34</v>
      </c>
      <c r="I4560" s="19" t="str">
        <f>IFERROR(__xludf.DUMMYFUNCTION("IFERROR(TO_DATE(H4560), """")"),"NA")</f>
        <v>NA</v>
      </c>
      <c r="J4560" s="19" t="s">
        <v>13</v>
      </c>
      <c r="K4560" s="22">
        <f t="shared" si="2"/>
        <v>0</v>
      </c>
    </row>
    <row r="4561">
      <c r="A4561" s="18">
        <v>1259.0</v>
      </c>
      <c r="B4561" s="18" t="s">
        <v>30</v>
      </c>
      <c r="C4561" s="18" t="s">
        <v>34</v>
      </c>
      <c r="D4561" s="18" t="s">
        <v>35</v>
      </c>
      <c r="E4561" s="26">
        <v>42562.91527777778</v>
      </c>
      <c r="F4561" s="19">
        <f>IFERROR(__xludf.DUMMYFUNCTION("IFERROR(TO_DATE(E4561), """")"),42562.91527777778)</f>
        <v>42562.91528</v>
      </c>
      <c r="G4561" s="20">
        <f t="shared" si="1"/>
        <v>21</v>
      </c>
      <c r="H4561" s="18" t="s">
        <v>34</v>
      </c>
      <c r="I4561" s="19" t="str">
        <f>IFERROR(__xludf.DUMMYFUNCTION("IFERROR(TO_DATE(H4561), """")"),"NA")</f>
        <v>NA</v>
      </c>
      <c r="J4561" s="19" t="s">
        <v>13</v>
      </c>
      <c r="K4561" s="22">
        <f t="shared" si="2"/>
        <v>0</v>
      </c>
    </row>
    <row r="4562">
      <c r="A4562" s="18">
        <v>1253.0</v>
      </c>
      <c r="B4562" s="18" t="s">
        <v>30</v>
      </c>
      <c r="C4562" s="18" t="s">
        <v>34</v>
      </c>
      <c r="D4562" s="18" t="s">
        <v>35</v>
      </c>
      <c r="E4562" s="26">
        <v>42562.91527777778</v>
      </c>
      <c r="F4562" s="19">
        <f>IFERROR(__xludf.DUMMYFUNCTION("IFERROR(TO_DATE(E4562), """")"),42562.91527777778)</f>
        <v>42562.91528</v>
      </c>
      <c r="G4562" s="20">
        <f t="shared" si="1"/>
        <v>21</v>
      </c>
      <c r="H4562" s="18" t="s">
        <v>34</v>
      </c>
      <c r="I4562" s="19" t="str">
        <f>IFERROR(__xludf.DUMMYFUNCTION("IFERROR(TO_DATE(H4562), """")"),"NA")</f>
        <v>NA</v>
      </c>
      <c r="J4562" s="19" t="s">
        <v>13</v>
      </c>
      <c r="K4562" s="22">
        <f t="shared" si="2"/>
        <v>0</v>
      </c>
    </row>
    <row r="4563">
      <c r="A4563" s="18">
        <v>1269.0</v>
      </c>
      <c r="B4563" s="18" t="s">
        <v>30</v>
      </c>
      <c r="C4563" s="18" t="s">
        <v>34</v>
      </c>
      <c r="D4563" s="18" t="s">
        <v>35</v>
      </c>
      <c r="E4563" s="26">
        <v>42562.915972222225</v>
      </c>
      <c r="F4563" s="19">
        <f>IFERROR(__xludf.DUMMYFUNCTION("IFERROR(TO_DATE(E4563), """")"),42562.915972222225)</f>
        <v>42562.91597</v>
      </c>
      <c r="G4563" s="20">
        <f t="shared" si="1"/>
        <v>21</v>
      </c>
      <c r="H4563" s="18" t="s">
        <v>34</v>
      </c>
      <c r="I4563" s="19" t="str">
        <f>IFERROR(__xludf.DUMMYFUNCTION("IFERROR(TO_DATE(H4563), """")"),"NA")</f>
        <v>NA</v>
      </c>
      <c r="J4563" s="19" t="s">
        <v>13</v>
      </c>
      <c r="K4563" s="22">
        <f t="shared" si="2"/>
        <v>0</v>
      </c>
    </row>
    <row r="4564">
      <c r="A4564" s="18">
        <v>1270.0</v>
      </c>
      <c r="B4564" s="18" t="s">
        <v>30</v>
      </c>
      <c r="C4564" s="18" t="s">
        <v>34</v>
      </c>
      <c r="D4564" s="18" t="s">
        <v>35</v>
      </c>
      <c r="E4564" s="26">
        <v>42562.916666666664</v>
      </c>
      <c r="F4564" s="19">
        <f>IFERROR(__xludf.DUMMYFUNCTION("IFERROR(TO_DATE(E4564), """")"),42562.916666666664)</f>
        <v>42562.91667</v>
      </c>
      <c r="G4564" s="20">
        <f t="shared" si="1"/>
        <v>22</v>
      </c>
      <c r="H4564" s="18" t="s">
        <v>34</v>
      </c>
      <c r="I4564" s="19" t="str">
        <f>IFERROR(__xludf.DUMMYFUNCTION("IFERROR(TO_DATE(H4564), """")"),"NA")</f>
        <v>NA</v>
      </c>
      <c r="J4564" s="19" t="s">
        <v>13</v>
      </c>
      <c r="K4564" s="22">
        <f t="shared" si="2"/>
        <v>0</v>
      </c>
    </row>
    <row r="4565">
      <c r="A4565" s="18">
        <v>1261.0</v>
      </c>
      <c r="B4565" s="18" t="s">
        <v>30</v>
      </c>
      <c r="C4565" s="18" t="s">
        <v>34</v>
      </c>
      <c r="D4565" s="18" t="s">
        <v>35</v>
      </c>
      <c r="E4565" s="26">
        <v>42562.91736111111</v>
      </c>
      <c r="F4565" s="19">
        <f>IFERROR(__xludf.DUMMYFUNCTION("IFERROR(TO_DATE(E4565), """")"),42562.91736111111)</f>
        <v>42562.91736</v>
      </c>
      <c r="G4565" s="20">
        <f t="shared" si="1"/>
        <v>22</v>
      </c>
      <c r="H4565" s="18" t="s">
        <v>34</v>
      </c>
      <c r="I4565" s="19" t="str">
        <f>IFERROR(__xludf.DUMMYFUNCTION("IFERROR(TO_DATE(H4565), """")"),"NA")</f>
        <v>NA</v>
      </c>
      <c r="J4565" s="19" t="s">
        <v>13</v>
      </c>
      <c r="K4565" s="22">
        <f t="shared" si="2"/>
        <v>0</v>
      </c>
    </row>
    <row r="4566">
      <c r="A4566" s="18">
        <v>1263.0</v>
      </c>
      <c r="B4566" s="18" t="s">
        <v>30</v>
      </c>
      <c r="C4566" s="18" t="s">
        <v>34</v>
      </c>
      <c r="D4566" s="18" t="s">
        <v>35</v>
      </c>
      <c r="E4566" s="26">
        <v>42562.91805555556</v>
      </c>
      <c r="F4566" s="19">
        <f>IFERROR(__xludf.DUMMYFUNCTION("IFERROR(TO_DATE(E4566), """")"),42562.91805555556)</f>
        <v>42562.91806</v>
      </c>
      <c r="G4566" s="20">
        <f t="shared" si="1"/>
        <v>22</v>
      </c>
      <c r="H4566" s="18" t="s">
        <v>34</v>
      </c>
      <c r="I4566" s="19" t="str">
        <f>IFERROR(__xludf.DUMMYFUNCTION("IFERROR(TO_DATE(H4566), """")"),"NA")</f>
        <v>NA</v>
      </c>
      <c r="J4566" s="19" t="s">
        <v>13</v>
      </c>
      <c r="K4566" s="22">
        <f t="shared" si="2"/>
        <v>0</v>
      </c>
    </row>
    <row r="4567">
      <c r="A4567" s="18">
        <v>1265.0</v>
      </c>
      <c r="B4567" s="18" t="s">
        <v>30</v>
      </c>
      <c r="C4567" s="18" t="s">
        <v>34</v>
      </c>
      <c r="D4567" s="18" t="s">
        <v>35</v>
      </c>
      <c r="E4567" s="26">
        <v>42562.91805555556</v>
      </c>
      <c r="F4567" s="19">
        <f>IFERROR(__xludf.DUMMYFUNCTION("IFERROR(TO_DATE(E4567), """")"),42562.91805555556)</f>
        <v>42562.91806</v>
      </c>
      <c r="G4567" s="20">
        <f t="shared" si="1"/>
        <v>22</v>
      </c>
      <c r="H4567" s="18" t="s">
        <v>34</v>
      </c>
      <c r="I4567" s="19" t="str">
        <f>IFERROR(__xludf.DUMMYFUNCTION("IFERROR(TO_DATE(H4567), """")"),"NA")</f>
        <v>NA</v>
      </c>
      <c r="J4567" s="19" t="s">
        <v>13</v>
      </c>
      <c r="K4567" s="22">
        <f t="shared" si="2"/>
        <v>0</v>
      </c>
    </row>
    <row r="4568">
      <c r="A4568" s="18">
        <v>1276.0</v>
      </c>
      <c r="B4568" s="18" t="s">
        <v>30</v>
      </c>
      <c r="C4568" s="18" t="s">
        <v>34</v>
      </c>
      <c r="D4568" s="18" t="s">
        <v>35</v>
      </c>
      <c r="E4568" s="26">
        <v>42562.919444444444</v>
      </c>
      <c r="F4568" s="19">
        <f>IFERROR(__xludf.DUMMYFUNCTION("IFERROR(TO_DATE(E4568), """")"),42562.919444444444)</f>
        <v>42562.91944</v>
      </c>
      <c r="G4568" s="20">
        <f t="shared" si="1"/>
        <v>22</v>
      </c>
      <c r="H4568" s="18" t="s">
        <v>34</v>
      </c>
      <c r="I4568" s="19" t="str">
        <f>IFERROR(__xludf.DUMMYFUNCTION("IFERROR(TO_DATE(H4568), """")"),"NA")</f>
        <v>NA</v>
      </c>
      <c r="J4568" s="19" t="s">
        <v>13</v>
      </c>
      <c r="K4568" s="22">
        <f t="shared" si="2"/>
        <v>0</v>
      </c>
    </row>
    <row r="4569">
      <c r="A4569" s="18">
        <v>1268.0</v>
      </c>
      <c r="B4569" s="18" t="s">
        <v>30</v>
      </c>
      <c r="C4569" s="18" t="s">
        <v>34</v>
      </c>
      <c r="D4569" s="18" t="s">
        <v>35</v>
      </c>
      <c r="E4569" s="26">
        <v>42562.919444444444</v>
      </c>
      <c r="F4569" s="19">
        <f>IFERROR(__xludf.DUMMYFUNCTION("IFERROR(TO_DATE(E4569), """")"),42562.919444444444)</f>
        <v>42562.91944</v>
      </c>
      <c r="G4569" s="20">
        <f t="shared" si="1"/>
        <v>22</v>
      </c>
      <c r="H4569" s="18" t="s">
        <v>34</v>
      </c>
      <c r="I4569" s="19" t="str">
        <f>IFERROR(__xludf.DUMMYFUNCTION("IFERROR(TO_DATE(H4569), """")"),"NA")</f>
        <v>NA</v>
      </c>
      <c r="J4569" s="19" t="s">
        <v>13</v>
      </c>
      <c r="K4569" s="22">
        <f t="shared" si="2"/>
        <v>0</v>
      </c>
    </row>
    <row r="4570">
      <c r="A4570" s="18">
        <v>1264.0</v>
      </c>
      <c r="B4570" s="18" t="s">
        <v>30</v>
      </c>
      <c r="C4570" s="18" t="s">
        <v>34</v>
      </c>
      <c r="D4570" s="18" t="s">
        <v>35</v>
      </c>
      <c r="E4570" s="26">
        <v>42562.92013888889</v>
      </c>
      <c r="F4570" s="19">
        <f>IFERROR(__xludf.DUMMYFUNCTION("IFERROR(TO_DATE(E4570), """")"),42562.92013888889)</f>
        <v>42562.92014</v>
      </c>
      <c r="G4570" s="20">
        <f t="shared" si="1"/>
        <v>22</v>
      </c>
      <c r="H4570" s="18" t="s">
        <v>34</v>
      </c>
      <c r="I4570" s="19" t="str">
        <f>IFERROR(__xludf.DUMMYFUNCTION("IFERROR(TO_DATE(H4570), """")"),"NA")</f>
        <v>NA</v>
      </c>
      <c r="J4570" s="19" t="s">
        <v>13</v>
      </c>
      <c r="K4570" s="22">
        <f t="shared" si="2"/>
        <v>0</v>
      </c>
    </row>
    <row r="4571">
      <c r="A4571" s="18">
        <v>1282.0</v>
      </c>
      <c r="B4571" s="18" t="s">
        <v>30</v>
      </c>
      <c r="C4571" s="18" t="s">
        <v>34</v>
      </c>
      <c r="D4571" s="18" t="s">
        <v>35</v>
      </c>
      <c r="E4571" s="26">
        <v>42562.92222222222</v>
      </c>
      <c r="F4571" s="19">
        <f>IFERROR(__xludf.DUMMYFUNCTION("IFERROR(TO_DATE(E4571), """")"),42562.92222222222)</f>
        <v>42562.92222</v>
      </c>
      <c r="G4571" s="20">
        <f t="shared" si="1"/>
        <v>22</v>
      </c>
      <c r="H4571" s="18" t="s">
        <v>34</v>
      </c>
      <c r="I4571" s="19" t="str">
        <f>IFERROR(__xludf.DUMMYFUNCTION("IFERROR(TO_DATE(H4571), """")"),"NA")</f>
        <v>NA</v>
      </c>
      <c r="J4571" s="19" t="s">
        <v>13</v>
      </c>
      <c r="K4571" s="22">
        <f t="shared" si="2"/>
        <v>0</v>
      </c>
    </row>
    <row r="4572">
      <c r="A4572" s="18">
        <v>1280.0</v>
      </c>
      <c r="B4572" s="18" t="s">
        <v>30</v>
      </c>
      <c r="C4572" s="18" t="s">
        <v>34</v>
      </c>
      <c r="D4572" s="18" t="s">
        <v>35</v>
      </c>
      <c r="E4572" s="26">
        <v>42562.92291666667</v>
      </c>
      <c r="F4572" s="19">
        <f>IFERROR(__xludf.DUMMYFUNCTION("IFERROR(TO_DATE(E4572), """")"),42562.92291666667)</f>
        <v>42562.92292</v>
      </c>
      <c r="G4572" s="20">
        <f t="shared" si="1"/>
        <v>22</v>
      </c>
      <c r="H4572" s="18" t="s">
        <v>34</v>
      </c>
      <c r="I4572" s="19" t="str">
        <f>IFERROR(__xludf.DUMMYFUNCTION("IFERROR(TO_DATE(H4572), """")"),"NA")</f>
        <v>NA</v>
      </c>
      <c r="J4572" s="19" t="s">
        <v>13</v>
      </c>
      <c r="K4572" s="22">
        <f t="shared" si="2"/>
        <v>0</v>
      </c>
    </row>
    <row r="4573">
      <c r="A4573" s="18">
        <v>1284.0</v>
      </c>
      <c r="B4573" s="18" t="s">
        <v>30</v>
      </c>
      <c r="C4573" s="18" t="s">
        <v>34</v>
      </c>
      <c r="D4573" s="18" t="s">
        <v>35</v>
      </c>
      <c r="E4573" s="26">
        <v>42562.92847222222</v>
      </c>
      <c r="F4573" s="19">
        <f>IFERROR(__xludf.DUMMYFUNCTION("IFERROR(TO_DATE(E4573), """")"),42562.92847222222)</f>
        <v>42562.92847</v>
      </c>
      <c r="G4573" s="20">
        <f t="shared" si="1"/>
        <v>22</v>
      </c>
      <c r="H4573" s="18" t="s">
        <v>34</v>
      </c>
      <c r="I4573" s="19" t="str">
        <f>IFERROR(__xludf.DUMMYFUNCTION("IFERROR(TO_DATE(H4573), """")"),"NA")</f>
        <v>NA</v>
      </c>
      <c r="J4573" s="19" t="s">
        <v>13</v>
      </c>
      <c r="K4573" s="22">
        <f t="shared" si="2"/>
        <v>0</v>
      </c>
    </row>
    <row r="4574">
      <c r="A4574" s="18">
        <v>1288.0</v>
      </c>
      <c r="B4574" s="18" t="s">
        <v>32</v>
      </c>
      <c r="C4574" s="18" t="s">
        <v>34</v>
      </c>
      <c r="D4574" s="18" t="s">
        <v>35</v>
      </c>
      <c r="E4574" s="26">
        <v>42562.930555555555</v>
      </c>
      <c r="F4574" s="19">
        <f>IFERROR(__xludf.DUMMYFUNCTION("IFERROR(TO_DATE(E4574), """")"),42562.930555555555)</f>
        <v>42562.93056</v>
      </c>
      <c r="G4574" s="20">
        <f t="shared" si="1"/>
        <v>22</v>
      </c>
      <c r="H4574" s="18" t="s">
        <v>34</v>
      </c>
      <c r="I4574" s="19" t="str">
        <f>IFERROR(__xludf.DUMMYFUNCTION("IFERROR(TO_DATE(H4574), """")"),"NA")</f>
        <v>NA</v>
      </c>
      <c r="J4574" s="19" t="s">
        <v>13</v>
      </c>
      <c r="K4574" s="22">
        <f t="shared" si="2"/>
        <v>0</v>
      </c>
    </row>
    <row r="4575">
      <c r="A4575" s="18">
        <v>1287.0</v>
      </c>
      <c r="B4575" s="18" t="s">
        <v>30</v>
      </c>
      <c r="C4575" s="18" t="s">
        <v>34</v>
      </c>
      <c r="D4575" s="18" t="s">
        <v>35</v>
      </c>
      <c r="E4575" s="26">
        <v>42562.930555555555</v>
      </c>
      <c r="F4575" s="19">
        <f>IFERROR(__xludf.DUMMYFUNCTION("IFERROR(TO_DATE(E4575), """")"),42562.930555555555)</f>
        <v>42562.93056</v>
      </c>
      <c r="G4575" s="20">
        <f t="shared" si="1"/>
        <v>22</v>
      </c>
      <c r="H4575" s="18" t="s">
        <v>34</v>
      </c>
      <c r="I4575" s="19" t="str">
        <f>IFERROR(__xludf.DUMMYFUNCTION("IFERROR(TO_DATE(H4575), """")"),"NA")</f>
        <v>NA</v>
      </c>
      <c r="J4575" s="19" t="s">
        <v>13</v>
      </c>
      <c r="K4575" s="22">
        <f t="shared" si="2"/>
        <v>0</v>
      </c>
    </row>
    <row r="4576">
      <c r="A4576" s="18">
        <v>1292.0</v>
      </c>
      <c r="B4576" s="18" t="s">
        <v>32</v>
      </c>
      <c r="C4576" s="18" t="s">
        <v>34</v>
      </c>
      <c r="D4576" s="18" t="s">
        <v>35</v>
      </c>
      <c r="E4576" s="26">
        <v>42562.93263888889</v>
      </c>
      <c r="F4576" s="19">
        <f>IFERROR(__xludf.DUMMYFUNCTION("IFERROR(TO_DATE(E4576), """")"),42562.93263888889)</f>
        <v>42562.93264</v>
      </c>
      <c r="G4576" s="20">
        <f t="shared" si="1"/>
        <v>22</v>
      </c>
      <c r="H4576" s="18" t="s">
        <v>34</v>
      </c>
      <c r="I4576" s="19" t="str">
        <f>IFERROR(__xludf.DUMMYFUNCTION("IFERROR(TO_DATE(H4576), """")"),"NA")</f>
        <v>NA</v>
      </c>
      <c r="J4576" s="19" t="s">
        <v>13</v>
      </c>
      <c r="K4576" s="22">
        <f t="shared" si="2"/>
        <v>0</v>
      </c>
    </row>
    <row r="4577">
      <c r="A4577" s="18">
        <v>1291.0</v>
      </c>
      <c r="B4577" s="18" t="s">
        <v>32</v>
      </c>
      <c r="C4577" s="18" t="s">
        <v>34</v>
      </c>
      <c r="D4577" s="18" t="s">
        <v>35</v>
      </c>
      <c r="E4577" s="26">
        <v>42562.93402777778</v>
      </c>
      <c r="F4577" s="19">
        <f>IFERROR(__xludf.DUMMYFUNCTION("IFERROR(TO_DATE(E4577), """")"),42562.93402777778)</f>
        <v>42562.93403</v>
      </c>
      <c r="G4577" s="20">
        <f t="shared" si="1"/>
        <v>22</v>
      </c>
      <c r="H4577" s="18" t="s">
        <v>34</v>
      </c>
      <c r="I4577" s="19" t="str">
        <f>IFERROR(__xludf.DUMMYFUNCTION("IFERROR(TO_DATE(H4577), """")"),"NA")</f>
        <v>NA</v>
      </c>
      <c r="J4577" s="19" t="s">
        <v>13</v>
      </c>
      <c r="K4577" s="22">
        <f t="shared" si="2"/>
        <v>0</v>
      </c>
    </row>
    <row r="4578">
      <c r="A4578" s="18">
        <v>1298.0</v>
      </c>
      <c r="B4578" s="18" t="s">
        <v>32</v>
      </c>
      <c r="C4578" s="18" t="s">
        <v>34</v>
      </c>
      <c r="D4578" s="18" t="s">
        <v>35</v>
      </c>
      <c r="E4578" s="26">
        <v>42562.936111111114</v>
      </c>
      <c r="F4578" s="19">
        <f>IFERROR(__xludf.DUMMYFUNCTION("IFERROR(TO_DATE(E4578), """")"),42562.936111111114)</f>
        <v>42562.93611</v>
      </c>
      <c r="G4578" s="20">
        <f t="shared" si="1"/>
        <v>22</v>
      </c>
      <c r="H4578" s="18" t="s">
        <v>34</v>
      </c>
      <c r="I4578" s="19" t="str">
        <f>IFERROR(__xludf.DUMMYFUNCTION("IFERROR(TO_DATE(H4578), """")"),"NA")</f>
        <v>NA</v>
      </c>
      <c r="J4578" s="19" t="s">
        <v>13</v>
      </c>
      <c r="K4578" s="22">
        <f t="shared" si="2"/>
        <v>0</v>
      </c>
    </row>
    <row r="4579">
      <c r="A4579" s="18">
        <v>1302.0</v>
      </c>
      <c r="B4579" s="18" t="s">
        <v>32</v>
      </c>
      <c r="C4579" s="18" t="s">
        <v>34</v>
      </c>
      <c r="D4579" s="18" t="s">
        <v>35</v>
      </c>
      <c r="E4579" s="26">
        <v>42562.9375</v>
      </c>
      <c r="F4579" s="19">
        <f>IFERROR(__xludf.DUMMYFUNCTION("IFERROR(TO_DATE(E4579), """")"),42562.9375)</f>
        <v>42562.9375</v>
      </c>
      <c r="G4579" s="20">
        <f t="shared" si="1"/>
        <v>22</v>
      </c>
      <c r="H4579" s="18" t="s">
        <v>34</v>
      </c>
      <c r="I4579" s="19" t="str">
        <f>IFERROR(__xludf.DUMMYFUNCTION("IFERROR(TO_DATE(H4579), """")"),"NA")</f>
        <v>NA</v>
      </c>
      <c r="J4579" s="19" t="s">
        <v>13</v>
      </c>
      <c r="K4579" s="22">
        <f t="shared" si="2"/>
        <v>0</v>
      </c>
    </row>
    <row r="4580">
      <c r="A4580" s="18">
        <v>1305.0</v>
      </c>
      <c r="B4580" s="18" t="s">
        <v>32</v>
      </c>
      <c r="C4580" s="18" t="s">
        <v>34</v>
      </c>
      <c r="D4580" s="18" t="s">
        <v>35</v>
      </c>
      <c r="E4580" s="26">
        <v>42562.93819444445</v>
      </c>
      <c r="F4580" s="19">
        <f>IFERROR(__xludf.DUMMYFUNCTION("IFERROR(TO_DATE(E4580), """")"),42562.93819444445)</f>
        <v>42562.93819</v>
      </c>
      <c r="G4580" s="20">
        <f t="shared" si="1"/>
        <v>22</v>
      </c>
      <c r="H4580" s="18" t="s">
        <v>34</v>
      </c>
      <c r="I4580" s="19" t="str">
        <f>IFERROR(__xludf.DUMMYFUNCTION("IFERROR(TO_DATE(H4580), """")"),"NA")</f>
        <v>NA</v>
      </c>
      <c r="J4580" s="19" t="s">
        <v>13</v>
      </c>
      <c r="K4580" s="22">
        <f t="shared" si="2"/>
        <v>0</v>
      </c>
    </row>
    <row r="4581">
      <c r="A4581" s="18">
        <v>1304.0</v>
      </c>
      <c r="B4581" s="18" t="s">
        <v>32</v>
      </c>
      <c r="C4581" s="18" t="s">
        <v>34</v>
      </c>
      <c r="D4581" s="18" t="s">
        <v>35</v>
      </c>
      <c r="E4581" s="26">
        <v>42562.94097222222</v>
      </c>
      <c r="F4581" s="19">
        <f>IFERROR(__xludf.DUMMYFUNCTION("IFERROR(TO_DATE(E4581), """")"),42562.94097222222)</f>
        <v>42562.94097</v>
      </c>
      <c r="G4581" s="20">
        <f t="shared" si="1"/>
        <v>22</v>
      </c>
      <c r="H4581" s="18" t="s">
        <v>34</v>
      </c>
      <c r="I4581" s="19" t="str">
        <f>IFERROR(__xludf.DUMMYFUNCTION("IFERROR(TO_DATE(H4581), """")"),"NA")</f>
        <v>NA</v>
      </c>
      <c r="J4581" s="19" t="s">
        <v>13</v>
      </c>
      <c r="K4581" s="22">
        <f t="shared" si="2"/>
        <v>0</v>
      </c>
    </row>
    <row r="4582">
      <c r="A4582" s="18">
        <v>1311.0</v>
      </c>
      <c r="B4582" s="18" t="s">
        <v>32</v>
      </c>
      <c r="C4582" s="18" t="s">
        <v>34</v>
      </c>
      <c r="D4582" s="18" t="s">
        <v>35</v>
      </c>
      <c r="E4582" s="26">
        <v>42562.950694444444</v>
      </c>
      <c r="F4582" s="19">
        <f>IFERROR(__xludf.DUMMYFUNCTION("IFERROR(TO_DATE(E4582), """")"),42562.950694444444)</f>
        <v>42562.95069</v>
      </c>
      <c r="G4582" s="20">
        <f t="shared" si="1"/>
        <v>22</v>
      </c>
      <c r="H4582" s="18" t="s">
        <v>34</v>
      </c>
      <c r="I4582" s="19" t="str">
        <f>IFERROR(__xludf.DUMMYFUNCTION("IFERROR(TO_DATE(H4582), """")"),"NA")</f>
        <v>NA</v>
      </c>
      <c r="J4582" s="19" t="s">
        <v>13</v>
      </c>
      <c r="K4582" s="22">
        <f t="shared" si="2"/>
        <v>0</v>
      </c>
    </row>
    <row r="4583">
      <c r="A4583" s="18">
        <v>1313.0</v>
      </c>
      <c r="B4583" s="18" t="s">
        <v>30</v>
      </c>
      <c r="C4583" s="18" t="s">
        <v>34</v>
      </c>
      <c r="D4583" s="18" t="s">
        <v>35</v>
      </c>
      <c r="E4583" s="26">
        <v>42562.95138888889</v>
      </c>
      <c r="F4583" s="19">
        <f>IFERROR(__xludf.DUMMYFUNCTION("IFERROR(TO_DATE(E4583), """")"),42562.95138888889)</f>
        <v>42562.95139</v>
      </c>
      <c r="G4583" s="20">
        <f t="shared" si="1"/>
        <v>22</v>
      </c>
      <c r="H4583" s="18" t="s">
        <v>34</v>
      </c>
      <c r="I4583" s="19" t="str">
        <f>IFERROR(__xludf.DUMMYFUNCTION("IFERROR(TO_DATE(H4583), """")"),"NA")</f>
        <v>NA</v>
      </c>
      <c r="J4583" s="19" t="s">
        <v>13</v>
      </c>
      <c r="K4583" s="22">
        <f t="shared" si="2"/>
        <v>0</v>
      </c>
    </row>
    <row r="4584">
      <c r="A4584" s="18">
        <v>1323.0</v>
      </c>
      <c r="B4584" s="18" t="s">
        <v>32</v>
      </c>
      <c r="C4584" s="18" t="s">
        <v>34</v>
      </c>
      <c r="D4584" s="18" t="s">
        <v>35</v>
      </c>
      <c r="E4584" s="26">
        <v>42562.958333333336</v>
      </c>
      <c r="F4584" s="19">
        <f>IFERROR(__xludf.DUMMYFUNCTION("IFERROR(TO_DATE(E4584), """")"),42562.958333333336)</f>
        <v>42562.95833</v>
      </c>
      <c r="G4584" s="20">
        <f t="shared" si="1"/>
        <v>23</v>
      </c>
      <c r="H4584" s="18" t="s">
        <v>34</v>
      </c>
      <c r="I4584" s="19" t="str">
        <f>IFERROR(__xludf.DUMMYFUNCTION("IFERROR(TO_DATE(H4584), """")"),"NA")</f>
        <v>NA</v>
      </c>
      <c r="J4584" s="19" t="s">
        <v>13</v>
      </c>
      <c r="K4584" s="22">
        <f t="shared" si="2"/>
        <v>0</v>
      </c>
    </row>
    <row r="4585">
      <c r="A4585" s="18">
        <v>1322.0</v>
      </c>
      <c r="B4585" s="18" t="s">
        <v>30</v>
      </c>
      <c r="C4585" s="18" t="s">
        <v>34</v>
      </c>
      <c r="D4585" s="18" t="s">
        <v>35</v>
      </c>
      <c r="E4585" s="26">
        <v>42562.96111111111</v>
      </c>
      <c r="F4585" s="19">
        <f>IFERROR(__xludf.DUMMYFUNCTION("IFERROR(TO_DATE(E4585), """")"),42562.96111111111)</f>
        <v>42562.96111</v>
      </c>
      <c r="G4585" s="20">
        <f t="shared" si="1"/>
        <v>23</v>
      </c>
      <c r="H4585" s="18" t="s">
        <v>34</v>
      </c>
      <c r="I4585" s="19" t="str">
        <f>IFERROR(__xludf.DUMMYFUNCTION("IFERROR(TO_DATE(H4585), """")"),"NA")</f>
        <v>NA</v>
      </c>
      <c r="J4585" s="19" t="s">
        <v>13</v>
      </c>
      <c r="K4585" s="22">
        <f t="shared" si="2"/>
        <v>0</v>
      </c>
    </row>
    <row r="4586">
      <c r="A4586" s="18">
        <v>1328.0</v>
      </c>
      <c r="B4586" s="18" t="s">
        <v>30</v>
      </c>
      <c r="C4586" s="18" t="s">
        <v>34</v>
      </c>
      <c r="D4586" s="18" t="s">
        <v>35</v>
      </c>
      <c r="E4586" s="26">
        <v>42562.96319444444</v>
      </c>
      <c r="F4586" s="19">
        <f>IFERROR(__xludf.DUMMYFUNCTION("IFERROR(TO_DATE(E4586), """")"),42562.96319444444)</f>
        <v>42562.96319</v>
      </c>
      <c r="G4586" s="20">
        <f t="shared" si="1"/>
        <v>23</v>
      </c>
      <c r="H4586" s="18" t="s">
        <v>34</v>
      </c>
      <c r="I4586" s="19" t="str">
        <f>IFERROR(__xludf.DUMMYFUNCTION("IFERROR(TO_DATE(H4586), """")"),"NA")</f>
        <v>NA</v>
      </c>
      <c r="J4586" s="19" t="s">
        <v>13</v>
      </c>
      <c r="K4586" s="22">
        <f t="shared" si="2"/>
        <v>0</v>
      </c>
    </row>
    <row r="4587">
      <c r="A4587" s="18">
        <v>1327.0</v>
      </c>
      <c r="B4587" s="18" t="s">
        <v>30</v>
      </c>
      <c r="C4587" s="18" t="s">
        <v>34</v>
      </c>
      <c r="D4587" s="18" t="s">
        <v>35</v>
      </c>
      <c r="E4587" s="26">
        <v>42562.96527777778</v>
      </c>
      <c r="F4587" s="19">
        <f>IFERROR(__xludf.DUMMYFUNCTION("IFERROR(TO_DATE(E4587), """")"),42562.96527777778)</f>
        <v>42562.96528</v>
      </c>
      <c r="G4587" s="20">
        <f t="shared" si="1"/>
        <v>23</v>
      </c>
      <c r="H4587" s="18" t="s">
        <v>34</v>
      </c>
      <c r="I4587" s="19" t="str">
        <f>IFERROR(__xludf.DUMMYFUNCTION("IFERROR(TO_DATE(H4587), """")"),"NA")</f>
        <v>NA</v>
      </c>
      <c r="J4587" s="19" t="s">
        <v>13</v>
      </c>
      <c r="K4587" s="22">
        <f t="shared" si="2"/>
        <v>0</v>
      </c>
    </row>
    <row r="4588">
      <c r="A4588" s="18">
        <v>1331.0</v>
      </c>
      <c r="B4588" s="18" t="s">
        <v>30</v>
      </c>
      <c r="C4588" s="18" t="s">
        <v>34</v>
      </c>
      <c r="D4588" s="18" t="s">
        <v>35</v>
      </c>
      <c r="E4588" s="26">
        <v>42562.967361111114</v>
      </c>
      <c r="F4588" s="19">
        <f>IFERROR(__xludf.DUMMYFUNCTION("IFERROR(TO_DATE(E4588), """")"),42562.967361111114)</f>
        <v>42562.96736</v>
      </c>
      <c r="G4588" s="20">
        <f t="shared" si="1"/>
        <v>23</v>
      </c>
      <c r="H4588" s="18" t="s">
        <v>34</v>
      </c>
      <c r="I4588" s="19" t="str">
        <f>IFERROR(__xludf.DUMMYFUNCTION("IFERROR(TO_DATE(H4588), """")"),"NA")</f>
        <v>NA</v>
      </c>
      <c r="J4588" s="19" t="s">
        <v>13</v>
      </c>
      <c r="K4588" s="22">
        <f t="shared" si="2"/>
        <v>0</v>
      </c>
    </row>
    <row r="4589">
      <c r="A4589" s="18">
        <v>1332.0</v>
      </c>
      <c r="B4589" s="18" t="s">
        <v>32</v>
      </c>
      <c r="C4589" s="18" t="s">
        <v>34</v>
      </c>
      <c r="D4589" s="18" t="s">
        <v>35</v>
      </c>
      <c r="E4589" s="26">
        <v>42562.96805555555</v>
      </c>
      <c r="F4589" s="19">
        <f>IFERROR(__xludf.DUMMYFUNCTION("IFERROR(TO_DATE(E4589), """")"),42562.96805555555)</f>
        <v>42562.96806</v>
      </c>
      <c r="G4589" s="20">
        <f t="shared" si="1"/>
        <v>23</v>
      </c>
      <c r="H4589" s="18" t="s">
        <v>34</v>
      </c>
      <c r="I4589" s="19" t="str">
        <f>IFERROR(__xludf.DUMMYFUNCTION("IFERROR(TO_DATE(H4589), """")"),"NA")</f>
        <v>NA</v>
      </c>
      <c r="J4589" s="19" t="s">
        <v>13</v>
      </c>
      <c r="K4589" s="22">
        <f t="shared" si="2"/>
        <v>0</v>
      </c>
    </row>
    <row r="4590">
      <c r="A4590" s="18">
        <v>1334.0</v>
      </c>
      <c r="B4590" s="18" t="s">
        <v>32</v>
      </c>
      <c r="C4590" s="18" t="s">
        <v>34</v>
      </c>
      <c r="D4590" s="18" t="s">
        <v>35</v>
      </c>
      <c r="E4590" s="26">
        <v>42562.97152777778</v>
      </c>
      <c r="F4590" s="19">
        <f>IFERROR(__xludf.DUMMYFUNCTION("IFERROR(TO_DATE(E4590), """")"),42562.97152777778)</f>
        <v>42562.97153</v>
      </c>
      <c r="G4590" s="20">
        <f t="shared" si="1"/>
        <v>23</v>
      </c>
      <c r="H4590" s="18" t="s">
        <v>34</v>
      </c>
      <c r="I4590" s="19" t="str">
        <f>IFERROR(__xludf.DUMMYFUNCTION("IFERROR(TO_DATE(H4590), """")"),"NA")</f>
        <v>NA</v>
      </c>
      <c r="J4590" s="19" t="s">
        <v>13</v>
      </c>
      <c r="K4590" s="22">
        <f t="shared" si="2"/>
        <v>0</v>
      </c>
    </row>
    <row r="4591">
      <c r="A4591" s="18">
        <v>1335.0</v>
      </c>
      <c r="B4591" s="18" t="s">
        <v>32</v>
      </c>
      <c r="C4591" s="18" t="s">
        <v>34</v>
      </c>
      <c r="D4591" s="18" t="s">
        <v>35</v>
      </c>
      <c r="E4591" s="26">
        <v>42562.97222222222</v>
      </c>
      <c r="F4591" s="19">
        <f>IFERROR(__xludf.DUMMYFUNCTION("IFERROR(TO_DATE(E4591), """")"),42562.97222222222)</f>
        <v>42562.97222</v>
      </c>
      <c r="G4591" s="20">
        <f t="shared" si="1"/>
        <v>23</v>
      </c>
      <c r="H4591" s="18" t="s">
        <v>34</v>
      </c>
      <c r="I4591" s="19" t="str">
        <f>IFERROR(__xludf.DUMMYFUNCTION("IFERROR(TO_DATE(H4591), """")"),"NA")</f>
        <v>NA</v>
      </c>
      <c r="J4591" s="19" t="s">
        <v>13</v>
      </c>
      <c r="K4591" s="22">
        <f t="shared" si="2"/>
        <v>0</v>
      </c>
    </row>
    <row r="4592">
      <c r="A4592" s="18">
        <v>1337.0</v>
      </c>
      <c r="B4592" s="18" t="s">
        <v>30</v>
      </c>
      <c r="C4592" s="18" t="s">
        <v>34</v>
      </c>
      <c r="D4592" s="18" t="s">
        <v>35</v>
      </c>
      <c r="E4592" s="26">
        <v>42562.97361111111</v>
      </c>
      <c r="F4592" s="19">
        <f>IFERROR(__xludf.DUMMYFUNCTION("IFERROR(TO_DATE(E4592), """")"),42562.97361111111)</f>
        <v>42562.97361</v>
      </c>
      <c r="G4592" s="20">
        <f t="shared" si="1"/>
        <v>23</v>
      </c>
      <c r="H4592" s="18" t="s">
        <v>34</v>
      </c>
      <c r="I4592" s="19" t="str">
        <f>IFERROR(__xludf.DUMMYFUNCTION("IFERROR(TO_DATE(H4592), """")"),"NA")</f>
        <v>NA</v>
      </c>
      <c r="J4592" s="19" t="s">
        <v>13</v>
      </c>
      <c r="K4592" s="22">
        <f t="shared" si="2"/>
        <v>0</v>
      </c>
    </row>
    <row r="4593">
      <c r="A4593" s="18">
        <v>1342.0</v>
      </c>
      <c r="B4593" s="18" t="s">
        <v>32</v>
      </c>
      <c r="C4593" s="18" t="s">
        <v>34</v>
      </c>
      <c r="D4593" s="18" t="s">
        <v>35</v>
      </c>
      <c r="E4593" s="26">
        <v>42562.979166666664</v>
      </c>
      <c r="F4593" s="19">
        <f>IFERROR(__xludf.DUMMYFUNCTION("IFERROR(TO_DATE(E4593), """")"),42562.979166666664)</f>
        <v>42562.97917</v>
      </c>
      <c r="G4593" s="20">
        <f t="shared" si="1"/>
        <v>23</v>
      </c>
      <c r="H4593" s="18" t="s">
        <v>34</v>
      </c>
      <c r="I4593" s="19" t="str">
        <f>IFERROR(__xludf.DUMMYFUNCTION("IFERROR(TO_DATE(H4593), """")"),"NA")</f>
        <v>NA</v>
      </c>
      <c r="J4593" s="19" t="s">
        <v>13</v>
      </c>
      <c r="K4593" s="22">
        <f t="shared" si="2"/>
        <v>0</v>
      </c>
    </row>
    <row r="4594">
      <c r="A4594" s="18">
        <v>1348.0</v>
      </c>
      <c r="B4594" s="18" t="s">
        <v>32</v>
      </c>
      <c r="C4594" s="18" t="s">
        <v>34</v>
      </c>
      <c r="D4594" s="18" t="s">
        <v>35</v>
      </c>
      <c r="E4594" s="26">
        <v>42562.9875</v>
      </c>
      <c r="F4594" s="19">
        <f>IFERROR(__xludf.DUMMYFUNCTION("IFERROR(TO_DATE(E4594), """")"),42562.9875)</f>
        <v>42562.9875</v>
      </c>
      <c r="G4594" s="20">
        <f t="shared" si="1"/>
        <v>23</v>
      </c>
      <c r="H4594" s="18" t="s">
        <v>34</v>
      </c>
      <c r="I4594" s="19" t="str">
        <f>IFERROR(__xludf.DUMMYFUNCTION("IFERROR(TO_DATE(H4594), """")"),"NA")</f>
        <v>NA</v>
      </c>
      <c r="J4594" s="19" t="s">
        <v>13</v>
      </c>
      <c r="K4594" s="22">
        <f t="shared" si="2"/>
        <v>0</v>
      </c>
    </row>
    <row r="4595">
      <c r="A4595" s="18">
        <v>1347.0</v>
      </c>
      <c r="B4595" s="18" t="s">
        <v>32</v>
      </c>
      <c r="C4595" s="18" t="s">
        <v>34</v>
      </c>
      <c r="D4595" s="18" t="s">
        <v>35</v>
      </c>
      <c r="E4595" s="26">
        <v>42562.98888888889</v>
      </c>
      <c r="F4595" s="19">
        <f>IFERROR(__xludf.DUMMYFUNCTION("IFERROR(TO_DATE(E4595), """")"),42562.98888888889)</f>
        <v>42562.98889</v>
      </c>
      <c r="G4595" s="20">
        <f t="shared" si="1"/>
        <v>23</v>
      </c>
      <c r="H4595" s="18" t="s">
        <v>34</v>
      </c>
      <c r="I4595" s="19" t="str">
        <f>IFERROR(__xludf.DUMMYFUNCTION("IFERROR(TO_DATE(H4595), """")"),"NA")</f>
        <v>NA</v>
      </c>
      <c r="J4595" s="19" t="s">
        <v>13</v>
      </c>
      <c r="K4595" s="22">
        <f t="shared" si="2"/>
        <v>0</v>
      </c>
    </row>
    <row r="4596">
      <c r="A4596" s="18">
        <v>1355.0</v>
      </c>
      <c r="B4596" s="18" t="s">
        <v>30</v>
      </c>
      <c r="C4596" s="18" t="s">
        <v>34</v>
      </c>
      <c r="D4596" s="18" t="s">
        <v>35</v>
      </c>
      <c r="E4596" s="26">
        <v>42562.989583333336</v>
      </c>
      <c r="F4596" s="19">
        <f>IFERROR(__xludf.DUMMYFUNCTION("IFERROR(TO_DATE(E4596), """")"),42562.989583333336)</f>
        <v>42562.98958</v>
      </c>
      <c r="G4596" s="20">
        <f t="shared" si="1"/>
        <v>23</v>
      </c>
      <c r="H4596" s="18" t="s">
        <v>34</v>
      </c>
      <c r="I4596" s="19" t="str">
        <f>IFERROR(__xludf.DUMMYFUNCTION("IFERROR(TO_DATE(H4596), """")"),"NA")</f>
        <v>NA</v>
      </c>
      <c r="J4596" s="19" t="s">
        <v>13</v>
      </c>
      <c r="K4596" s="22">
        <f t="shared" si="2"/>
        <v>0</v>
      </c>
    </row>
    <row r="4597">
      <c r="A4597" s="18">
        <v>1352.0</v>
      </c>
      <c r="B4597" s="18" t="s">
        <v>30</v>
      </c>
      <c r="C4597" s="18" t="s">
        <v>34</v>
      </c>
      <c r="D4597" s="18" t="s">
        <v>35</v>
      </c>
      <c r="E4597" s="26">
        <v>42562.99236111111</v>
      </c>
      <c r="F4597" s="19">
        <f>IFERROR(__xludf.DUMMYFUNCTION("IFERROR(TO_DATE(E4597), """")"),42562.99236111111)</f>
        <v>42562.99236</v>
      </c>
      <c r="G4597" s="20">
        <f t="shared" si="1"/>
        <v>23</v>
      </c>
      <c r="H4597" s="18" t="s">
        <v>34</v>
      </c>
      <c r="I4597" s="19" t="str">
        <f>IFERROR(__xludf.DUMMYFUNCTION("IFERROR(TO_DATE(H4597), """")"),"NA")</f>
        <v>NA</v>
      </c>
      <c r="J4597" s="19" t="s">
        <v>13</v>
      </c>
      <c r="K4597" s="22">
        <f t="shared" si="2"/>
        <v>0</v>
      </c>
    </row>
    <row r="4598">
      <c r="A4598" s="18">
        <v>1357.0</v>
      </c>
      <c r="B4598" s="18" t="s">
        <v>32</v>
      </c>
      <c r="C4598" s="18" t="s">
        <v>34</v>
      </c>
      <c r="D4598" s="18" t="s">
        <v>35</v>
      </c>
      <c r="E4598" s="26">
        <v>42562.99444444444</v>
      </c>
      <c r="F4598" s="19">
        <f>IFERROR(__xludf.DUMMYFUNCTION("IFERROR(TO_DATE(E4598), """")"),42562.99444444444)</f>
        <v>42562.99444</v>
      </c>
      <c r="G4598" s="20">
        <f t="shared" si="1"/>
        <v>23</v>
      </c>
      <c r="H4598" s="18" t="s">
        <v>34</v>
      </c>
      <c r="I4598" s="19" t="str">
        <f>IFERROR(__xludf.DUMMYFUNCTION("IFERROR(TO_DATE(H4598), """")"),"NA")</f>
        <v>NA</v>
      </c>
      <c r="J4598" s="19" t="s">
        <v>13</v>
      </c>
      <c r="K4598" s="22">
        <f t="shared" si="2"/>
        <v>0</v>
      </c>
    </row>
    <row r="4599">
      <c r="A4599" s="18">
        <v>1358.0</v>
      </c>
      <c r="B4599" s="18" t="s">
        <v>32</v>
      </c>
      <c r="C4599" s="18" t="s">
        <v>34</v>
      </c>
      <c r="D4599" s="18" t="s">
        <v>35</v>
      </c>
      <c r="E4599" s="26">
        <v>42562.99791666667</v>
      </c>
      <c r="F4599" s="19">
        <f>IFERROR(__xludf.DUMMYFUNCTION("IFERROR(TO_DATE(E4599), """")"),42562.99791666667)</f>
        <v>42562.99792</v>
      </c>
      <c r="G4599" s="20">
        <f t="shared" si="1"/>
        <v>23</v>
      </c>
      <c r="H4599" s="18" t="s">
        <v>34</v>
      </c>
      <c r="I4599" s="19" t="str">
        <f>IFERROR(__xludf.DUMMYFUNCTION("IFERROR(TO_DATE(H4599), """")"),"NA")</f>
        <v>NA</v>
      </c>
      <c r="J4599" s="19" t="s">
        <v>13</v>
      </c>
      <c r="K4599" s="22">
        <f t="shared" si="2"/>
        <v>0</v>
      </c>
    </row>
    <row r="4600">
      <c r="A4600" s="18">
        <v>1361.0</v>
      </c>
      <c r="B4600" s="18" t="s">
        <v>32</v>
      </c>
      <c r="C4600" s="18" t="s">
        <v>34</v>
      </c>
      <c r="D4600" s="18" t="s">
        <v>35</v>
      </c>
      <c r="E4600" s="26">
        <v>42562.998611111114</v>
      </c>
      <c r="F4600" s="19">
        <f>IFERROR(__xludf.DUMMYFUNCTION("IFERROR(TO_DATE(E4600), """")"),42562.998611111114)</f>
        <v>42562.99861</v>
      </c>
      <c r="G4600" s="20">
        <f t="shared" si="1"/>
        <v>23</v>
      </c>
      <c r="H4600" s="18" t="s">
        <v>34</v>
      </c>
      <c r="I4600" s="19" t="str">
        <f>IFERROR(__xludf.DUMMYFUNCTION("IFERROR(TO_DATE(H4600), """")"),"NA")</f>
        <v>NA</v>
      </c>
      <c r="J4600" s="19" t="s">
        <v>13</v>
      </c>
      <c r="K4600" s="22">
        <f t="shared" si="2"/>
        <v>0</v>
      </c>
    </row>
    <row r="4601">
      <c r="A4601" s="18">
        <v>2682.0</v>
      </c>
      <c r="B4601" s="18" t="s">
        <v>30</v>
      </c>
      <c r="C4601" s="18" t="s">
        <v>34</v>
      </c>
      <c r="D4601" s="18" t="s">
        <v>35</v>
      </c>
      <c r="E4601" s="26">
        <v>42563.006944444445</v>
      </c>
      <c r="F4601" s="19">
        <f>IFERROR(__xludf.DUMMYFUNCTION("IFERROR(TO_DATE(E4601), """")"),42563.006944444445)</f>
        <v>42563.00694</v>
      </c>
      <c r="G4601" s="20">
        <f t="shared" si="1"/>
        <v>0</v>
      </c>
      <c r="H4601" s="18" t="s">
        <v>34</v>
      </c>
      <c r="I4601" s="19" t="str">
        <f>IFERROR(__xludf.DUMMYFUNCTION("IFERROR(TO_DATE(H4601), """")"),"NA")</f>
        <v>NA</v>
      </c>
      <c r="J4601" s="19" t="s">
        <v>15</v>
      </c>
      <c r="K4601" s="22">
        <f t="shared" si="2"/>
        <v>0</v>
      </c>
    </row>
    <row r="4602">
      <c r="A4602" s="18">
        <v>2680.0</v>
      </c>
      <c r="B4602" s="18" t="s">
        <v>32</v>
      </c>
      <c r="C4602" s="18" t="s">
        <v>34</v>
      </c>
      <c r="D4602" s="18" t="s">
        <v>35</v>
      </c>
      <c r="E4602" s="26">
        <v>42563.00833333333</v>
      </c>
      <c r="F4602" s="19">
        <f>IFERROR(__xludf.DUMMYFUNCTION("IFERROR(TO_DATE(E4602), """")"),42563.00833333333)</f>
        <v>42563.00833</v>
      </c>
      <c r="G4602" s="20">
        <f t="shared" si="1"/>
        <v>0</v>
      </c>
      <c r="H4602" s="18" t="s">
        <v>34</v>
      </c>
      <c r="I4602" s="19" t="str">
        <f>IFERROR(__xludf.DUMMYFUNCTION("IFERROR(TO_DATE(H4602), """")"),"NA")</f>
        <v>NA</v>
      </c>
      <c r="J4602" s="19" t="s">
        <v>15</v>
      </c>
      <c r="K4602" s="22">
        <f t="shared" si="2"/>
        <v>0</v>
      </c>
    </row>
    <row r="4603">
      <c r="A4603" s="18">
        <v>1370.0</v>
      </c>
      <c r="B4603" s="18" t="s">
        <v>30</v>
      </c>
      <c r="C4603" s="18" t="s">
        <v>34</v>
      </c>
      <c r="D4603" s="18" t="s">
        <v>35</v>
      </c>
      <c r="E4603" s="26">
        <v>42563.01527777778</v>
      </c>
      <c r="F4603" s="19">
        <f>IFERROR(__xludf.DUMMYFUNCTION("IFERROR(TO_DATE(E4603), """")"),42563.01527777778)</f>
        <v>42563.01528</v>
      </c>
      <c r="G4603" s="20">
        <f t="shared" si="1"/>
        <v>0</v>
      </c>
      <c r="H4603" s="18" t="s">
        <v>34</v>
      </c>
      <c r="I4603" s="19" t="str">
        <f>IFERROR(__xludf.DUMMYFUNCTION("IFERROR(TO_DATE(H4603), """")"),"NA")</f>
        <v>NA</v>
      </c>
      <c r="J4603" s="19" t="s">
        <v>15</v>
      </c>
      <c r="K4603" s="22">
        <f t="shared" si="2"/>
        <v>0</v>
      </c>
    </row>
    <row r="4604">
      <c r="A4604" s="18">
        <v>1372.0</v>
      </c>
      <c r="B4604" s="18" t="s">
        <v>32</v>
      </c>
      <c r="C4604" s="18" t="s">
        <v>34</v>
      </c>
      <c r="D4604" s="18" t="s">
        <v>35</v>
      </c>
      <c r="E4604" s="26">
        <v>42563.01944444444</v>
      </c>
      <c r="F4604" s="19">
        <f>IFERROR(__xludf.DUMMYFUNCTION("IFERROR(TO_DATE(E4604), """")"),42563.01944444444)</f>
        <v>42563.01944</v>
      </c>
      <c r="G4604" s="20">
        <f t="shared" si="1"/>
        <v>0</v>
      </c>
      <c r="H4604" s="18" t="s">
        <v>34</v>
      </c>
      <c r="I4604" s="19" t="str">
        <f>IFERROR(__xludf.DUMMYFUNCTION("IFERROR(TO_DATE(H4604), """")"),"NA")</f>
        <v>NA</v>
      </c>
      <c r="J4604" s="19" t="s">
        <v>15</v>
      </c>
      <c r="K4604" s="22">
        <f t="shared" si="2"/>
        <v>0</v>
      </c>
    </row>
    <row r="4605">
      <c r="A4605" s="18">
        <v>1373.0</v>
      </c>
      <c r="B4605" s="18" t="s">
        <v>32</v>
      </c>
      <c r="C4605" s="18" t="s">
        <v>34</v>
      </c>
      <c r="D4605" s="18" t="s">
        <v>35</v>
      </c>
      <c r="E4605" s="26">
        <v>42563.02361111111</v>
      </c>
      <c r="F4605" s="19">
        <f>IFERROR(__xludf.DUMMYFUNCTION("IFERROR(TO_DATE(E4605), """")"),42563.02361111111)</f>
        <v>42563.02361</v>
      </c>
      <c r="G4605" s="20">
        <f t="shared" si="1"/>
        <v>0</v>
      </c>
      <c r="H4605" s="18" t="s">
        <v>34</v>
      </c>
      <c r="I4605" s="19" t="str">
        <f>IFERROR(__xludf.DUMMYFUNCTION("IFERROR(TO_DATE(H4605), """")"),"NA")</f>
        <v>NA</v>
      </c>
      <c r="J4605" s="19" t="s">
        <v>15</v>
      </c>
      <c r="K4605" s="22">
        <f t="shared" si="2"/>
        <v>0</v>
      </c>
    </row>
    <row r="4606">
      <c r="A4606" s="18">
        <v>1375.0</v>
      </c>
      <c r="B4606" s="18" t="s">
        <v>32</v>
      </c>
      <c r="C4606" s="18" t="s">
        <v>34</v>
      </c>
      <c r="D4606" s="18" t="s">
        <v>35</v>
      </c>
      <c r="E4606" s="26">
        <v>42563.02638888889</v>
      </c>
      <c r="F4606" s="19">
        <f>IFERROR(__xludf.DUMMYFUNCTION("IFERROR(TO_DATE(E4606), """")"),42563.02638888889)</f>
        <v>42563.02639</v>
      </c>
      <c r="G4606" s="20">
        <f t="shared" si="1"/>
        <v>0</v>
      </c>
      <c r="H4606" s="18" t="s">
        <v>34</v>
      </c>
      <c r="I4606" s="19" t="str">
        <f>IFERROR(__xludf.DUMMYFUNCTION("IFERROR(TO_DATE(H4606), """")"),"NA")</f>
        <v>NA</v>
      </c>
      <c r="J4606" s="19" t="s">
        <v>15</v>
      </c>
      <c r="K4606" s="22">
        <f t="shared" si="2"/>
        <v>0</v>
      </c>
    </row>
    <row r="4607">
      <c r="A4607" s="18">
        <v>1374.0</v>
      </c>
      <c r="B4607" s="18" t="s">
        <v>30</v>
      </c>
      <c r="C4607" s="18" t="s">
        <v>34</v>
      </c>
      <c r="D4607" s="18" t="s">
        <v>35</v>
      </c>
      <c r="E4607" s="26">
        <v>42563.02777777778</v>
      </c>
      <c r="F4607" s="19">
        <f>IFERROR(__xludf.DUMMYFUNCTION("IFERROR(TO_DATE(E4607), """")"),42563.02777777778)</f>
        <v>42563.02778</v>
      </c>
      <c r="G4607" s="20">
        <f t="shared" si="1"/>
        <v>0</v>
      </c>
      <c r="H4607" s="18" t="s">
        <v>34</v>
      </c>
      <c r="I4607" s="19" t="str">
        <f>IFERROR(__xludf.DUMMYFUNCTION("IFERROR(TO_DATE(H4607), """")"),"NA")</f>
        <v>NA</v>
      </c>
      <c r="J4607" s="19" t="s">
        <v>15</v>
      </c>
      <c r="K4607" s="22">
        <f t="shared" si="2"/>
        <v>0</v>
      </c>
    </row>
    <row r="4608">
      <c r="A4608" s="18">
        <v>1376.0</v>
      </c>
      <c r="B4608" s="18" t="s">
        <v>30</v>
      </c>
      <c r="C4608" s="18" t="s">
        <v>34</v>
      </c>
      <c r="D4608" s="18" t="s">
        <v>35</v>
      </c>
      <c r="E4608" s="26">
        <v>42563.02777777778</v>
      </c>
      <c r="F4608" s="19">
        <f>IFERROR(__xludf.DUMMYFUNCTION("IFERROR(TO_DATE(E4608), """")"),42563.02777777778)</f>
        <v>42563.02778</v>
      </c>
      <c r="G4608" s="20">
        <f t="shared" si="1"/>
        <v>0</v>
      </c>
      <c r="H4608" s="18" t="s">
        <v>34</v>
      </c>
      <c r="I4608" s="19" t="str">
        <f>IFERROR(__xludf.DUMMYFUNCTION("IFERROR(TO_DATE(H4608), """")"),"NA")</f>
        <v>NA</v>
      </c>
      <c r="J4608" s="19" t="s">
        <v>15</v>
      </c>
      <c r="K4608" s="22">
        <f t="shared" si="2"/>
        <v>0</v>
      </c>
    </row>
    <row r="4609">
      <c r="A4609" s="18">
        <v>1379.0</v>
      </c>
      <c r="B4609" s="18" t="s">
        <v>30</v>
      </c>
      <c r="C4609" s="18" t="s">
        <v>34</v>
      </c>
      <c r="D4609" s="18" t="s">
        <v>35</v>
      </c>
      <c r="E4609" s="26">
        <v>42563.04027777778</v>
      </c>
      <c r="F4609" s="19">
        <f>IFERROR(__xludf.DUMMYFUNCTION("IFERROR(TO_DATE(E4609), """")"),42563.04027777778)</f>
        <v>42563.04028</v>
      </c>
      <c r="G4609" s="20">
        <f t="shared" si="1"/>
        <v>0</v>
      </c>
      <c r="H4609" s="18" t="s">
        <v>34</v>
      </c>
      <c r="I4609" s="19" t="str">
        <f>IFERROR(__xludf.DUMMYFUNCTION("IFERROR(TO_DATE(H4609), """")"),"NA")</f>
        <v>NA</v>
      </c>
      <c r="J4609" s="19" t="s">
        <v>15</v>
      </c>
      <c r="K4609" s="22">
        <f t="shared" si="2"/>
        <v>0</v>
      </c>
    </row>
    <row r="4610">
      <c r="A4610" s="18">
        <v>1378.0</v>
      </c>
      <c r="B4610" s="18" t="s">
        <v>30</v>
      </c>
      <c r="C4610" s="18" t="s">
        <v>34</v>
      </c>
      <c r="D4610" s="18" t="s">
        <v>35</v>
      </c>
      <c r="E4610" s="26">
        <v>42563.040972222225</v>
      </c>
      <c r="F4610" s="19">
        <f>IFERROR(__xludf.DUMMYFUNCTION("IFERROR(TO_DATE(E4610), """")"),42563.040972222225)</f>
        <v>42563.04097</v>
      </c>
      <c r="G4610" s="20">
        <f t="shared" si="1"/>
        <v>0</v>
      </c>
      <c r="H4610" s="18" t="s">
        <v>34</v>
      </c>
      <c r="I4610" s="19" t="str">
        <f>IFERROR(__xludf.DUMMYFUNCTION("IFERROR(TO_DATE(H4610), """")"),"NA")</f>
        <v>NA</v>
      </c>
      <c r="J4610" s="19" t="s">
        <v>15</v>
      </c>
      <c r="K4610" s="22">
        <f t="shared" si="2"/>
        <v>0</v>
      </c>
    </row>
    <row r="4611">
      <c r="A4611" s="18">
        <v>1385.0</v>
      </c>
      <c r="B4611" s="18" t="s">
        <v>30</v>
      </c>
      <c r="C4611" s="18" t="s">
        <v>34</v>
      </c>
      <c r="D4611" s="18" t="s">
        <v>35</v>
      </c>
      <c r="E4611" s="26">
        <v>42563.061111111114</v>
      </c>
      <c r="F4611" s="19">
        <f>IFERROR(__xludf.DUMMYFUNCTION("IFERROR(TO_DATE(E4611), """")"),42563.061111111114)</f>
        <v>42563.06111</v>
      </c>
      <c r="G4611" s="20">
        <f t="shared" si="1"/>
        <v>1</v>
      </c>
      <c r="H4611" s="18" t="s">
        <v>34</v>
      </c>
      <c r="I4611" s="19" t="str">
        <f>IFERROR(__xludf.DUMMYFUNCTION("IFERROR(TO_DATE(H4611), """")"),"NA")</f>
        <v>NA</v>
      </c>
      <c r="J4611" s="19" t="s">
        <v>15</v>
      </c>
      <c r="K4611" s="22">
        <f t="shared" si="2"/>
        <v>0</v>
      </c>
    </row>
    <row r="4612">
      <c r="A4612" s="18">
        <v>1388.0</v>
      </c>
      <c r="B4612" s="18" t="s">
        <v>32</v>
      </c>
      <c r="C4612" s="18" t="s">
        <v>34</v>
      </c>
      <c r="D4612" s="18" t="s">
        <v>35</v>
      </c>
      <c r="E4612" s="26">
        <v>42563.07430555556</v>
      </c>
      <c r="F4612" s="19">
        <f>IFERROR(__xludf.DUMMYFUNCTION("IFERROR(TO_DATE(E4612), """")"),42563.07430555556)</f>
        <v>42563.07431</v>
      </c>
      <c r="G4612" s="20">
        <f t="shared" si="1"/>
        <v>1</v>
      </c>
      <c r="H4612" s="18" t="s">
        <v>34</v>
      </c>
      <c r="I4612" s="19" t="str">
        <f>IFERROR(__xludf.DUMMYFUNCTION("IFERROR(TO_DATE(H4612), """")"),"NA")</f>
        <v>NA</v>
      </c>
      <c r="J4612" s="19" t="s">
        <v>15</v>
      </c>
      <c r="K4612" s="22">
        <f t="shared" si="2"/>
        <v>0</v>
      </c>
    </row>
    <row r="4613">
      <c r="A4613" s="18">
        <v>1389.0</v>
      </c>
      <c r="B4613" s="18" t="s">
        <v>30</v>
      </c>
      <c r="C4613" s="18" t="s">
        <v>34</v>
      </c>
      <c r="D4613" s="18" t="s">
        <v>35</v>
      </c>
      <c r="E4613" s="26">
        <v>42563.07916666667</v>
      </c>
      <c r="F4613" s="19">
        <f>IFERROR(__xludf.DUMMYFUNCTION("IFERROR(TO_DATE(E4613), """")"),42563.07916666667)</f>
        <v>42563.07917</v>
      </c>
      <c r="G4613" s="20">
        <f t="shared" si="1"/>
        <v>1</v>
      </c>
      <c r="H4613" s="18" t="s">
        <v>34</v>
      </c>
      <c r="I4613" s="19" t="str">
        <f>IFERROR(__xludf.DUMMYFUNCTION("IFERROR(TO_DATE(H4613), """")"),"NA")</f>
        <v>NA</v>
      </c>
      <c r="J4613" s="19" t="s">
        <v>15</v>
      </c>
      <c r="K4613" s="22">
        <f t="shared" si="2"/>
        <v>0</v>
      </c>
    </row>
    <row r="4614">
      <c r="A4614" s="18">
        <v>1390.0</v>
      </c>
      <c r="B4614" s="18" t="s">
        <v>30</v>
      </c>
      <c r="C4614" s="18" t="s">
        <v>34</v>
      </c>
      <c r="D4614" s="18" t="s">
        <v>35</v>
      </c>
      <c r="E4614" s="26">
        <v>42563.08541666667</v>
      </c>
      <c r="F4614" s="19">
        <f>IFERROR(__xludf.DUMMYFUNCTION("IFERROR(TO_DATE(E4614), """")"),42563.08541666667)</f>
        <v>42563.08542</v>
      </c>
      <c r="G4614" s="20">
        <f t="shared" si="1"/>
        <v>2</v>
      </c>
      <c r="H4614" s="18" t="s">
        <v>34</v>
      </c>
      <c r="I4614" s="19" t="str">
        <f>IFERROR(__xludf.DUMMYFUNCTION("IFERROR(TO_DATE(H4614), """")"),"NA")</f>
        <v>NA</v>
      </c>
      <c r="J4614" s="19" t="s">
        <v>15</v>
      </c>
      <c r="K4614" s="22">
        <f t="shared" si="2"/>
        <v>0</v>
      </c>
    </row>
    <row r="4615">
      <c r="A4615" s="18">
        <v>1392.0</v>
      </c>
      <c r="B4615" s="18" t="s">
        <v>32</v>
      </c>
      <c r="C4615" s="18" t="s">
        <v>34</v>
      </c>
      <c r="D4615" s="18" t="s">
        <v>35</v>
      </c>
      <c r="E4615" s="26">
        <v>42563.08888888889</v>
      </c>
      <c r="F4615" s="19">
        <f>IFERROR(__xludf.DUMMYFUNCTION("IFERROR(TO_DATE(E4615), """")"),42563.08888888889)</f>
        <v>42563.08889</v>
      </c>
      <c r="G4615" s="20">
        <f t="shared" si="1"/>
        <v>2</v>
      </c>
      <c r="H4615" s="18" t="s">
        <v>34</v>
      </c>
      <c r="I4615" s="19" t="str">
        <f>IFERROR(__xludf.DUMMYFUNCTION("IFERROR(TO_DATE(H4615), """")"),"NA")</f>
        <v>NA</v>
      </c>
      <c r="J4615" s="19" t="s">
        <v>15</v>
      </c>
      <c r="K4615" s="22">
        <f t="shared" si="2"/>
        <v>0</v>
      </c>
    </row>
    <row r="4616">
      <c r="A4616" s="18">
        <v>1393.0</v>
      </c>
      <c r="B4616" s="18" t="s">
        <v>32</v>
      </c>
      <c r="C4616" s="18" t="s">
        <v>34</v>
      </c>
      <c r="D4616" s="18" t="s">
        <v>35</v>
      </c>
      <c r="E4616" s="26">
        <v>42563.08888888889</v>
      </c>
      <c r="F4616" s="19">
        <f>IFERROR(__xludf.DUMMYFUNCTION("IFERROR(TO_DATE(E4616), """")"),42563.08888888889)</f>
        <v>42563.08889</v>
      </c>
      <c r="G4616" s="20">
        <f t="shared" si="1"/>
        <v>2</v>
      </c>
      <c r="H4616" s="18" t="s">
        <v>34</v>
      </c>
      <c r="I4616" s="19" t="str">
        <f>IFERROR(__xludf.DUMMYFUNCTION("IFERROR(TO_DATE(H4616), """")"),"NA")</f>
        <v>NA</v>
      </c>
      <c r="J4616" s="19" t="s">
        <v>15</v>
      </c>
      <c r="K4616" s="22">
        <f t="shared" si="2"/>
        <v>0</v>
      </c>
    </row>
    <row r="4617">
      <c r="A4617" s="18">
        <v>1391.0</v>
      </c>
      <c r="B4617" s="18" t="s">
        <v>32</v>
      </c>
      <c r="C4617" s="18" t="s">
        <v>34</v>
      </c>
      <c r="D4617" s="18" t="s">
        <v>35</v>
      </c>
      <c r="E4617" s="26">
        <v>42563.089583333334</v>
      </c>
      <c r="F4617" s="19">
        <f>IFERROR(__xludf.DUMMYFUNCTION("IFERROR(TO_DATE(E4617), """")"),42563.089583333334)</f>
        <v>42563.08958</v>
      </c>
      <c r="G4617" s="20">
        <f t="shared" si="1"/>
        <v>2</v>
      </c>
      <c r="H4617" s="18" t="s">
        <v>34</v>
      </c>
      <c r="I4617" s="19" t="str">
        <f>IFERROR(__xludf.DUMMYFUNCTION("IFERROR(TO_DATE(H4617), """")"),"NA")</f>
        <v>NA</v>
      </c>
      <c r="J4617" s="19" t="s">
        <v>15</v>
      </c>
      <c r="K4617" s="22">
        <f t="shared" si="2"/>
        <v>0</v>
      </c>
    </row>
    <row r="4618">
      <c r="A4618" s="18">
        <v>1394.0</v>
      </c>
      <c r="B4618" s="18" t="s">
        <v>30</v>
      </c>
      <c r="C4618" s="18" t="s">
        <v>34</v>
      </c>
      <c r="D4618" s="18" t="s">
        <v>35</v>
      </c>
      <c r="E4618" s="26">
        <v>42563.092361111114</v>
      </c>
      <c r="F4618" s="19">
        <f>IFERROR(__xludf.DUMMYFUNCTION("IFERROR(TO_DATE(E4618), """")"),42563.092361111114)</f>
        <v>42563.09236</v>
      </c>
      <c r="G4618" s="20">
        <f t="shared" si="1"/>
        <v>2</v>
      </c>
      <c r="H4618" s="18" t="s">
        <v>34</v>
      </c>
      <c r="I4618" s="19" t="str">
        <f>IFERROR(__xludf.DUMMYFUNCTION("IFERROR(TO_DATE(H4618), """")"),"NA")</f>
        <v>NA</v>
      </c>
      <c r="J4618" s="19" t="s">
        <v>15</v>
      </c>
      <c r="K4618" s="22">
        <f t="shared" si="2"/>
        <v>0</v>
      </c>
    </row>
    <row r="4619">
      <c r="A4619" s="18">
        <v>1395.0</v>
      </c>
      <c r="B4619" s="18" t="s">
        <v>30</v>
      </c>
      <c r="C4619" s="18" t="s">
        <v>34</v>
      </c>
      <c r="D4619" s="18" t="s">
        <v>35</v>
      </c>
      <c r="E4619" s="26">
        <v>42563.1</v>
      </c>
      <c r="F4619" s="19">
        <f>IFERROR(__xludf.DUMMYFUNCTION("IFERROR(TO_DATE(E4619), """")"),42563.1)</f>
        <v>42563.1</v>
      </c>
      <c r="G4619" s="20">
        <f t="shared" si="1"/>
        <v>2</v>
      </c>
      <c r="H4619" s="18" t="s">
        <v>34</v>
      </c>
      <c r="I4619" s="19" t="str">
        <f>IFERROR(__xludf.DUMMYFUNCTION("IFERROR(TO_DATE(H4619), """")"),"NA")</f>
        <v>NA</v>
      </c>
      <c r="J4619" s="19" t="s">
        <v>15</v>
      </c>
      <c r="K4619" s="22">
        <f t="shared" si="2"/>
        <v>0</v>
      </c>
    </row>
    <row r="4620">
      <c r="A4620" s="18">
        <v>1396.0</v>
      </c>
      <c r="B4620" s="18" t="s">
        <v>30</v>
      </c>
      <c r="C4620" s="18" t="s">
        <v>34</v>
      </c>
      <c r="D4620" s="18" t="s">
        <v>35</v>
      </c>
      <c r="E4620" s="26">
        <v>42563.10138888889</v>
      </c>
      <c r="F4620" s="19">
        <f>IFERROR(__xludf.DUMMYFUNCTION("IFERROR(TO_DATE(E4620), """")"),42563.10138888889)</f>
        <v>42563.10139</v>
      </c>
      <c r="G4620" s="20">
        <f t="shared" si="1"/>
        <v>2</v>
      </c>
      <c r="H4620" s="18" t="s">
        <v>34</v>
      </c>
      <c r="I4620" s="19" t="str">
        <f>IFERROR(__xludf.DUMMYFUNCTION("IFERROR(TO_DATE(H4620), """")"),"NA")</f>
        <v>NA</v>
      </c>
      <c r="J4620" s="19" t="s">
        <v>15</v>
      </c>
      <c r="K4620" s="22">
        <f t="shared" si="2"/>
        <v>0</v>
      </c>
    </row>
    <row r="4621">
      <c r="A4621" s="18">
        <v>1397.0</v>
      </c>
      <c r="B4621" s="18" t="s">
        <v>32</v>
      </c>
      <c r="C4621" s="18" t="s">
        <v>34</v>
      </c>
      <c r="D4621" s="18" t="s">
        <v>35</v>
      </c>
      <c r="E4621" s="26">
        <v>42563.10625</v>
      </c>
      <c r="F4621" s="19">
        <f>IFERROR(__xludf.DUMMYFUNCTION("IFERROR(TO_DATE(E4621), """")"),42563.10625)</f>
        <v>42563.10625</v>
      </c>
      <c r="G4621" s="20">
        <f t="shared" si="1"/>
        <v>2</v>
      </c>
      <c r="H4621" s="18" t="s">
        <v>34</v>
      </c>
      <c r="I4621" s="19" t="str">
        <f>IFERROR(__xludf.DUMMYFUNCTION("IFERROR(TO_DATE(H4621), """")"),"NA")</f>
        <v>NA</v>
      </c>
      <c r="J4621" s="19" t="s">
        <v>15</v>
      </c>
      <c r="K4621" s="22">
        <f t="shared" si="2"/>
        <v>0</v>
      </c>
    </row>
    <row r="4622">
      <c r="A4622" s="18">
        <v>1398.0</v>
      </c>
      <c r="B4622" s="18" t="s">
        <v>32</v>
      </c>
      <c r="C4622" s="18" t="s">
        <v>34</v>
      </c>
      <c r="D4622" s="18" t="s">
        <v>35</v>
      </c>
      <c r="E4622" s="26">
        <v>42563.10625</v>
      </c>
      <c r="F4622" s="19">
        <f>IFERROR(__xludf.DUMMYFUNCTION("IFERROR(TO_DATE(E4622), """")"),42563.10625)</f>
        <v>42563.10625</v>
      </c>
      <c r="G4622" s="20">
        <f t="shared" si="1"/>
        <v>2</v>
      </c>
      <c r="H4622" s="18" t="s">
        <v>34</v>
      </c>
      <c r="I4622" s="19" t="str">
        <f>IFERROR(__xludf.DUMMYFUNCTION("IFERROR(TO_DATE(H4622), """")"),"NA")</f>
        <v>NA</v>
      </c>
      <c r="J4622" s="19" t="s">
        <v>15</v>
      </c>
      <c r="K4622" s="22">
        <f t="shared" si="2"/>
        <v>0</v>
      </c>
    </row>
    <row r="4623">
      <c r="A4623" s="18">
        <v>1400.0</v>
      </c>
      <c r="B4623" s="18" t="s">
        <v>30</v>
      </c>
      <c r="C4623" s="18" t="s">
        <v>34</v>
      </c>
      <c r="D4623" s="18" t="s">
        <v>35</v>
      </c>
      <c r="E4623" s="26">
        <v>42563.10833333333</v>
      </c>
      <c r="F4623" s="19">
        <f>IFERROR(__xludf.DUMMYFUNCTION("IFERROR(TO_DATE(E4623), """")"),42563.10833333333)</f>
        <v>42563.10833</v>
      </c>
      <c r="G4623" s="20">
        <f t="shared" si="1"/>
        <v>2</v>
      </c>
      <c r="H4623" s="18" t="s">
        <v>34</v>
      </c>
      <c r="I4623" s="19" t="str">
        <f>IFERROR(__xludf.DUMMYFUNCTION("IFERROR(TO_DATE(H4623), """")"),"NA")</f>
        <v>NA</v>
      </c>
      <c r="J4623" s="19" t="s">
        <v>15</v>
      </c>
      <c r="K4623" s="22">
        <f t="shared" si="2"/>
        <v>0</v>
      </c>
    </row>
    <row r="4624">
      <c r="A4624" s="18">
        <v>1404.0</v>
      </c>
      <c r="B4624" s="18" t="s">
        <v>30</v>
      </c>
      <c r="C4624" s="18" t="s">
        <v>34</v>
      </c>
      <c r="D4624" s="18" t="s">
        <v>35</v>
      </c>
      <c r="E4624" s="26">
        <v>42563.12222222222</v>
      </c>
      <c r="F4624" s="19">
        <f>IFERROR(__xludf.DUMMYFUNCTION("IFERROR(TO_DATE(E4624), """")"),42563.12222222222)</f>
        <v>42563.12222</v>
      </c>
      <c r="G4624" s="20">
        <f t="shared" si="1"/>
        <v>2</v>
      </c>
      <c r="H4624" s="18" t="s">
        <v>34</v>
      </c>
      <c r="I4624" s="19" t="str">
        <f>IFERROR(__xludf.DUMMYFUNCTION("IFERROR(TO_DATE(H4624), """")"),"NA")</f>
        <v>NA</v>
      </c>
      <c r="J4624" s="19" t="s">
        <v>15</v>
      </c>
      <c r="K4624" s="22">
        <f t="shared" si="2"/>
        <v>0</v>
      </c>
    </row>
    <row r="4625">
      <c r="A4625" s="18">
        <v>1405.0</v>
      </c>
      <c r="B4625" s="18" t="s">
        <v>30</v>
      </c>
      <c r="C4625" s="18" t="s">
        <v>34</v>
      </c>
      <c r="D4625" s="18" t="s">
        <v>35</v>
      </c>
      <c r="E4625" s="26">
        <v>42563.12291666667</v>
      </c>
      <c r="F4625" s="19">
        <f>IFERROR(__xludf.DUMMYFUNCTION("IFERROR(TO_DATE(E4625), """")"),42563.12291666667)</f>
        <v>42563.12292</v>
      </c>
      <c r="G4625" s="20">
        <f t="shared" si="1"/>
        <v>2</v>
      </c>
      <c r="H4625" s="18" t="s">
        <v>34</v>
      </c>
      <c r="I4625" s="19" t="str">
        <f>IFERROR(__xludf.DUMMYFUNCTION("IFERROR(TO_DATE(H4625), """")"),"NA")</f>
        <v>NA</v>
      </c>
      <c r="J4625" s="19" t="s">
        <v>15</v>
      </c>
      <c r="K4625" s="22">
        <f t="shared" si="2"/>
        <v>0</v>
      </c>
    </row>
    <row r="4626">
      <c r="A4626" s="18">
        <v>1409.0</v>
      </c>
      <c r="B4626" s="18" t="s">
        <v>30</v>
      </c>
      <c r="C4626" s="18" t="s">
        <v>34</v>
      </c>
      <c r="D4626" s="18" t="s">
        <v>35</v>
      </c>
      <c r="E4626" s="26">
        <v>42563.13402777778</v>
      </c>
      <c r="F4626" s="19">
        <f>IFERROR(__xludf.DUMMYFUNCTION("IFERROR(TO_DATE(E4626), """")"),42563.13402777778)</f>
        <v>42563.13403</v>
      </c>
      <c r="G4626" s="20">
        <f t="shared" si="1"/>
        <v>3</v>
      </c>
      <c r="H4626" s="18" t="s">
        <v>34</v>
      </c>
      <c r="I4626" s="19" t="str">
        <f>IFERROR(__xludf.DUMMYFUNCTION("IFERROR(TO_DATE(H4626), """")"),"NA")</f>
        <v>NA</v>
      </c>
      <c r="J4626" s="19" t="s">
        <v>15</v>
      </c>
      <c r="K4626" s="22">
        <f t="shared" si="2"/>
        <v>0</v>
      </c>
    </row>
    <row r="4627">
      <c r="A4627" s="18">
        <v>1407.0</v>
      </c>
      <c r="B4627" s="18" t="s">
        <v>30</v>
      </c>
      <c r="C4627" s="18" t="s">
        <v>34</v>
      </c>
      <c r="D4627" s="18" t="s">
        <v>35</v>
      </c>
      <c r="E4627" s="26">
        <v>42563.13402777778</v>
      </c>
      <c r="F4627" s="19">
        <f>IFERROR(__xludf.DUMMYFUNCTION("IFERROR(TO_DATE(E4627), """")"),42563.13402777778)</f>
        <v>42563.13403</v>
      </c>
      <c r="G4627" s="20">
        <f t="shared" si="1"/>
        <v>3</v>
      </c>
      <c r="H4627" s="18" t="s">
        <v>34</v>
      </c>
      <c r="I4627" s="19" t="str">
        <f>IFERROR(__xludf.DUMMYFUNCTION("IFERROR(TO_DATE(H4627), """")"),"NA")</f>
        <v>NA</v>
      </c>
      <c r="J4627" s="19" t="s">
        <v>15</v>
      </c>
      <c r="K4627" s="22">
        <f t="shared" si="2"/>
        <v>0</v>
      </c>
    </row>
    <row r="4628">
      <c r="A4628" s="18">
        <v>1411.0</v>
      </c>
      <c r="B4628" s="18" t="s">
        <v>32</v>
      </c>
      <c r="C4628" s="18" t="s">
        <v>34</v>
      </c>
      <c r="D4628" s="18" t="s">
        <v>35</v>
      </c>
      <c r="E4628" s="26">
        <v>42563.138194444444</v>
      </c>
      <c r="F4628" s="19">
        <f>IFERROR(__xludf.DUMMYFUNCTION("IFERROR(TO_DATE(E4628), """")"),42563.138194444444)</f>
        <v>42563.13819</v>
      </c>
      <c r="G4628" s="20">
        <f t="shared" si="1"/>
        <v>3</v>
      </c>
      <c r="H4628" s="18" t="s">
        <v>34</v>
      </c>
      <c r="I4628" s="19" t="str">
        <f>IFERROR(__xludf.DUMMYFUNCTION("IFERROR(TO_DATE(H4628), """")"),"NA")</f>
        <v>NA</v>
      </c>
      <c r="J4628" s="19" t="s">
        <v>15</v>
      </c>
      <c r="K4628" s="22">
        <f t="shared" si="2"/>
        <v>0</v>
      </c>
    </row>
    <row r="4629">
      <c r="A4629" s="18">
        <v>1412.0</v>
      </c>
      <c r="B4629" s="18" t="s">
        <v>30</v>
      </c>
      <c r="C4629" s="18" t="s">
        <v>34</v>
      </c>
      <c r="D4629" s="18" t="s">
        <v>35</v>
      </c>
      <c r="E4629" s="26">
        <v>42563.138194444444</v>
      </c>
      <c r="F4629" s="19">
        <f>IFERROR(__xludf.DUMMYFUNCTION("IFERROR(TO_DATE(E4629), """")"),42563.138194444444)</f>
        <v>42563.13819</v>
      </c>
      <c r="G4629" s="20">
        <f t="shared" si="1"/>
        <v>3</v>
      </c>
      <c r="H4629" s="18" t="s">
        <v>34</v>
      </c>
      <c r="I4629" s="19" t="str">
        <f>IFERROR(__xludf.DUMMYFUNCTION("IFERROR(TO_DATE(H4629), """")"),"NA")</f>
        <v>NA</v>
      </c>
      <c r="J4629" s="19" t="s">
        <v>15</v>
      </c>
      <c r="K4629" s="22">
        <f t="shared" si="2"/>
        <v>0</v>
      </c>
    </row>
    <row r="4630">
      <c r="A4630" s="18">
        <v>1415.0</v>
      </c>
      <c r="B4630" s="18" t="s">
        <v>30</v>
      </c>
      <c r="C4630" s="18" t="s">
        <v>34</v>
      </c>
      <c r="D4630" s="18" t="s">
        <v>35</v>
      </c>
      <c r="E4630" s="26">
        <v>42563.14097222222</v>
      </c>
      <c r="F4630" s="19">
        <f>IFERROR(__xludf.DUMMYFUNCTION("IFERROR(TO_DATE(E4630), """")"),42563.14097222222)</f>
        <v>42563.14097</v>
      </c>
      <c r="G4630" s="20">
        <f t="shared" si="1"/>
        <v>3</v>
      </c>
      <c r="H4630" s="18" t="s">
        <v>34</v>
      </c>
      <c r="I4630" s="19" t="str">
        <f>IFERROR(__xludf.DUMMYFUNCTION("IFERROR(TO_DATE(H4630), """")"),"NA")</f>
        <v>NA</v>
      </c>
      <c r="J4630" s="19" t="s">
        <v>15</v>
      </c>
      <c r="K4630" s="22">
        <f t="shared" si="2"/>
        <v>0</v>
      </c>
    </row>
    <row r="4631">
      <c r="A4631" s="18">
        <v>1416.0</v>
      </c>
      <c r="B4631" s="18" t="s">
        <v>32</v>
      </c>
      <c r="C4631" s="18" t="s">
        <v>34</v>
      </c>
      <c r="D4631" s="18" t="s">
        <v>35</v>
      </c>
      <c r="E4631" s="26">
        <v>42563.14236111111</v>
      </c>
      <c r="F4631" s="19">
        <f>IFERROR(__xludf.DUMMYFUNCTION("IFERROR(TO_DATE(E4631), """")"),42563.14236111111)</f>
        <v>42563.14236</v>
      </c>
      <c r="G4631" s="20">
        <f t="shared" si="1"/>
        <v>3</v>
      </c>
      <c r="H4631" s="18" t="s">
        <v>34</v>
      </c>
      <c r="I4631" s="19" t="str">
        <f>IFERROR(__xludf.DUMMYFUNCTION("IFERROR(TO_DATE(H4631), """")"),"NA")</f>
        <v>NA</v>
      </c>
      <c r="J4631" s="19" t="s">
        <v>15</v>
      </c>
      <c r="K4631" s="22">
        <f t="shared" si="2"/>
        <v>0</v>
      </c>
    </row>
    <row r="4632">
      <c r="A4632" s="18">
        <v>1413.0</v>
      </c>
      <c r="B4632" s="18" t="s">
        <v>32</v>
      </c>
      <c r="C4632" s="18" t="s">
        <v>34</v>
      </c>
      <c r="D4632" s="18" t="s">
        <v>35</v>
      </c>
      <c r="E4632" s="26">
        <v>42563.146527777775</v>
      </c>
      <c r="F4632" s="19">
        <f>IFERROR(__xludf.DUMMYFUNCTION("IFERROR(TO_DATE(E4632), """")"),42563.146527777775)</f>
        <v>42563.14653</v>
      </c>
      <c r="G4632" s="20">
        <f t="shared" si="1"/>
        <v>3</v>
      </c>
      <c r="H4632" s="18" t="s">
        <v>34</v>
      </c>
      <c r="I4632" s="19" t="str">
        <f>IFERROR(__xludf.DUMMYFUNCTION("IFERROR(TO_DATE(H4632), """")"),"NA")</f>
        <v>NA</v>
      </c>
      <c r="J4632" s="19" t="s">
        <v>15</v>
      </c>
      <c r="K4632" s="22">
        <f t="shared" si="2"/>
        <v>0</v>
      </c>
    </row>
    <row r="4633">
      <c r="A4633" s="18">
        <v>1418.0</v>
      </c>
      <c r="B4633" s="18" t="s">
        <v>30</v>
      </c>
      <c r="C4633" s="18" t="s">
        <v>34</v>
      </c>
      <c r="D4633" s="18" t="s">
        <v>35</v>
      </c>
      <c r="E4633" s="26">
        <v>42563.160416666666</v>
      </c>
      <c r="F4633" s="19">
        <f>IFERROR(__xludf.DUMMYFUNCTION("IFERROR(TO_DATE(E4633), """")"),42563.160416666666)</f>
        <v>42563.16042</v>
      </c>
      <c r="G4633" s="20">
        <f t="shared" si="1"/>
        <v>3</v>
      </c>
      <c r="H4633" s="18" t="s">
        <v>34</v>
      </c>
      <c r="I4633" s="19" t="str">
        <f>IFERROR(__xludf.DUMMYFUNCTION("IFERROR(TO_DATE(H4633), """")"),"NA")</f>
        <v>NA</v>
      </c>
      <c r="J4633" s="19" t="s">
        <v>15</v>
      </c>
      <c r="K4633" s="22">
        <f t="shared" si="2"/>
        <v>0</v>
      </c>
    </row>
    <row r="4634">
      <c r="A4634" s="18">
        <v>1420.0</v>
      </c>
      <c r="B4634" s="18" t="s">
        <v>32</v>
      </c>
      <c r="C4634" s="18" t="s">
        <v>34</v>
      </c>
      <c r="D4634" s="18" t="s">
        <v>35</v>
      </c>
      <c r="E4634" s="26">
        <v>42563.16805555556</v>
      </c>
      <c r="F4634" s="19">
        <f>IFERROR(__xludf.DUMMYFUNCTION("IFERROR(TO_DATE(E4634), """")"),42563.16805555556)</f>
        <v>42563.16806</v>
      </c>
      <c r="G4634" s="20">
        <f t="shared" si="1"/>
        <v>4</v>
      </c>
      <c r="H4634" s="18" t="s">
        <v>34</v>
      </c>
      <c r="I4634" s="19" t="str">
        <f>IFERROR(__xludf.DUMMYFUNCTION("IFERROR(TO_DATE(H4634), """")"),"NA")</f>
        <v>NA</v>
      </c>
      <c r="J4634" s="19" t="s">
        <v>11</v>
      </c>
      <c r="K4634" s="22">
        <f t="shared" si="2"/>
        <v>0</v>
      </c>
    </row>
    <row r="4635">
      <c r="A4635" s="18">
        <v>1421.0</v>
      </c>
      <c r="B4635" s="18" t="s">
        <v>32</v>
      </c>
      <c r="C4635" s="18" t="s">
        <v>34</v>
      </c>
      <c r="D4635" s="18" t="s">
        <v>35</v>
      </c>
      <c r="E4635" s="26">
        <v>42563.17013888889</v>
      </c>
      <c r="F4635" s="19">
        <f>IFERROR(__xludf.DUMMYFUNCTION("IFERROR(TO_DATE(E4635), """")"),42563.17013888889)</f>
        <v>42563.17014</v>
      </c>
      <c r="G4635" s="20">
        <f t="shared" si="1"/>
        <v>4</v>
      </c>
      <c r="H4635" s="18" t="s">
        <v>34</v>
      </c>
      <c r="I4635" s="19" t="str">
        <f>IFERROR(__xludf.DUMMYFUNCTION("IFERROR(TO_DATE(H4635), """")"),"NA")</f>
        <v>NA</v>
      </c>
      <c r="J4635" s="19" t="s">
        <v>11</v>
      </c>
      <c r="K4635" s="22">
        <f t="shared" si="2"/>
        <v>0</v>
      </c>
    </row>
    <row r="4636">
      <c r="A4636" s="18">
        <v>1423.0</v>
      </c>
      <c r="B4636" s="18" t="s">
        <v>30</v>
      </c>
      <c r="C4636" s="18" t="s">
        <v>34</v>
      </c>
      <c r="D4636" s="18" t="s">
        <v>35</v>
      </c>
      <c r="E4636" s="26">
        <v>42563.177083333336</v>
      </c>
      <c r="F4636" s="19">
        <f>IFERROR(__xludf.DUMMYFUNCTION("IFERROR(TO_DATE(E4636), """")"),42563.177083333336)</f>
        <v>42563.17708</v>
      </c>
      <c r="G4636" s="20">
        <f t="shared" si="1"/>
        <v>4</v>
      </c>
      <c r="H4636" s="18" t="s">
        <v>34</v>
      </c>
      <c r="I4636" s="19" t="str">
        <f>IFERROR(__xludf.DUMMYFUNCTION("IFERROR(TO_DATE(H4636), """")"),"NA")</f>
        <v>NA</v>
      </c>
      <c r="J4636" s="19" t="s">
        <v>11</v>
      </c>
      <c r="K4636" s="22">
        <f t="shared" si="2"/>
        <v>0</v>
      </c>
    </row>
    <row r="4637">
      <c r="A4637" s="18">
        <v>1427.0</v>
      </c>
      <c r="B4637" s="18" t="s">
        <v>30</v>
      </c>
      <c r="C4637" s="18" t="s">
        <v>34</v>
      </c>
      <c r="D4637" s="18" t="s">
        <v>35</v>
      </c>
      <c r="E4637" s="26">
        <v>42563.186111111114</v>
      </c>
      <c r="F4637" s="19">
        <f>IFERROR(__xludf.DUMMYFUNCTION("IFERROR(TO_DATE(E4637), """")"),42563.186111111114)</f>
        <v>42563.18611</v>
      </c>
      <c r="G4637" s="20">
        <f t="shared" si="1"/>
        <v>4</v>
      </c>
      <c r="H4637" s="18" t="s">
        <v>34</v>
      </c>
      <c r="I4637" s="19" t="str">
        <f>IFERROR(__xludf.DUMMYFUNCTION("IFERROR(TO_DATE(H4637), """")"),"NA")</f>
        <v>NA</v>
      </c>
      <c r="J4637" s="19" t="s">
        <v>11</v>
      </c>
      <c r="K4637" s="22">
        <f t="shared" si="2"/>
        <v>0</v>
      </c>
    </row>
    <row r="4638">
      <c r="A4638" s="18">
        <v>1424.0</v>
      </c>
      <c r="B4638" s="18" t="s">
        <v>30</v>
      </c>
      <c r="C4638" s="18" t="s">
        <v>34</v>
      </c>
      <c r="D4638" s="18" t="s">
        <v>35</v>
      </c>
      <c r="E4638" s="26">
        <v>42563.18680555555</v>
      </c>
      <c r="F4638" s="19">
        <f>IFERROR(__xludf.DUMMYFUNCTION("IFERROR(TO_DATE(E4638), """")"),42563.18680555555)</f>
        <v>42563.18681</v>
      </c>
      <c r="G4638" s="20">
        <f t="shared" si="1"/>
        <v>4</v>
      </c>
      <c r="H4638" s="18" t="s">
        <v>34</v>
      </c>
      <c r="I4638" s="19" t="str">
        <f>IFERROR(__xludf.DUMMYFUNCTION("IFERROR(TO_DATE(H4638), """")"),"NA")</f>
        <v>NA</v>
      </c>
      <c r="J4638" s="19" t="s">
        <v>11</v>
      </c>
      <c r="K4638" s="22">
        <f t="shared" si="2"/>
        <v>0</v>
      </c>
    </row>
    <row r="4639">
      <c r="A4639" s="18">
        <v>1428.0</v>
      </c>
      <c r="B4639" s="18" t="s">
        <v>30</v>
      </c>
      <c r="C4639" s="18" t="s">
        <v>34</v>
      </c>
      <c r="D4639" s="18" t="s">
        <v>35</v>
      </c>
      <c r="E4639" s="26">
        <v>42563.19097222222</v>
      </c>
      <c r="F4639" s="19">
        <f>IFERROR(__xludf.DUMMYFUNCTION("IFERROR(TO_DATE(E4639), """")"),42563.19097222222)</f>
        <v>42563.19097</v>
      </c>
      <c r="G4639" s="20">
        <f t="shared" si="1"/>
        <v>4</v>
      </c>
      <c r="H4639" s="18" t="s">
        <v>34</v>
      </c>
      <c r="I4639" s="19" t="str">
        <f>IFERROR(__xludf.DUMMYFUNCTION("IFERROR(TO_DATE(H4639), """")"),"NA")</f>
        <v>NA</v>
      </c>
      <c r="J4639" s="19" t="s">
        <v>11</v>
      </c>
      <c r="K4639" s="22">
        <f t="shared" si="2"/>
        <v>0</v>
      </c>
    </row>
    <row r="4640">
      <c r="A4640" s="18">
        <v>1431.0</v>
      </c>
      <c r="B4640" s="18" t="s">
        <v>30</v>
      </c>
      <c r="C4640" s="18" t="s">
        <v>34</v>
      </c>
      <c r="D4640" s="18" t="s">
        <v>35</v>
      </c>
      <c r="E4640" s="26">
        <v>42563.194444444445</v>
      </c>
      <c r="F4640" s="19">
        <f>IFERROR(__xludf.DUMMYFUNCTION("IFERROR(TO_DATE(E4640), """")"),42563.194444444445)</f>
        <v>42563.19444</v>
      </c>
      <c r="G4640" s="20">
        <f t="shared" si="1"/>
        <v>4</v>
      </c>
      <c r="H4640" s="18" t="s">
        <v>34</v>
      </c>
      <c r="I4640" s="19" t="str">
        <f>IFERROR(__xludf.DUMMYFUNCTION("IFERROR(TO_DATE(H4640), """")"),"NA")</f>
        <v>NA</v>
      </c>
      <c r="J4640" s="19" t="s">
        <v>11</v>
      </c>
      <c r="K4640" s="22">
        <f t="shared" si="2"/>
        <v>0</v>
      </c>
    </row>
    <row r="4641">
      <c r="A4641" s="18">
        <v>1432.0</v>
      </c>
      <c r="B4641" s="18" t="s">
        <v>32</v>
      </c>
      <c r="C4641" s="18" t="s">
        <v>34</v>
      </c>
      <c r="D4641" s="18" t="s">
        <v>35</v>
      </c>
      <c r="E4641" s="26">
        <v>42563.194444444445</v>
      </c>
      <c r="F4641" s="19">
        <f>IFERROR(__xludf.DUMMYFUNCTION("IFERROR(TO_DATE(E4641), """")"),42563.194444444445)</f>
        <v>42563.19444</v>
      </c>
      <c r="G4641" s="20">
        <f t="shared" si="1"/>
        <v>4</v>
      </c>
      <c r="H4641" s="18" t="s">
        <v>34</v>
      </c>
      <c r="I4641" s="19" t="str">
        <f>IFERROR(__xludf.DUMMYFUNCTION("IFERROR(TO_DATE(H4641), """")"),"NA")</f>
        <v>NA</v>
      </c>
      <c r="J4641" s="19" t="s">
        <v>11</v>
      </c>
      <c r="K4641" s="22">
        <f t="shared" si="2"/>
        <v>0</v>
      </c>
    </row>
    <row r="4642">
      <c r="A4642" s="18">
        <v>1430.0</v>
      </c>
      <c r="B4642" s="18" t="s">
        <v>32</v>
      </c>
      <c r="C4642" s="18" t="s">
        <v>34</v>
      </c>
      <c r="D4642" s="18" t="s">
        <v>35</v>
      </c>
      <c r="E4642" s="26">
        <v>42563.19583333333</v>
      </c>
      <c r="F4642" s="19">
        <f>IFERROR(__xludf.DUMMYFUNCTION("IFERROR(TO_DATE(E4642), """")"),42563.19583333333)</f>
        <v>42563.19583</v>
      </c>
      <c r="G4642" s="20">
        <f t="shared" si="1"/>
        <v>4</v>
      </c>
      <c r="H4642" s="18" t="s">
        <v>34</v>
      </c>
      <c r="I4642" s="19" t="str">
        <f>IFERROR(__xludf.DUMMYFUNCTION("IFERROR(TO_DATE(H4642), """")"),"NA")</f>
        <v>NA</v>
      </c>
      <c r="J4642" s="19" t="s">
        <v>11</v>
      </c>
      <c r="K4642" s="22">
        <f t="shared" si="2"/>
        <v>0</v>
      </c>
    </row>
    <row r="4643">
      <c r="A4643" s="18">
        <v>1440.0</v>
      </c>
      <c r="B4643" s="18" t="s">
        <v>30</v>
      </c>
      <c r="C4643" s="18" t="s">
        <v>34</v>
      </c>
      <c r="D4643" s="18" t="s">
        <v>35</v>
      </c>
      <c r="E4643" s="26">
        <v>42563.197222222225</v>
      </c>
      <c r="F4643" s="19">
        <f>IFERROR(__xludf.DUMMYFUNCTION("IFERROR(TO_DATE(E4643), """")"),42563.197222222225)</f>
        <v>42563.19722</v>
      </c>
      <c r="G4643" s="20">
        <f t="shared" si="1"/>
        <v>4</v>
      </c>
      <c r="H4643" s="18" t="s">
        <v>34</v>
      </c>
      <c r="I4643" s="19" t="str">
        <f>IFERROR(__xludf.DUMMYFUNCTION("IFERROR(TO_DATE(H4643), """")"),"NA")</f>
        <v>NA</v>
      </c>
      <c r="J4643" s="19" t="s">
        <v>11</v>
      </c>
      <c r="K4643" s="22">
        <f t="shared" si="2"/>
        <v>0</v>
      </c>
    </row>
    <row r="4644">
      <c r="A4644" s="18">
        <v>1438.0</v>
      </c>
      <c r="B4644" s="18" t="s">
        <v>32</v>
      </c>
      <c r="C4644" s="18" t="s">
        <v>34</v>
      </c>
      <c r="D4644" s="18" t="s">
        <v>35</v>
      </c>
      <c r="E4644" s="26">
        <v>42563.197222222225</v>
      </c>
      <c r="F4644" s="19">
        <f>IFERROR(__xludf.DUMMYFUNCTION("IFERROR(TO_DATE(E4644), """")"),42563.197222222225)</f>
        <v>42563.19722</v>
      </c>
      <c r="G4644" s="20">
        <f t="shared" si="1"/>
        <v>4</v>
      </c>
      <c r="H4644" s="18" t="s">
        <v>34</v>
      </c>
      <c r="I4644" s="19" t="str">
        <f>IFERROR(__xludf.DUMMYFUNCTION("IFERROR(TO_DATE(H4644), """")"),"NA")</f>
        <v>NA</v>
      </c>
      <c r="J4644" s="19" t="s">
        <v>11</v>
      </c>
      <c r="K4644" s="22">
        <f t="shared" si="2"/>
        <v>0</v>
      </c>
    </row>
    <row r="4645">
      <c r="A4645" s="18">
        <v>1433.0</v>
      </c>
      <c r="B4645" s="18" t="s">
        <v>32</v>
      </c>
      <c r="C4645" s="18" t="s">
        <v>34</v>
      </c>
      <c r="D4645" s="18" t="s">
        <v>35</v>
      </c>
      <c r="E4645" s="26">
        <v>42563.19861111111</v>
      </c>
      <c r="F4645" s="19">
        <f>IFERROR(__xludf.DUMMYFUNCTION("IFERROR(TO_DATE(E4645), """")"),42563.19861111111)</f>
        <v>42563.19861</v>
      </c>
      <c r="G4645" s="20">
        <f t="shared" si="1"/>
        <v>4</v>
      </c>
      <c r="H4645" s="18" t="s">
        <v>34</v>
      </c>
      <c r="I4645" s="19" t="str">
        <f>IFERROR(__xludf.DUMMYFUNCTION("IFERROR(TO_DATE(H4645), """")"),"NA")</f>
        <v>NA</v>
      </c>
      <c r="J4645" s="19" t="s">
        <v>11</v>
      </c>
      <c r="K4645" s="22">
        <f t="shared" si="2"/>
        <v>0</v>
      </c>
    </row>
    <row r="4646">
      <c r="A4646" s="18">
        <v>1448.0</v>
      </c>
      <c r="B4646" s="18" t="s">
        <v>32</v>
      </c>
      <c r="C4646" s="18" t="s">
        <v>34</v>
      </c>
      <c r="D4646" s="18" t="s">
        <v>35</v>
      </c>
      <c r="E4646" s="26">
        <v>42563.2</v>
      </c>
      <c r="F4646" s="19">
        <f>IFERROR(__xludf.DUMMYFUNCTION("IFERROR(TO_DATE(E4646), """")"),42563.2)</f>
        <v>42563.2</v>
      </c>
      <c r="G4646" s="20">
        <f t="shared" si="1"/>
        <v>4</v>
      </c>
      <c r="H4646" s="18" t="s">
        <v>34</v>
      </c>
      <c r="I4646" s="19" t="str">
        <f>IFERROR(__xludf.DUMMYFUNCTION("IFERROR(TO_DATE(H4646), """")"),"NA")</f>
        <v>NA</v>
      </c>
      <c r="J4646" s="19" t="s">
        <v>11</v>
      </c>
      <c r="K4646" s="22">
        <f t="shared" si="2"/>
        <v>0</v>
      </c>
    </row>
    <row r="4647">
      <c r="A4647" s="18">
        <v>1441.0</v>
      </c>
      <c r="B4647" s="18" t="s">
        <v>32</v>
      </c>
      <c r="C4647" s="18" t="s">
        <v>34</v>
      </c>
      <c r="D4647" s="18" t="s">
        <v>35</v>
      </c>
      <c r="E4647" s="26">
        <v>42563.200694444444</v>
      </c>
      <c r="F4647" s="19">
        <f>IFERROR(__xludf.DUMMYFUNCTION("IFERROR(TO_DATE(E4647), """")"),42563.200694444444)</f>
        <v>42563.20069</v>
      </c>
      <c r="G4647" s="20">
        <f t="shared" si="1"/>
        <v>4</v>
      </c>
      <c r="H4647" s="18" t="s">
        <v>34</v>
      </c>
      <c r="I4647" s="19" t="str">
        <f>IFERROR(__xludf.DUMMYFUNCTION("IFERROR(TO_DATE(H4647), """")"),"NA")</f>
        <v>NA</v>
      </c>
      <c r="J4647" s="19" t="s">
        <v>11</v>
      </c>
      <c r="K4647" s="22">
        <f t="shared" si="2"/>
        <v>0</v>
      </c>
    </row>
    <row r="4648">
      <c r="A4648" s="18">
        <v>1443.0</v>
      </c>
      <c r="B4648" s="18" t="s">
        <v>32</v>
      </c>
      <c r="C4648" s="18" t="s">
        <v>34</v>
      </c>
      <c r="D4648" s="18" t="s">
        <v>35</v>
      </c>
      <c r="E4648" s="26">
        <v>42563.20138888889</v>
      </c>
      <c r="F4648" s="19">
        <f>IFERROR(__xludf.DUMMYFUNCTION("IFERROR(TO_DATE(E4648), """")"),42563.20138888889)</f>
        <v>42563.20139</v>
      </c>
      <c r="G4648" s="20">
        <f t="shared" si="1"/>
        <v>4</v>
      </c>
      <c r="H4648" s="18" t="s">
        <v>34</v>
      </c>
      <c r="I4648" s="19" t="str">
        <f>IFERROR(__xludf.DUMMYFUNCTION("IFERROR(TO_DATE(H4648), """")"),"NA")</f>
        <v>NA</v>
      </c>
      <c r="J4648" s="19" t="s">
        <v>11</v>
      </c>
      <c r="K4648" s="22">
        <f t="shared" si="2"/>
        <v>0</v>
      </c>
    </row>
    <row r="4649">
      <c r="A4649" s="18">
        <v>1460.0</v>
      </c>
      <c r="B4649" s="18" t="s">
        <v>32</v>
      </c>
      <c r="C4649" s="18" t="s">
        <v>34</v>
      </c>
      <c r="D4649" s="18" t="s">
        <v>35</v>
      </c>
      <c r="E4649" s="26">
        <v>42563.205555555556</v>
      </c>
      <c r="F4649" s="19">
        <f>IFERROR(__xludf.DUMMYFUNCTION("IFERROR(TO_DATE(E4649), """")"),42563.205555555556)</f>
        <v>42563.20556</v>
      </c>
      <c r="G4649" s="20">
        <f t="shared" si="1"/>
        <v>4</v>
      </c>
      <c r="H4649" s="18" t="s">
        <v>34</v>
      </c>
      <c r="I4649" s="19" t="str">
        <f>IFERROR(__xludf.DUMMYFUNCTION("IFERROR(TO_DATE(H4649), """")"),"NA")</f>
        <v>NA</v>
      </c>
      <c r="J4649" s="19" t="s">
        <v>11</v>
      </c>
      <c r="K4649" s="22">
        <f t="shared" si="2"/>
        <v>0</v>
      </c>
    </row>
    <row r="4650">
      <c r="A4650" s="18">
        <v>1463.0</v>
      </c>
      <c r="B4650" s="18" t="s">
        <v>32</v>
      </c>
      <c r="C4650" s="18" t="s">
        <v>34</v>
      </c>
      <c r="D4650" s="18" t="s">
        <v>35</v>
      </c>
      <c r="E4650" s="26">
        <v>42563.20972222222</v>
      </c>
      <c r="F4650" s="19">
        <f>IFERROR(__xludf.DUMMYFUNCTION("IFERROR(TO_DATE(E4650), """")"),42563.20972222222)</f>
        <v>42563.20972</v>
      </c>
      <c r="G4650" s="20">
        <f t="shared" si="1"/>
        <v>5</v>
      </c>
      <c r="H4650" s="18" t="s">
        <v>34</v>
      </c>
      <c r="I4650" s="19" t="str">
        <f>IFERROR(__xludf.DUMMYFUNCTION("IFERROR(TO_DATE(H4650), """")"),"NA")</f>
        <v>NA</v>
      </c>
      <c r="J4650" s="19" t="s">
        <v>11</v>
      </c>
      <c r="K4650" s="22">
        <f t="shared" si="2"/>
        <v>0</v>
      </c>
    </row>
    <row r="4651">
      <c r="A4651" s="18">
        <v>1466.0</v>
      </c>
      <c r="B4651" s="18" t="s">
        <v>32</v>
      </c>
      <c r="C4651" s="18" t="s">
        <v>34</v>
      </c>
      <c r="D4651" s="18" t="s">
        <v>35</v>
      </c>
      <c r="E4651" s="26">
        <v>42563.2125</v>
      </c>
      <c r="F4651" s="19">
        <f>IFERROR(__xludf.DUMMYFUNCTION("IFERROR(TO_DATE(E4651), """")"),42563.2125)</f>
        <v>42563.2125</v>
      </c>
      <c r="G4651" s="20">
        <f t="shared" si="1"/>
        <v>5</v>
      </c>
      <c r="H4651" s="18" t="s">
        <v>34</v>
      </c>
      <c r="I4651" s="19" t="str">
        <f>IFERROR(__xludf.DUMMYFUNCTION("IFERROR(TO_DATE(H4651), """")"),"NA")</f>
        <v>NA</v>
      </c>
      <c r="J4651" s="19" t="s">
        <v>11</v>
      </c>
      <c r="K4651" s="22">
        <f t="shared" si="2"/>
        <v>0</v>
      </c>
    </row>
    <row r="4652">
      <c r="A4652" s="18">
        <v>1470.0</v>
      </c>
      <c r="B4652" s="18" t="s">
        <v>32</v>
      </c>
      <c r="C4652" s="18" t="s">
        <v>34</v>
      </c>
      <c r="D4652" s="18" t="s">
        <v>35</v>
      </c>
      <c r="E4652" s="26">
        <v>42563.2125</v>
      </c>
      <c r="F4652" s="19">
        <f>IFERROR(__xludf.DUMMYFUNCTION("IFERROR(TO_DATE(E4652), """")"),42563.2125)</f>
        <v>42563.2125</v>
      </c>
      <c r="G4652" s="20">
        <f t="shared" si="1"/>
        <v>5</v>
      </c>
      <c r="H4652" s="18" t="s">
        <v>34</v>
      </c>
      <c r="I4652" s="19" t="str">
        <f>IFERROR(__xludf.DUMMYFUNCTION("IFERROR(TO_DATE(H4652), """")"),"NA")</f>
        <v>NA</v>
      </c>
      <c r="J4652" s="19" t="s">
        <v>11</v>
      </c>
      <c r="K4652" s="22">
        <f t="shared" si="2"/>
        <v>0</v>
      </c>
    </row>
    <row r="4653">
      <c r="A4653" s="18">
        <v>1473.0</v>
      </c>
      <c r="B4653" s="18" t="s">
        <v>32</v>
      </c>
      <c r="C4653" s="18" t="s">
        <v>34</v>
      </c>
      <c r="D4653" s="18" t="s">
        <v>35</v>
      </c>
      <c r="E4653" s="26">
        <v>42563.22083333333</v>
      </c>
      <c r="F4653" s="19">
        <f>IFERROR(__xludf.DUMMYFUNCTION("IFERROR(TO_DATE(E4653), """")"),42563.22083333333)</f>
        <v>42563.22083</v>
      </c>
      <c r="G4653" s="20">
        <f t="shared" si="1"/>
        <v>5</v>
      </c>
      <c r="H4653" s="18" t="s">
        <v>34</v>
      </c>
      <c r="I4653" s="19" t="str">
        <f>IFERROR(__xludf.DUMMYFUNCTION("IFERROR(TO_DATE(H4653), """")"),"NA")</f>
        <v>NA</v>
      </c>
      <c r="J4653" s="19" t="s">
        <v>11</v>
      </c>
      <c r="K4653" s="22">
        <f t="shared" si="2"/>
        <v>0</v>
      </c>
    </row>
    <row r="4654">
      <c r="A4654" s="18">
        <v>1482.0</v>
      </c>
      <c r="B4654" s="18" t="s">
        <v>32</v>
      </c>
      <c r="C4654" s="18" t="s">
        <v>34</v>
      </c>
      <c r="D4654" s="18" t="s">
        <v>35</v>
      </c>
      <c r="E4654" s="26">
        <v>42563.22361111111</v>
      </c>
      <c r="F4654" s="19">
        <f>IFERROR(__xludf.DUMMYFUNCTION("IFERROR(TO_DATE(E4654), """")"),42563.22361111111)</f>
        <v>42563.22361</v>
      </c>
      <c r="G4654" s="20">
        <f t="shared" si="1"/>
        <v>5</v>
      </c>
      <c r="H4654" s="18" t="s">
        <v>34</v>
      </c>
      <c r="I4654" s="19" t="str">
        <f>IFERROR(__xludf.DUMMYFUNCTION("IFERROR(TO_DATE(H4654), """")"),"NA")</f>
        <v>NA</v>
      </c>
      <c r="J4654" s="19" t="s">
        <v>11</v>
      </c>
      <c r="K4654" s="22">
        <f t="shared" si="2"/>
        <v>0</v>
      </c>
    </row>
    <row r="4655">
      <c r="A4655" s="18">
        <v>1494.0</v>
      </c>
      <c r="B4655" s="18" t="s">
        <v>32</v>
      </c>
      <c r="C4655" s="18" t="s">
        <v>34</v>
      </c>
      <c r="D4655" s="18" t="s">
        <v>35</v>
      </c>
      <c r="E4655" s="26">
        <v>42563.228472222225</v>
      </c>
      <c r="F4655" s="19">
        <f>IFERROR(__xludf.DUMMYFUNCTION("IFERROR(TO_DATE(E4655), """")"),42563.228472222225)</f>
        <v>42563.22847</v>
      </c>
      <c r="G4655" s="20">
        <f t="shared" si="1"/>
        <v>5</v>
      </c>
      <c r="H4655" s="18" t="s">
        <v>34</v>
      </c>
      <c r="I4655" s="19" t="str">
        <f>IFERROR(__xludf.DUMMYFUNCTION("IFERROR(TO_DATE(H4655), """")"),"NA")</f>
        <v>NA</v>
      </c>
      <c r="J4655" s="19" t="s">
        <v>11</v>
      </c>
      <c r="K4655" s="22">
        <f t="shared" si="2"/>
        <v>0</v>
      </c>
    </row>
    <row r="4656">
      <c r="A4656" s="18">
        <v>1512.0</v>
      </c>
      <c r="B4656" s="18" t="s">
        <v>32</v>
      </c>
      <c r="C4656" s="18" t="s">
        <v>34</v>
      </c>
      <c r="D4656" s="18" t="s">
        <v>35</v>
      </c>
      <c r="E4656" s="26">
        <v>42563.239583333336</v>
      </c>
      <c r="F4656" s="19">
        <f>IFERROR(__xludf.DUMMYFUNCTION("IFERROR(TO_DATE(E4656), """")"),42563.239583333336)</f>
        <v>42563.23958</v>
      </c>
      <c r="G4656" s="20">
        <f t="shared" si="1"/>
        <v>5</v>
      </c>
      <c r="H4656" s="18" t="s">
        <v>34</v>
      </c>
      <c r="I4656" s="19" t="str">
        <f>IFERROR(__xludf.DUMMYFUNCTION("IFERROR(TO_DATE(H4656), """")"),"NA")</f>
        <v>NA</v>
      </c>
      <c r="J4656" s="19" t="s">
        <v>11</v>
      </c>
      <c r="K4656" s="22">
        <f t="shared" si="2"/>
        <v>0</v>
      </c>
    </row>
    <row r="4657">
      <c r="A4657" s="18">
        <v>1523.0</v>
      </c>
      <c r="B4657" s="18" t="s">
        <v>32</v>
      </c>
      <c r="C4657" s="18" t="s">
        <v>34</v>
      </c>
      <c r="D4657" s="18" t="s">
        <v>35</v>
      </c>
      <c r="E4657" s="26">
        <v>42563.24236111111</v>
      </c>
      <c r="F4657" s="19">
        <f>IFERROR(__xludf.DUMMYFUNCTION("IFERROR(TO_DATE(E4657), """")"),42563.24236111111)</f>
        <v>42563.24236</v>
      </c>
      <c r="G4657" s="20">
        <f t="shared" si="1"/>
        <v>5</v>
      </c>
      <c r="H4657" s="18" t="s">
        <v>34</v>
      </c>
      <c r="I4657" s="19" t="str">
        <f>IFERROR(__xludf.DUMMYFUNCTION("IFERROR(TO_DATE(H4657), """")"),"NA")</f>
        <v>NA</v>
      </c>
      <c r="J4657" s="19" t="s">
        <v>11</v>
      </c>
      <c r="K4657" s="22">
        <f t="shared" si="2"/>
        <v>0</v>
      </c>
    </row>
    <row r="4658">
      <c r="A4658" s="18">
        <v>1522.0</v>
      </c>
      <c r="B4658" s="18" t="s">
        <v>32</v>
      </c>
      <c r="C4658" s="18" t="s">
        <v>34</v>
      </c>
      <c r="D4658" s="18" t="s">
        <v>35</v>
      </c>
      <c r="E4658" s="26">
        <v>42563.24444444444</v>
      </c>
      <c r="F4658" s="19">
        <f>IFERROR(__xludf.DUMMYFUNCTION("IFERROR(TO_DATE(E4658), """")"),42563.24444444444)</f>
        <v>42563.24444</v>
      </c>
      <c r="G4658" s="20">
        <f t="shared" si="1"/>
        <v>5</v>
      </c>
      <c r="H4658" s="18" t="s">
        <v>34</v>
      </c>
      <c r="I4658" s="19" t="str">
        <f>IFERROR(__xludf.DUMMYFUNCTION("IFERROR(TO_DATE(H4658), """")"),"NA")</f>
        <v>NA</v>
      </c>
      <c r="J4658" s="19" t="s">
        <v>11</v>
      </c>
      <c r="K4658" s="22">
        <f t="shared" si="2"/>
        <v>0</v>
      </c>
    </row>
    <row r="4659">
      <c r="A4659" s="18">
        <v>1530.0</v>
      </c>
      <c r="B4659" s="18" t="s">
        <v>32</v>
      </c>
      <c r="C4659" s="18" t="s">
        <v>34</v>
      </c>
      <c r="D4659" s="18" t="s">
        <v>35</v>
      </c>
      <c r="E4659" s="26">
        <v>42563.24444444444</v>
      </c>
      <c r="F4659" s="19">
        <f>IFERROR(__xludf.DUMMYFUNCTION("IFERROR(TO_DATE(E4659), """")"),42563.24444444444)</f>
        <v>42563.24444</v>
      </c>
      <c r="G4659" s="20">
        <f t="shared" si="1"/>
        <v>5</v>
      </c>
      <c r="H4659" s="18" t="s">
        <v>34</v>
      </c>
      <c r="I4659" s="19" t="str">
        <f>IFERROR(__xludf.DUMMYFUNCTION("IFERROR(TO_DATE(H4659), """")"),"NA")</f>
        <v>NA</v>
      </c>
      <c r="J4659" s="19" t="s">
        <v>11</v>
      </c>
      <c r="K4659" s="22">
        <f t="shared" si="2"/>
        <v>0</v>
      </c>
    </row>
    <row r="4660">
      <c r="A4660" s="18">
        <v>1542.0</v>
      </c>
      <c r="B4660" s="18" t="s">
        <v>32</v>
      </c>
      <c r="C4660" s="18" t="s">
        <v>34</v>
      </c>
      <c r="D4660" s="18" t="s">
        <v>35</v>
      </c>
      <c r="E4660" s="26">
        <v>42563.245833333334</v>
      </c>
      <c r="F4660" s="19">
        <f>IFERROR(__xludf.DUMMYFUNCTION("IFERROR(TO_DATE(E4660), """")"),42563.245833333334)</f>
        <v>42563.24583</v>
      </c>
      <c r="G4660" s="20">
        <f t="shared" si="1"/>
        <v>5</v>
      </c>
      <c r="H4660" s="18" t="s">
        <v>34</v>
      </c>
      <c r="I4660" s="19" t="str">
        <f>IFERROR(__xludf.DUMMYFUNCTION("IFERROR(TO_DATE(H4660), """")"),"NA")</f>
        <v>NA</v>
      </c>
      <c r="J4660" s="19" t="s">
        <v>11</v>
      </c>
      <c r="K4660" s="22">
        <f t="shared" si="2"/>
        <v>0</v>
      </c>
    </row>
    <row r="4661">
      <c r="A4661" s="18">
        <v>1535.0</v>
      </c>
      <c r="B4661" s="18" t="s">
        <v>32</v>
      </c>
      <c r="C4661" s="18" t="s">
        <v>34</v>
      </c>
      <c r="D4661" s="18" t="s">
        <v>35</v>
      </c>
      <c r="E4661" s="26">
        <v>42563.248611111114</v>
      </c>
      <c r="F4661" s="19">
        <f>IFERROR(__xludf.DUMMYFUNCTION("IFERROR(TO_DATE(E4661), """")"),42563.248611111114)</f>
        <v>42563.24861</v>
      </c>
      <c r="G4661" s="20">
        <f t="shared" si="1"/>
        <v>5</v>
      </c>
      <c r="H4661" s="18" t="s">
        <v>34</v>
      </c>
      <c r="I4661" s="19" t="str">
        <f>IFERROR(__xludf.DUMMYFUNCTION("IFERROR(TO_DATE(H4661), """")"),"NA")</f>
        <v>NA</v>
      </c>
      <c r="J4661" s="19" t="s">
        <v>11</v>
      </c>
      <c r="K4661" s="22">
        <f t="shared" si="2"/>
        <v>0</v>
      </c>
    </row>
    <row r="4662">
      <c r="A4662" s="18">
        <v>1546.0</v>
      </c>
      <c r="B4662" s="18" t="s">
        <v>32</v>
      </c>
      <c r="C4662" s="18" t="s">
        <v>34</v>
      </c>
      <c r="D4662" s="18" t="s">
        <v>35</v>
      </c>
      <c r="E4662" s="26">
        <v>42563.251388888886</v>
      </c>
      <c r="F4662" s="19">
        <f>IFERROR(__xludf.DUMMYFUNCTION("IFERROR(TO_DATE(E4662), """")"),42563.251388888886)</f>
        <v>42563.25139</v>
      </c>
      <c r="G4662" s="20">
        <f t="shared" si="1"/>
        <v>6</v>
      </c>
      <c r="H4662" s="18" t="s">
        <v>34</v>
      </c>
      <c r="I4662" s="19" t="str">
        <f>IFERROR(__xludf.DUMMYFUNCTION("IFERROR(TO_DATE(H4662), """")"),"NA")</f>
        <v>NA</v>
      </c>
      <c r="J4662" s="19" t="s">
        <v>11</v>
      </c>
      <c r="K4662" s="22">
        <f t="shared" si="2"/>
        <v>0</v>
      </c>
    </row>
    <row r="4663">
      <c r="A4663" s="18">
        <v>1552.0</v>
      </c>
      <c r="B4663" s="18" t="s">
        <v>32</v>
      </c>
      <c r="C4663" s="18" t="s">
        <v>34</v>
      </c>
      <c r="D4663" s="18" t="s">
        <v>35</v>
      </c>
      <c r="E4663" s="26">
        <v>42563.25347222222</v>
      </c>
      <c r="F4663" s="19">
        <f>IFERROR(__xludf.DUMMYFUNCTION("IFERROR(TO_DATE(E4663), """")"),42563.25347222222)</f>
        <v>42563.25347</v>
      </c>
      <c r="G4663" s="20">
        <f t="shared" si="1"/>
        <v>6</v>
      </c>
      <c r="H4663" s="18" t="s">
        <v>34</v>
      </c>
      <c r="I4663" s="19" t="str">
        <f>IFERROR(__xludf.DUMMYFUNCTION("IFERROR(TO_DATE(H4663), """")"),"NA")</f>
        <v>NA</v>
      </c>
      <c r="J4663" s="19" t="s">
        <v>11</v>
      </c>
      <c r="K4663" s="22">
        <f t="shared" si="2"/>
        <v>0</v>
      </c>
    </row>
    <row r="4664">
      <c r="A4664" s="18">
        <v>1538.0</v>
      </c>
      <c r="B4664" s="18" t="s">
        <v>32</v>
      </c>
      <c r="C4664" s="18" t="s">
        <v>34</v>
      </c>
      <c r="D4664" s="18" t="s">
        <v>35</v>
      </c>
      <c r="E4664" s="26">
        <v>42563.254166666666</v>
      </c>
      <c r="F4664" s="19">
        <f>IFERROR(__xludf.DUMMYFUNCTION("IFERROR(TO_DATE(E4664), """")"),42563.254166666666)</f>
        <v>42563.25417</v>
      </c>
      <c r="G4664" s="20">
        <f t="shared" si="1"/>
        <v>6</v>
      </c>
      <c r="H4664" s="18" t="s">
        <v>34</v>
      </c>
      <c r="I4664" s="19" t="str">
        <f>IFERROR(__xludf.DUMMYFUNCTION("IFERROR(TO_DATE(H4664), """")"),"NA")</f>
        <v>NA</v>
      </c>
      <c r="J4664" s="19" t="s">
        <v>11</v>
      </c>
      <c r="K4664" s="22">
        <f t="shared" si="2"/>
        <v>0</v>
      </c>
    </row>
    <row r="4665">
      <c r="A4665" s="18">
        <v>1547.0</v>
      </c>
      <c r="B4665" s="18" t="s">
        <v>32</v>
      </c>
      <c r="C4665" s="18" t="s">
        <v>34</v>
      </c>
      <c r="D4665" s="18" t="s">
        <v>35</v>
      </c>
      <c r="E4665" s="26">
        <v>42563.25486111111</v>
      </c>
      <c r="F4665" s="19">
        <f>IFERROR(__xludf.DUMMYFUNCTION("IFERROR(TO_DATE(E4665), """")"),42563.25486111111)</f>
        <v>42563.25486</v>
      </c>
      <c r="G4665" s="20">
        <f t="shared" si="1"/>
        <v>6</v>
      </c>
      <c r="H4665" s="18" t="s">
        <v>34</v>
      </c>
      <c r="I4665" s="19" t="str">
        <f>IFERROR(__xludf.DUMMYFUNCTION("IFERROR(TO_DATE(H4665), """")"),"NA")</f>
        <v>NA</v>
      </c>
      <c r="J4665" s="19" t="s">
        <v>11</v>
      </c>
      <c r="K4665" s="22">
        <f t="shared" si="2"/>
        <v>0</v>
      </c>
    </row>
    <row r="4666">
      <c r="A4666" s="18">
        <v>1556.0</v>
      </c>
      <c r="B4666" s="18" t="s">
        <v>32</v>
      </c>
      <c r="C4666" s="18" t="s">
        <v>34</v>
      </c>
      <c r="D4666" s="18" t="s">
        <v>35</v>
      </c>
      <c r="E4666" s="26">
        <v>42563.256944444445</v>
      </c>
      <c r="F4666" s="19">
        <f>IFERROR(__xludf.DUMMYFUNCTION("IFERROR(TO_DATE(E4666), """")"),42563.256944444445)</f>
        <v>42563.25694</v>
      </c>
      <c r="G4666" s="20">
        <f t="shared" si="1"/>
        <v>6</v>
      </c>
      <c r="H4666" s="18" t="s">
        <v>34</v>
      </c>
      <c r="I4666" s="19" t="str">
        <f>IFERROR(__xludf.DUMMYFUNCTION("IFERROR(TO_DATE(H4666), """")"),"NA")</f>
        <v>NA</v>
      </c>
      <c r="J4666" s="19" t="s">
        <v>11</v>
      </c>
      <c r="K4666" s="22">
        <f t="shared" si="2"/>
        <v>0</v>
      </c>
    </row>
    <row r="4667">
      <c r="A4667" s="18">
        <v>1579.0</v>
      </c>
      <c r="B4667" s="18" t="s">
        <v>32</v>
      </c>
      <c r="C4667" s="18" t="s">
        <v>34</v>
      </c>
      <c r="D4667" s="18" t="s">
        <v>35</v>
      </c>
      <c r="E4667" s="26">
        <v>42563.26944444444</v>
      </c>
      <c r="F4667" s="19">
        <f>IFERROR(__xludf.DUMMYFUNCTION("IFERROR(TO_DATE(E4667), """")"),42563.26944444444)</f>
        <v>42563.26944</v>
      </c>
      <c r="G4667" s="20">
        <f t="shared" si="1"/>
        <v>6</v>
      </c>
      <c r="H4667" s="18" t="s">
        <v>34</v>
      </c>
      <c r="I4667" s="19" t="str">
        <f>IFERROR(__xludf.DUMMYFUNCTION("IFERROR(TO_DATE(H4667), """")"),"NA")</f>
        <v>NA</v>
      </c>
      <c r="J4667" s="19" t="s">
        <v>11</v>
      </c>
      <c r="K4667" s="22">
        <f t="shared" si="2"/>
        <v>0</v>
      </c>
    </row>
    <row r="4668">
      <c r="A4668" s="18">
        <v>1570.0</v>
      </c>
      <c r="B4668" s="18" t="s">
        <v>30</v>
      </c>
      <c r="C4668" s="18" t="s">
        <v>34</v>
      </c>
      <c r="D4668" s="18" t="s">
        <v>35</v>
      </c>
      <c r="E4668" s="26">
        <v>42563.26944444444</v>
      </c>
      <c r="F4668" s="19">
        <f>IFERROR(__xludf.DUMMYFUNCTION("IFERROR(TO_DATE(E4668), """")"),42563.26944444444)</f>
        <v>42563.26944</v>
      </c>
      <c r="G4668" s="20">
        <f t="shared" si="1"/>
        <v>6</v>
      </c>
      <c r="H4668" s="18" t="s">
        <v>34</v>
      </c>
      <c r="I4668" s="19" t="str">
        <f>IFERROR(__xludf.DUMMYFUNCTION("IFERROR(TO_DATE(H4668), """")"),"NA")</f>
        <v>NA</v>
      </c>
      <c r="J4668" s="19" t="s">
        <v>11</v>
      </c>
      <c r="K4668" s="22">
        <f t="shared" si="2"/>
        <v>0</v>
      </c>
    </row>
    <row r="4669">
      <c r="A4669" s="18">
        <v>1580.0</v>
      </c>
      <c r="B4669" s="18" t="s">
        <v>32</v>
      </c>
      <c r="C4669" s="18" t="s">
        <v>34</v>
      </c>
      <c r="D4669" s="18" t="s">
        <v>35</v>
      </c>
      <c r="E4669" s="26">
        <v>42563.27013888889</v>
      </c>
      <c r="F4669" s="19">
        <f>IFERROR(__xludf.DUMMYFUNCTION("IFERROR(TO_DATE(E4669), """")"),42563.27013888889)</f>
        <v>42563.27014</v>
      </c>
      <c r="G4669" s="20">
        <f t="shared" si="1"/>
        <v>6</v>
      </c>
      <c r="H4669" s="18" t="s">
        <v>34</v>
      </c>
      <c r="I4669" s="19" t="str">
        <f>IFERROR(__xludf.DUMMYFUNCTION("IFERROR(TO_DATE(H4669), """")"),"NA")</f>
        <v>NA</v>
      </c>
      <c r="J4669" s="19" t="s">
        <v>11</v>
      </c>
      <c r="K4669" s="22">
        <f t="shared" si="2"/>
        <v>0</v>
      </c>
    </row>
    <row r="4670">
      <c r="A4670" s="18">
        <v>1586.0</v>
      </c>
      <c r="B4670" s="18" t="s">
        <v>32</v>
      </c>
      <c r="C4670" s="18" t="s">
        <v>34</v>
      </c>
      <c r="D4670" s="18" t="s">
        <v>35</v>
      </c>
      <c r="E4670" s="26">
        <v>42563.27013888889</v>
      </c>
      <c r="F4670" s="19">
        <f>IFERROR(__xludf.DUMMYFUNCTION("IFERROR(TO_DATE(E4670), """")"),42563.27013888889)</f>
        <v>42563.27014</v>
      </c>
      <c r="G4670" s="20">
        <f t="shared" si="1"/>
        <v>6</v>
      </c>
      <c r="H4670" s="18" t="s">
        <v>34</v>
      </c>
      <c r="I4670" s="19" t="str">
        <f>IFERROR(__xludf.DUMMYFUNCTION("IFERROR(TO_DATE(H4670), """")"),"NA")</f>
        <v>NA</v>
      </c>
      <c r="J4670" s="19" t="s">
        <v>11</v>
      </c>
      <c r="K4670" s="22">
        <f t="shared" si="2"/>
        <v>0</v>
      </c>
    </row>
    <row r="4671">
      <c r="A4671" s="18">
        <v>1583.0</v>
      </c>
      <c r="B4671" s="18" t="s">
        <v>32</v>
      </c>
      <c r="C4671" s="18" t="s">
        <v>34</v>
      </c>
      <c r="D4671" s="18" t="s">
        <v>35</v>
      </c>
      <c r="E4671" s="26">
        <v>42563.270833333336</v>
      </c>
      <c r="F4671" s="19">
        <f>IFERROR(__xludf.DUMMYFUNCTION("IFERROR(TO_DATE(E4671), """")"),42563.270833333336)</f>
        <v>42563.27083</v>
      </c>
      <c r="G4671" s="20">
        <f t="shared" si="1"/>
        <v>6</v>
      </c>
      <c r="H4671" s="18" t="s">
        <v>34</v>
      </c>
      <c r="I4671" s="19" t="str">
        <f>IFERROR(__xludf.DUMMYFUNCTION("IFERROR(TO_DATE(H4671), """")"),"NA")</f>
        <v>NA</v>
      </c>
      <c r="J4671" s="19" t="s">
        <v>11</v>
      </c>
      <c r="K4671" s="22">
        <f t="shared" si="2"/>
        <v>0</v>
      </c>
    </row>
    <row r="4672">
      <c r="A4672" s="18">
        <v>1593.0</v>
      </c>
      <c r="B4672" s="18" t="s">
        <v>32</v>
      </c>
      <c r="C4672" s="18" t="s">
        <v>34</v>
      </c>
      <c r="D4672" s="18" t="s">
        <v>35</v>
      </c>
      <c r="E4672" s="26">
        <v>42563.270833333336</v>
      </c>
      <c r="F4672" s="19">
        <f>IFERROR(__xludf.DUMMYFUNCTION("IFERROR(TO_DATE(E4672), """")"),42563.270833333336)</f>
        <v>42563.27083</v>
      </c>
      <c r="G4672" s="20">
        <f t="shared" si="1"/>
        <v>6</v>
      </c>
      <c r="H4672" s="18" t="s">
        <v>34</v>
      </c>
      <c r="I4672" s="19" t="str">
        <f>IFERROR(__xludf.DUMMYFUNCTION("IFERROR(TO_DATE(H4672), """")"),"NA")</f>
        <v>NA</v>
      </c>
      <c r="J4672" s="19" t="s">
        <v>11</v>
      </c>
      <c r="K4672" s="22">
        <f t="shared" si="2"/>
        <v>0</v>
      </c>
    </row>
    <row r="4673">
      <c r="A4673" s="18">
        <v>1590.0</v>
      </c>
      <c r="B4673" s="18" t="s">
        <v>32</v>
      </c>
      <c r="C4673" s="18" t="s">
        <v>34</v>
      </c>
      <c r="D4673" s="18" t="s">
        <v>35</v>
      </c>
      <c r="E4673" s="26">
        <v>42563.274305555555</v>
      </c>
      <c r="F4673" s="19">
        <f>IFERROR(__xludf.DUMMYFUNCTION("IFERROR(TO_DATE(E4673), """")"),42563.274305555555)</f>
        <v>42563.27431</v>
      </c>
      <c r="G4673" s="20">
        <f t="shared" si="1"/>
        <v>6</v>
      </c>
      <c r="H4673" s="18" t="s">
        <v>34</v>
      </c>
      <c r="I4673" s="19" t="str">
        <f>IFERROR(__xludf.DUMMYFUNCTION("IFERROR(TO_DATE(H4673), """")"),"NA")</f>
        <v>NA</v>
      </c>
      <c r="J4673" s="19" t="s">
        <v>11</v>
      </c>
      <c r="K4673" s="22">
        <f t="shared" si="2"/>
        <v>0</v>
      </c>
    </row>
    <row r="4674">
      <c r="A4674" s="18">
        <v>1605.0</v>
      </c>
      <c r="B4674" s="18" t="s">
        <v>32</v>
      </c>
      <c r="C4674" s="18" t="s">
        <v>34</v>
      </c>
      <c r="D4674" s="18" t="s">
        <v>35</v>
      </c>
      <c r="E4674" s="26">
        <v>42563.277083333334</v>
      </c>
      <c r="F4674" s="19">
        <f>IFERROR(__xludf.DUMMYFUNCTION("IFERROR(TO_DATE(E4674), """")"),42563.277083333334)</f>
        <v>42563.27708</v>
      </c>
      <c r="G4674" s="20">
        <f t="shared" si="1"/>
        <v>6</v>
      </c>
      <c r="H4674" s="18" t="s">
        <v>34</v>
      </c>
      <c r="I4674" s="19" t="str">
        <f>IFERROR(__xludf.DUMMYFUNCTION("IFERROR(TO_DATE(H4674), """")"),"NA")</f>
        <v>NA</v>
      </c>
      <c r="J4674" s="19" t="s">
        <v>11</v>
      </c>
      <c r="K4674" s="22">
        <f t="shared" si="2"/>
        <v>0</v>
      </c>
    </row>
    <row r="4675">
      <c r="A4675" s="18">
        <v>1602.0</v>
      </c>
      <c r="B4675" s="18" t="s">
        <v>32</v>
      </c>
      <c r="C4675" s="18" t="s">
        <v>34</v>
      </c>
      <c r="D4675" s="18" t="s">
        <v>35</v>
      </c>
      <c r="E4675" s="26">
        <v>42563.27847222222</v>
      </c>
      <c r="F4675" s="19">
        <f>IFERROR(__xludf.DUMMYFUNCTION("IFERROR(TO_DATE(E4675), """")"),42563.27847222222)</f>
        <v>42563.27847</v>
      </c>
      <c r="G4675" s="20">
        <f t="shared" si="1"/>
        <v>6</v>
      </c>
      <c r="H4675" s="18" t="s">
        <v>34</v>
      </c>
      <c r="I4675" s="19" t="str">
        <f>IFERROR(__xludf.DUMMYFUNCTION("IFERROR(TO_DATE(H4675), """")"),"NA")</f>
        <v>NA</v>
      </c>
      <c r="J4675" s="19" t="s">
        <v>11</v>
      </c>
      <c r="K4675" s="22">
        <f t="shared" si="2"/>
        <v>0</v>
      </c>
    </row>
    <row r="4676">
      <c r="A4676" s="18">
        <v>1609.0</v>
      </c>
      <c r="B4676" s="18" t="s">
        <v>32</v>
      </c>
      <c r="C4676" s="18" t="s">
        <v>34</v>
      </c>
      <c r="D4676" s="18" t="s">
        <v>35</v>
      </c>
      <c r="E4676" s="26">
        <v>42563.279861111114</v>
      </c>
      <c r="F4676" s="19">
        <f>IFERROR(__xludf.DUMMYFUNCTION("IFERROR(TO_DATE(E4676), """")"),42563.279861111114)</f>
        <v>42563.27986</v>
      </c>
      <c r="G4676" s="20">
        <f t="shared" si="1"/>
        <v>6</v>
      </c>
      <c r="H4676" s="18" t="s">
        <v>34</v>
      </c>
      <c r="I4676" s="19" t="str">
        <f>IFERROR(__xludf.DUMMYFUNCTION("IFERROR(TO_DATE(H4676), """")"),"NA")</f>
        <v>NA</v>
      </c>
      <c r="J4676" s="19" t="s">
        <v>11</v>
      </c>
      <c r="K4676" s="22">
        <f t="shared" si="2"/>
        <v>0</v>
      </c>
    </row>
    <row r="4677">
      <c r="A4677" s="18">
        <v>1610.0</v>
      </c>
      <c r="B4677" s="18" t="s">
        <v>32</v>
      </c>
      <c r="C4677" s="18" t="s">
        <v>34</v>
      </c>
      <c r="D4677" s="18" t="s">
        <v>35</v>
      </c>
      <c r="E4677" s="26">
        <v>42563.28125</v>
      </c>
      <c r="F4677" s="19">
        <f>IFERROR(__xludf.DUMMYFUNCTION("IFERROR(TO_DATE(E4677), """")"),42563.28125)</f>
        <v>42563.28125</v>
      </c>
      <c r="G4677" s="20">
        <f t="shared" si="1"/>
        <v>6</v>
      </c>
      <c r="H4677" s="18" t="s">
        <v>34</v>
      </c>
      <c r="I4677" s="19" t="str">
        <f>IFERROR(__xludf.DUMMYFUNCTION("IFERROR(TO_DATE(H4677), """")"),"NA")</f>
        <v>NA</v>
      </c>
      <c r="J4677" s="19" t="s">
        <v>11</v>
      </c>
      <c r="K4677" s="22">
        <f t="shared" si="2"/>
        <v>0</v>
      </c>
    </row>
    <row r="4678">
      <c r="A4678" s="18">
        <v>1608.0</v>
      </c>
      <c r="B4678" s="18" t="s">
        <v>32</v>
      </c>
      <c r="C4678" s="18" t="s">
        <v>34</v>
      </c>
      <c r="D4678" s="18" t="s">
        <v>35</v>
      </c>
      <c r="E4678" s="26">
        <v>42563.28472222222</v>
      </c>
      <c r="F4678" s="19">
        <f>IFERROR(__xludf.DUMMYFUNCTION("IFERROR(TO_DATE(E4678), """")"),42563.28472222222)</f>
        <v>42563.28472</v>
      </c>
      <c r="G4678" s="20">
        <f t="shared" si="1"/>
        <v>6</v>
      </c>
      <c r="H4678" s="18" t="s">
        <v>34</v>
      </c>
      <c r="I4678" s="19" t="str">
        <f>IFERROR(__xludf.DUMMYFUNCTION("IFERROR(TO_DATE(H4678), """")"),"NA")</f>
        <v>NA</v>
      </c>
      <c r="J4678" s="19" t="s">
        <v>11</v>
      </c>
      <c r="K4678" s="22">
        <f t="shared" si="2"/>
        <v>0</v>
      </c>
    </row>
    <row r="4679">
      <c r="A4679" s="18">
        <v>1622.0</v>
      </c>
      <c r="B4679" s="18" t="s">
        <v>32</v>
      </c>
      <c r="C4679" s="18" t="s">
        <v>34</v>
      </c>
      <c r="D4679" s="18" t="s">
        <v>35</v>
      </c>
      <c r="E4679" s="26">
        <v>42563.288194444445</v>
      </c>
      <c r="F4679" s="19">
        <f>IFERROR(__xludf.DUMMYFUNCTION("IFERROR(TO_DATE(E4679), """")"),42563.288194444445)</f>
        <v>42563.28819</v>
      </c>
      <c r="G4679" s="20">
        <f t="shared" si="1"/>
        <v>6</v>
      </c>
      <c r="H4679" s="18" t="s">
        <v>34</v>
      </c>
      <c r="I4679" s="19" t="str">
        <f>IFERROR(__xludf.DUMMYFUNCTION("IFERROR(TO_DATE(H4679), """")"),"NA")</f>
        <v>NA</v>
      </c>
      <c r="J4679" s="19" t="s">
        <v>11</v>
      </c>
      <c r="K4679" s="22">
        <f t="shared" si="2"/>
        <v>0</v>
      </c>
    </row>
    <row r="4680">
      <c r="A4680" s="18">
        <v>1631.0</v>
      </c>
      <c r="B4680" s="18" t="s">
        <v>32</v>
      </c>
      <c r="C4680" s="18" t="s">
        <v>34</v>
      </c>
      <c r="D4680" s="18" t="s">
        <v>35</v>
      </c>
      <c r="E4680" s="26">
        <v>42563.294444444444</v>
      </c>
      <c r="F4680" s="19">
        <f>IFERROR(__xludf.DUMMYFUNCTION("IFERROR(TO_DATE(E4680), """")"),42563.294444444444)</f>
        <v>42563.29444</v>
      </c>
      <c r="G4680" s="20">
        <f t="shared" si="1"/>
        <v>7</v>
      </c>
      <c r="H4680" s="18" t="s">
        <v>34</v>
      </c>
      <c r="I4680" s="19" t="str">
        <f>IFERROR(__xludf.DUMMYFUNCTION("IFERROR(TO_DATE(H4680), """")"),"NA")</f>
        <v>NA</v>
      </c>
      <c r="J4680" s="19" t="s">
        <v>11</v>
      </c>
      <c r="K4680" s="22">
        <f t="shared" si="2"/>
        <v>0</v>
      </c>
    </row>
    <row r="4681">
      <c r="A4681" s="18">
        <v>1624.0</v>
      </c>
      <c r="B4681" s="18" t="s">
        <v>30</v>
      </c>
      <c r="C4681" s="18" t="s">
        <v>34</v>
      </c>
      <c r="D4681" s="18" t="s">
        <v>35</v>
      </c>
      <c r="E4681" s="26">
        <v>42563.294444444444</v>
      </c>
      <c r="F4681" s="19">
        <f>IFERROR(__xludf.DUMMYFUNCTION("IFERROR(TO_DATE(E4681), """")"),42563.294444444444)</f>
        <v>42563.29444</v>
      </c>
      <c r="G4681" s="20">
        <f t="shared" si="1"/>
        <v>7</v>
      </c>
      <c r="H4681" s="18" t="s">
        <v>34</v>
      </c>
      <c r="I4681" s="19" t="str">
        <f>IFERROR(__xludf.DUMMYFUNCTION("IFERROR(TO_DATE(H4681), """")"),"NA")</f>
        <v>NA</v>
      </c>
      <c r="J4681" s="19" t="s">
        <v>11</v>
      </c>
      <c r="K4681" s="22">
        <f t="shared" si="2"/>
        <v>0</v>
      </c>
    </row>
    <row r="4682">
      <c r="A4682" s="18">
        <v>1639.0</v>
      </c>
      <c r="B4682" s="18" t="s">
        <v>32</v>
      </c>
      <c r="C4682" s="18" t="s">
        <v>34</v>
      </c>
      <c r="D4682" s="18" t="s">
        <v>35</v>
      </c>
      <c r="E4682" s="26">
        <v>42563.3</v>
      </c>
      <c r="F4682" s="19">
        <f>IFERROR(__xludf.DUMMYFUNCTION("IFERROR(TO_DATE(E4682), """")"),42563.3)</f>
        <v>42563.3</v>
      </c>
      <c r="G4682" s="20">
        <f t="shared" si="1"/>
        <v>7</v>
      </c>
      <c r="H4682" s="18" t="s">
        <v>34</v>
      </c>
      <c r="I4682" s="19" t="str">
        <f>IFERROR(__xludf.DUMMYFUNCTION("IFERROR(TO_DATE(H4682), """")"),"NA")</f>
        <v>NA</v>
      </c>
      <c r="J4682" s="19" t="s">
        <v>11</v>
      </c>
      <c r="K4682" s="22">
        <f t="shared" si="2"/>
        <v>0</v>
      </c>
    </row>
    <row r="4683">
      <c r="A4683" s="18">
        <v>1646.0</v>
      </c>
      <c r="B4683" s="18" t="s">
        <v>32</v>
      </c>
      <c r="C4683" s="18" t="s">
        <v>34</v>
      </c>
      <c r="D4683" s="18" t="s">
        <v>35</v>
      </c>
      <c r="E4683" s="26">
        <v>42563.30416666667</v>
      </c>
      <c r="F4683" s="19">
        <f>IFERROR(__xludf.DUMMYFUNCTION("IFERROR(TO_DATE(E4683), """")"),42563.30416666667)</f>
        <v>42563.30417</v>
      </c>
      <c r="G4683" s="20">
        <f t="shared" si="1"/>
        <v>7</v>
      </c>
      <c r="H4683" s="18" t="s">
        <v>34</v>
      </c>
      <c r="I4683" s="19" t="str">
        <f>IFERROR(__xludf.DUMMYFUNCTION("IFERROR(TO_DATE(H4683), """")"),"NA")</f>
        <v>NA</v>
      </c>
      <c r="J4683" s="19" t="s">
        <v>11</v>
      </c>
      <c r="K4683" s="22">
        <f t="shared" si="2"/>
        <v>0</v>
      </c>
    </row>
    <row r="4684">
      <c r="A4684" s="18">
        <v>1673.0</v>
      </c>
      <c r="B4684" s="18" t="s">
        <v>32</v>
      </c>
      <c r="C4684" s="18" t="s">
        <v>34</v>
      </c>
      <c r="D4684" s="18" t="s">
        <v>35</v>
      </c>
      <c r="E4684" s="26">
        <v>42563.32361111111</v>
      </c>
      <c r="F4684" s="19">
        <f>IFERROR(__xludf.DUMMYFUNCTION("IFERROR(TO_DATE(E4684), """")"),42563.32361111111)</f>
        <v>42563.32361</v>
      </c>
      <c r="G4684" s="20">
        <f t="shared" si="1"/>
        <v>7</v>
      </c>
      <c r="H4684" s="18" t="s">
        <v>34</v>
      </c>
      <c r="I4684" s="19" t="str">
        <f>IFERROR(__xludf.DUMMYFUNCTION("IFERROR(TO_DATE(H4684), """")"),"NA")</f>
        <v>NA</v>
      </c>
      <c r="J4684" s="19" t="s">
        <v>11</v>
      </c>
      <c r="K4684" s="22">
        <f t="shared" si="2"/>
        <v>0</v>
      </c>
    </row>
    <row r="4685">
      <c r="A4685" s="18">
        <v>1685.0</v>
      </c>
      <c r="B4685" s="18" t="s">
        <v>32</v>
      </c>
      <c r="C4685" s="18" t="s">
        <v>34</v>
      </c>
      <c r="D4685" s="18" t="s">
        <v>35</v>
      </c>
      <c r="E4685" s="26">
        <v>42563.32430555556</v>
      </c>
      <c r="F4685" s="19">
        <f>IFERROR(__xludf.DUMMYFUNCTION("IFERROR(TO_DATE(E4685), """")"),42563.32430555556)</f>
        <v>42563.32431</v>
      </c>
      <c r="G4685" s="20">
        <f t="shared" si="1"/>
        <v>7</v>
      </c>
      <c r="H4685" s="18" t="s">
        <v>34</v>
      </c>
      <c r="I4685" s="19" t="str">
        <f>IFERROR(__xludf.DUMMYFUNCTION("IFERROR(TO_DATE(H4685), """")"),"NA")</f>
        <v>NA</v>
      </c>
      <c r="J4685" s="19" t="s">
        <v>11</v>
      </c>
      <c r="K4685" s="22">
        <f t="shared" si="2"/>
        <v>0</v>
      </c>
    </row>
    <row r="4686">
      <c r="A4686" s="18">
        <v>1717.0</v>
      </c>
      <c r="B4686" s="18" t="s">
        <v>32</v>
      </c>
      <c r="C4686" s="18" t="s">
        <v>34</v>
      </c>
      <c r="D4686" s="18" t="s">
        <v>35</v>
      </c>
      <c r="E4686" s="26">
        <v>42563.33819444444</v>
      </c>
      <c r="F4686" s="19">
        <f>IFERROR(__xludf.DUMMYFUNCTION("IFERROR(TO_DATE(E4686), """")"),42563.33819444444)</f>
        <v>42563.33819</v>
      </c>
      <c r="G4686" s="20">
        <f t="shared" si="1"/>
        <v>8</v>
      </c>
      <c r="H4686" s="18" t="s">
        <v>34</v>
      </c>
      <c r="I4686" s="19" t="str">
        <f>IFERROR(__xludf.DUMMYFUNCTION("IFERROR(TO_DATE(H4686), """")"),"NA")</f>
        <v>NA</v>
      </c>
      <c r="J4686" s="19" t="s">
        <v>14</v>
      </c>
      <c r="K4686" s="22">
        <f t="shared" si="2"/>
        <v>0</v>
      </c>
    </row>
    <row r="4687">
      <c r="A4687" s="18">
        <v>1716.0</v>
      </c>
      <c r="B4687" s="18" t="s">
        <v>32</v>
      </c>
      <c r="C4687" s="18" t="s">
        <v>34</v>
      </c>
      <c r="D4687" s="18" t="s">
        <v>35</v>
      </c>
      <c r="E4687" s="26">
        <v>42563.33819444444</v>
      </c>
      <c r="F4687" s="19">
        <f>IFERROR(__xludf.DUMMYFUNCTION("IFERROR(TO_DATE(E4687), """")"),42563.33819444444)</f>
        <v>42563.33819</v>
      </c>
      <c r="G4687" s="20">
        <f t="shared" si="1"/>
        <v>8</v>
      </c>
      <c r="H4687" s="18" t="s">
        <v>34</v>
      </c>
      <c r="I4687" s="19" t="str">
        <f>IFERROR(__xludf.DUMMYFUNCTION("IFERROR(TO_DATE(H4687), """")"),"NA")</f>
        <v>NA</v>
      </c>
      <c r="J4687" s="19" t="s">
        <v>14</v>
      </c>
      <c r="K4687" s="22">
        <f t="shared" si="2"/>
        <v>0</v>
      </c>
    </row>
    <row r="4688">
      <c r="A4688" s="18">
        <v>1710.0</v>
      </c>
      <c r="B4688" s="18" t="s">
        <v>32</v>
      </c>
      <c r="C4688" s="18" t="s">
        <v>34</v>
      </c>
      <c r="D4688" s="18" t="s">
        <v>35</v>
      </c>
      <c r="E4688" s="26">
        <v>42563.34097222222</v>
      </c>
      <c r="F4688" s="19">
        <f>IFERROR(__xludf.DUMMYFUNCTION("IFERROR(TO_DATE(E4688), """")"),42563.34097222222)</f>
        <v>42563.34097</v>
      </c>
      <c r="G4688" s="20">
        <f t="shared" si="1"/>
        <v>8</v>
      </c>
      <c r="H4688" s="18" t="s">
        <v>34</v>
      </c>
      <c r="I4688" s="19" t="str">
        <f>IFERROR(__xludf.DUMMYFUNCTION("IFERROR(TO_DATE(H4688), """")"),"NA")</f>
        <v>NA</v>
      </c>
      <c r="J4688" s="19" t="s">
        <v>14</v>
      </c>
      <c r="K4688" s="22">
        <f t="shared" si="2"/>
        <v>0</v>
      </c>
    </row>
    <row r="4689">
      <c r="A4689" s="18">
        <v>1711.0</v>
      </c>
      <c r="B4689" s="18" t="s">
        <v>32</v>
      </c>
      <c r="C4689" s="18" t="s">
        <v>34</v>
      </c>
      <c r="D4689" s="18" t="s">
        <v>35</v>
      </c>
      <c r="E4689" s="26">
        <v>42563.34166666667</v>
      </c>
      <c r="F4689" s="19">
        <f>IFERROR(__xludf.DUMMYFUNCTION("IFERROR(TO_DATE(E4689), """")"),42563.34166666667)</f>
        <v>42563.34167</v>
      </c>
      <c r="G4689" s="20">
        <f t="shared" si="1"/>
        <v>8</v>
      </c>
      <c r="H4689" s="18" t="s">
        <v>34</v>
      </c>
      <c r="I4689" s="19" t="str">
        <f>IFERROR(__xludf.DUMMYFUNCTION("IFERROR(TO_DATE(H4689), """")"),"NA")</f>
        <v>NA</v>
      </c>
      <c r="J4689" s="19" t="s">
        <v>14</v>
      </c>
      <c r="K4689" s="22">
        <f t="shared" si="2"/>
        <v>0</v>
      </c>
    </row>
    <row r="4690">
      <c r="A4690" s="18">
        <v>1715.0</v>
      </c>
      <c r="B4690" s="18" t="s">
        <v>32</v>
      </c>
      <c r="C4690" s="18" t="s">
        <v>34</v>
      </c>
      <c r="D4690" s="18" t="s">
        <v>35</v>
      </c>
      <c r="E4690" s="26">
        <v>42563.342361111114</v>
      </c>
      <c r="F4690" s="19">
        <f>IFERROR(__xludf.DUMMYFUNCTION("IFERROR(TO_DATE(E4690), """")"),42563.342361111114)</f>
        <v>42563.34236</v>
      </c>
      <c r="G4690" s="20">
        <f t="shared" si="1"/>
        <v>8</v>
      </c>
      <c r="H4690" s="18" t="s">
        <v>34</v>
      </c>
      <c r="I4690" s="19" t="str">
        <f>IFERROR(__xludf.DUMMYFUNCTION("IFERROR(TO_DATE(H4690), """")"),"NA")</f>
        <v>NA</v>
      </c>
      <c r="J4690" s="19" t="s">
        <v>14</v>
      </c>
      <c r="K4690" s="22">
        <f t="shared" si="2"/>
        <v>0</v>
      </c>
    </row>
    <row r="4691">
      <c r="A4691" s="18">
        <v>1719.0</v>
      </c>
      <c r="B4691" s="18" t="s">
        <v>32</v>
      </c>
      <c r="C4691" s="18" t="s">
        <v>34</v>
      </c>
      <c r="D4691" s="18" t="s">
        <v>35</v>
      </c>
      <c r="E4691" s="26">
        <v>42563.34305555555</v>
      </c>
      <c r="F4691" s="19">
        <f>IFERROR(__xludf.DUMMYFUNCTION("IFERROR(TO_DATE(E4691), """")"),42563.34305555555)</f>
        <v>42563.34306</v>
      </c>
      <c r="G4691" s="20">
        <f t="shared" si="1"/>
        <v>8</v>
      </c>
      <c r="H4691" s="18" t="s">
        <v>34</v>
      </c>
      <c r="I4691" s="19" t="str">
        <f>IFERROR(__xludf.DUMMYFUNCTION("IFERROR(TO_DATE(H4691), """")"),"NA")</f>
        <v>NA</v>
      </c>
      <c r="J4691" s="19" t="s">
        <v>14</v>
      </c>
      <c r="K4691" s="22">
        <f t="shared" si="2"/>
        <v>0</v>
      </c>
    </row>
    <row r="4692">
      <c r="A4692" s="18">
        <v>1720.0</v>
      </c>
      <c r="B4692" s="18" t="s">
        <v>32</v>
      </c>
      <c r="C4692" s="18" t="s">
        <v>34</v>
      </c>
      <c r="D4692" s="18" t="s">
        <v>35</v>
      </c>
      <c r="E4692" s="26">
        <v>42563.34444444445</v>
      </c>
      <c r="F4692" s="19">
        <f>IFERROR(__xludf.DUMMYFUNCTION("IFERROR(TO_DATE(E4692), """")"),42563.34444444445)</f>
        <v>42563.34444</v>
      </c>
      <c r="G4692" s="20">
        <f t="shared" si="1"/>
        <v>8</v>
      </c>
      <c r="H4692" s="18" t="s">
        <v>34</v>
      </c>
      <c r="I4692" s="19" t="str">
        <f>IFERROR(__xludf.DUMMYFUNCTION("IFERROR(TO_DATE(H4692), """")"),"NA")</f>
        <v>NA</v>
      </c>
      <c r="J4692" s="19" t="s">
        <v>14</v>
      </c>
      <c r="K4692" s="22">
        <f t="shared" si="2"/>
        <v>0</v>
      </c>
    </row>
    <row r="4693">
      <c r="A4693" s="18">
        <v>1727.0</v>
      </c>
      <c r="B4693" s="18" t="s">
        <v>32</v>
      </c>
      <c r="C4693" s="18" t="s">
        <v>34</v>
      </c>
      <c r="D4693" s="18" t="s">
        <v>35</v>
      </c>
      <c r="E4693" s="26">
        <v>42563.345138888886</v>
      </c>
      <c r="F4693" s="19">
        <f>IFERROR(__xludf.DUMMYFUNCTION("IFERROR(TO_DATE(E4693), """")"),42563.345138888886)</f>
        <v>42563.34514</v>
      </c>
      <c r="G4693" s="20">
        <f t="shared" si="1"/>
        <v>8</v>
      </c>
      <c r="H4693" s="18" t="s">
        <v>34</v>
      </c>
      <c r="I4693" s="19" t="str">
        <f>IFERROR(__xludf.DUMMYFUNCTION("IFERROR(TO_DATE(H4693), """")"),"NA")</f>
        <v>NA</v>
      </c>
      <c r="J4693" s="19" t="s">
        <v>14</v>
      </c>
      <c r="K4693" s="22">
        <f t="shared" si="2"/>
        <v>0</v>
      </c>
    </row>
    <row r="4694">
      <c r="A4694" s="18">
        <v>1729.0</v>
      </c>
      <c r="B4694" s="18" t="s">
        <v>32</v>
      </c>
      <c r="C4694" s="18" t="s">
        <v>34</v>
      </c>
      <c r="D4694" s="18" t="s">
        <v>35</v>
      </c>
      <c r="E4694" s="26">
        <v>42563.34652777778</v>
      </c>
      <c r="F4694" s="19">
        <f>IFERROR(__xludf.DUMMYFUNCTION("IFERROR(TO_DATE(E4694), """")"),42563.34652777778)</f>
        <v>42563.34653</v>
      </c>
      <c r="G4694" s="20">
        <f t="shared" si="1"/>
        <v>8</v>
      </c>
      <c r="H4694" s="18" t="s">
        <v>34</v>
      </c>
      <c r="I4694" s="19" t="str">
        <f>IFERROR(__xludf.DUMMYFUNCTION("IFERROR(TO_DATE(H4694), """")"),"NA")</f>
        <v>NA</v>
      </c>
      <c r="J4694" s="19" t="s">
        <v>14</v>
      </c>
      <c r="K4694" s="22">
        <f t="shared" si="2"/>
        <v>0</v>
      </c>
    </row>
    <row r="4695">
      <c r="A4695" s="18">
        <v>1731.0</v>
      </c>
      <c r="B4695" s="18" t="s">
        <v>32</v>
      </c>
      <c r="C4695" s="18" t="s">
        <v>34</v>
      </c>
      <c r="D4695" s="18" t="s">
        <v>35</v>
      </c>
      <c r="E4695" s="26">
        <v>42563.35138888889</v>
      </c>
      <c r="F4695" s="19">
        <f>IFERROR(__xludf.DUMMYFUNCTION("IFERROR(TO_DATE(E4695), """")"),42563.35138888889)</f>
        <v>42563.35139</v>
      </c>
      <c r="G4695" s="20">
        <f t="shared" si="1"/>
        <v>8</v>
      </c>
      <c r="H4695" s="18" t="s">
        <v>34</v>
      </c>
      <c r="I4695" s="19" t="str">
        <f>IFERROR(__xludf.DUMMYFUNCTION("IFERROR(TO_DATE(H4695), """")"),"NA")</f>
        <v>NA</v>
      </c>
      <c r="J4695" s="19" t="s">
        <v>14</v>
      </c>
      <c r="K4695" s="22">
        <f t="shared" si="2"/>
        <v>0</v>
      </c>
    </row>
    <row r="4696">
      <c r="A4696" s="18">
        <v>1736.0</v>
      </c>
      <c r="B4696" s="18" t="s">
        <v>32</v>
      </c>
      <c r="C4696" s="18" t="s">
        <v>34</v>
      </c>
      <c r="D4696" s="18" t="s">
        <v>35</v>
      </c>
      <c r="E4696" s="26">
        <v>42563.35138888889</v>
      </c>
      <c r="F4696" s="19">
        <f>IFERROR(__xludf.DUMMYFUNCTION("IFERROR(TO_DATE(E4696), """")"),42563.35138888889)</f>
        <v>42563.35139</v>
      </c>
      <c r="G4696" s="20">
        <f t="shared" si="1"/>
        <v>8</v>
      </c>
      <c r="H4696" s="18" t="s">
        <v>34</v>
      </c>
      <c r="I4696" s="19" t="str">
        <f>IFERROR(__xludf.DUMMYFUNCTION("IFERROR(TO_DATE(H4696), """")"),"NA")</f>
        <v>NA</v>
      </c>
      <c r="J4696" s="19" t="s">
        <v>14</v>
      </c>
      <c r="K4696" s="22">
        <f t="shared" si="2"/>
        <v>0</v>
      </c>
    </row>
    <row r="4697">
      <c r="A4697" s="18">
        <v>1746.0</v>
      </c>
      <c r="B4697" s="18" t="s">
        <v>32</v>
      </c>
      <c r="C4697" s="18" t="s">
        <v>34</v>
      </c>
      <c r="D4697" s="18" t="s">
        <v>35</v>
      </c>
      <c r="E4697" s="26">
        <v>42563.354166666664</v>
      </c>
      <c r="F4697" s="19">
        <f>IFERROR(__xludf.DUMMYFUNCTION("IFERROR(TO_DATE(E4697), """")"),42563.354166666664)</f>
        <v>42563.35417</v>
      </c>
      <c r="G4697" s="20">
        <f t="shared" si="1"/>
        <v>8</v>
      </c>
      <c r="H4697" s="18" t="s">
        <v>34</v>
      </c>
      <c r="I4697" s="19" t="str">
        <f>IFERROR(__xludf.DUMMYFUNCTION("IFERROR(TO_DATE(H4697), """")"),"NA")</f>
        <v>NA</v>
      </c>
      <c r="J4697" s="19" t="s">
        <v>14</v>
      </c>
      <c r="K4697" s="22">
        <f t="shared" si="2"/>
        <v>0</v>
      </c>
    </row>
    <row r="4698">
      <c r="A4698" s="18">
        <v>1737.0</v>
      </c>
      <c r="B4698" s="18" t="s">
        <v>32</v>
      </c>
      <c r="C4698" s="18" t="s">
        <v>34</v>
      </c>
      <c r="D4698" s="18" t="s">
        <v>35</v>
      </c>
      <c r="E4698" s="26">
        <v>42563.354166666664</v>
      </c>
      <c r="F4698" s="19">
        <f>IFERROR(__xludf.DUMMYFUNCTION("IFERROR(TO_DATE(E4698), """")"),42563.354166666664)</f>
        <v>42563.35417</v>
      </c>
      <c r="G4698" s="20">
        <f t="shared" si="1"/>
        <v>8</v>
      </c>
      <c r="H4698" s="18" t="s">
        <v>34</v>
      </c>
      <c r="I4698" s="19" t="str">
        <f>IFERROR(__xludf.DUMMYFUNCTION("IFERROR(TO_DATE(H4698), """")"),"NA")</f>
        <v>NA</v>
      </c>
      <c r="J4698" s="19" t="s">
        <v>14</v>
      </c>
      <c r="K4698" s="22">
        <f t="shared" si="2"/>
        <v>0</v>
      </c>
    </row>
    <row r="4699">
      <c r="A4699" s="18">
        <v>1740.0</v>
      </c>
      <c r="B4699" s="18" t="s">
        <v>32</v>
      </c>
      <c r="C4699" s="18" t="s">
        <v>34</v>
      </c>
      <c r="D4699" s="18" t="s">
        <v>35</v>
      </c>
      <c r="E4699" s="26">
        <v>42563.35555555556</v>
      </c>
      <c r="F4699" s="19">
        <f>IFERROR(__xludf.DUMMYFUNCTION("IFERROR(TO_DATE(E4699), """")"),42563.35555555556)</f>
        <v>42563.35556</v>
      </c>
      <c r="G4699" s="20">
        <f t="shared" si="1"/>
        <v>8</v>
      </c>
      <c r="H4699" s="18" t="s">
        <v>34</v>
      </c>
      <c r="I4699" s="19" t="str">
        <f>IFERROR(__xludf.DUMMYFUNCTION("IFERROR(TO_DATE(H4699), """")"),"NA")</f>
        <v>NA</v>
      </c>
      <c r="J4699" s="19" t="s">
        <v>14</v>
      </c>
      <c r="K4699" s="22">
        <f t="shared" si="2"/>
        <v>0</v>
      </c>
    </row>
    <row r="4700">
      <c r="A4700" s="18">
        <v>1752.0</v>
      </c>
      <c r="B4700" s="18" t="s">
        <v>32</v>
      </c>
      <c r="C4700" s="18" t="s">
        <v>34</v>
      </c>
      <c r="D4700" s="18" t="s">
        <v>35</v>
      </c>
      <c r="E4700" s="26">
        <v>42563.35833333333</v>
      </c>
      <c r="F4700" s="19">
        <f>IFERROR(__xludf.DUMMYFUNCTION("IFERROR(TO_DATE(E4700), """")"),42563.35833333333)</f>
        <v>42563.35833</v>
      </c>
      <c r="G4700" s="20">
        <f t="shared" si="1"/>
        <v>8</v>
      </c>
      <c r="H4700" s="18" t="s">
        <v>34</v>
      </c>
      <c r="I4700" s="19" t="str">
        <f>IFERROR(__xludf.DUMMYFUNCTION("IFERROR(TO_DATE(H4700), """")"),"NA")</f>
        <v>NA</v>
      </c>
      <c r="J4700" s="19" t="s">
        <v>14</v>
      </c>
      <c r="K4700" s="22">
        <f t="shared" si="2"/>
        <v>0</v>
      </c>
    </row>
    <row r="4701">
      <c r="A4701" s="18">
        <v>1753.0</v>
      </c>
      <c r="B4701" s="18" t="s">
        <v>32</v>
      </c>
      <c r="C4701" s="18" t="s">
        <v>34</v>
      </c>
      <c r="D4701" s="18" t="s">
        <v>35</v>
      </c>
      <c r="E4701" s="26">
        <v>42563.36041666667</v>
      </c>
      <c r="F4701" s="19">
        <f>IFERROR(__xludf.DUMMYFUNCTION("IFERROR(TO_DATE(E4701), """")"),42563.36041666667)</f>
        <v>42563.36042</v>
      </c>
      <c r="G4701" s="20">
        <f t="shared" si="1"/>
        <v>8</v>
      </c>
      <c r="H4701" s="18" t="s">
        <v>34</v>
      </c>
      <c r="I4701" s="19" t="str">
        <f>IFERROR(__xludf.DUMMYFUNCTION("IFERROR(TO_DATE(H4701), """")"),"NA")</f>
        <v>NA</v>
      </c>
      <c r="J4701" s="19" t="s">
        <v>14</v>
      </c>
      <c r="K4701" s="22">
        <f t="shared" si="2"/>
        <v>0</v>
      </c>
    </row>
    <row r="4702">
      <c r="A4702" s="18">
        <v>1750.0</v>
      </c>
      <c r="B4702" s="18" t="s">
        <v>32</v>
      </c>
      <c r="C4702" s="18" t="s">
        <v>34</v>
      </c>
      <c r="D4702" s="18" t="s">
        <v>35</v>
      </c>
      <c r="E4702" s="26">
        <v>42563.36319444444</v>
      </c>
      <c r="F4702" s="19">
        <f>IFERROR(__xludf.DUMMYFUNCTION("IFERROR(TO_DATE(E4702), """")"),42563.36319444444)</f>
        <v>42563.36319</v>
      </c>
      <c r="G4702" s="20">
        <f t="shared" si="1"/>
        <v>8</v>
      </c>
      <c r="H4702" s="18" t="s">
        <v>34</v>
      </c>
      <c r="I4702" s="19" t="str">
        <f>IFERROR(__xludf.DUMMYFUNCTION("IFERROR(TO_DATE(H4702), """")"),"NA")</f>
        <v>NA</v>
      </c>
      <c r="J4702" s="19" t="s">
        <v>14</v>
      </c>
      <c r="K4702" s="22">
        <f t="shared" si="2"/>
        <v>0</v>
      </c>
    </row>
    <row r="4703">
      <c r="A4703" s="18">
        <v>1760.0</v>
      </c>
      <c r="B4703" s="18" t="s">
        <v>32</v>
      </c>
      <c r="C4703" s="18" t="s">
        <v>34</v>
      </c>
      <c r="D4703" s="18" t="s">
        <v>35</v>
      </c>
      <c r="E4703" s="26">
        <v>42563.364583333336</v>
      </c>
      <c r="F4703" s="19">
        <f>IFERROR(__xludf.DUMMYFUNCTION("IFERROR(TO_DATE(E4703), """")"),42563.364583333336)</f>
        <v>42563.36458</v>
      </c>
      <c r="G4703" s="20">
        <f t="shared" si="1"/>
        <v>8</v>
      </c>
      <c r="H4703" s="18" t="s">
        <v>34</v>
      </c>
      <c r="I4703" s="19" t="str">
        <f>IFERROR(__xludf.DUMMYFUNCTION("IFERROR(TO_DATE(H4703), """")"),"NA")</f>
        <v>NA</v>
      </c>
      <c r="J4703" s="19" t="s">
        <v>14</v>
      </c>
      <c r="K4703" s="22">
        <f t="shared" si="2"/>
        <v>0</v>
      </c>
    </row>
    <row r="4704">
      <c r="A4704" s="18">
        <v>1761.0</v>
      </c>
      <c r="B4704" s="18" t="s">
        <v>30</v>
      </c>
      <c r="C4704" s="18" t="s">
        <v>34</v>
      </c>
      <c r="D4704" s="18" t="s">
        <v>35</v>
      </c>
      <c r="E4704" s="26">
        <v>42563.36666666667</v>
      </c>
      <c r="F4704" s="19">
        <f>IFERROR(__xludf.DUMMYFUNCTION("IFERROR(TO_DATE(E4704), """")"),42563.36666666667)</f>
        <v>42563.36667</v>
      </c>
      <c r="G4704" s="20">
        <f t="shared" si="1"/>
        <v>8</v>
      </c>
      <c r="H4704" s="18" t="s">
        <v>34</v>
      </c>
      <c r="I4704" s="19" t="str">
        <f>IFERROR(__xludf.DUMMYFUNCTION("IFERROR(TO_DATE(H4704), """")"),"NA")</f>
        <v>NA</v>
      </c>
      <c r="J4704" s="19" t="s">
        <v>14</v>
      </c>
      <c r="K4704" s="22">
        <f t="shared" si="2"/>
        <v>0</v>
      </c>
    </row>
    <row r="4705">
      <c r="A4705" s="18">
        <v>1765.0</v>
      </c>
      <c r="B4705" s="18" t="s">
        <v>30</v>
      </c>
      <c r="C4705" s="18" t="s">
        <v>34</v>
      </c>
      <c r="D4705" s="18" t="s">
        <v>35</v>
      </c>
      <c r="E4705" s="26">
        <v>42563.36666666667</v>
      </c>
      <c r="F4705" s="19">
        <f>IFERROR(__xludf.DUMMYFUNCTION("IFERROR(TO_DATE(E4705), """")"),42563.36666666667)</f>
        <v>42563.36667</v>
      </c>
      <c r="G4705" s="20">
        <f t="shared" si="1"/>
        <v>8</v>
      </c>
      <c r="H4705" s="18" t="s">
        <v>34</v>
      </c>
      <c r="I4705" s="19" t="str">
        <f>IFERROR(__xludf.DUMMYFUNCTION("IFERROR(TO_DATE(H4705), """")"),"NA")</f>
        <v>NA</v>
      </c>
      <c r="J4705" s="19" t="s">
        <v>14</v>
      </c>
      <c r="K4705" s="22">
        <f t="shared" si="2"/>
        <v>0</v>
      </c>
    </row>
    <row r="4706">
      <c r="A4706" s="18">
        <v>1768.0</v>
      </c>
      <c r="B4706" s="18" t="s">
        <v>32</v>
      </c>
      <c r="C4706" s="18" t="s">
        <v>34</v>
      </c>
      <c r="D4706" s="18" t="s">
        <v>35</v>
      </c>
      <c r="E4706" s="26">
        <v>42563.37013888889</v>
      </c>
      <c r="F4706" s="19">
        <f>IFERROR(__xludf.DUMMYFUNCTION("IFERROR(TO_DATE(E4706), """")"),42563.37013888889)</f>
        <v>42563.37014</v>
      </c>
      <c r="G4706" s="20">
        <f t="shared" si="1"/>
        <v>8</v>
      </c>
      <c r="H4706" s="18" t="s">
        <v>34</v>
      </c>
      <c r="I4706" s="19" t="str">
        <f>IFERROR(__xludf.DUMMYFUNCTION("IFERROR(TO_DATE(H4706), """")"),"NA")</f>
        <v>NA</v>
      </c>
      <c r="J4706" s="19" t="s">
        <v>14</v>
      </c>
      <c r="K4706" s="22">
        <f t="shared" si="2"/>
        <v>0</v>
      </c>
    </row>
    <row r="4707">
      <c r="A4707" s="18">
        <v>1764.0</v>
      </c>
      <c r="B4707" s="18" t="s">
        <v>32</v>
      </c>
      <c r="C4707" s="18" t="s">
        <v>34</v>
      </c>
      <c r="D4707" s="18" t="s">
        <v>35</v>
      </c>
      <c r="E4707" s="26">
        <v>42563.370833333334</v>
      </c>
      <c r="F4707" s="19">
        <f>IFERROR(__xludf.DUMMYFUNCTION("IFERROR(TO_DATE(E4707), """")"),42563.370833333334)</f>
        <v>42563.37083</v>
      </c>
      <c r="G4707" s="20">
        <f t="shared" si="1"/>
        <v>8</v>
      </c>
      <c r="H4707" s="18" t="s">
        <v>34</v>
      </c>
      <c r="I4707" s="19" t="str">
        <f>IFERROR(__xludf.DUMMYFUNCTION("IFERROR(TO_DATE(H4707), """")"),"NA")</f>
        <v>NA</v>
      </c>
      <c r="J4707" s="19" t="s">
        <v>14</v>
      </c>
      <c r="K4707" s="22">
        <f t="shared" si="2"/>
        <v>0</v>
      </c>
    </row>
    <row r="4708">
      <c r="A4708" s="18">
        <v>1779.0</v>
      </c>
      <c r="B4708" s="18" t="s">
        <v>30</v>
      </c>
      <c r="C4708" s="18" t="s">
        <v>34</v>
      </c>
      <c r="D4708" s="18" t="s">
        <v>35</v>
      </c>
      <c r="E4708" s="26">
        <v>42563.37152777778</v>
      </c>
      <c r="F4708" s="19">
        <f>IFERROR(__xludf.DUMMYFUNCTION("IFERROR(TO_DATE(E4708), """")"),42563.37152777778)</f>
        <v>42563.37153</v>
      </c>
      <c r="G4708" s="20">
        <f t="shared" si="1"/>
        <v>8</v>
      </c>
      <c r="H4708" s="18" t="s">
        <v>34</v>
      </c>
      <c r="I4708" s="19" t="str">
        <f>IFERROR(__xludf.DUMMYFUNCTION("IFERROR(TO_DATE(H4708), """")"),"NA")</f>
        <v>NA</v>
      </c>
      <c r="J4708" s="19" t="s">
        <v>14</v>
      </c>
      <c r="K4708" s="22">
        <f t="shared" si="2"/>
        <v>0</v>
      </c>
    </row>
    <row r="4709">
      <c r="A4709" s="18">
        <v>1785.0</v>
      </c>
      <c r="B4709" s="18" t="s">
        <v>32</v>
      </c>
      <c r="C4709" s="18" t="s">
        <v>34</v>
      </c>
      <c r="D4709" s="18" t="s">
        <v>35</v>
      </c>
      <c r="E4709" s="26">
        <v>42563.37708333333</v>
      </c>
      <c r="F4709" s="19">
        <f>IFERROR(__xludf.DUMMYFUNCTION("IFERROR(TO_DATE(E4709), """")"),42563.37708333333)</f>
        <v>42563.37708</v>
      </c>
      <c r="G4709" s="20">
        <f t="shared" si="1"/>
        <v>9</v>
      </c>
      <c r="H4709" s="18" t="s">
        <v>34</v>
      </c>
      <c r="I4709" s="19" t="str">
        <f>IFERROR(__xludf.DUMMYFUNCTION("IFERROR(TO_DATE(H4709), """")"),"NA")</f>
        <v>NA</v>
      </c>
      <c r="J4709" s="19" t="s">
        <v>14</v>
      </c>
      <c r="K4709" s="22">
        <f t="shared" si="2"/>
        <v>0</v>
      </c>
    </row>
    <row r="4710">
      <c r="A4710" s="18">
        <v>1783.0</v>
      </c>
      <c r="B4710" s="18" t="s">
        <v>32</v>
      </c>
      <c r="C4710" s="18" t="s">
        <v>34</v>
      </c>
      <c r="D4710" s="18" t="s">
        <v>35</v>
      </c>
      <c r="E4710" s="26">
        <v>42563.379166666666</v>
      </c>
      <c r="F4710" s="19">
        <f>IFERROR(__xludf.DUMMYFUNCTION("IFERROR(TO_DATE(E4710), """")"),42563.379166666666)</f>
        <v>42563.37917</v>
      </c>
      <c r="G4710" s="20">
        <f t="shared" si="1"/>
        <v>9</v>
      </c>
      <c r="H4710" s="18" t="s">
        <v>34</v>
      </c>
      <c r="I4710" s="19" t="str">
        <f>IFERROR(__xludf.DUMMYFUNCTION("IFERROR(TO_DATE(H4710), """")"),"NA")</f>
        <v>NA</v>
      </c>
      <c r="J4710" s="19" t="s">
        <v>14</v>
      </c>
      <c r="K4710" s="22">
        <f t="shared" si="2"/>
        <v>0</v>
      </c>
    </row>
    <row r="4711">
      <c r="A4711" s="18">
        <v>1792.0</v>
      </c>
      <c r="B4711" s="18" t="s">
        <v>32</v>
      </c>
      <c r="C4711" s="18" t="s">
        <v>34</v>
      </c>
      <c r="D4711" s="18" t="s">
        <v>35</v>
      </c>
      <c r="E4711" s="26">
        <v>42563.381944444445</v>
      </c>
      <c r="F4711" s="19">
        <f>IFERROR(__xludf.DUMMYFUNCTION("IFERROR(TO_DATE(E4711), """")"),42563.381944444445)</f>
        <v>42563.38194</v>
      </c>
      <c r="G4711" s="20">
        <f t="shared" si="1"/>
        <v>9</v>
      </c>
      <c r="H4711" s="18" t="s">
        <v>34</v>
      </c>
      <c r="I4711" s="19" t="str">
        <f>IFERROR(__xludf.DUMMYFUNCTION("IFERROR(TO_DATE(H4711), """")"),"NA")</f>
        <v>NA</v>
      </c>
      <c r="J4711" s="19" t="s">
        <v>14</v>
      </c>
      <c r="K4711" s="22">
        <f t="shared" si="2"/>
        <v>0</v>
      </c>
    </row>
    <row r="4712">
      <c r="A4712" s="18">
        <v>1799.0</v>
      </c>
      <c r="B4712" s="18" t="s">
        <v>32</v>
      </c>
      <c r="C4712" s="18" t="s">
        <v>34</v>
      </c>
      <c r="D4712" s="18" t="s">
        <v>35</v>
      </c>
      <c r="E4712" s="26">
        <v>42563.38263888889</v>
      </c>
      <c r="F4712" s="19">
        <f>IFERROR(__xludf.DUMMYFUNCTION("IFERROR(TO_DATE(E4712), """")"),42563.38263888889)</f>
        <v>42563.38264</v>
      </c>
      <c r="G4712" s="20">
        <f t="shared" si="1"/>
        <v>9</v>
      </c>
      <c r="H4712" s="18" t="s">
        <v>34</v>
      </c>
      <c r="I4712" s="19" t="str">
        <f>IFERROR(__xludf.DUMMYFUNCTION("IFERROR(TO_DATE(H4712), """")"),"NA")</f>
        <v>NA</v>
      </c>
      <c r="J4712" s="19" t="s">
        <v>14</v>
      </c>
      <c r="K4712" s="22">
        <f t="shared" si="2"/>
        <v>0</v>
      </c>
    </row>
    <row r="4713">
      <c r="A4713" s="18">
        <v>1803.0</v>
      </c>
      <c r="B4713" s="18" t="s">
        <v>32</v>
      </c>
      <c r="C4713" s="18" t="s">
        <v>34</v>
      </c>
      <c r="D4713" s="18" t="s">
        <v>35</v>
      </c>
      <c r="E4713" s="26">
        <v>42563.38402777778</v>
      </c>
      <c r="F4713" s="19">
        <f>IFERROR(__xludf.DUMMYFUNCTION("IFERROR(TO_DATE(E4713), """")"),42563.38402777778)</f>
        <v>42563.38403</v>
      </c>
      <c r="G4713" s="20">
        <f t="shared" si="1"/>
        <v>9</v>
      </c>
      <c r="H4713" s="18" t="s">
        <v>34</v>
      </c>
      <c r="I4713" s="19" t="str">
        <f>IFERROR(__xludf.DUMMYFUNCTION("IFERROR(TO_DATE(H4713), """")"),"NA")</f>
        <v>NA</v>
      </c>
      <c r="J4713" s="19" t="s">
        <v>14</v>
      </c>
      <c r="K4713" s="22">
        <f t="shared" si="2"/>
        <v>0</v>
      </c>
    </row>
    <row r="4714">
      <c r="A4714" s="18">
        <v>1806.0</v>
      </c>
      <c r="B4714" s="18" t="s">
        <v>32</v>
      </c>
      <c r="C4714" s="18" t="s">
        <v>34</v>
      </c>
      <c r="D4714" s="18" t="s">
        <v>35</v>
      </c>
      <c r="E4714" s="26">
        <v>42563.385416666664</v>
      </c>
      <c r="F4714" s="19">
        <f>IFERROR(__xludf.DUMMYFUNCTION("IFERROR(TO_DATE(E4714), """")"),42563.385416666664)</f>
        <v>42563.38542</v>
      </c>
      <c r="G4714" s="20">
        <f t="shared" si="1"/>
        <v>9</v>
      </c>
      <c r="H4714" s="18" t="s">
        <v>34</v>
      </c>
      <c r="I4714" s="19" t="str">
        <f>IFERROR(__xludf.DUMMYFUNCTION("IFERROR(TO_DATE(H4714), """")"),"NA")</f>
        <v>NA</v>
      </c>
      <c r="J4714" s="19" t="s">
        <v>14</v>
      </c>
      <c r="K4714" s="22">
        <f t="shared" si="2"/>
        <v>0</v>
      </c>
    </row>
    <row r="4715">
      <c r="A4715" s="18">
        <v>1813.0</v>
      </c>
      <c r="B4715" s="18" t="s">
        <v>30</v>
      </c>
      <c r="C4715" s="18" t="s">
        <v>34</v>
      </c>
      <c r="D4715" s="18" t="s">
        <v>35</v>
      </c>
      <c r="E4715" s="26">
        <v>42563.388194444444</v>
      </c>
      <c r="F4715" s="19">
        <f>IFERROR(__xludf.DUMMYFUNCTION("IFERROR(TO_DATE(E4715), """")"),42563.388194444444)</f>
        <v>42563.38819</v>
      </c>
      <c r="G4715" s="20">
        <f t="shared" si="1"/>
        <v>9</v>
      </c>
      <c r="H4715" s="18" t="s">
        <v>34</v>
      </c>
      <c r="I4715" s="19" t="str">
        <f>IFERROR(__xludf.DUMMYFUNCTION("IFERROR(TO_DATE(H4715), """")"),"NA")</f>
        <v>NA</v>
      </c>
      <c r="J4715" s="19" t="s">
        <v>14</v>
      </c>
      <c r="K4715" s="22">
        <f t="shared" si="2"/>
        <v>0</v>
      </c>
    </row>
    <row r="4716">
      <c r="A4716" s="18">
        <v>1823.0</v>
      </c>
      <c r="B4716" s="18" t="s">
        <v>32</v>
      </c>
      <c r="C4716" s="18" t="s">
        <v>34</v>
      </c>
      <c r="D4716" s="18" t="s">
        <v>35</v>
      </c>
      <c r="E4716" s="26">
        <v>42563.396527777775</v>
      </c>
      <c r="F4716" s="19">
        <f>IFERROR(__xludf.DUMMYFUNCTION("IFERROR(TO_DATE(E4716), """")"),42563.396527777775)</f>
        <v>42563.39653</v>
      </c>
      <c r="G4716" s="20">
        <f t="shared" si="1"/>
        <v>9</v>
      </c>
      <c r="H4716" s="18" t="s">
        <v>34</v>
      </c>
      <c r="I4716" s="19" t="str">
        <f>IFERROR(__xludf.DUMMYFUNCTION("IFERROR(TO_DATE(H4716), """")"),"NA")</f>
        <v>NA</v>
      </c>
      <c r="J4716" s="19" t="s">
        <v>14</v>
      </c>
      <c r="K4716" s="22">
        <f t="shared" si="2"/>
        <v>0</v>
      </c>
    </row>
    <row r="4717">
      <c r="A4717" s="18">
        <v>1822.0</v>
      </c>
      <c r="B4717" s="18" t="s">
        <v>32</v>
      </c>
      <c r="C4717" s="18" t="s">
        <v>34</v>
      </c>
      <c r="D4717" s="18" t="s">
        <v>35</v>
      </c>
      <c r="E4717" s="26">
        <v>42563.396527777775</v>
      </c>
      <c r="F4717" s="19">
        <f>IFERROR(__xludf.DUMMYFUNCTION("IFERROR(TO_DATE(E4717), """")"),42563.396527777775)</f>
        <v>42563.39653</v>
      </c>
      <c r="G4717" s="20">
        <f t="shared" si="1"/>
        <v>9</v>
      </c>
      <c r="H4717" s="18" t="s">
        <v>34</v>
      </c>
      <c r="I4717" s="19" t="str">
        <f>IFERROR(__xludf.DUMMYFUNCTION("IFERROR(TO_DATE(H4717), """")"),"NA")</f>
        <v>NA</v>
      </c>
      <c r="J4717" s="19" t="s">
        <v>14</v>
      </c>
      <c r="K4717" s="22">
        <f t="shared" si="2"/>
        <v>0</v>
      </c>
    </row>
    <row r="4718">
      <c r="A4718" s="18">
        <v>1824.0</v>
      </c>
      <c r="B4718" s="18" t="s">
        <v>32</v>
      </c>
      <c r="C4718" s="18" t="s">
        <v>34</v>
      </c>
      <c r="D4718" s="18" t="s">
        <v>35</v>
      </c>
      <c r="E4718" s="26">
        <v>42563.396527777775</v>
      </c>
      <c r="F4718" s="19">
        <f>IFERROR(__xludf.DUMMYFUNCTION("IFERROR(TO_DATE(E4718), """")"),42563.396527777775)</f>
        <v>42563.39653</v>
      </c>
      <c r="G4718" s="20">
        <f t="shared" si="1"/>
        <v>9</v>
      </c>
      <c r="H4718" s="18" t="s">
        <v>34</v>
      </c>
      <c r="I4718" s="19" t="str">
        <f>IFERROR(__xludf.DUMMYFUNCTION("IFERROR(TO_DATE(H4718), """")"),"NA")</f>
        <v>NA</v>
      </c>
      <c r="J4718" s="19" t="s">
        <v>14</v>
      </c>
      <c r="K4718" s="22">
        <f t="shared" si="2"/>
        <v>0</v>
      </c>
    </row>
    <row r="4719">
      <c r="A4719" s="18">
        <v>1856.0</v>
      </c>
      <c r="B4719" s="18" t="s">
        <v>30</v>
      </c>
      <c r="C4719" s="18" t="s">
        <v>34</v>
      </c>
      <c r="D4719" s="18" t="s">
        <v>35</v>
      </c>
      <c r="E4719" s="26">
        <v>42563.40625</v>
      </c>
      <c r="F4719" s="19">
        <f>IFERROR(__xludf.DUMMYFUNCTION("IFERROR(TO_DATE(E4719), """")"),42563.40625)</f>
        <v>42563.40625</v>
      </c>
      <c r="G4719" s="20">
        <f t="shared" si="1"/>
        <v>9</v>
      </c>
      <c r="H4719" s="18" t="s">
        <v>34</v>
      </c>
      <c r="I4719" s="19" t="str">
        <f>IFERROR(__xludf.DUMMYFUNCTION("IFERROR(TO_DATE(H4719), """")"),"NA")</f>
        <v>NA</v>
      </c>
      <c r="J4719" s="19" t="s">
        <v>14</v>
      </c>
      <c r="K4719" s="22">
        <f t="shared" si="2"/>
        <v>0</v>
      </c>
    </row>
    <row r="4720">
      <c r="A4720" s="18">
        <v>1847.0</v>
      </c>
      <c r="B4720" s="18" t="s">
        <v>32</v>
      </c>
      <c r="C4720" s="18" t="s">
        <v>34</v>
      </c>
      <c r="D4720" s="18" t="s">
        <v>35</v>
      </c>
      <c r="E4720" s="26">
        <v>42563.40625</v>
      </c>
      <c r="F4720" s="19">
        <f>IFERROR(__xludf.DUMMYFUNCTION("IFERROR(TO_DATE(E4720), """")"),42563.40625)</f>
        <v>42563.40625</v>
      </c>
      <c r="G4720" s="20">
        <f t="shared" si="1"/>
        <v>9</v>
      </c>
      <c r="H4720" s="18" t="s">
        <v>34</v>
      </c>
      <c r="I4720" s="19" t="str">
        <f>IFERROR(__xludf.DUMMYFUNCTION("IFERROR(TO_DATE(H4720), """")"),"NA")</f>
        <v>NA</v>
      </c>
      <c r="J4720" s="19" t="s">
        <v>14</v>
      </c>
      <c r="K4720" s="22">
        <f t="shared" si="2"/>
        <v>0</v>
      </c>
    </row>
    <row r="4721">
      <c r="A4721" s="18">
        <v>1857.0</v>
      </c>
      <c r="B4721" s="18" t="s">
        <v>32</v>
      </c>
      <c r="C4721" s="18" t="s">
        <v>34</v>
      </c>
      <c r="D4721" s="18" t="s">
        <v>35</v>
      </c>
      <c r="E4721" s="26">
        <v>42563.40694444445</v>
      </c>
      <c r="F4721" s="19">
        <f>IFERROR(__xludf.DUMMYFUNCTION("IFERROR(TO_DATE(E4721), """")"),42563.40694444445)</f>
        <v>42563.40694</v>
      </c>
      <c r="G4721" s="20">
        <f t="shared" si="1"/>
        <v>9</v>
      </c>
      <c r="H4721" s="18" t="s">
        <v>34</v>
      </c>
      <c r="I4721" s="19" t="str">
        <f>IFERROR(__xludf.DUMMYFUNCTION("IFERROR(TO_DATE(H4721), """")"),"NA")</f>
        <v>NA</v>
      </c>
      <c r="J4721" s="19" t="s">
        <v>14</v>
      </c>
      <c r="K4721" s="22">
        <f t="shared" si="2"/>
        <v>0</v>
      </c>
    </row>
    <row r="4722">
      <c r="A4722" s="18">
        <v>1855.0</v>
      </c>
      <c r="B4722" s="18" t="s">
        <v>32</v>
      </c>
      <c r="C4722" s="18" t="s">
        <v>34</v>
      </c>
      <c r="D4722" s="18" t="s">
        <v>35</v>
      </c>
      <c r="E4722" s="26">
        <v>42563.40972222222</v>
      </c>
      <c r="F4722" s="19">
        <f>IFERROR(__xludf.DUMMYFUNCTION("IFERROR(TO_DATE(E4722), """")"),42563.40972222222)</f>
        <v>42563.40972</v>
      </c>
      <c r="G4722" s="20">
        <f t="shared" si="1"/>
        <v>9</v>
      </c>
      <c r="H4722" s="18" t="s">
        <v>34</v>
      </c>
      <c r="I4722" s="19" t="str">
        <f>IFERROR(__xludf.DUMMYFUNCTION("IFERROR(TO_DATE(H4722), """")"),"NA")</f>
        <v>NA</v>
      </c>
      <c r="J4722" s="19" t="s">
        <v>14</v>
      </c>
      <c r="K4722" s="22">
        <f t="shared" si="2"/>
        <v>0</v>
      </c>
    </row>
    <row r="4723">
      <c r="A4723" s="18">
        <v>1859.0</v>
      </c>
      <c r="B4723" s="18" t="s">
        <v>32</v>
      </c>
      <c r="C4723" s="18" t="s">
        <v>34</v>
      </c>
      <c r="D4723" s="18" t="s">
        <v>35</v>
      </c>
      <c r="E4723" s="26">
        <v>42563.4125</v>
      </c>
      <c r="F4723" s="19">
        <f>IFERROR(__xludf.DUMMYFUNCTION("IFERROR(TO_DATE(E4723), """")"),42563.4125)</f>
        <v>42563.4125</v>
      </c>
      <c r="G4723" s="20">
        <f t="shared" si="1"/>
        <v>9</v>
      </c>
      <c r="H4723" s="18" t="s">
        <v>34</v>
      </c>
      <c r="I4723" s="19" t="str">
        <f>IFERROR(__xludf.DUMMYFUNCTION("IFERROR(TO_DATE(H4723), """")"),"NA")</f>
        <v>NA</v>
      </c>
      <c r="J4723" s="19" t="s">
        <v>14</v>
      </c>
      <c r="K4723" s="22">
        <f t="shared" si="2"/>
        <v>0</v>
      </c>
    </row>
    <row r="4724">
      <c r="A4724" s="18">
        <v>1862.0</v>
      </c>
      <c r="B4724" s="18" t="s">
        <v>30</v>
      </c>
      <c r="C4724" s="18" t="s">
        <v>34</v>
      </c>
      <c r="D4724" s="18" t="s">
        <v>35</v>
      </c>
      <c r="E4724" s="26">
        <v>42563.41388888889</v>
      </c>
      <c r="F4724" s="19">
        <f>IFERROR(__xludf.DUMMYFUNCTION("IFERROR(TO_DATE(E4724), """")"),42563.41388888889)</f>
        <v>42563.41389</v>
      </c>
      <c r="G4724" s="20">
        <f t="shared" si="1"/>
        <v>9</v>
      </c>
      <c r="H4724" s="18" t="s">
        <v>34</v>
      </c>
      <c r="I4724" s="19" t="str">
        <f>IFERROR(__xludf.DUMMYFUNCTION("IFERROR(TO_DATE(H4724), """")"),"NA")</f>
        <v>NA</v>
      </c>
      <c r="J4724" s="19" t="s">
        <v>14</v>
      </c>
      <c r="K4724" s="22">
        <f t="shared" si="2"/>
        <v>0</v>
      </c>
    </row>
    <row r="4725">
      <c r="A4725" s="18">
        <v>1869.0</v>
      </c>
      <c r="B4725" s="18" t="s">
        <v>32</v>
      </c>
      <c r="C4725" s="18" t="s">
        <v>34</v>
      </c>
      <c r="D4725" s="18" t="s">
        <v>35</v>
      </c>
      <c r="E4725" s="26">
        <v>42563.41458333333</v>
      </c>
      <c r="F4725" s="19">
        <f>IFERROR(__xludf.DUMMYFUNCTION("IFERROR(TO_DATE(E4725), """")"),42563.41458333333)</f>
        <v>42563.41458</v>
      </c>
      <c r="G4725" s="20">
        <f t="shared" si="1"/>
        <v>9</v>
      </c>
      <c r="H4725" s="18" t="s">
        <v>34</v>
      </c>
      <c r="I4725" s="19" t="str">
        <f>IFERROR(__xludf.DUMMYFUNCTION("IFERROR(TO_DATE(H4725), """")"),"NA")</f>
        <v>NA</v>
      </c>
      <c r="J4725" s="19" t="s">
        <v>14</v>
      </c>
      <c r="K4725" s="22">
        <f t="shared" si="2"/>
        <v>0</v>
      </c>
    </row>
    <row r="4726">
      <c r="A4726" s="18">
        <v>1878.0</v>
      </c>
      <c r="B4726" s="18" t="s">
        <v>32</v>
      </c>
      <c r="C4726" s="18" t="s">
        <v>34</v>
      </c>
      <c r="D4726" s="18" t="s">
        <v>35</v>
      </c>
      <c r="E4726" s="26">
        <v>42563.41736111111</v>
      </c>
      <c r="F4726" s="19">
        <f>IFERROR(__xludf.DUMMYFUNCTION("IFERROR(TO_DATE(E4726), """")"),42563.41736111111)</f>
        <v>42563.41736</v>
      </c>
      <c r="G4726" s="20">
        <f t="shared" si="1"/>
        <v>10</v>
      </c>
      <c r="H4726" s="18" t="s">
        <v>34</v>
      </c>
      <c r="I4726" s="19" t="str">
        <f>IFERROR(__xludf.DUMMYFUNCTION("IFERROR(TO_DATE(H4726), """")"),"NA")</f>
        <v>NA</v>
      </c>
      <c r="J4726" s="19" t="s">
        <v>14</v>
      </c>
      <c r="K4726" s="22">
        <f t="shared" si="2"/>
        <v>0</v>
      </c>
    </row>
    <row r="4727">
      <c r="A4727" s="18">
        <v>1872.0</v>
      </c>
      <c r="B4727" s="18" t="s">
        <v>32</v>
      </c>
      <c r="C4727" s="18" t="s">
        <v>34</v>
      </c>
      <c r="D4727" s="18" t="s">
        <v>35</v>
      </c>
      <c r="E4727" s="26">
        <v>42563.41805555556</v>
      </c>
      <c r="F4727" s="19">
        <f>IFERROR(__xludf.DUMMYFUNCTION("IFERROR(TO_DATE(E4727), """")"),42563.41805555556)</f>
        <v>42563.41806</v>
      </c>
      <c r="G4727" s="20">
        <f t="shared" si="1"/>
        <v>10</v>
      </c>
      <c r="H4727" s="18" t="s">
        <v>34</v>
      </c>
      <c r="I4727" s="19" t="str">
        <f>IFERROR(__xludf.DUMMYFUNCTION("IFERROR(TO_DATE(H4727), """")"),"NA")</f>
        <v>NA</v>
      </c>
      <c r="J4727" s="19" t="s">
        <v>14</v>
      </c>
      <c r="K4727" s="22">
        <f t="shared" si="2"/>
        <v>0</v>
      </c>
    </row>
    <row r="4728">
      <c r="A4728" s="18">
        <v>1879.0</v>
      </c>
      <c r="B4728" s="18" t="s">
        <v>32</v>
      </c>
      <c r="C4728" s="18" t="s">
        <v>34</v>
      </c>
      <c r="D4728" s="18" t="s">
        <v>35</v>
      </c>
      <c r="E4728" s="26">
        <v>42563.41805555556</v>
      </c>
      <c r="F4728" s="19">
        <f>IFERROR(__xludf.DUMMYFUNCTION("IFERROR(TO_DATE(E4728), """")"),42563.41805555556)</f>
        <v>42563.41806</v>
      </c>
      <c r="G4728" s="20">
        <f t="shared" si="1"/>
        <v>10</v>
      </c>
      <c r="H4728" s="18" t="s">
        <v>34</v>
      </c>
      <c r="I4728" s="19" t="str">
        <f>IFERROR(__xludf.DUMMYFUNCTION("IFERROR(TO_DATE(H4728), """")"),"NA")</f>
        <v>NA</v>
      </c>
      <c r="J4728" s="19" t="s">
        <v>14</v>
      </c>
      <c r="K4728" s="22">
        <f t="shared" si="2"/>
        <v>0</v>
      </c>
    </row>
    <row r="4729">
      <c r="A4729" s="18">
        <v>1884.0</v>
      </c>
      <c r="B4729" s="18" t="s">
        <v>30</v>
      </c>
      <c r="C4729" s="18" t="s">
        <v>34</v>
      </c>
      <c r="D4729" s="18" t="s">
        <v>35</v>
      </c>
      <c r="E4729" s="26">
        <v>42563.42291666667</v>
      </c>
      <c r="F4729" s="19">
        <f>IFERROR(__xludf.DUMMYFUNCTION("IFERROR(TO_DATE(E4729), """")"),42563.42291666667)</f>
        <v>42563.42292</v>
      </c>
      <c r="G4729" s="20">
        <f t="shared" si="1"/>
        <v>10</v>
      </c>
      <c r="H4729" s="18" t="s">
        <v>34</v>
      </c>
      <c r="I4729" s="19" t="str">
        <f>IFERROR(__xludf.DUMMYFUNCTION("IFERROR(TO_DATE(H4729), """")"),"NA")</f>
        <v>NA</v>
      </c>
      <c r="J4729" s="19" t="s">
        <v>14</v>
      </c>
      <c r="K4729" s="22">
        <f t="shared" si="2"/>
        <v>0</v>
      </c>
    </row>
    <row r="4730">
      <c r="A4730" s="18">
        <v>1892.0</v>
      </c>
      <c r="B4730" s="18" t="s">
        <v>30</v>
      </c>
      <c r="C4730" s="18" t="s">
        <v>34</v>
      </c>
      <c r="D4730" s="18" t="s">
        <v>35</v>
      </c>
      <c r="E4730" s="26">
        <v>42563.43194444444</v>
      </c>
      <c r="F4730" s="19">
        <f>IFERROR(__xludf.DUMMYFUNCTION("IFERROR(TO_DATE(E4730), """")"),42563.43194444444)</f>
        <v>42563.43194</v>
      </c>
      <c r="G4730" s="20">
        <f t="shared" si="1"/>
        <v>10</v>
      </c>
      <c r="H4730" s="18" t="s">
        <v>34</v>
      </c>
      <c r="I4730" s="19" t="str">
        <f>IFERROR(__xludf.DUMMYFUNCTION("IFERROR(TO_DATE(H4730), """")"),"NA")</f>
        <v>NA</v>
      </c>
      <c r="J4730" s="19" t="s">
        <v>14</v>
      </c>
      <c r="K4730" s="22">
        <f t="shared" si="2"/>
        <v>0</v>
      </c>
    </row>
    <row r="4731">
      <c r="A4731" s="18">
        <v>1905.0</v>
      </c>
      <c r="B4731" s="18" t="s">
        <v>32</v>
      </c>
      <c r="C4731" s="18" t="s">
        <v>34</v>
      </c>
      <c r="D4731" s="18" t="s">
        <v>35</v>
      </c>
      <c r="E4731" s="26">
        <v>42563.43958333333</v>
      </c>
      <c r="F4731" s="19">
        <f>IFERROR(__xludf.DUMMYFUNCTION("IFERROR(TO_DATE(E4731), """")"),42563.43958333333)</f>
        <v>42563.43958</v>
      </c>
      <c r="G4731" s="20">
        <f t="shared" si="1"/>
        <v>10</v>
      </c>
      <c r="H4731" s="18" t="s">
        <v>34</v>
      </c>
      <c r="I4731" s="19" t="str">
        <f>IFERROR(__xludf.DUMMYFUNCTION("IFERROR(TO_DATE(H4731), """")"),"NA")</f>
        <v>NA</v>
      </c>
      <c r="J4731" s="19" t="s">
        <v>14</v>
      </c>
      <c r="K4731" s="22">
        <f t="shared" si="2"/>
        <v>0</v>
      </c>
    </row>
    <row r="4732">
      <c r="A4732" s="18">
        <v>1904.0</v>
      </c>
      <c r="B4732" s="18" t="s">
        <v>32</v>
      </c>
      <c r="C4732" s="18" t="s">
        <v>34</v>
      </c>
      <c r="D4732" s="18" t="s">
        <v>35</v>
      </c>
      <c r="E4732" s="26">
        <v>42563.44097222222</v>
      </c>
      <c r="F4732" s="19">
        <f>IFERROR(__xludf.DUMMYFUNCTION("IFERROR(TO_DATE(E4732), """")"),42563.44097222222)</f>
        <v>42563.44097</v>
      </c>
      <c r="G4732" s="20">
        <f t="shared" si="1"/>
        <v>10</v>
      </c>
      <c r="H4732" s="18" t="s">
        <v>34</v>
      </c>
      <c r="I4732" s="19" t="str">
        <f>IFERROR(__xludf.DUMMYFUNCTION("IFERROR(TO_DATE(H4732), """")"),"NA")</f>
        <v>NA</v>
      </c>
      <c r="J4732" s="19" t="s">
        <v>14</v>
      </c>
      <c r="K4732" s="22">
        <f t="shared" si="2"/>
        <v>0</v>
      </c>
    </row>
    <row r="4733">
      <c r="A4733" s="18">
        <v>1912.0</v>
      </c>
      <c r="B4733" s="18" t="s">
        <v>30</v>
      </c>
      <c r="C4733" s="18" t="s">
        <v>34</v>
      </c>
      <c r="D4733" s="18" t="s">
        <v>35</v>
      </c>
      <c r="E4733" s="26">
        <v>42563.447222222225</v>
      </c>
      <c r="F4733" s="19">
        <f>IFERROR(__xludf.DUMMYFUNCTION("IFERROR(TO_DATE(E4733), """")"),42563.447222222225)</f>
        <v>42563.44722</v>
      </c>
      <c r="G4733" s="20">
        <f t="shared" si="1"/>
        <v>10</v>
      </c>
      <c r="H4733" s="18" t="s">
        <v>34</v>
      </c>
      <c r="I4733" s="19" t="str">
        <f>IFERROR(__xludf.DUMMYFUNCTION("IFERROR(TO_DATE(H4733), """")"),"NA")</f>
        <v>NA</v>
      </c>
      <c r="J4733" s="19" t="s">
        <v>14</v>
      </c>
      <c r="K4733" s="22">
        <f t="shared" si="2"/>
        <v>0</v>
      </c>
    </row>
    <row r="4734">
      <c r="A4734" s="18">
        <v>1913.0</v>
      </c>
      <c r="B4734" s="18" t="s">
        <v>30</v>
      </c>
      <c r="C4734" s="18" t="s">
        <v>34</v>
      </c>
      <c r="D4734" s="18" t="s">
        <v>35</v>
      </c>
      <c r="E4734" s="26">
        <v>42563.44930555556</v>
      </c>
      <c r="F4734" s="19">
        <f>IFERROR(__xludf.DUMMYFUNCTION("IFERROR(TO_DATE(E4734), """")"),42563.44930555556)</f>
        <v>42563.44931</v>
      </c>
      <c r="G4734" s="20">
        <f t="shared" si="1"/>
        <v>10</v>
      </c>
      <c r="H4734" s="18" t="s">
        <v>34</v>
      </c>
      <c r="I4734" s="19" t="str">
        <f>IFERROR(__xludf.DUMMYFUNCTION("IFERROR(TO_DATE(H4734), """")"),"NA")</f>
        <v>NA</v>
      </c>
      <c r="J4734" s="19" t="s">
        <v>14</v>
      </c>
      <c r="K4734" s="22">
        <f t="shared" si="2"/>
        <v>0</v>
      </c>
    </row>
    <row r="4735">
      <c r="A4735" s="18">
        <v>1917.0</v>
      </c>
      <c r="B4735" s="18" t="s">
        <v>32</v>
      </c>
      <c r="C4735" s="18" t="s">
        <v>34</v>
      </c>
      <c r="D4735" s="18" t="s">
        <v>35</v>
      </c>
      <c r="E4735" s="26">
        <v>42563.45138888889</v>
      </c>
      <c r="F4735" s="19">
        <f>IFERROR(__xludf.DUMMYFUNCTION("IFERROR(TO_DATE(E4735), """")"),42563.45138888889)</f>
        <v>42563.45139</v>
      </c>
      <c r="G4735" s="20">
        <f t="shared" si="1"/>
        <v>10</v>
      </c>
      <c r="H4735" s="18" t="s">
        <v>34</v>
      </c>
      <c r="I4735" s="19" t="str">
        <f>IFERROR(__xludf.DUMMYFUNCTION("IFERROR(TO_DATE(H4735), """")"),"NA")</f>
        <v>NA</v>
      </c>
      <c r="J4735" s="19" t="s">
        <v>14</v>
      </c>
      <c r="K4735" s="22">
        <f t="shared" si="2"/>
        <v>0</v>
      </c>
    </row>
    <row r="4736">
      <c r="A4736" s="18">
        <v>1922.0</v>
      </c>
      <c r="B4736" s="18" t="s">
        <v>30</v>
      </c>
      <c r="C4736" s="18" t="s">
        <v>34</v>
      </c>
      <c r="D4736" s="18" t="s">
        <v>35</v>
      </c>
      <c r="E4736" s="26">
        <v>42563.46041666667</v>
      </c>
      <c r="F4736" s="19">
        <f>IFERROR(__xludf.DUMMYFUNCTION("IFERROR(TO_DATE(E4736), """")"),42563.46041666667)</f>
        <v>42563.46042</v>
      </c>
      <c r="G4736" s="20">
        <f t="shared" si="1"/>
        <v>11</v>
      </c>
      <c r="H4736" s="18" t="s">
        <v>34</v>
      </c>
      <c r="I4736" s="19" t="str">
        <f>IFERROR(__xludf.DUMMYFUNCTION("IFERROR(TO_DATE(H4736), """")"),"NA")</f>
        <v>NA</v>
      </c>
      <c r="J4736" s="19" t="s">
        <v>14</v>
      </c>
      <c r="K4736" s="22">
        <f t="shared" si="2"/>
        <v>0</v>
      </c>
    </row>
    <row r="4737">
      <c r="A4737" s="18">
        <v>1926.0</v>
      </c>
      <c r="B4737" s="18" t="s">
        <v>32</v>
      </c>
      <c r="C4737" s="18" t="s">
        <v>34</v>
      </c>
      <c r="D4737" s="18" t="s">
        <v>35</v>
      </c>
      <c r="E4737" s="26">
        <v>42563.46527777778</v>
      </c>
      <c r="F4737" s="19">
        <f>IFERROR(__xludf.DUMMYFUNCTION("IFERROR(TO_DATE(E4737), """")"),42563.46527777778)</f>
        <v>42563.46528</v>
      </c>
      <c r="G4737" s="20">
        <f t="shared" si="1"/>
        <v>11</v>
      </c>
      <c r="H4737" s="18" t="s">
        <v>34</v>
      </c>
      <c r="I4737" s="19" t="str">
        <f>IFERROR(__xludf.DUMMYFUNCTION("IFERROR(TO_DATE(H4737), """")"),"NA")</f>
        <v>NA</v>
      </c>
      <c r="J4737" s="19" t="s">
        <v>14</v>
      </c>
      <c r="K4737" s="22">
        <f t="shared" si="2"/>
        <v>0</v>
      </c>
    </row>
    <row r="4738">
      <c r="A4738" s="18">
        <v>1936.0</v>
      </c>
      <c r="B4738" s="18" t="s">
        <v>32</v>
      </c>
      <c r="C4738" s="18" t="s">
        <v>34</v>
      </c>
      <c r="D4738" s="18" t="s">
        <v>35</v>
      </c>
      <c r="E4738" s="26">
        <v>42563.470138888886</v>
      </c>
      <c r="F4738" s="19">
        <f>IFERROR(__xludf.DUMMYFUNCTION("IFERROR(TO_DATE(E4738), """")"),42563.470138888886)</f>
        <v>42563.47014</v>
      </c>
      <c r="G4738" s="20">
        <f t="shared" si="1"/>
        <v>11</v>
      </c>
      <c r="H4738" s="18" t="s">
        <v>34</v>
      </c>
      <c r="I4738" s="19" t="str">
        <f>IFERROR(__xludf.DUMMYFUNCTION("IFERROR(TO_DATE(H4738), """")"),"NA")</f>
        <v>NA</v>
      </c>
      <c r="J4738" s="19" t="s">
        <v>14</v>
      </c>
      <c r="K4738" s="22">
        <f t="shared" si="2"/>
        <v>0</v>
      </c>
    </row>
    <row r="4739">
      <c r="A4739" s="18">
        <v>1933.0</v>
      </c>
      <c r="B4739" s="18" t="s">
        <v>32</v>
      </c>
      <c r="C4739" s="18" t="s">
        <v>34</v>
      </c>
      <c r="D4739" s="18" t="s">
        <v>35</v>
      </c>
      <c r="E4739" s="26">
        <v>42563.472916666666</v>
      </c>
      <c r="F4739" s="19">
        <f>IFERROR(__xludf.DUMMYFUNCTION("IFERROR(TO_DATE(E4739), """")"),42563.472916666666)</f>
        <v>42563.47292</v>
      </c>
      <c r="G4739" s="20">
        <f t="shared" si="1"/>
        <v>11</v>
      </c>
      <c r="H4739" s="18" t="s">
        <v>34</v>
      </c>
      <c r="I4739" s="19" t="str">
        <f>IFERROR(__xludf.DUMMYFUNCTION("IFERROR(TO_DATE(H4739), """")"),"NA")</f>
        <v>NA</v>
      </c>
      <c r="J4739" s="19" t="s">
        <v>14</v>
      </c>
      <c r="K4739" s="22">
        <f t="shared" si="2"/>
        <v>0</v>
      </c>
    </row>
    <row r="4740">
      <c r="A4740" s="18">
        <v>1943.0</v>
      </c>
      <c r="B4740" s="18" t="s">
        <v>32</v>
      </c>
      <c r="C4740" s="18" t="s">
        <v>34</v>
      </c>
      <c r="D4740" s="18" t="s">
        <v>35</v>
      </c>
      <c r="E4740" s="26">
        <v>42563.47361111111</v>
      </c>
      <c r="F4740" s="19">
        <f>IFERROR(__xludf.DUMMYFUNCTION("IFERROR(TO_DATE(E4740), """")"),42563.47361111111)</f>
        <v>42563.47361</v>
      </c>
      <c r="G4740" s="20">
        <f t="shared" si="1"/>
        <v>11</v>
      </c>
      <c r="H4740" s="18" t="s">
        <v>34</v>
      </c>
      <c r="I4740" s="19" t="str">
        <f>IFERROR(__xludf.DUMMYFUNCTION("IFERROR(TO_DATE(H4740), """")"),"NA")</f>
        <v>NA</v>
      </c>
      <c r="J4740" s="19" t="s">
        <v>14</v>
      </c>
      <c r="K4740" s="22">
        <f t="shared" si="2"/>
        <v>0</v>
      </c>
    </row>
    <row r="4741">
      <c r="A4741" s="18">
        <v>1951.0</v>
      </c>
      <c r="B4741" s="18" t="s">
        <v>30</v>
      </c>
      <c r="C4741" s="18" t="s">
        <v>34</v>
      </c>
      <c r="D4741" s="18" t="s">
        <v>35</v>
      </c>
      <c r="E4741" s="26">
        <v>42563.478472222225</v>
      </c>
      <c r="F4741" s="19">
        <f>IFERROR(__xludf.DUMMYFUNCTION("IFERROR(TO_DATE(E4741), """")"),42563.478472222225)</f>
        <v>42563.47847</v>
      </c>
      <c r="G4741" s="20">
        <f t="shared" si="1"/>
        <v>11</v>
      </c>
      <c r="H4741" s="18" t="s">
        <v>34</v>
      </c>
      <c r="I4741" s="19" t="str">
        <f>IFERROR(__xludf.DUMMYFUNCTION("IFERROR(TO_DATE(H4741), """")"),"NA")</f>
        <v>NA</v>
      </c>
      <c r="J4741" s="19" t="s">
        <v>14</v>
      </c>
      <c r="K4741" s="22">
        <f t="shared" si="2"/>
        <v>0</v>
      </c>
    </row>
    <row r="4742">
      <c r="A4742" s="18">
        <v>1944.0</v>
      </c>
      <c r="B4742" s="18" t="s">
        <v>32</v>
      </c>
      <c r="C4742" s="18" t="s">
        <v>34</v>
      </c>
      <c r="D4742" s="18" t="s">
        <v>35</v>
      </c>
      <c r="E4742" s="26">
        <v>42563.479166666664</v>
      </c>
      <c r="F4742" s="19">
        <f>IFERROR(__xludf.DUMMYFUNCTION("IFERROR(TO_DATE(E4742), """")"),42563.479166666664)</f>
        <v>42563.47917</v>
      </c>
      <c r="G4742" s="20">
        <f t="shared" si="1"/>
        <v>11</v>
      </c>
      <c r="H4742" s="18" t="s">
        <v>34</v>
      </c>
      <c r="I4742" s="19" t="str">
        <f>IFERROR(__xludf.DUMMYFUNCTION("IFERROR(TO_DATE(H4742), """")"),"NA")</f>
        <v>NA</v>
      </c>
      <c r="J4742" s="19" t="s">
        <v>14</v>
      </c>
      <c r="K4742" s="22">
        <f t="shared" si="2"/>
        <v>0</v>
      </c>
    </row>
    <row r="4743">
      <c r="A4743" s="18">
        <v>1965.0</v>
      </c>
      <c r="B4743" s="18" t="s">
        <v>32</v>
      </c>
      <c r="C4743" s="18" t="s">
        <v>34</v>
      </c>
      <c r="D4743" s="18" t="s">
        <v>35</v>
      </c>
      <c r="E4743" s="26">
        <v>42563.49930555555</v>
      </c>
      <c r="F4743" s="19">
        <f>IFERROR(__xludf.DUMMYFUNCTION("IFERROR(TO_DATE(E4743), """")"),42563.49930555555)</f>
        <v>42563.49931</v>
      </c>
      <c r="G4743" s="20">
        <f t="shared" si="1"/>
        <v>11</v>
      </c>
      <c r="H4743" s="18" t="s">
        <v>34</v>
      </c>
      <c r="I4743" s="19" t="str">
        <f>IFERROR(__xludf.DUMMYFUNCTION("IFERROR(TO_DATE(H4743), """")"),"NA")</f>
        <v>NA</v>
      </c>
      <c r="J4743" s="19" t="s">
        <v>14</v>
      </c>
      <c r="K4743" s="22">
        <f t="shared" si="2"/>
        <v>0</v>
      </c>
    </row>
    <row r="4744">
      <c r="A4744" s="18">
        <v>1964.0</v>
      </c>
      <c r="B4744" s="18" t="s">
        <v>32</v>
      </c>
      <c r="C4744" s="18" t="s">
        <v>34</v>
      </c>
      <c r="D4744" s="18" t="s">
        <v>35</v>
      </c>
      <c r="E4744" s="26">
        <v>42563.501388888886</v>
      </c>
      <c r="F4744" s="19">
        <f>IFERROR(__xludf.DUMMYFUNCTION("IFERROR(TO_DATE(E4744), """")"),42563.501388888886)</f>
        <v>42563.50139</v>
      </c>
      <c r="G4744" s="20">
        <f t="shared" si="1"/>
        <v>12</v>
      </c>
      <c r="H4744" s="18" t="s">
        <v>34</v>
      </c>
      <c r="I4744" s="19" t="str">
        <f>IFERROR(__xludf.DUMMYFUNCTION("IFERROR(TO_DATE(H4744), """")"),"NA")</f>
        <v>NA</v>
      </c>
      <c r="J4744" s="19" t="s">
        <v>10</v>
      </c>
      <c r="K4744" s="22">
        <f t="shared" si="2"/>
        <v>0</v>
      </c>
    </row>
    <row r="4745">
      <c r="A4745" s="18">
        <v>1967.0</v>
      </c>
      <c r="B4745" s="18" t="s">
        <v>32</v>
      </c>
      <c r="C4745" s="18" t="s">
        <v>34</v>
      </c>
      <c r="D4745" s="18" t="s">
        <v>35</v>
      </c>
      <c r="E4745" s="26">
        <v>42563.506944444445</v>
      </c>
      <c r="F4745" s="19">
        <f>IFERROR(__xludf.DUMMYFUNCTION("IFERROR(TO_DATE(E4745), """")"),42563.506944444445)</f>
        <v>42563.50694</v>
      </c>
      <c r="G4745" s="20">
        <f t="shared" si="1"/>
        <v>12</v>
      </c>
      <c r="H4745" s="18" t="s">
        <v>34</v>
      </c>
      <c r="I4745" s="19" t="str">
        <f>IFERROR(__xludf.DUMMYFUNCTION("IFERROR(TO_DATE(H4745), """")"),"NA")</f>
        <v>NA</v>
      </c>
      <c r="J4745" s="19" t="s">
        <v>10</v>
      </c>
      <c r="K4745" s="22">
        <f t="shared" si="2"/>
        <v>0</v>
      </c>
    </row>
    <row r="4746">
      <c r="A4746" s="18">
        <v>1970.0</v>
      </c>
      <c r="B4746" s="18" t="s">
        <v>30</v>
      </c>
      <c r="C4746" s="18" t="s">
        <v>34</v>
      </c>
      <c r="D4746" s="18" t="s">
        <v>35</v>
      </c>
      <c r="E4746" s="26">
        <v>42563.509722222225</v>
      </c>
      <c r="F4746" s="19">
        <f>IFERROR(__xludf.DUMMYFUNCTION("IFERROR(TO_DATE(E4746), """")"),42563.509722222225)</f>
        <v>42563.50972</v>
      </c>
      <c r="G4746" s="20">
        <f t="shared" si="1"/>
        <v>12</v>
      </c>
      <c r="H4746" s="18" t="s">
        <v>34</v>
      </c>
      <c r="I4746" s="19" t="str">
        <f>IFERROR(__xludf.DUMMYFUNCTION("IFERROR(TO_DATE(H4746), """")"),"NA")</f>
        <v>NA</v>
      </c>
      <c r="J4746" s="19" t="s">
        <v>10</v>
      </c>
      <c r="K4746" s="22">
        <f t="shared" si="2"/>
        <v>0</v>
      </c>
    </row>
    <row r="4747">
      <c r="A4747" s="18">
        <v>1980.0</v>
      </c>
      <c r="B4747" s="18" t="s">
        <v>30</v>
      </c>
      <c r="C4747" s="18" t="s">
        <v>34</v>
      </c>
      <c r="D4747" s="18" t="s">
        <v>35</v>
      </c>
      <c r="E4747" s="26">
        <v>42563.51597222222</v>
      </c>
      <c r="F4747" s="19">
        <f>IFERROR(__xludf.DUMMYFUNCTION("IFERROR(TO_DATE(E4747), """")"),42563.51597222222)</f>
        <v>42563.51597</v>
      </c>
      <c r="G4747" s="20">
        <f t="shared" si="1"/>
        <v>12</v>
      </c>
      <c r="H4747" s="18" t="s">
        <v>34</v>
      </c>
      <c r="I4747" s="19" t="str">
        <f>IFERROR(__xludf.DUMMYFUNCTION("IFERROR(TO_DATE(H4747), """")"),"NA")</f>
        <v>NA</v>
      </c>
      <c r="J4747" s="19" t="s">
        <v>10</v>
      </c>
      <c r="K4747" s="22">
        <f t="shared" si="2"/>
        <v>0</v>
      </c>
    </row>
    <row r="4748">
      <c r="A4748" s="18">
        <v>1987.0</v>
      </c>
      <c r="B4748" s="18" t="s">
        <v>32</v>
      </c>
      <c r="C4748" s="18" t="s">
        <v>34</v>
      </c>
      <c r="D4748" s="18" t="s">
        <v>35</v>
      </c>
      <c r="E4748" s="26">
        <v>42563.521527777775</v>
      </c>
      <c r="F4748" s="19">
        <f>IFERROR(__xludf.DUMMYFUNCTION("IFERROR(TO_DATE(E4748), """")"),42563.521527777775)</f>
        <v>42563.52153</v>
      </c>
      <c r="G4748" s="20">
        <f t="shared" si="1"/>
        <v>12</v>
      </c>
      <c r="H4748" s="18" t="s">
        <v>34</v>
      </c>
      <c r="I4748" s="19" t="str">
        <f>IFERROR(__xludf.DUMMYFUNCTION("IFERROR(TO_DATE(H4748), """")"),"NA")</f>
        <v>NA</v>
      </c>
      <c r="J4748" s="19" t="s">
        <v>10</v>
      </c>
      <c r="K4748" s="22">
        <f t="shared" si="2"/>
        <v>0</v>
      </c>
    </row>
    <row r="4749">
      <c r="A4749" s="18">
        <v>1988.0</v>
      </c>
      <c r="B4749" s="18" t="s">
        <v>30</v>
      </c>
      <c r="C4749" s="18" t="s">
        <v>34</v>
      </c>
      <c r="D4749" s="18" t="s">
        <v>35</v>
      </c>
      <c r="E4749" s="26">
        <v>42563.52291666667</v>
      </c>
      <c r="F4749" s="19">
        <f>IFERROR(__xludf.DUMMYFUNCTION("IFERROR(TO_DATE(E4749), """")"),42563.52291666667)</f>
        <v>42563.52292</v>
      </c>
      <c r="G4749" s="20">
        <f t="shared" si="1"/>
        <v>12</v>
      </c>
      <c r="H4749" s="18" t="s">
        <v>34</v>
      </c>
      <c r="I4749" s="19" t="str">
        <f>IFERROR(__xludf.DUMMYFUNCTION("IFERROR(TO_DATE(H4749), """")"),"NA")</f>
        <v>NA</v>
      </c>
      <c r="J4749" s="19" t="s">
        <v>10</v>
      </c>
      <c r="K4749" s="22">
        <f t="shared" si="2"/>
        <v>0</v>
      </c>
    </row>
    <row r="4750">
      <c r="A4750" s="18">
        <v>1990.0</v>
      </c>
      <c r="B4750" s="18" t="s">
        <v>32</v>
      </c>
      <c r="C4750" s="18" t="s">
        <v>34</v>
      </c>
      <c r="D4750" s="18" t="s">
        <v>35</v>
      </c>
      <c r="E4750" s="26">
        <v>42563.52777777778</v>
      </c>
      <c r="F4750" s="19">
        <f>IFERROR(__xludf.DUMMYFUNCTION("IFERROR(TO_DATE(E4750), """")"),42563.52777777778)</f>
        <v>42563.52778</v>
      </c>
      <c r="G4750" s="20">
        <f t="shared" si="1"/>
        <v>12</v>
      </c>
      <c r="H4750" s="18" t="s">
        <v>34</v>
      </c>
      <c r="I4750" s="19" t="str">
        <f>IFERROR(__xludf.DUMMYFUNCTION("IFERROR(TO_DATE(H4750), """")"),"NA")</f>
        <v>NA</v>
      </c>
      <c r="J4750" s="19" t="s">
        <v>10</v>
      </c>
      <c r="K4750" s="22">
        <f t="shared" si="2"/>
        <v>0</v>
      </c>
    </row>
    <row r="4751">
      <c r="A4751" s="18">
        <v>1992.0</v>
      </c>
      <c r="B4751" s="18" t="s">
        <v>32</v>
      </c>
      <c r="C4751" s="18" t="s">
        <v>34</v>
      </c>
      <c r="D4751" s="18" t="s">
        <v>35</v>
      </c>
      <c r="E4751" s="26">
        <v>42563.53055555555</v>
      </c>
      <c r="F4751" s="19">
        <f>IFERROR(__xludf.DUMMYFUNCTION("IFERROR(TO_DATE(E4751), """")"),42563.53055555555)</f>
        <v>42563.53056</v>
      </c>
      <c r="G4751" s="20">
        <f t="shared" si="1"/>
        <v>12</v>
      </c>
      <c r="H4751" s="18" t="s">
        <v>34</v>
      </c>
      <c r="I4751" s="19" t="str">
        <f>IFERROR(__xludf.DUMMYFUNCTION("IFERROR(TO_DATE(H4751), """")"),"NA")</f>
        <v>NA</v>
      </c>
      <c r="J4751" s="19" t="s">
        <v>10</v>
      </c>
      <c r="K4751" s="22">
        <f t="shared" si="2"/>
        <v>0</v>
      </c>
    </row>
    <row r="4752">
      <c r="A4752" s="18">
        <v>1998.0</v>
      </c>
      <c r="B4752" s="18" t="s">
        <v>32</v>
      </c>
      <c r="C4752" s="18" t="s">
        <v>34</v>
      </c>
      <c r="D4752" s="18" t="s">
        <v>35</v>
      </c>
      <c r="E4752" s="26">
        <v>42563.53958333333</v>
      </c>
      <c r="F4752" s="19">
        <f>IFERROR(__xludf.DUMMYFUNCTION("IFERROR(TO_DATE(E4752), """")"),42563.53958333333)</f>
        <v>42563.53958</v>
      </c>
      <c r="G4752" s="20">
        <f t="shared" si="1"/>
        <v>12</v>
      </c>
      <c r="H4752" s="18" t="s">
        <v>34</v>
      </c>
      <c r="I4752" s="19" t="str">
        <f>IFERROR(__xludf.DUMMYFUNCTION("IFERROR(TO_DATE(H4752), """")"),"NA")</f>
        <v>NA</v>
      </c>
      <c r="J4752" s="19" t="s">
        <v>10</v>
      </c>
      <c r="K4752" s="22">
        <f t="shared" si="2"/>
        <v>0</v>
      </c>
    </row>
    <row r="4753">
      <c r="A4753" s="18">
        <v>2002.0</v>
      </c>
      <c r="B4753" s="18" t="s">
        <v>32</v>
      </c>
      <c r="C4753" s="18" t="s">
        <v>34</v>
      </c>
      <c r="D4753" s="18" t="s">
        <v>35</v>
      </c>
      <c r="E4753" s="26">
        <v>42563.54583333333</v>
      </c>
      <c r="F4753" s="19">
        <f>IFERROR(__xludf.DUMMYFUNCTION("IFERROR(TO_DATE(E4753), """")"),42563.54583333333)</f>
        <v>42563.54583</v>
      </c>
      <c r="G4753" s="20">
        <f t="shared" si="1"/>
        <v>13</v>
      </c>
      <c r="H4753" s="18" t="s">
        <v>34</v>
      </c>
      <c r="I4753" s="19" t="str">
        <f>IFERROR(__xludf.DUMMYFUNCTION("IFERROR(TO_DATE(H4753), """")"),"NA")</f>
        <v>NA</v>
      </c>
      <c r="J4753" s="19" t="s">
        <v>10</v>
      </c>
      <c r="K4753" s="22">
        <f t="shared" si="2"/>
        <v>0</v>
      </c>
    </row>
    <row r="4754">
      <c r="A4754" s="18">
        <v>2004.0</v>
      </c>
      <c r="B4754" s="18" t="s">
        <v>30</v>
      </c>
      <c r="C4754" s="18" t="s">
        <v>34</v>
      </c>
      <c r="D4754" s="18" t="s">
        <v>35</v>
      </c>
      <c r="E4754" s="26">
        <v>42563.555555555555</v>
      </c>
      <c r="F4754" s="19">
        <f>IFERROR(__xludf.DUMMYFUNCTION("IFERROR(TO_DATE(E4754), """")"),42563.555555555555)</f>
        <v>42563.55556</v>
      </c>
      <c r="G4754" s="20">
        <f t="shared" si="1"/>
        <v>13</v>
      </c>
      <c r="H4754" s="18" t="s">
        <v>34</v>
      </c>
      <c r="I4754" s="19" t="str">
        <f>IFERROR(__xludf.DUMMYFUNCTION("IFERROR(TO_DATE(H4754), """")"),"NA")</f>
        <v>NA</v>
      </c>
      <c r="J4754" s="19" t="s">
        <v>10</v>
      </c>
      <c r="K4754" s="22">
        <f t="shared" si="2"/>
        <v>0</v>
      </c>
    </row>
    <row r="4755">
      <c r="A4755" s="18">
        <v>2006.0</v>
      </c>
      <c r="B4755" s="18" t="s">
        <v>30</v>
      </c>
      <c r="C4755" s="18" t="s">
        <v>34</v>
      </c>
      <c r="D4755" s="18" t="s">
        <v>35</v>
      </c>
      <c r="E4755" s="26">
        <v>42563.55694444444</v>
      </c>
      <c r="F4755" s="19">
        <f>IFERROR(__xludf.DUMMYFUNCTION("IFERROR(TO_DATE(E4755), """")"),42563.55694444444)</f>
        <v>42563.55694</v>
      </c>
      <c r="G4755" s="20">
        <f t="shared" si="1"/>
        <v>13</v>
      </c>
      <c r="H4755" s="18" t="s">
        <v>34</v>
      </c>
      <c r="I4755" s="19" t="str">
        <f>IFERROR(__xludf.DUMMYFUNCTION("IFERROR(TO_DATE(H4755), """")"),"NA")</f>
        <v>NA</v>
      </c>
      <c r="J4755" s="19" t="s">
        <v>10</v>
      </c>
      <c r="K4755" s="22">
        <f t="shared" si="2"/>
        <v>0</v>
      </c>
    </row>
    <row r="4756">
      <c r="A4756" s="18">
        <v>2005.0</v>
      </c>
      <c r="B4756" s="18" t="s">
        <v>30</v>
      </c>
      <c r="C4756" s="18" t="s">
        <v>34</v>
      </c>
      <c r="D4756" s="18" t="s">
        <v>35</v>
      </c>
      <c r="E4756" s="26">
        <v>42563.55694444444</v>
      </c>
      <c r="F4756" s="19">
        <f>IFERROR(__xludf.DUMMYFUNCTION("IFERROR(TO_DATE(E4756), """")"),42563.55694444444)</f>
        <v>42563.55694</v>
      </c>
      <c r="G4756" s="20">
        <f t="shared" si="1"/>
        <v>13</v>
      </c>
      <c r="H4756" s="18" t="s">
        <v>34</v>
      </c>
      <c r="I4756" s="19" t="str">
        <f>IFERROR(__xludf.DUMMYFUNCTION("IFERROR(TO_DATE(H4756), """")"),"NA")</f>
        <v>NA</v>
      </c>
      <c r="J4756" s="19" t="s">
        <v>10</v>
      </c>
      <c r="K4756" s="22">
        <f t="shared" si="2"/>
        <v>0</v>
      </c>
    </row>
    <row r="4757">
      <c r="A4757" s="18">
        <v>2012.0</v>
      </c>
      <c r="B4757" s="18" t="s">
        <v>30</v>
      </c>
      <c r="C4757" s="18" t="s">
        <v>34</v>
      </c>
      <c r="D4757" s="18" t="s">
        <v>35</v>
      </c>
      <c r="E4757" s="26">
        <v>42563.561111111114</v>
      </c>
      <c r="F4757" s="19">
        <f>IFERROR(__xludf.DUMMYFUNCTION("IFERROR(TO_DATE(E4757), """")"),42563.561111111114)</f>
        <v>42563.56111</v>
      </c>
      <c r="G4757" s="20">
        <f t="shared" si="1"/>
        <v>13</v>
      </c>
      <c r="H4757" s="18" t="s">
        <v>34</v>
      </c>
      <c r="I4757" s="19" t="str">
        <f>IFERROR(__xludf.DUMMYFUNCTION("IFERROR(TO_DATE(H4757), """")"),"NA")</f>
        <v>NA</v>
      </c>
      <c r="J4757" s="19" t="s">
        <v>10</v>
      </c>
      <c r="K4757" s="22">
        <f t="shared" si="2"/>
        <v>0</v>
      </c>
    </row>
    <row r="4758">
      <c r="A4758" s="18">
        <v>2015.0</v>
      </c>
      <c r="B4758" s="18" t="s">
        <v>32</v>
      </c>
      <c r="C4758" s="18" t="s">
        <v>34</v>
      </c>
      <c r="D4758" s="18" t="s">
        <v>35</v>
      </c>
      <c r="E4758" s="26">
        <v>42563.56875</v>
      </c>
      <c r="F4758" s="19">
        <f>IFERROR(__xludf.DUMMYFUNCTION("IFERROR(TO_DATE(E4758), """")"),42563.56875)</f>
        <v>42563.56875</v>
      </c>
      <c r="G4758" s="20">
        <f t="shared" si="1"/>
        <v>13</v>
      </c>
      <c r="H4758" s="18" t="s">
        <v>34</v>
      </c>
      <c r="I4758" s="19" t="str">
        <f>IFERROR(__xludf.DUMMYFUNCTION("IFERROR(TO_DATE(H4758), """")"),"NA")</f>
        <v>NA</v>
      </c>
      <c r="J4758" s="19" t="s">
        <v>10</v>
      </c>
      <c r="K4758" s="22">
        <f t="shared" si="2"/>
        <v>0</v>
      </c>
    </row>
    <row r="4759">
      <c r="A4759" s="18">
        <v>2021.0</v>
      </c>
      <c r="B4759" s="18" t="s">
        <v>30</v>
      </c>
      <c r="C4759" s="18" t="s">
        <v>34</v>
      </c>
      <c r="D4759" s="18" t="s">
        <v>35</v>
      </c>
      <c r="E4759" s="26">
        <v>42563.57430555556</v>
      </c>
      <c r="F4759" s="19">
        <f>IFERROR(__xludf.DUMMYFUNCTION("IFERROR(TO_DATE(E4759), """")"),42563.57430555556)</f>
        <v>42563.57431</v>
      </c>
      <c r="G4759" s="20">
        <f t="shared" si="1"/>
        <v>13</v>
      </c>
      <c r="H4759" s="18" t="s">
        <v>34</v>
      </c>
      <c r="I4759" s="19" t="str">
        <f>IFERROR(__xludf.DUMMYFUNCTION("IFERROR(TO_DATE(H4759), """")"),"NA")</f>
        <v>NA</v>
      </c>
      <c r="J4759" s="19" t="s">
        <v>10</v>
      </c>
      <c r="K4759" s="22">
        <f t="shared" si="2"/>
        <v>0</v>
      </c>
    </row>
    <row r="4760">
      <c r="A4760" s="18">
        <v>2023.0</v>
      </c>
      <c r="B4760" s="18" t="s">
        <v>30</v>
      </c>
      <c r="C4760" s="18" t="s">
        <v>34</v>
      </c>
      <c r="D4760" s="18" t="s">
        <v>35</v>
      </c>
      <c r="E4760" s="26">
        <v>42563.57847222222</v>
      </c>
      <c r="F4760" s="19">
        <f>IFERROR(__xludf.DUMMYFUNCTION("IFERROR(TO_DATE(E4760), """")"),42563.57847222222)</f>
        <v>42563.57847</v>
      </c>
      <c r="G4760" s="20">
        <f t="shared" si="1"/>
        <v>13</v>
      </c>
      <c r="H4760" s="18" t="s">
        <v>34</v>
      </c>
      <c r="I4760" s="19" t="str">
        <f>IFERROR(__xludf.DUMMYFUNCTION("IFERROR(TO_DATE(H4760), """")"),"NA")</f>
        <v>NA</v>
      </c>
      <c r="J4760" s="19" t="s">
        <v>10</v>
      </c>
      <c r="K4760" s="22">
        <f t="shared" si="2"/>
        <v>0</v>
      </c>
    </row>
    <row r="4761">
      <c r="A4761" s="18">
        <v>2027.0</v>
      </c>
      <c r="B4761" s="18" t="s">
        <v>32</v>
      </c>
      <c r="C4761" s="18" t="s">
        <v>34</v>
      </c>
      <c r="D4761" s="18" t="s">
        <v>35</v>
      </c>
      <c r="E4761" s="26">
        <v>42563.589583333334</v>
      </c>
      <c r="F4761" s="19">
        <f>IFERROR(__xludf.DUMMYFUNCTION("IFERROR(TO_DATE(E4761), """")"),42563.589583333334)</f>
        <v>42563.58958</v>
      </c>
      <c r="G4761" s="20">
        <f t="shared" si="1"/>
        <v>14</v>
      </c>
      <c r="H4761" s="18" t="s">
        <v>34</v>
      </c>
      <c r="I4761" s="19" t="str">
        <f>IFERROR(__xludf.DUMMYFUNCTION("IFERROR(TO_DATE(H4761), """")"),"NA")</f>
        <v>NA</v>
      </c>
      <c r="J4761" s="19" t="s">
        <v>10</v>
      </c>
      <c r="K4761" s="22">
        <f t="shared" si="2"/>
        <v>0</v>
      </c>
    </row>
    <row r="4762">
      <c r="A4762" s="18">
        <v>2028.0</v>
      </c>
      <c r="B4762" s="18" t="s">
        <v>32</v>
      </c>
      <c r="C4762" s="18" t="s">
        <v>34</v>
      </c>
      <c r="D4762" s="18" t="s">
        <v>35</v>
      </c>
      <c r="E4762" s="26">
        <v>42563.592361111114</v>
      </c>
      <c r="F4762" s="19">
        <f>IFERROR(__xludf.DUMMYFUNCTION("IFERROR(TO_DATE(E4762), """")"),42563.592361111114)</f>
        <v>42563.59236</v>
      </c>
      <c r="G4762" s="20">
        <f t="shared" si="1"/>
        <v>14</v>
      </c>
      <c r="H4762" s="18" t="s">
        <v>34</v>
      </c>
      <c r="I4762" s="19" t="str">
        <f>IFERROR(__xludf.DUMMYFUNCTION("IFERROR(TO_DATE(H4762), """")"),"NA")</f>
        <v>NA</v>
      </c>
      <c r="J4762" s="19" t="s">
        <v>10</v>
      </c>
      <c r="K4762" s="22">
        <f t="shared" si="2"/>
        <v>0</v>
      </c>
    </row>
    <row r="4763">
      <c r="A4763" s="18">
        <v>2036.0</v>
      </c>
      <c r="B4763" s="18" t="s">
        <v>32</v>
      </c>
      <c r="C4763" s="18" t="s">
        <v>34</v>
      </c>
      <c r="D4763" s="18" t="s">
        <v>35</v>
      </c>
      <c r="E4763" s="26">
        <v>42563.59583333333</v>
      </c>
      <c r="F4763" s="19">
        <f>IFERROR(__xludf.DUMMYFUNCTION("IFERROR(TO_DATE(E4763), """")"),42563.59583333333)</f>
        <v>42563.59583</v>
      </c>
      <c r="G4763" s="20">
        <f t="shared" si="1"/>
        <v>14</v>
      </c>
      <c r="H4763" s="18" t="s">
        <v>34</v>
      </c>
      <c r="I4763" s="19" t="str">
        <f>IFERROR(__xludf.DUMMYFUNCTION("IFERROR(TO_DATE(H4763), """")"),"NA")</f>
        <v>NA</v>
      </c>
      <c r="J4763" s="19" t="s">
        <v>10</v>
      </c>
      <c r="K4763" s="22">
        <f t="shared" si="2"/>
        <v>0</v>
      </c>
    </row>
    <row r="4764">
      <c r="A4764" s="18">
        <v>2038.0</v>
      </c>
      <c r="B4764" s="18" t="s">
        <v>32</v>
      </c>
      <c r="C4764" s="18" t="s">
        <v>34</v>
      </c>
      <c r="D4764" s="18" t="s">
        <v>35</v>
      </c>
      <c r="E4764" s="26">
        <v>42563.60138888889</v>
      </c>
      <c r="F4764" s="19">
        <f>IFERROR(__xludf.DUMMYFUNCTION("IFERROR(TO_DATE(E4764), """")"),42563.60138888889)</f>
        <v>42563.60139</v>
      </c>
      <c r="G4764" s="20">
        <f t="shared" si="1"/>
        <v>14</v>
      </c>
      <c r="H4764" s="18" t="s">
        <v>34</v>
      </c>
      <c r="I4764" s="19" t="str">
        <f>IFERROR(__xludf.DUMMYFUNCTION("IFERROR(TO_DATE(H4764), """")"),"NA")</f>
        <v>NA</v>
      </c>
      <c r="J4764" s="19" t="s">
        <v>10</v>
      </c>
      <c r="K4764" s="22">
        <f t="shared" si="2"/>
        <v>0</v>
      </c>
    </row>
    <row r="4765">
      <c r="A4765" s="18">
        <v>2054.0</v>
      </c>
      <c r="B4765" s="18" t="s">
        <v>32</v>
      </c>
      <c r="C4765" s="18" t="s">
        <v>34</v>
      </c>
      <c r="D4765" s="18" t="s">
        <v>35</v>
      </c>
      <c r="E4765" s="26">
        <v>42563.61666666667</v>
      </c>
      <c r="F4765" s="19">
        <f>IFERROR(__xludf.DUMMYFUNCTION("IFERROR(TO_DATE(E4765), """")"),42563.61666666667)</f>
        <v>42563.61667</v>
      </c>
      <c r="G4765" s="20">
        <f t="shared" si="1"/>
        <v>14</v>
      </c>
      <c r="H4765" s="18" t="s">
        <v>34</v>
      </c>
      <c r="I4765" s="19" t="str">
        <f>IFERROR(__xludf.DUMMYFUNCTION("IFERROR(TO_DATE(H4765), """")"),"NA")</f>
        <v>NA</v>
      </c>
      <c r="J4765" s="19" t="s">
        <v>10</v>
      </c>
      <c r="K4765" s="22">
        <f t="shared" si="2"/>
        <v>0</v>
      </c>
    </row>
    <row r="4766">
      <c r="A4766" s="18">
        <v>2051.0</v>
      </c>
      <c r="B4766" s="18" t="s">
        <v>32</v>
      </c>
      <c r="C4766" s="18" t="s">
        <v>34</v>
      </c>
      <c r="D4766" s="18" t="s">
        <v>35</v>
      </c>
      <c r="E4766" s="26">
        <v>42563.61666666667</v>
      </c>
      <c r="F4766" s="19">
        <f>IFERROR(__xludf.DUMMYFUNCTION("IFERROR(TO_DATE(E4766), """")"),42563.61666666667)</f>
        <v>42563.61667</v>
      </c>
      <c r="G4766" s="20">
        <f t="shared" si="1"/>
        <v>14</v>
      </c>
      <c r="H4766" s="18" t="s">
        <v>34</v>
      </c>
      <c r="I4766" s="19" t="str">
        <f>IFERROR(__xludf.DUMMYFUNCTION("IFERROR(TO_DATE(H4766), """")"),"NA")</f>
        <v>NA</v>
      </c>
      <c r="J4766" s="19" t="s">
        <v>10</v>
      </c>
      <c r="K4766" s="22">
        <f t="shared" si="2"/>
        <v>0</v>
      </c>
    </row>
    <row r="4767">
      <c r="A4767" s="18">
        <v>2056.0</v>
      </c>
      <c r="B4767" s="18" t="s">
        <v>32</v>
      </c>
      <c r="C4767" s="18" t="s">
        <v>34</v>
      </c>
      <c r="D4767" s="18" t="s">
        <v>35</v>
      </c>
      <c r="E4767" s="26">
        <v>42563.62291666667</v>
      </c>
      <c r="F4767" s="19">
        <f>IFERROR(__xludf.DUMMYFUNCTION("IFERROR(TO_DATE(E4767), """")"),42563.62291666667)</f>
        <v>42563.62292</v>
      </c>
      <c r="G4767" s="20">
        <f t="shared" si="1"/>
        <v>14</v>
      </c>
      <c r="H4767" s="18" t="s">
        <v>34</v>
      </c>
      <c r="I4767" s="19" t="str">
        <f>IFERROR(__xludf.DUMMYFUNCTION("IFERROR(TO_DATE(H4767), """")"),"NA")</f>
        <v>NA</v>
      </c>
      <c r="J4767" s="19" t="s">
        <v>10</v>
      </c>
      <c r="K4767" s="22">
        <f t="shared" si="2"/>
        <v>0</v>
      </c>
    </row>
    <row r="4768">
      <c r="A4768" s="18">
        <v>2059.0</v>
      </c>
      <c r="B4768" s="18" t="s">
        <v>32</v>
      </c>
      <c r="C4768" s="18" t="s">
        <v>34</v>
      </c>
      <c r="D4768" s="18" t="s">
        <v>35</v>
      </c>
      <c r="E4768" s="26">
        <v>42563.62430555555</v>
      </c>
      <c r="F4768" s="19">
        <f>IFERROR(__xludf.DUMMYFUNCTION("IFERROR(TO_DATE(E4768), """")"),42563.62430555555)</f>
        <v>42563.62431</v>
      </c>
      <c r="G4768" s="20">
        <f t="shared" si="1"/>
        <v>14</v>
      </c>
      <c r="H4768" s="18" t="s">
        <v>34</v>
      </c>
      <c r="I4768" s="19" t="str">
        <f>IFERROR(__xludf.DUMMYFUNCTION("IFERROR(TO_DATE(H4768), """")"),"NA")</f>
        <v>NA</v>
      </c>
      <c r="J4768" s="19" t="s">
        <v>10</v>
      </c>
      <c r="K4768" s="22">
        <f t="shared" si="2"/>
        <v>0</v>
      </c>
    </row>
    <row r="4769">
      <c r="A4769" s="18">
        <v>2058.0</v>
      </c>
      <c r="B4769" s="18" t="s">
        <v>30</v>
      </c>
      <c r="C4769" s="18" t="s">
        <v>34</v>
      </c>
      <c r="D4769" s="18" t="s">
        <v>35</v>
      </c>
      <c r="E4769" s="26">
        <v>42563.62777777778</v>
      </c>
      <c r="F4769" s="19">
        <f>IFERROR(__xludf.DUMMYFUNCTION("IFERROR(TO_DATE(E4769), """")"),42563.62777777778)</f>
        <v>42563.62778</v>
      </c>
      <c r="G4769" s="20">
        <f t="shared" si="1"/>
        <v>15</v>
      </c>
      <c r="H4769" s="18" t="s">
        <v>34</v>
      </c>
      <c r="I4769" s="19" t="str">
        <f>IFERROR(__xludf.DUMMYFUNCTION("IFERROR(TO_DATE(H4769), """")"),"NA")</f>
        <v>NA</v>
      </c>
      <c r="J4769" s="19" t="s">
        <v>10</v>
      </c>
      <c r="K4769" s="22">
        <f t="shared" si="2"/>
        <v>0</v>
      </c>
    </row>
    <row r="4770">
      <c r="A4770" s="18">
        <v>2063.0</v>
      </c>
      <c r="B4770" s="18" t="s">
        <v>32</v>
      </c>
      <c r="C4770" s="18" t="s">
        <v>34</v>
      </c>
      <c r="D4770" s="18" t="s">
        <v>35</v>
      </c>
      <c r="E4770" s="26">
        <v>42563.63055555556</v>
      </c>
      <c r="F4770" s="19">
        <f>IFERROR(__xludf.DUMMYFUNCTION("IFERROR(TO_DATE(E4770), """")"),42563.63055555556)</f>
        <v>42563.63056</v>
      </c>
      <c r="G4770" s="20">
        <f t="shared" si="1"/>
        <v>15</v>
      </c>
      <c r="H4770" s="18" t="s">
        <v>34</v>
      </c>
      <c r="I4770" s="19" t="str">
        <f>IFERROR(__xludf.DUMMYFUNCTION("IFERROR(TO_DATE(H4770), """")"),"NA")</f>
        <v>NA</v>
      </c>
      <c r="J4770" s="19" t="s">
        <v>10</v>
      </c>
      <c r="K4770" s="22">
        <f t="shared" si="2"/>
        <v>0</v>
      </c>
    </row>
    <row r="4771">
      <c r="A4771" s="18">
        <v>2066.0</v>
      </c>
      <c r="B4771" s="18" t="s">
        <v>30</v>
      </c>
      <c r="C4771" s="18" t="s">
        <v>34</v>
      </c>
      <c r="D4771" s="18" t="s">
        <v>35</v>
      </c>
      <c r="E4771" s="26">
        <v>42563.63333333333</v>
      </c>
      <c r="F4771" s="19">
        <f>IFERROR(__xludf.DUMMYFUNCTION("IFERROR(TO_DATE(E4771), """")"),42563.63333333333)</f>
        <v>42563.63333</v>
      </c>
      <c r="G4771" s="20">
        <f t="shared" si="1"/>
        <v>15</v>
      </c>
      <c r="H4771" s="18" t="s">
        <v>34</v>
      </c>
      <c r="I4771" s="19" t="str">
        <f>IFERROR(__xludf.DUMMYFUNCTION("IFERROR(TO_DATE(H4771), """")"),"NA")</f>
        <v>NA</v>
      </c>
      <c r="J4771" s="19" t="s">
        <v>10</v>
      </c>
      <c r="K4771" s="22">
        <f t="shared" si="2"/>
        <v>0</v>
      </c>
    </row>
    <row r="4772">
      <c r="A4772" s="18">
        <v>2071.0</v>
      </c>
      <c r="B4772" s="18" t="s">
        <v>32</v>
      </c>
      <c r="C4772" s="18" t="s">
        <v>34</v>
      </c>
      <c r="D4772" s="18" t="s">
        <v>35</v>
      </c>
      <c r="E4772" s="26">
        <v>42563.638194444444</v>
      </c>
      <c r="F4772" s="19">
        <f>IFERROR(__xludf.DUMMYFUNCTION("IFERROR(TO_DATE(E4772), """")"),42563.638194444444)</f>
        <v>42563.63819</v>
      </c>
      <c r="G4772" s="20">
        <f t="shared" si="1"/>
        <v>15</v>
      </c>
      <c r="H4772" s="18" t="s">
        <v>34</v>
      </c>
      <c r="I4772" s="19" t="str">
        <f>IFERROR(__xludf.DUMMYFUNCTION("IFERROR(TO_DATE(H4772), """")"),"NA")</f>
        <v>NA</v>
      </c>
      <c r="J4772" s="19" t="s">
        <v>10</v>
      </c>
      <c r="K4772" s="22">
        <f t="shared" si="2"/>
        <v>0</v>
      </c>
    </row>
    <row r="4773">
      <c r="A4773" s="18">
        <v>2072.0</v>
      </c>
      <c r="B4773" s="18" t="s">
        <v>30</v>
      </c>
      <c r="C4773" s="18" t="s">
        <v>34</v>
      </c>
      <c r="D4773" s="18" t="s">
        <v>35</v>
      </c>
      <c r="E4773" s="26">
        <v>42563.63958333333</v>
      </c>
      <c r="F4773" s="19">
        <f>IFERROR(__xludf.DUMMYFUNCTION("IFERROR(TO_DATE(E4773), """")"),42563.63958333333)</f>
        <v>42563.63958</v>
      </c>
      <c r="G4773" s="20">
        <f t="shared" si="1"/>
        <v>15</v>
      </c>
      <c r="H4773" s="18" t="s">
        <v>34</v>
      </c>
      <c r="I4773" s="19" t="str">
        <f>IFERROR(__xludf.DUMMYFUNCTION("IFERROR(TO_DATE(H4773), """")"),"NA")</f>
        <v>NA</v>
      </c>
      <c r="J4773" s="19" t="s">
        <v>10</v>
      </c>
      <c r="K4773" s="22">
        <f t="shared" si="2"/>
        <v>0</v>
      </c>
    </row>
    <row r="4774">
      <c r="A4774" s="18">
        <v>2081.0</v>
      </c>
      <c r="B4774" s="18" t="s">
        <v>30</v>
      </c>
      <c r="C4774" s="18" t="s">
        <v>34</v>
      </c>
      <c r="D4774" s="18" t="s">
        <v>35</v>
      </c>
      <c r="E4774" s="26">
        <v>42563.65069444444</v>
      </c>
      <c r="F4774" s="19">
        <f>IFERROR(__xludf.DUMMYFUNCTION("IFERROR(TO_DATE(E4774), """")"),42563.65069444444)</f>
        <v>42563.65069</v>
      </c>
      <c r="G4774" s="20">
        <f t="shared" si="1"/>
        <v>15</v>
      </c>
      <c r="H4774" s="18" t="s">
        <v>34</v>
      </c>
      <c r="I4774" s="19" t="str">
        <f>IFERROR(__xludf.DUMMYFUNCTION("IFERROR(TO_DATE(H4774), """")"),"NA")</f>
        <v>NA</v>
      </c>
      <c r="J4774" s="19" t="s">
        <v>10</v>
      </c>
      <c r="K4774" s="22">
        <f t="shared" si="2"/>
        <v>0</v>
      </c>
    </row>
    <row r="4775">
      <c r="A4775" s="18">
        <v>2080.0</v>
      </c>
      <c r="B4775" s="18" t="s">
        <v>32</v>
      </c>
      <c r="C4775" s="18" t="s">
        <v>34</v>
      </c>
      <c r="D4775" s="18" t="s">
        <v>35</v>
      </c>
      <c r="E4775" s="26">
        <v>42563.652083333334</v>
      </c>
      <c r="F4775" s="19">
        <f>IFERROR(__xludf.DUMMYFUNCTION("IFERROR(TO_DATE(E4775), """")"),42563.652083333334)</f>
        <v>42563.65208</v>
      </c>
      <c r="G4775" s="20">
        <f t="shared" si="1"/>
        <v>15</v>
      </c>
      <c r="H4775" s="18" t="s">
        <v>34</v>
      </c>
      <c r="I4775" s="19" t="str">
        <f>IFERROR(__xludf.DUMMYFUNCTION("IFERROR(TO_DATE(H4775), """")"),"NA")</f>
        <v>NA</v>
      </c>
      <c r="J4775" s="19" t="s">
        <v>10</v>
      </c>
      <c r="K4775" s="22">
        <f t="shared" si="2"/>
        <v>0</v>
      </c>
    </row>
    <row r="4776">
      <c r="A4776" s="18">
        <v>2091.0</v>
      </c>
      <c r="B4776" s="18" t="s">
        <v>32</v>
      </c>
      <c r="C4776" s="18" t="s">
        <v>34</v>
      </c>
      <c r="D4776" s="18" t="s">
        <v>35</v>
      </c>
      <c r="E4776" s="26">
        <v>42563.66180555556</v>
      </c>
      <c r="F4776" s="19">
        <f>IFERROR(__xludf.DUMMYFUNCTION("IFERROR(TO_DATE(E4776), """")"),42563.66180555556)</f>
        <v>42563.66181</v>
      </c>
      <c r="G4776" s="20">
        <f t="shared" si="1"/>
        <v>15</v>
      </c>
      <c r="H4776" s="18" t="s">
        <v>34</v>
      </c>
      <c r="I4776" s="19" t="str">
        <f>IFERROR(__xludf.DUMMYFUNCTION("IFERROR(TO_DATE(H4776), """")"),"NA")</f>
        <v>NA</v>
      </c>
      <c r="J4776" s="19" t="s">
        <v>10</v>
      </c>
      <c r="K4776" s="22">
        <f t="shared" si="2"/>
        <v>0</v>
      </c>
    </row>
    <row r="4777">
      <c r="A4777" s="18">
        <v>2092.0</v>
      </c>
      <c r="B4777" s="18" t="s">
        <v>32</v>
      </c>
      <c r="C4777" s="18" t="s">
        <v>34</v>
      </c>
      <c r="D4777" s="18" t="s">
        <v>35</v>
      </c>
      <c r="E4777" s="26">
        <v>42563.663194444445</v>
      </c>
      <c r="F4777" s="19">
        <f>IFERROR(__xludf.DUMMYFUNCTION("IFERROR(TO_DATE(E4777), """")"),42563.663194444445)</f>
        <v>42563.66319</v>
      </c>
      <c r="G4777" s="20">
        <f t="shared" si="1"/>
        <v>15</v>
      </c>
      <c r="H4777" s="18" t="s">
        <v>34</v>
      </c>
      <c r="I4777" s="19" t="str">
        <f>IFERROR(__xludf.DUMMYFUNCTION("IFERROR(TO_DATE(H4777), """")"),"NA")</f>
        <v>NA</v>
      </c>
      <c r="J4777" s="19" t="s">
        <v>10</v>
      </c>
      <c r="K4777" s="22">
        <f t="shared" si="2"/>
        <v>0</v>
      </c>
    </row>
    <row r="4778">
      <c r="A4778" s="18">
        <v>2093.0</v>
      </c>
      <c r="B4778" s="18" t="s">
        <v>32</v>
      </c>
      <c r="C4778" s="18" t="s">
        <v>34</v>
      </c>
      <c r="D4778" s="18" t="s">
        <v>35</v>
      </c>
      <c r="E4778" s="26">
        <v>42563.66388888889</v>
      </c>
      <c r="F4778" s="19">
        <f>IFERROR(__xludf.DUMMYFUNCTION("IFERROR(TO_DATE(E4778), """")"),42563.66388888889)</f>
        <v>42563.66389</v>
      </c>
      <c r="G4778" s="20">
        <f t="shared" si="1"/>
        <v>15</v>
      </c>
      <c r="H4778" s="18" t="s">
        <v>34</v>
      </c>
      <c r="I4778" s="19" t="str">
        <f>IFERROR(__xludf.DUMMYFUNCTION("IFERROR(TO_DATE(H4778), """")"),"NA")</f>
        <v>NA</v>
      </c>
      <c r="J4778" s="19" t="s">
        <v>10</v>
      </c>
      <c r="K4778" s="22">
        <f t="shared" si="2"/>
        <v>0</v>
      </c>
    </row>
    <row r="4779">
      <c r="A4779" s="18">
        <v>2090.0</v>
      </c>
      <c r="B4779" s="18" t="s">
        <v>32</v>
      </c>
      <c r="C4779" s="18" t="s">
        <v>34</v>
      </c>
      <c r="D4779" s="18" t="s">
        <v>35</v>
      </c>
      <c r="E4779" s="26">
        <v>42563.66458333333</v>
      </c>
      <c r="F4779" s="19">
        <f>IFERROR(__xludf.DUMMYFUNCTION("IFERROR(TO_DATE(E4779), """")"),42563.66458333333)</f>
        <v>42563.66458</v>
      </c>
      <c r="G4779" s="20">
        <f t="shared" si="1"/>
        <v>15</v>
      </c>
      <c r="H4779" s="18" t="s">
        <v>34</v>
      </c>
      <c r="I4779" s="19" t="str">
        <f>IFERROR(__xludf.DUMMYFUNCTION("IFERROR(TO_DATE(H4779), """")"),"NA")</f>
        <v>NA</v>
      </c>
      <c r="J4779" s="19" t="s">
        <v>10</v>
      </c>
      <c r="K4779" s="22">
        <f t="shared" si="2"/>
        <v>0</v>
      </c>
    </row>
    <row r="4780">
      <c r="A4780" s="18">
        <v>2100.0</v>
      </c>
      <c r="B4780" s="18" t="s">
        <v>32</v>
      </c>
      <c r="C4780" s="18" t="s">
        <v>34</v>
      </c>
      <c r="D4780" s="18" t="s">
        <v>35</v>
      </c>
      <c r="E4780" s="26">
        <v>42563.67222222222</v>
      </c>
      <c r="F4780" s="19">
        <f>IFERROR(__xludf.DUMMYFUNCTION("IFERROR(TO_DATE(E4780), """")"),42563.67222222222)</f>
        <v>42563.67222</v>
      </c>
      <c r="G4780" s="20">
        <f t="shared" si="1"/>
        <v>16</v>
      </c>
      <c r="H4780" s="18" t="s">
        <v>34</v>
      </c>
      <c r="I4780" s="19" t="str">
        <f>IFERROR(__xludf.DUMMYFUNCTION("IFERROR(TO_DATE(H4780), """")"),"NA")</f>
        <v>NA</v>
      </c>
      <c r="J4780" s="19" t="s">
        <v>12</v>
      </c>
      <c r="K4780" s="22">
        <f t="shared" si="2"/>
        <v>0</v>
      </c>
    </row>
    <row r="4781">
      <c r="A4781" s="18">
        <v>2115.0</v>
      </c>
      <c r="B4781" s="18" t="s">
        <v>32</v>
      </c>
      <c r="C4781" s="18" t="s">
        <v>34</v>
      </c>
      <c r="D4781" s="18" t="s">
        <v>35</v>
      </c>
      <c r="E4781" s="26">
        <v>42563.69513888889</v>
      </c>
      <c r="F4781" s="19">
        <f>IFERROR(__xludf.DUMMYFUNCTION("IFERROR(TO_DATE(E4781), """")"),42563.69513888889)</f>
        <v>42563.69514</v>
      </c>
      <c r="G4781" s="20">
        <f t="shared" si="1"/>
        <v>16</v>
      </c>
      <c r="H4781" s="18" t="s">
        <v>34</v>
      </c>
      <c r="I4781" s="19" t="str">
        <f>IFERROR(__xludf.DUMMYFUNCTION("IFERROR(TO_DATE(H4781), """")"),"NA")</f>
        <v>NA</v>
      </c>
      <c r="J4781" s="19" t="s">
        <v>12</v>
      </c>
      <c r="K4781" s="22">
        <f t="shared" si="2"/>
        <v>0</v>
      </c>
    </row>
    <row r="4782">
      <c r="A4782" s="18">
        <v>2121.0</v>
      </c>
      <c r="B4782" s="18" t="s">
        <v>32</v>
      </c>
      <c r="C4782" s="18" t="s">
        <v>34</v>
      </c>
      <c r="D4782" s="18" t="s">
        <v>35</v>
      </c>
      <c r="E4782" s="26">
        <v>42563.7</v>
      </c>
      <c r="F4782" s="19">
        <f>IFERROR(__xludf.DUMMYFUNCTION("IFERROR(TO_DATE(E4782), """")"),42563.7)</f>
        <v>42563.7</v>
      </c>
      <c r="G4782" s="20">
        <f t="shared" si="1"/>
        <v>16</v>
      </c>
      <c r="H4782" s="18" t="s">
        <v>34</v>
      </c>
      <c r="I4782" s="19" t="str">
        <f>IFERROR(__xludf.DUMMYFUNCTION("IFERROR(TO_DATE(H4782), """")"),"NA")</f>
        <v>NA</v>
      </c>
      <c r="J4782" s="19" t="s">
        <v>12</v>
      </c>
      <c r="K4782" s="22">
        <f t="shared" si="2"/>
        <v>0</v>
      </c>
    </row>
    <row r="4783">
      <c r="A4783" s="18">
        <v>2127.0</v>
      </c>
      <c r="B4783" s="18" t="s">
        <v>32</v>
      </c>
      <c r="C4783" s="18" t="s">
        <v>34</v>
      </c>
      <c r="D4783" s="18" t="s">
        <v>35</v>
      </c>
      <c r="E4783" s="26">
        <v>42563.70972222222</v>
      </c>
      <c r="F4783" s="19">
        <f>IFERROR(__xludf.DUMMYFUNCTION("IFERROR(TO_DATE(E4783), """")"),42563.70972222222)</f>
        <v>42563.70972</v>
      </c>
      <c r="G4783" s="20">
        <f t="shared" si="1"/>
        <v>17</v>
      </c>
      <c r="H4783" s="18" t="s">
        <v>34</v>
      </c>
      <c r="I4783" s="19" t="str">
        <f>IFERROR(__xludf.DUMMYFUNCTION("IFERROR(TO_DATE(H4783), """")"),"NA")</f>
        <v>NA</v>
      </c>
      <c r="J4783" s="19" t="s">
        <v>12</v>
      </c>
      <c r="K4783" s="22">
        <f t="shared" si="2"/>
        <v>0</v>
      </c>
    </row>
    <row r="4784">
      <c r="A4784" s="18">
        <v>2132.0</v>
      </c>
      <c r="B4784" s="18" t="s">
        <v>30</v>
      </c>
      <c r="C4784" s="18" t="s">
        <v>34</v>
      </c>
      <c r="D4784" s="18" t="s">
        <v>35</v>
      </c>
      <c r="E4784" s="26">
        <v>42563.7125</v>
      </c>
      <c r="F4784" s="19">
        <f>IFERROR(__xludf.DUMMYFUNCTION("IFERROR(TO_DATE(E4784), """")"),42563.7125)</f>
        <v>42563.7125</v>
      </c>
      <c r="G4784" s="20">
        <f t="shared" si="1"/>
        <v>17</v>
      </c>
      <c r="H4784" s="18" t="s">
        <v>34</v>
      </c>
      <c r="I4784" s="19" t="str">
        <f>IFERROR(__xludf.DUMMYFUNCTION("IFERROR(TO_DATE(H4784), """")"),"NA")</f>
        <v>NA</v>
      </c>
      <c r="J4784" s="19" t="s">
        <v>12</v>
      </c>
      <c r="K4784" s="22">
        <f t="shared" si="2"/>
        <v>0</v>
      </c>
    </row>
    <row r="4785">
      <c r="A4785" s="18">
        <v>2128.0</v>
      </c>
      <c r="B4785" s="18" t="s">
        <v>30</v>
      </c>
      <c r="C4785" s="18" t="s">
        <v>34</v>
      </c>
      <c r="D4785" s="18" t="s">
        <v>35</v>
      </c>
      <c r="E4785" s="26">
        <v>42563.7125</v>
      </c>
      <c r="F4785" s="19">
        <f>IFERROR(__xludf.DUMMYFUNCTION("IFERROR(TO_DATE(E4785), """")"),42563.7125)</f>
        <v>42563.7125</v>
      </c>
      <c r="G4785" s="20">
        <f t="shared" si="1"/>
        <v>17</v>
      </c>
      <c r="H4785" s="18" t="s">
        <v>34</v>
      </c>
      <c r="I4785" s="19" t="str">
        <f>IFERROR(__xludf.DUMMYFUNCTION("IFERROR(TO_DATE(H4785), """")"),"NA")</f>
        <v>NA</v>
      </c>
      <c r="J4785" s="19" t="s">
        <v>12</v>
      </c>
      <c r="K4785" s="22">
        <f t="shared" si="2"/>
        <v>0</v>
      </c>
    </row>
    <row r="4786">
      <c r="A4786" s="18">
        <v>2140.0</v>
      </c>
      <c r="B4786" s="18" t="s">
        <v>32</v>
      </c>
      <c r="C4786" s="18" t="s">
        <v>34</v>
      </c>
      <c r="D4786" s="18" t="s">
        <v>35</v>
      </c>
      <c r="E4786" s="26">
        <v>42563.714583333334</v>
      </c>
      <c r="F4786" s="19">
        <f>IFERROR(__xludf.DUMMYFUNCTION("IFERROR(TO_DATE(E4786), """")"),42563.714583333334)</f>
        <v>42563.71458</v>
      </c>
      <c r="G4786" s="20">
        <f t="shared" si="1"/>
        <v>17</v>
      </c>
      <c r="H4786" s="18" t="s">
        <v>34</v>
      </c>
      <c r="I4786" s="19" t="str">
        <f>IFERROR(__xludf.DUMMYFUNCTION("IFERROR(TO_DATE(H4786), """")"),"NA")</f>
        <v>NA</v>
      </c>
      <c r="J4786" s="19" t="s">
        <v>12</v>
      </c>
      <c r="K4786" s="22">
        <f t="shared" si="2"/>
        <v>0</v>
      </c>
    </row>
    <row r="4787">
      <c r="A4787" s="18">
        <v>2142.0</v>
      </c>
      <c r="B4787" s="18" t="s">
        <v>30</v>
      </c>
      <c r="C4787" s="18" t="s">
        <v>34</v>
      </c>
      <c r="D4787" s="18" t="s">
        <v>35</v>
      </c>
      <c r="E4787" s="26">
        <v>42563.717361111114</v>
      </c>
      <c r="F4787" s="19">
        <f>IFERROR(__xludf.DUMMYFUNCTION("IFERROR(TO_DATE(E4787), """")"),42563.717361111114)</f>
        <v>42563.71736</v>
      </c>
      <c r="G4787" s="20">
        <f t="shared" si="1"/>
        <v>17</v>
      </c>
      <c r="H4787" s="18" t="s">
        <v>34</v>
      </c>
      <c r="I4787" s="19" t="str">
        <f>IFERROR(__xludf.DUMMYFUNCTION("IFERROR(TO_DATE(H4787), """")"),"NA")</f>
        <v>NA</v>
      </c>
      <c r="J4787" s="19" t="s">
        <v>12</v>
      </c>
      <c r="K4787" s="22">
        <f t="shared" si="2"/>
        <v>0</v>
      </c>
    </row>
    <row r="4788">
      <c r="A4788" s="18">
        <v>2133.0</v>
      </c>
      <c r="B4788" s="18" t="s">
        <v>30</v>
      </c>
      <c r="C4788" s="18" t="s">
        <v>34</v>
      </c>
      <c r="D4788" s="18" t="s">
        <v>35</v>
      </c>
      <c r="E4788" s="26">
        <v>42563.71944444445</v>
      </c>
      <c r="F4788" s="19">
        <f>IFERROR(__xludf.DUMMYFUNCTION("IFERROR(TO_DATE(E4788), """")"),42563.71944444445)</f>
        <v>42563.71944</v>
      </c>
      <c r="G4788" s="20">
        <f t="shared" si="1"/>
        <v>17</v>
      </c>
      <c r="H4788" s="18" t="s">
        <v>34</v>
      </c>
      <c r="I4788" s="19" t="str">
        <f>IFERROR(__xludf.DUMMYFUNCTION("IFERROR(TO_DATE(H4788), """")"),"NA")</f>
        <v>NA</v>
      </c>
      <c r="J4788" s="19" t="s">
        <v>12</v>
      </c>
      <c r="K4788" s="22">
        <f t="shared" si="2"/>
        <v>0</v>
      </c>
    </row>
    <row r="4789">
      <c r="A4789" s="18">
        <v>2138.0</v>
      </c>
      <c r="B4789" s="18" t="s">
        <v>30</v>
      </c>
      <c r="C4789" s="18" t="s">
        <v>34</v>
      </c>
      <c r="D4789" s="18" t="s">
        <v>35</v>
      </c>
      <c r="E4789" s="26">
        <v>42563.720138888886</v>
      </c>
      <c r="F4789" s="19">
        <f>IFERROR(__xludf.DUMMYFUNCTION("IFERROR(TO_DATE(E4789), """")"),42563.720138888886)</f>
        <v>42563.72014</v>
      </c>
      <c r="G4789" s="20">
        <f t="shared" si="1"/>
        <v>17</v>
      </c>
      <c r="H4789" s="18" t="s">
        <v>34</v>
      </c>
      <c r="I4789" s="19" t="str">
        <f>IFERROR(__xludf.DUMMYFUNCTION("IFERROR(TO_DATE(H4789), """")"),"NA")</f>
        <v>NA</v>
      </c>
      <c r="J4789" s="19" t="s">
        <v>12</v>
      </c>
      <c r="K4789" s="22">
        <f t="shared" si="2"/>
        <v>0</v>
      </c>
    </row>
    <row r="4790">
      <c r="A4790" s="18">
        <v>2139.0</v>
      </c>
      <c r="B4790" s="18" t="s">
        <v>32</v>
      </c>
      <c r="C4790" s="18" t="s">
        <v>34</v>
      </c>
      <c r="D4790" s="18" t="s">
        <v>35</v>
      </c>
      <c r="E4790" s="26">
        <v>42563.720138888886</v>
      </c>
      <c r="F4790" s="19">
        <f>IFERROR(__xludf.DUMMYFUNCTION("IFERROR(TO_DATE(E4790), """")"),42563.720138888886)</f>
        <v>42563.72014</v>
      </c>
      <c r="G4790" s="20">
        <f t="shared" si="1"/>
        <v>17</v>
      </c>
      <c r="H4790" s="18" t="s">
        <v>34</v>
      </c>
      <c r="I4790" s="19" t="str">
        <f>IFERROR(__xludf.DUMMYFUNCTION("IFERROR(TO_DATE(H4790), """")"),"NA")</f>
        <v>NA</v>
      </c>
      <c r="J4790" s="19" t="s">
        <v>12</v>
      </c>
      <c r="K4790" s="22">
        <f t="shared" si="2"/>
        <v>0</v>
      </c>
    </row>
    <row r="4791">
      <c r="A4791" s="18">
        <v>2141.0</v>
      </c>
      <c r="B4791" s="18" t="s">
        <v>30</v>
      </c>
      <c r="C4791" s="18" t="s">
        <v>34</v>
      </c>
      <c r="D4791" s="18" t="s">
        <v>35</v>
      </c>
      <c r="E4791" s="26">
        <v>42563.72083333333</v>
      </c>
      <c r="F4791" s="19">
        <f>IFERROR(__xludf.DUMMYFUNCTION("IFERROR(TO_DATE(E4791), """")"),42563.72083333333)</f>
        <v>42563.72083</v>
      </c>
      <c r="G4791" s="20">
        <f t="shared" si="1"/>
        <v>17</v>
      </c>
      <c r="H4791" s="18" t="s">
        <v>34</v>
      </c>
      <c r="I4791" s="19" t="str">
        <f>IFERROR(__xludf.DUMMYFUNCTION("IFERROR(TO_DATE(H4791), """")"),"NA")</f>
        <v>NA</v>
      </c>
      <c r="J4791" s="19" t="s">
        <v>12</v>
      </c>
      <c r="K4791" s="22">
        <f t="shared" si="2"/>
        <v>0</v>
      </c>
    </row>
    <row r="4792">
      <c r="A4792" s="18">
        <v>2149.0</v>
      </c>
      <c r="B4792" s="18" t="s">
        <v>30</v>
      </c>
      <c r="C4792" s="18" t="s">
        <v>34</v>
      </c>
      <c r="D4792" s="18" t="s">
        <v>35</v>
      </c>
      <c r="E4792" s="26">
        <v>42563.72083333333</v>
      </c>
      <c r="F4792" s="19">
        <f>IFERROR(__xludf.DUMMYFUNCTION("IFERROR(TO_DATE(E4792), """")"),42563.72083333333)</f>
        <v>42563.72083</v>
      </c>
      <c r="G4792" s="20">
        <f t="shared" si="1"/>
        <v>17</v>
      </c>
      <c r="H4792" s="18" t="s">
        <v>34</v>
      </c>
      <c r="I4792" s="19" t="str">
        <f>IFERROR(__xludf.DUMMYFUNCTION("IFERROR(TO_DATE(H4792), """")"),"NA")</f>
        <v>NA</v>
      </c>
      <c r="J4792" s="19" t="s">
        <v>12</v>
      </c>
      <c r="K4792" s="22">
        <f t="shared" si="2"/>
        <v>0</v>
      </c>
    </row>
    <row r="4793">
      <c r="A4793" s="18">
        <v>2145.0</v>
      </c>
      <c r="B4793" s="18" t="s">
        <v>30</v>
      </c>
      <c r="C4793" s="18" t="s">
        <v>34</v>
      </c>
      <c r="D4793" s="18" t="s">
        <v>35</v>
      </c>
      <c r="E4793" s="26">
        <v>42563.72152777778</v>
      </c>
      <c r="F4793" s="19">
        <f>IFERROR(__xludf.DUMMYFUNCTION("IFERROR(TO_DATE(E4793), """")"),42563.72152777778)</f>
        <v>42563.72153</v>
      </c>
      <c r="G4793" s="20">
        <f t="shared" si="1"/>
        <v>17</v>
      </c>
      <c r="H4793" s="18" t="s">
        <v>34</v>
      </c>
      <c r="I4793" s="19" t="str">
        <f>IFERROR(__xludf.DUMMYFUNCTION("IFERROR(TO_DATE(H4793), """")"),"NA")</f>
        <v>NA</v>
      </c>
      <c r="J4793" s="19" t="s">
        <v>12</v>
      </c>
      <c r="K4793" s="22">
        <f t="shared" si="2"/>
        <v>0</v>
      </c>
    </row>
    <row r="4794">
      <c r="A4794" s="18">
        <v>2153.0</v>
      </c>
      <c r="B4794" s="18" t="s">
        <v>32</v>
      </c>
      <c r="C4794" s="18" t="s">
        <v>34</v>
      </c>
      <c r="D4794" s="18" t="s">
        <v>35</v>
      </c>
      <c r="E4794" s="26">
        <v>42563.72152777778</v>
      </c>
      <c r="F4794" s="19">
        <f>IFERROR(__xludf.DUMMYFUNCTION("IFERROR(TO_DATE(E4794), """")"),42563.72152777778)</f>
        <v>42563.72153</v>
      </c>
      <c r="G4794" s="20">
        <f t="shared" si="1"/>
        <v>17</v>
      </c>
      <c r="H4794" s="18" t="s">
        <v>34</v>
      </c>
      <c r="I4794" s="19" t="str">
        <f>IFERROR(__xludf.DUMMYFUNCTION("IFERROR(TO_DATE(H4794), """")"),"NA")</f>
        <v>NA</v>
      </c>
      <c r="J4794" s="19" t="s">
        <v>12</v>
      </c>
      <c r="K4794" s="22">
        <f t="shared" si="2"/>
        <v>0</v>
      </c>
    </row>
    <row r="4795">
      <c r="A4795" s="18">
        <v>2144.0</v>
      </c>
      <c r="B4795" s="18" t="s">
        <v>30</v>
      </c>
      <c r="C4795" s="18" t="s">
        <v>34</v>
      </c>
      <c r="D4795" s="18" t="s">
        <v>35</v>
      </c>
      <c r="E4795" s="26">
        <v>42563.722916666666</v>
      </c>
      <c r="F4795" s="19">
        <f>IFERROR(__xludf.DUMMYFUNCTION("IFERROR(TO_DATE(E4795), """")"),42563.722916666666)</f>
        <v>42563.72292</v>
      </c>
      <c r="G4795" s="20">
        <f t="shared" si="1"/>
        <v>17</v>
      </c>
      <c r="H4795" s="18" t="s">
        <v>34</v>
      </c>
      <c r="I4795" s="19" t="str">
        <f>IFERROR(__xludf.DUMMYFUNCTION("IFERROR(TO_DATE(H4795), """")"),"NA")</f>
        <v>NA</v>
      </c>
      <c r="J4795" s="19" t="s">
        <v>12</v>
      </c>
      <c r="K4795" s="22">
        <f t="shared" si="2"/>
        <v>0</v>
      </c>
    </row>
    <row r="4796">
      <c r="A4796" s="18">
        <v>2137.0</v>
      </c>
      <c r="B4796" s="18" t="s">
        <v>30</v>
      </c>
      <c r="C4796" s="18" t="s">
        <v>34</v>
      </c>
      <c r="D4796" s="18" t="s">
        <v>35</v>
      </c>
      <c r="E4796" s="26">
        <v>42563.72361111111</v>
      </c>
      <c r="F4796" s="19">
        <f>IFERROR(__xludf.DUMMYFUNCTION("IFERROR(TO_DATE(E4796), """")"),42563.72361111111)</f>
        <v>42563.72361</v>
      </c>
      <c r="G4796" s="20">
        <f t="shared" si="1"/>
        <v>17</v>
      </c>
      <c r="H4796" s="18" t="s">
        <v>34</v>
      </c>
      <c r="I4796" s="19" t="str">
        <f>IFERROR(__xludf.DUMMYFUNCTION("IFERROR(TO_DATE(H4796), """")"),"NA")</f>
        <v>NA</v>
      </c>
      <c r="J4796" s="19" t="s">
        <v>12</v>
      </c>
      <c r="K4796" s="22">
        <f t="shared" si="2"/>
        <v>0</v>
      </c>
    </row>
    <row r="4797">
      <c r="A4797" s="18">
        <v>2151.0</v>
      </c>
      <c r="B4797" s="18" t="s">
        <v>30</v>
      </c>
      <c r="C4797" s="18" t="s">
        <v>34</v>
      </c>
      <c r="D4797" s="18" t="s">
        <v>35</v>
      </c>
      <c r="E4797" s="26">
        <v>42563.72430555556</v>
      </c>
      <c r="F4797" s="19">
        <f>IFERROR(__xludf.DUMMYFUNCTION("IFERROR(TO_DATE(E4797), """")"),42563.72430555556)</f>
        <v>42563.72431</v>
      </c>
      <c r="G4797" s="20">
        <f t="shared" si="1"/>
        <v>17</v>
      </c>
      <c r="H4797" s="18" t="s">
        <v>34</v>
      </c>
      <c r="I4797" s="19" t="str">
        <f>IFERROR(__xludf.DUMMYFUNCTION("IFERROR(TO_DATE(H4797), """")"),"NA")</f>
        <v>NA</v>
      </c>
      <c r="J4797" s="19" t="s">
        <v>12</v>
      </c>
      <c r="K4797" s="22">
        <f t="shared" si="2"/>
        <v>0</v>
      </c>
    </row>
    <row r="4798">
      <c r="A4798" s="18">
        <v>2155.0</v>
      </c>
      <c r="B4798" s="18" t="s">
        <v>30</v>
      </c>
      <c r="C4798" s="18" t="s">
        <v>34</v>
      </c>
      <c r="D4798" s="18" t="s">
        <v>35</v>
      </c>
      <c r="E4798" s="26">
        <v>42563.72430555556</v>
      </c>
      <c r="F4798" s="19">
        <f>IFERROR(__xludf.DUMMYFUNCTION("IFERROR(TO_DATE(E4798), """")"),42563.72430555556)</f>
        <v>42563.72431</v>
      </c>
      <c r="G4798" s="20">
        <f t="shared" si="1"/>
        <v>17</v>
      </c>
      <c r="H4798" s="18" t="s">
        <v>34</v>
      </c>
      <c r="I4798" s="19" t="str">
        <f>IFERROR(__xludf.DUMMYFUNCTION("IFERROR(TO_DATE(H4798), """")"),"NA")</f>
        <v>NA</v>
      </c>
      <c r="J4798" s="19" t="s">
        <v>12</v>
      </c>
      <c r="K4798" s="22">
        <f t="shared" si="2"/>
        <v>0</v>
      </c>
    </row>
    <row r="4799">
      <c r="A4799" s="18">
        <v>2159.0</v>
      </c>
      <c r="B4799" s="18" t="s">
        <v>30</v>
      </c>
      <c r="C4799" s="18" t="s">
        <v>34</v>
      </c>
      <c r="D4799" s="18" t="s">
        <v>35</v>
      </c>
      <c r="E4799" s="26">
        <v>42563.725694444445</v>
      </c>
      <c r="F4799" s="19">
        <f>IFERROR(__xludf.DUMMYFUNCTION("IFERROR(TO_DATE(E4799), """")"),42563.725694444445)</f>
        <v>42563.72569</v>
      </c>
      <c r="G4799" s="20">
        <f t="shared" si="1"/>
        <v>17</v>
      </c>
      <c r="H4799" s="18" t="s">
        <v>34</v>
      </c>
      <c r="I4799" s="19" t="str">
        <f>IFERROR(__xludf.DUMMYFUNCTION("IFERROR(TO_DATE(H4799), """")"),"NA")</f>
        <v>NA</v>
      </c>
      <c r="J4799" s="19" t="s">
        <v>12</v>
      </c>
      <c r="K4799" s="22">
        <f t="shared" si="2"/>
        <v>0</v>
      </c>
    </row>
    <row r="4800">
      <c r="A4800" s="18">
        <v>2154.0</v>
      </c>
      <c r="B4800" s="18" t="s">
        <v>30</v>
      </c>
      <c r="C4800" s="18" t="s">
        <v>34</v>
      </c>
      <c r="D4800" s="18" t="s">
        <v>35</v>
      </c>
      <c r="E4800" s="26">
        <v>42563.72638888889</v>
      </c>
      <c r="F4800" s="19">
        <f>IFERROR(__xludf.DUMMYFUNCTION("IFERROR(TO_DATE(E4800), """")"),42563.72638888889)</f>
        <v>42563.72639</v>
      </c>
      <c r="G4800" s="20">
        <f t="shared" si="1"/>
        <v>17</v>
      </c>
      <c r="H4800" s="18" t="s">
        <v>34</v>
      </c>
      <c r="I4800" s="19" t="str">
        <f>IFERROR(__xludf.DUMMYFUNCTION("IFERROR(TO_DATE(H4800), """")"),"NA")</f>
        <v>NA</v>
      </c>
      <c r="J4800" s="19" t="s">
        <v>12</v>
      </c>
      <c r="K4800" s="22">
        <f t="shared" si="2"/>
        <v>0</v>
      </c>
    </row>
    <row r="4801">
      <c r="A4801" s="18">
        <v>2158.0</v>
      </c>
      <c r="B4801" s="18" t="s">
        <v>30</v>
      </c>
      <c r="C4801" s="18" t="s">
        <v>34</v>
      </c>
      <c r="D4801" s="18" t="s">
        <v>35</v>
      </c>
      <c r="E4801" s="26">
        <v>42563.72638888889</v>
      </c>
      <c r="F4801" s="19">
        <f>IFERROR(__xludf.DUMMYFUNCTION("IFERROR(TO_DATE(E4801), """")"),42563.72638888889)</f>
        <v>42563.72639</v>
      </c>
      <c r="G4801" s="20">
        <f t="shared" si="1"/>
        <v>17</v>
      </c>
      <c r="H4801" s="18" t="s">
        <v>34</v>
      </c>
      <c r="I4801" s="19" t="str">
        <f>IFERROR(__xludf.DUMMYFUNCTION("IFERROR(TO_DATE(H4801), """")"),"NA")</f>
        <v>NA</v>
      </c>
      <c r="J4801" s="19" t="s">
        <v>12</v>
      </c>
      <c r="K4801" s="22">
        <f t="shared" si="2"/>
        <v>0</v>
      </c>
    </row>
    <row r="4802">
      <c r="A4802" s="18">
        <v>2156.0</v>
      </c>
      <c r="B4802" s="18" t="s">
        <v>30</v>
      </c>
      <c r="C4802" s="18" t="s">
        <v>34</v>
      </c>
      <c r="D4802" s="18" t="s">
        <v>35</v>
      </c>
      <c r="E4802" s="26">
        <v>42563.72708333333</v>
      </c>
      <c r="F4802" s="19">
        <f>IFERROR(__xludf.DUMMYFUNCTION("IFERROR(TO_DATE(E4802), """")"),42563.72708333333)</f>
        <v>42563.72708</v>
      </c>
      <c r="G4802" s="20">
        <f t="shared" si="1"/>
        <v>17</v>
      </c>
      <c r="H4802" s="18" t="s">
        <v>34</v>
      </c>
      <c r="I4802" s="19" t="str">
        <f>IFERROR(__xludf.DUMMYFUNCTION("IFERROR(TO_DATE(H4802), """")"),"NA")</f>
        <v>NA</v>
      </c>
      <c r="J4802" s="19" t="s">
        <v>12</v>
      </c>
      <c r="K4802" s="22">
        <f t="shared" si="2"/>
        <v>0</v>
      </c>
    </row>
    <row r="4803">
      <c r="A4803" s="18">
        <v>2164.0</v>
      </c>
      <c r="B4803" s="18" t="s">
        <v>30</v>
      </c>
      <c r="C4803" s="18" t="s">
        <v>34</v>
      </c>
      <c r="D4803" s="18" t="s">
        <v>35</v>
      </c>
      <c r="E4803" s="26">
        <v>42563.72777777778</v>
      </c>
      <c r="F4803" s="19">
        <f>IFERROR(__xludf.DUMMYFUNCTION("IFERROR(TO_DATE(E4803), """")"),42563.72777777778)</f>
        <v>42563.72778</v>
      </c>
      <c r="G4803" s="20">
        <f t="shared" si="1"/>
        <v>17</v>
      </c>
      <c r="H4803" s="18" t="s">
        <v>34</v>
      </c>
      <c r="I4803" s="19" t="str">
        <f>IFERROR(__xludf.DUMMYFUNCTION("IFERROR(TO_DATE(H4803), """")"),"NA")</f>
        <v>NA</v>
      </c>
      <c r="J4803" s="19" t="s">
        <v>12</v>
      </c>
      <c r="K4803" s="22">
        <f t="shared" si="2"/>
        <v>0</v>
      </c>
    </row>
    <row r="4804">
      <c r="A4804" s="18">
        <v>2161.0</v>
      </c>
      <c r="B4804" s="18" t="s">
        <v>30</v>
      </c>
      <c r="C4804" s="18" t="s">
        <v>34</v>
      </c>
      <c r="D4804" s="18" t="s">
        <v>35</v>
      </c>
      <c r="E4804" s="26">
        <v>42563.728472222225</v>
      </c>
      <c r="F4804" s="19">
        <f>IFERROR(__xludf.DUMMYFUNCTION("IFERROR(TO_DATE(E4804), """")"),42563.728472222225)</f>
        <v>42563.72847</v>
      </c>
      <c r="G4804" s="20">
        <f t="shared" si="1"/>
        <v>17</v>
      </c>
      <c r="H4804" s="18" t="s">
        <v>34</v>
      </c>
      <c r="I4804" s="19" t="str">
        <f>IFERROR(__xludf.DUMMYFUNCTION("IFERROR(TO_DATE(H4804), """")"),"NA")</f>
        <v>NA</v>
      </c>
      <c r="J4804" s="19" t="s">
        <v>12</v>
      </c>
      <c r="K4804" s="22">
        <f t="shared" si="2"/>
        <v>0</v>
      </c>
    </row>
    <row r="4805">
      <c r="A4805" s="18">
        <v>2157.0</v>
      </c>
      <c r="B4805" s="18" t="s">
        <v>30</v>
      </c>
      <c r="C4805" s="18" t="s">
        <v>34</v>
      </c>
      <c r="D4805" s="18" t="s">
        <v>35</v>
      </c>
      <c r="E4805" s="26">
        <v>42563.729166666664</v>
      </c>
      <c r="F4805" s="19">
        <f>IFERROR(__xludf.DUMMYFUNCTION("IFERROR(TO_DATE(E4805), """")"),42563.729166666664)</f>
        <v>42563.72917</v>
      </c>
      <c r="G4805" s="20">
        <f t="shared" si="1"/>
        <v>17</v>
      </c>
      <c r="H4805" s="18" t="s">
        <v>34</v>
      </c>
      <c r="I4805" s="19" t="str">
        <f>IFERROR(__xludf.DUMMYFUNCTION("IFERROR(TO_DATE(H4805), """")"),"NA")</f>
        <v>NA</v>
      </c>
      <c r="J4805" s="19" t="s">
        <v>12</v>
      </c>
      <c r="K4805" s="22">
        <f t="shared" si="2"/>
        <v>0</v>
      </c>
    </row>
    <row r="4806">
      <c r="A4806" s="18">
        <v>2170.0</v>
      </c>
      <c r="B4806" s="18" t="s">
        <v>30</v>
      </c>
      <c r="C4806" s="18" t="s">
        <v>34</v>
      </c>
      <c r="D4806" s="18" t="s">
        <v>35</v>
      </c>
      <c r="E4806" s="26">
        <v>42563.73263888889</v>
      </c>
      <c r="F4806" s="19">
        <f>IFERROR(__xludf.DUMMYFUNCTION("IFERROR(TO_DATE(E4806), """")"),42563.73263888889)</f>
        <v>42563.73264</v>
      </c>
      <c r="G4806" s="20">
        <f t="shared" si="1"/>
        <v>17</v>
      </c>
      <c r="H4806" s="18" t="s">
        <v>34</v>
      </c>
      <c r="I4806" s="19" t="str">
        <f>IFERROR(__xludf.DUMMYFUNCTION("IFERROR(TO_DATE(H4806), """")"),"NA")</f>
        <v>NA</v>
      </c>
      <c r="J4806" s="19" t="s">
        <v>12</v>
      </c>
      <c r="K4806" s="22">
        <f t="shared" si="2"/>
        <v>0</v>
      </c>
    </row>
    <row r="4807">
      <c r="A4807" s="18">
        <v>2175.0</v>
      </c>
      <c r="B4807" s="18" t="s">
        <v>30</v>
      </c>
      <c r="C4807" s="18" t="s">
        <v>34</v>
      </c>
      <c r="D4807" s="18" t="s">
        <v>35</v>
      </c>
      <c r="E4807" s="26">
        <v>42563.73263888889</v>
      </c>
      <c r="F4807" s="19">
        <f>IFERROR(__xludf.DUMMYFUNCTION("IFERROR(TO_DATE(E4807), """")"),42563.73263888889)</f>
        <v>42563.73264</v>
      </c>
      <c r="G4807" s="20">
        <f t="shared" si="1"/>
        <v>17</v>
      </c>
      <c r="H4807" s="18" t="s">
        <v>34</v>
      </c>
      <c r="I4807" s="19" t="str">
        <f>IFERROR(__xludf.DUMMYFUNCTION("IFERROR(TO_DATE(H4807), """")"),"NA")</f>
        <v>NA</v>
      </c>
      <c r="J4807" s="19" t="s">
        <v>12</v>
      </c>
      <c r="K4807" s="22">
        <f t="shared" si="2"/>
        <v>0</v>
      </c>
    </row>
    <row r="4808">
      <c r="A4808" s="18">
        <v>2174.0</v>
      </c>
      <c r="B4808" s="18" t="s">
        <v>30</v>
      </c>
      <c r="C4808" s="18" t="s">
        <v>34</v>
      </c>
      <c r="D4808" s="18" t="s">
        <v>35</v>
      </c>
      <c r="E4808" s="26">
        <v>42563.73333333333</v>
      </c>
      <c r="F4808" s="19">
        <f>IFERROR(__xludf.DUMMYFUNCTION("IFERROR(TO_DATE(E4808), """")"),42563.73333333333)</f>
        <v>42563.73333</v>
      </c>
      <c r="G4808" s="20">
        <f t="shared" si="1"/>
        <v>17</v>
      </c>
      <c r="H4808" s="18" t="s">
        <v>34</v>
      </c>
      <c r="I4808" s="19" t="str">
        <f>IFERROR(__xludf.DUMMYFUNCTION("IFERROR(TO_DATE(H4808), """")"),"NA")</f>
        <v>NA</v>
      </c>
      <c r="J4808" s="19" t="s">
        <v>12</v>
      </c>
      <c r="K4808" s="22">
        <f t="shared" si="2"/>
        <v>0</v>
      </c>
    </row>
    <row r="4809">
      <c r="A4809" s="18">
        <v>2176.0</v>
      </c>
      <c r="B4809" s="18" t="s">
        <v>30</v>
      </c>
      <c r="C4809" s="18" t="s">
        <v>34</v>
      </c>
      <c r="D4809" s="18" t="s">
        <v>35</v>
      </c>
      <c r="E4809" s="26">
        <v>42563.73402777778</v>
      </c>
      <c r="F4809" s="19">
        <f>IFERROR(__xludf.DUMMYFUNCTION("IFERROR(TO_DATE(E4809), """")"),42563.73402777778)</f>
        <v>42563.73403</v>
      </c>
      <c r="G4809" s="20">
        <f t="shared" si="1"/>
        <v>17</v>
      </c>
      <c r="H4809" s="18" t="s">
        <v>34</v>
      </c>
      <c r="I4809" s="19" t="str">
        <f>IFERROR(__xludf.DUMMYFUNCTION("IFERROR(TO_DATE(H4809), """")"),"NA")</f>
        <v>NA</v>
      </c>
      <c r="J4809" s="19" t="s">
        <v>12</v>
      </c>
      <c r="K4809" s="22">
        <f t="shared" si="2"/>
        <v>0</v>
      </c>
    </row>
    <row r="4810">
      <c r="A4810" s="18">
        <v>2171.0</v>
      </c>
      <c r="B4810" s="18" t="s">
        <v>30</v>
      </c>
      <c r="C4810" s="18" t="s">
        <v>34</v>
      </c>
      <c r="D4810" s="18" t="s">
        <v>35</v>
      </c>
      <c r="E4810" s="26">
        <v>42563.73472222222</v>
      </c>
      <c r="F4810" s="19">
        <f>IFERROR(__xludf.DUMMYFUNCTION("IFERROR(TO_DATE(E4810), """")"),42563.73472222222)</f>
        <v>42563.73472</v>
      </c>
      <c r="G4810" s="20">
        <f t="shared" si="1"/>
        <v>17</v>
      </c>
      <c r="H4810" s="18" t="s">
        <v>34</v>
      </c>
      <c r="I4810" s="19" t="str">
        <f>IFERROR(__xludf.DUMMYFUNCTION("IFERROR(TO_DATE(H4810), """")"),"NA")</f>
        <v>NA</v>
      </c>
      <c r="J4810" s="19" t="s">
        <v>12</v>
      </c>
      <c r="K4810" s="22">
        <f t="shared" si="2"/>
        <v>0</v>
      </c>
    </row>
    <row r="4811">
      <c r="A4811" s="18">
        <v>2178.0</v>
      </c>
      <c r="B4811" s="18" t="s">
        <v>30</v>
      </c>
      <c r="C4811" s="18" t="s">
        <v>34</v>
      </c>
      <c r="D4811" s="18" t="s">
        <v>35</v>
      </c>
      <c r="E4811" s="26">
        <v>42563.73472222222</v>
      </c>
      <c r="F4811" s="19">
        <f>IFERROR(__xludf.DUMMYFUNCTION("IFERROR(TO_DATE(E4811), """")"),42563.73472222222)</f>
        <v>42563.73472</v>
      </c>
      <c r="G4811" s="20">
        <f t="shared" si="1"/>
        <v>17</v>
      </c>
      <c r="H4811" s="18" t="s">
        <v>34</v>
      </c>
      <c r="I4811" s="19" t="str">
        <f>IFERROR(__xludf.DUMMYFUNCTION("IFERROR(TO_DATE(H4811), """")"),"NA")</f>
        <v>NA</v>
      </c>
      <c r="J4811" s="19" t="s">
        <v>12</v>
      </c>
      <c r="K4811" s="22">
        <f t="shared" si="2"/>
        <v>0</v>
      </c>
    </row>
    <row r="4812">
      <c r="A4812" s="18">
        <v>2183.0</v>
      </c>
      <c r="B4812" s="18" t="s">
        <v>30</v>
      </c>
      <c r="C4812" s="18" t="s">
        <v>34</v>
      </c>
      <c r="D4812" s="18" t="s">
        <v>35</v>
      </c>
      <c r="E4812" s="26">
        <v>42563.73611111111</v>
      </c>
      <c r="F4812" s="19">
        <f>IFERROR(__xludf.DUMMYFUNCTION("IFERROR(TO_DATE(E4812), """")"),42563.73611111111)</f>
        <v>42563.73611</v>
      </c>
      <c r="G4812" s="20">
        <f t="shared" si="1"/>
        <v>17</v>
      </c>
      <c r="H4812" s="18" t="s">
        <v>34</v>
      </c>
      <c r="I4812" s="19" t="str">
        <f>IFERROR(__xludf.DUMMYFUNCTION("IFERROR(TO_DATE(H4812), """")"),"NA")</f>
        <v>NA</v>
      </c>
      <c r="J4812" s="19" t="s">
        <v>12</v>
      </c>
      <c r="K4812" s="22">
        <f t="shared" si="2"/>
        <v>0</v>
      </c>
    </row>
    <row r="4813">
      <c r="A4813" s="18">
        <v>2172.0</v>
      </c>
      <c r="B4813" s="18" t="s">
        <v>32</v>
      </c>
      <c r="C4813" s="18" t="s">
        <v>34</v>
      </c>
      <c r="D4813" s="18" t="s">
        <v>35</v>
      </c>
      <c r="E4813" s="26">
        <v>42563.73611111111</v>
      </c>
      <c r="F4813" s="19">
        <f>IFERROR(__xludf.DUMMYFUNCTION("IFERROR(TO_DATE(E4813), """")"),42563.73611111111)</f>
        <v>42563.73611</v>
      </c>
      <c r="G4813" s="20">
        <f t="shared" si="1"/>
        <v>17</v>
      </c>
      <c r="H4813" s="18" t="s">
        <v>34</v>
      </c>
      <c r="I4813" s="19" t="str">
        <f>IFERROR(__xludf.DUMMYFUNCTION("IFERROR(TO_DATE(H4813), """")"),"NA")</f>
        <v>NA</v>
      </c>
      <c r="J4813" s="19" t="s">
        <v>12</v>
      </c>
      <c r="K4813" s="22">
        <f t="shared" si="2"/>
        <v>0</v>
      </c>
    </row>
    <row r="4814">
      <c r="A4814" s="18">
        <v>2177.0</v>
      </c>
      <c r="B4814" s="18" t="s">
        <v>32</v>
      </c>
      <c r="C4814" s="18" t="s">
        <v>34</v>
      </c>
      <c r="D4814" s="18" t="s">
        <v>35</v>
      </c>
      <c r="E4814" s="26">
        <v>42563.736805555556</v>
      </c>
      <c r="F4814" s="19">
        <f>IFERROR(__xludf.DUMMYFUNCTION("IFERROR(TO_DATE(E4814), """")"),42563.736805555556)</f>
        <v>42563.73681</v>
      </c>
      <c r="G4814" s="20">
        <f t="shared" si="1"/>
        <v>17</v>
      </c>
      <c r="H4814" s="18" t="s">
        <v>34</v>
      </c>
      <c r="I4814" s="19" t="str">
        <f>IFERROR(__xludf.DUMMYFUNCTION("IFERROR(TO_DATE(H4814), """")"),"NA")</f>
        <v>NA</v>
      </c>
      <c r="J4814" s="19" t="s">
        <v>12</v>
      </c>
      <c r="K4814" s="22">
        <f t="shared" si="2"/>
        <v>0</v>
      </c>
    </row>
    <row r="4815">
      <c r="A4815" s="18">
        <v>2184.0</v>
      </c>
      <c r="B4815" s="18" t="s">
        <v>30</v>
      </c>
      <c r="C4815" s="18" t="s">
        <v>34</v>
      </c>
      <c r="D4815" s="18" t="s">
        <v>35</v>
      </c>
      <c r="E4815" s="26">
        <v>42563.7375</v>
      </c>
      <c r="F4815" s="19">
        <f>IFERROR(__xludf.DUMMYFUNCTION("IFERROR(TO_DATE(E4815), """")"),42563.7375)</f>
        <v>42563.7375</v>
      </c>
      <c r="G4815" s="20">
        <f t="shared" si="1"/>
        <v>17</v>
      </c>
      <c r="H4815" s="18" t="s">
        <v>34</v>
      </c>
      <c r="I4815" s="19" t="str">
        <f>IFERROR(__xludf.DUMMYFUNCTION("IFERROR(TO_DATE(H4815), """")"),"NA")</f>
        <v>NA</v>
      </c>
      <c r="J4815" s="19" t="s">
        <v>12</v>
      </c>
      <c r="K4815" s="22">
        <f t="shared" si="2"/>
        <v>0</v>
      </c>
    </row>
    <row r="4816">
      <c r="A4816" s="18">
        <v>2186.0</v>
      </c>
      <c r="B4816" s="18" t="s">
        <v>32</v>
      </c>
      <c r="C4816" s="18" t="s">
        <v>34</v>
      </c>
      <c r="D4816" s="18" t="s">
        <v>35</v>
      </c>
      <c r="E4816" s="26">
        <v>42563.73819444444</v>
      </c>
      <c r="F4816" s="19">
        <f>IFERROR(__xludf.DUMMYFUNCTION("IFERROR(TO_DATE(E4816), """")"),42563.73819444444)</f>
        <v>42563.73819</v>
      </c>
      <c r="G4816" s="20">
        <f t="shared" si="1"/>
        <v>17</v>
      </c>
      <c r="H4816" s="18" t="s">
        <v>34</v>
      </c>
      <c r="I4816" s="19" t="str">
        <f>IFERROR(__xludf.DUMMYFUNCTION("IFERROR(TO_DATE(H4816), """")"),"NA")</f>
        <v>NA</v>
      </c>
      <c r="J4816" s="19" t="s">
        <v>12</v>
      </c>
      <c r="K4816" s="22">
        <f t="shared" si="2"/>
        <v>0</v>
      </c>
    </row>
    <row r="4817">
      <c r="A4817" s="18">
        <v>2189.0</v>
      </c>
      <c r="B4817" s="18" t="s">
        <v>30</v>
      </c>
      <c r="C4817" s="18" t="s">
        <v>34</v>
      </c>
      <c r="D4817" s="18" t="s">
        <v>35</v>
      </c>
      <c r="E4817" s="26">
        <v>42563.73819444444</v>
      </c>
      <c r="F4817" s="19">
        <f>IFERROR(__xludf.DUMMYFUNCTION("IFERROR(TO_DATE(E4817), """")"),42563.73819444444)</f>
        <v>42563.73819</v>
      </c>
      <c r="G4817" s="20">
        <f t="shared" si="1"/>
        <v>17</v>
      </c>
      <c r="H4817" s="18" t="s">
        <v>34</v>
      </c>
      <c r="I4817" s="19" t="str">
        <f>IFERROR(__xludf.DUMMYFUNCTION("IFERROR(TO_DATE(H4817), """")"),"NA")</f>
        <v>NA</v>
      </c>
      <c r="J4817" s="19" t="s">
        <v>12</v>
      </c>
      <c r="K4817" s="22">
        <f t="shared" si="2"/>
        <v>0</v>
      </c>
    </row>
    <row r="4818">
      <c r="A4818" s="18">
        <v>2185.0</v>
      </c>
      <c r="B4818" s="18" t="s">
        <v>30</v>
      </c>
      <c r="C4818" s="18" t="s">
        <v>34</v>
      </c>
      <c r="D4818" s="18" t="s">
        <v>35</v>
      </c>
      <c r="E4818" s="26">
        <v>42563.73819444444</v>
      </c>
      <c r="F4818" s="19">
        <f>IFERROR(__xludf.DUMMYFUNCTION("IFERROR(TO_DATE(E4818), """")"),42563.73819444444)</f>
        <v>42563.73819</v>
      </c>
      <c r="G4818" s="20">
        <f t="shared" si="1"/>
        <v>17</v>
      </c>
      <c r="H4818" s="18" t="s">
        <v>34</v>
      </c>
      <c r="I4818" s="19" t="str">
        <f>IFERROR(__xludf.DUMMYFUNCTION("IFERROR(TO_DATE(H4818), """")"),"NA")</f>
        <v>NA</v>
      </c>
      <c r="J4818" s="19" t="s">
        <v>12</v>
      </c>
      <c r="K4818" s="22">
        <f t="shared" si="2"/>
        <v>0</v>
      </c>
    </row>
    <row r="4819">
      <c r="A4819" s="18">
        <v>2188.0</v>
      </c>
      <c r="B4819" s="18" t="s">
        <v>30</v>
      </c>
      <c r="C4819" s="18" t="s">
        <v>34</v>
      </c>
      <c r="D4819" s="18" t="s">
        <v>35</v>
      </c>
      <c r="E4819" s="26">
        <v>42563.740277777775</v>
      </c>
      <c r="F4819" s="19">
        <f>IFERROR(__xludf.DUMMYFUNCTION("IFERROR(TO_DATE(E4819), """")"),42563.740277777775)</f>
        <v>42563.74028</v>
      </c>
      <c r="G4819" s="20">
        <f t="shared" si="1"/>
        <v>17</v>
      </c>
      <c r="H4819" s="18" t="s">
        <v>34</v>
      </c>
      <c r="I4819" s="19" t="str">
        <f>IFERROR(__xludf.DUMMYFUNCTION("IFERROR(TO_DATE(H4819), """")"),"NA")</f>
        <v>NA</v>
      </c>
      <c r="J4819" s="19" t="s">
        <v>12</v>
      </c>
      <c r="K4819" s="22">
        <f t="shared" si="2"/>
        <v>0</v>
      </c>
    </row>
    <row r="4820">
      <c r="A4820" s="18">
        <v>2196.0</v>
      </c>
      <c r="B4820" s="18" t="s">
        <v>30</v>
      </c>
      <c r="C4820" s="18" t="s">
        <v>34</v>
      </c>
      <c r="D4820" s="18" t="s">
        <v>35</v>
      </c>
      <c r="E4820" s="26">
        <v>42563.740277777775</v>
      </c>
      <c r="F4820" s="19">
        <f>IFERROR(__xludf.DUMMYFUNCTION("IFERROR(TO_DATE(E4820), """")"),42563.740277777775)</f>
        <v>42563.74028</v>
      </c>
      <c r="G4820" s="20">
        <f t="shared" si="1"/>
        <v>17</v>
      </c>
      <c r="H4820" s="18" t="s">
        <v>34</v>
      </c>
      <c r="I4820" s="19" t="str">
        <f>IFERROR(__xludf.DUMMYFUNCTION("IFERROR(TO_DATE(H4820), """")"),"NA")</f>
        <v>NA</v>
      </c>
      <c r="J4820" s="19" t="s">
        <v>12</v>
      </c>
      <c r="K4820" s="22">
        <f t="shared" si="2"/>
        <v>0</v>
      </c>
    </row>
    <row r="4821">
      <c r="A4821" s="18">
        <v>2190.0</v>
      </c>
      <c r="B4821" s="18" t="s">
        <v>30</v>
      </c>
      <c r="C4821" s="18" t="s">
        <v>34</v>
      </c>
      <c r="D4821" s="18" t="s">
        <v>35</v>
      </c>
      <c r="E4821" s="26">
        <v>42563.740277777775</v>
      </c>
      <c r="F4821" s="19">
        <f>IFERROR(__xludf.DUMMYFUNCTION("IFERROR(TO_DATE(E4821), """")"),42563.740277777775)</f>
        <v>42563.74028</v>
      </c>
      <c r="G4821" s="20">
        <f t="shared" si="1"/>
        <v>17</v>
      </c>
      <c r="H4821" s="18" t="s">
        <v>34</v>
      </c>
      <c r="I4821" s="19" t="str">
        <f>IFERROR(__xludf.DUMMYFUNCTION("IFERROR(TO_DATE(H4821), """")"),"NA")</f>
        <v>NA</v>
      </c>
      <c r="J4821" s="19" t="s">
        <v>12</v>
      </c>
      <c r="K4821" s="22">
        <f t="shared" si="2"/>
        <v>0</v>
      </c>
    </row>
    <row r="4822">
      <c r="A4822" s="18">
        <v>2191.0</v>
      </c>
      <c r="B4822" s="18" t="s">
        <v>30</v>
      </c>
      <c r="C4822" s="18" t="s">
        <v>34</v>
      </c>
      <c r="D4822" s="18" t="s">
        <v>35</v>
      </c>
      <c r="E4822" s="26">
        <v>42563.740277777775</v>
      </c>
      <c r="F4822" s="19">
        <f>IFERROR(__xludf.DUMMYFUNCTION("IFERROR(TO_DATE(E4822), """")"),42563.740277777775)</f>
        <v>42563.74028</v>
      </c>
      <c r="G4822" s="20">
        <f t="shared" si="1"/>
        <v>17</v>
      </c>
      <c r="H4822" s="18" t="s">
        <v>34</v>
      </c>
      <c r="I4822" s="19" t="str">
        <f>IFERROR(__xludf.DUMMYFUNCTION("IFERROR(TO_DATE(H4822), """")"),"NA")</f>
        <v>NA</v>
      </c>
      <c r="J4822" s="19" t="s">
        <v>12</v>
      </c>
      <c r="K4822" s="22">
        <f t="shared" si="2"/>
        <v>0</v>
      </c>
    </row>
    <row r="4823">
      <c r="A4823" s="18">
        <v>2193.0</v>
      </c>
      <c r="B4823" s="18" t="s">
        <v>30</v>
      </c>
      <c r="C4823" s="18" t="s">
        <v>34</v>
      </c>
      <c r="D4823" s="18" t="s">
        <v>35</v>
      </c>
      <c r="E4823" s="26">
        <v>42563.74097222222</v>
      </c>
      <c r="F4823" s="19">
        <f>IFERROR(__xludf.DUMMYFUNCTION("IFERROR(TO_DATE(E4823), """")"),42563.74097222222)</f>
        <v>42563.74097</v>
      </c>
      <c r="G4823" s="20">
        <f t="shared" si="1"/>
        <v>17</v>
      </c>
      <c r="H4823" s="18" t="s">
        <v>34</v>
      </c>
      <c r="I4823" s="19" t="str">
        <f>IFERROR(__xludf.DUMMYFUNCTION("IFERROR(TO_DATE(H4823), """")"),"NA")</f>
        <v>NA</v>
      </c>
      <c r="J4823" s="19" t="s">
        <v>12</v>
      </c>
      <c r="K4823" s="22">
        <f t="shared" si="2"/>
        <v>0</v>
      </c>
    </row>
    <row r="4824">
      <c r="A4824" s="18">
        <v>2199.0</v>
      </c>
      <c r="B4824" s="18" t="s">
        <v>30</v>
      </c>
      <c r="C4824" s="18" t="s">
        <v>34</v>
      </c>
      <c r="D4824" s="18" t="s">
        <v>35</v>
      </c>
      <c r="E4824" s="26">
        <v>42563.74097222222</v>
      </c>
      <c r="F4824" s="19">
        <f>IFERROR(__xludf.DUMMYFUNCTION("IFERROR(TO_DATE(E4824), """")"),42563.74097222222)</f>
        <v>42563.74097</v>
      </c>
      <c r="G4824" s="20">
        <f t="shared" si="1"/>
        <v>17</v>
      </c>
      <c r="H4824" s="18" t="s">
        <v>34</v>
      </c>
      <c r="I4824" s="19" t="str">
        <f>IFERROR(__xludf.DUMMYFUNCTION("IFERROR(TO_DATE(H4824), """")"),"NA")</f>
        <v>NA</v>
      </c>
      <c r="J4824" s="19" t="s">
        <v>12</v>
      </c>
      <c r="K4824" s="22">
        <f t="shared" si="2"/>
        <v>0</v>
      </c>
    </row>
    <row r="4825">
      <c r="A4825" s="18">
        <v>2194.0</v>
      </c>
      <c r="B4825" s="18" t="s">
        <v>30</v>
      </c>
      <c r="C4825" s="18" t="s">
        <v>34</v>
      </c>
      <c r="D4825" s="18" t="s">
        <v>35</v>
      </c>
      <c r="E4825" s="26">
        <v>42563.74166666667</v>
      </c>
      <c r="F4825" s="19">
        <f>IFERROR(__xludf.DUMMYFUNCTION("IFERROR(TO_DATE(E4825), """")"),42563.74166666667)</f>
        <v>42563.74167</v>
      </c>
      <c r="G4825" s="20">
        <f t="shared" si="1"/>
        <v>17</v>
      </c>
      <c r="H4825" s="18" t="s">
        <v>34</v>
      </c>
      <c r="I4825" s="19" t="str">
        <f>IFERROR(__xludf.DUMMYFUNCTION("IFERROR(TO_DATE(H4825), """")"),"NA")</f>
        <v>NA</v>
      </c>
      <c r="J4825" s="19" t="s">
        <v>12</v>
      </c>
      <c r="K4825" s="22">
        <f t="shared" si="2"/>
        <v>0</v>
      </c>
    </row>
    <row r="4826">
      <c r="A4826" s="18">
        <v>2201.0</v>
      </c>
      <c r="B4826" s="18" t="s">
        <v>30</v>
      </c>
      <c r="C4826" s="18" t="s">
        <v>34</v>
      </c>
      <c r="D4826" s="18" t="s">
        <v>35</v>
      </c>
      <c r="E4826" s="26">
        <v>42563.74236111111</v>
      </c>
      <c r="F4826" s="19">
        <f>IFERROR(__xludf.DUMMYFUNCTION("IFERROR(TO_DATE(E4826), """")"),42563.74236111111)</f>
        <v>42563.74236</v>
      </c>
      <c r="G4826" s="20">
        <f t="shared" si="1"/>
        <v>17</v>
      </c>
      <c r="H4826" s="18" t="s">
        <v>34</v>
      </c>
      <c r="I4826" s="19" t="str">
        <f>IFERROR(__xludf.DUMMYFUNCTION("IFERROR(TO_DATE(H4826), """")"),"NA")</f>
        <v>NA</v>
      </c>
      <c r="J4826" s="19" t="s">
        <v>12</v>
      </c>
      <c r="K4826" s="22">
        <f t="shared" si="2"/>
        <v>0</v>
      </c>
    </row>
    <row r="4827">
      <c r="A4827" s="18">
        <v>2204.0</v>
      </c>
      <c r="B4827" s="18" t="s">
        <v>30</v>
      </c>
      <c r="C4827" s="18" t="s">
        <v>34</v>
      </c>
      <c r="D4827" s="18" t="s">
        <v>35</v>
      </c>
      <c r="E4827" s="26">
        <v>42563.74375</v>
      </c>
      <c r="F4827" s="19">
        <f>IFERROR(__xludf.DUMMYFUNCTION("IFERROR(TO_DATE(E4827), """")"),42563.74375)</f>
        <v>42563.74375</v>
      </c>
      <c r="G4827" s="20">
        <f t="shared" si="1"/>
        <v>17</v>
      </c>
      <c r="H4827" s="18" t="s">
        <v>34</v>
      </c>
      <c r="I4827" s="19" t="str">
        <f>IFERROR(__xludf.DUMMYFUNCTION("IFERROR(TO_DATE(H4827), """")"),"NA")</f>
        <v>NA</v>
      </c>
      <c r="J4827" s="19" t="s">
        <v>12</v>
      </c>
      <c r="K4827" s="22">
        <f t="shared" si="2"/>
        <v>0</v>
      </c>
    </row>
    <row r="4828">
      <c r="A4828" s="18">
        <v>2198.0</v>
      </c>
      <c r="B4828" s="18" t="s">
        <v>30</v>
      </c>
      <c r="C4828" s="18" t="s">
        <v>34</v>
      </c>
      <c r="D4828" s="18" t="s">
        <v>35</v>
      </c>
      <c r="E4828" s="26">
        <v>42563.74375</v>
      </c>
      <c r="F4828" s="19">
        <f>IFERROR(__xludf.DUMMYFUNCTION("IFERROR(TO_DATE(E4828), """")"),42563.74375)</f>
        <v>42563.74375</v>
      </c>
      <c r="G4828" s="20">
        <f t="shared" si="1"/>
        <v>17</v>
      </c>
      <c r="H4828" s="18" t="s">
        <v>34</v>
      </c>
      <c r="I4828" s="19" t="str">
        <f>IFERROR(__xludf.DUMMYFUNCTION("IFERROR(TO_DATE(H4828), """")"),"NA")</f>
        <v>NA</v>
      </c>
      <c r="J4828" s="19" t="s">
        <v>12</v>
      </c>
      <c r="K4828" s="22">
        <f t="shared" si="2"/>
        <v>0</v>
      </c>
    </row>
    <row r="4829">
      <c r="A4829" s="18">
        <v>2202.0</v>
      </c>
      <c r="B4829" s="18" t="s">
        <v>30</v>
      </c>
      <c r="C4829" s="18" t="s">
        <v>34</v>
      </c>
      <c r="D4829" s="18" t="s">
        <v>35</v>
      </c>
      <c r="E4829" s="26">
        <v>42563.74444444444</v>
      </c>
      <c r="F4829" s="19">
        <f>IFERROR(__xludf.DUMMYFUNCTION("IFERROR(TO_DATE(E4829), """")"),42563.74444444444)</f>
        <v>42563.74444</v>
      </c>
      <c r="G4829" s="20">
        <f t="shared" si="1"/>
        <v>17</v>
      </c>
      <c r="H4829" s="18" t="s">
        <v>34</v>
      </c>
      <c r="I4829" s="19" t="str">
        <f>IFERROR(__xludf.DUMMYFUNCTION("IFERROR(TO_DATE(H4829), """")"),"NA")</f>
        <v>NA</v>
      </c>
      <c r="J4829" s="19" t="s">
        <v>12</v>
      </c>
      <c r="K4829" s="22">
        <f t="shared" si="2"/>
        <v>0</v>
      </c>
    </row>
    <row r="4830">
      <c r="A4830" s="18">
        <v>2205.0</v>
      </c>
      <c r="B4830" s="18" t="s">
        <v>30</v>
      </c>
      <c r="C4830" s="18" t="s">
        <v>34</v>
      </c>
      <c r="D4830" s="18" t="s">
        <v>35</v>
      </c>
      <c r="E4830" s="26">
        <v>42563.745833333334</v>
      </c>
      <c r="F4830" s="19">
        <f>IFERROR(__xludf.DUMMYFUNCTION("IFERROR(TO_DATE(E4830), """")"),42563.745833333334)</f>
        <v>42563.74583</v>
      </c>
      <c r="G4830" s="20">
        <f t="shared" si="1"/>
        <v>17</v>
      </c>
      <c r="H4830" s="18" t="s">
        <v>34</v>
      </c>
      <c r="I4830" s="19" t="str">
        <f>IFERROR(__xludf.DUMMYFUNCTION("IFERROR(TO_DATE(H4830), """")"),"NA")</f>
        <v>NA</v>
      </c>
      <c r="J4830" s="19" t="s">
        <v>12</v>
      </c>
      <c r="K4830" s="22">
        <f t="shared" si="2"/>
        <v>0</v>
      </c>
    </row>
    <row r="4831">
      <c r="A4831" s="18">
        <v>2212.0</v>
      </c>
      <c r="B4831" s="18" t="s">
        <v>30</v>
      </c>
      <c r="C4831" s="18" t="s">
        <v>34</v>
      </c>
      <c r="D4831" s="18" t="s">
        <v>35</v>
      </c>
      <c r="E4831" s="26">
        <v>42563.74722222222</v>
      </c>
      <c r="F4831" s="19">
        <f>IFERROR(__xludf.DUMMYFUNCTION("IFERROR(TO_DATE(E4831), """")"),42563.74722222222)</f>
        <v>42563.74722</v>
      </c>
      <c r="G4831" s="20">
        <f t="shared" si="1"/>
        <v>17</v>
      </c>
      <c r="H4831" s="18" t="s">
        <v>34</v>
      </c>
      <c r="I4831" s="19" t="str">
        <f>IFERROR(__xludf.DUMMYFUNCTION("IFERROR(TO_DATE(H4831), """")"),"NA")</f>
        <v>NA</v>
      </c>
      <c r="J4831" s="19" t="s">
        <v>12</v>
      </c>
      <c r="K4831" s="22">
        <f t="shared" si="2"/>
        <v>0</v>
      </c>
    </row>
    <row r="4832">
      <c r="A4832" s="18">
        <v>2213.0</v>
      </c>
      <c r="B4832" s="18" t="s">
        <v>30</v>
      </c>
      <c r="C4832" s="18" t="s">
        <v>34</v>
      </c>
      <c r="D4832" s="18" t="s">
        <v>35</v>
      </c>
      <c r="E4832" s="26">
        <v>42563.748611111114</v>
      </c>
      <c r="F4832" s="19">
        <f>IFERROR(__xludf.DUMMYFUNCTION("IFERROR(TO_DATE(E4832), """")"),42563.748611111114)</f>
        <v>42563.74861</v>
      </c>
      <c r="G4832" s="20">
        <f t="shared" si="1"/>
        <v>17</v>
      </c>
      <c r="H4832" s="18" t="s">
        <v>34</v>
      </c>
      <c r="I4832" s="19" t="str">
        <f>IFERROR(__xludf.DUMMYFUNCTION("IFERROR(TO_DATE(H4832), """")"),"NA")</f>
        <v>NA</v>
      </c>
      <c r="J4832" s="19" t="s">
        <v>12</v>
      </c>
      <c r="K4832" s="22">
        <f t="shared" si="2"/>
        <v>0</v>
      </c>
    </row>
    <row r="4833">
      <c r="A4833" s="18">
        <v>2215.0</v>
      </c>
      <c r="B4833" s="18" t="s">
        <v>30</v>
      </c>
      <c r="C4833" s="18" t="s">
        <v>34</v>
      </c>
      <c r="D4833" s="18" t="s">
        <v>35</v>
      </c>
      <c r="E4833" s="26">
        <v>42563.74930555555</v>
      </c>
      <c r="F4833" s="19">
        <f>IFERROR(__xludf.DUMMYFUNCTION("IFERROR(TO_DATE(E4833), """")"),42563.74930555555)</f>
        <v>42563.74931</v>
      </c>
      <c r="G4833" s="20">
        <f t="shared" si="1"/>
        <v>17</v>
      </c>
      <c r="H4833" s="18" t="s">
        <v>34</v>
      </c>
      <c r="I4833" s="19" t="str">
        <f>IFERROR(__xludf.DUMMYFUNCTION("IFERROR(TO_DATE(H4833), """")"),"NA")</f>
        <v>NA</v>
      </c>
      <c r="J4833" s="19" t="s">
        <v>12</v>
      </c>
      <c r="K4833" s="22">
        <f t="shared" si="2"/>
        <v>0</v>
      </c>
    </row>
    <row r="4834">
      <c r="A4834" s="18">
        <v>2219.0</v>
      </c>
      <c r="B4834" s="18" t="s">
        <v>30</v>
      </c>
      <c r="C4834" s="18" t="s">
        <v>34</v>
      </c>
      <c r="D4834" s="18" t="s">
        <v>35</v>
      </c>
      <c r="E4834" s="26">
        <v>42563.75</v>
      </c>
      <c r="F4834" s="19">
        <f>IFERROR(__xludf.DUMMYFUNCTION("IFERROR(TO_DATE(E4834), """")"),42563.75)</f>
        <v>42563.75</v>
      </c>
      <c r="G4834" s="20">
        <f t="shared" si="1"/>
        <v>18</v>
      </c>
      <c r="H4834" s="18" t="s">
        <v>34</v>
      </c>
      <c r="I4834" s="19" t="str">
        <f>IFERROR(__xludf.DUMMYFUNCTION("IFERROR(TO_DATE(H4834), """")"),"NA")</f>
        <v>NA</v>
      </c>
      <c r="J4834" s="19" t="s">
        <v>12</v>
      </c>
      <c r="K4834" s="22">
        <f t="shared" si="2"/>
        <v>0</v>
      </c>
    </row>
    <row r="4835">
      <c r="A4835" s="18">
        <v>2214.0</v>
      </c>
      <c r="B4835" s="18" t="s">
        <v>30</v>
      </c>
      <c r="C4835" s="18" t="s">
        <v>34</v>
      </c>
      <c r="D4835" s="18" t="s">
        <v>35</v>
      </c>
      <c r="E4835" s="26">
        <v>42563.75069444445</v>
      </c>
      <c r="F4835" s="19">
        <f>IFERROR(__xludf.DUMMYFUNCTION("IFERROR(TO_DATE(E4835), """")"),42563.75069444445)</f>
        <v>42563.75069</v>
      </c>
      <c r="G4835" s="20">
        <f t="shared" si="1"/>
        <v>18</v>
      </c>
      <c r="H4835" s="18" t="s">
        <v>34</v>
      </c>
      <c r="I4835" s="19" t="str">
        <f>IFERROR(__xludf.DUMMYFUNCTION("IFERROR(TO_DATE(H4835), """")"),"NA")</f>
        <v>NA</v>
      </c>
      <c r="J4835" s="19" t="s">
        <v>12</v>
      </c>
      <c r="K4835" s="22">
        <f t="shared" si="2"/>
        <v>0</v>
      </c>
    </row>
    <row r="4836">
      <c r="A4836" s="18">
        <v>2216.0</v>
      </c>
      <c r="B4836" s="18" t="s">
        <v>30</v>
      </c>
      <c r="C4836" s="18" t="s">
        <v>34</v>
      </c>
      <c r="D4836" s="18" t="s">
        <v>35</v>
      </c>
      <c r="E4836" s="26">
        <v>42563.751388888886</v>
      </c>
      <c r="F4836" s="19">
        <f>IFERROR(__xludf.DUMMYFUNCTION("IFERROR(TO_DATE(E4836), """")"),42563.751388888886)</f>
        <v>42563.75139</v>
      </c>
      <c r="G4836" s="20">
        <f t="shared" si="1"/>
        <v>18</v>
      </c>
      <c r="H4836" s="18" t="s">
        <v>34</v>
      </c>
      <c r="I4836" s="19" t="str">
        <f>IFERROR(__xludf.DUMMYFUNCTION("IFERROR(TO_DATE(H4836), """")"),"NA")</f>
        <v>NA</v>
      </c>
      <c r="J4836" s="19" t="s">
        <v>12</v>
      </c>
      <c r="K4836" s="22">
        <f t="shared" si="2"/>
        <v>0</v>
      </c>
    </row>
    <row r="4837">
      <c r="A4837" s="18">
        <v>2217.0</v>
      </c>
      <c r="B4837" s="18" t="s">
        <v>32</v>
      </c>
      <c r="C4837" s="18" t="s">
        <v>34</v>
      </c>
      <c r="D4837" s="18" t="s">
        <v>35</v>
      </c>
      <c r="E4837" s="26">
        <v>42563.751388888886</v>
      </c>
      <c r="F4837" s="19">
        <f>IFERROR(__xludf.DUMMYFUNCTION("IFERROR(TO_DATE(E4837), """")"),42563.751388888886)</f>
        <v>42563.75139</v>
      </c>
      <c r="G4837" s="20">
        <f t="shared" si="1"/>
        <v>18</v>
      </c>
      <c r="H4837" s="18" t="s">
        <v>34</v>
      </c>
      <c r="I4837" s="19" t="str">
        <f>IFERROR(__xludf.DUMMYFUNCTION("IFERROR(TO_DATE(H4837), """")"),"NA")</f>
        <v>NA</v>
      </c>
      <c r="J4837" s="19" t="s">
        <v>12</v>
      </c>
      <c r="K4837" s="22">
        <f t="shared" si="2"/>
        <v>0</v>
      </c>
    </row>
    <row r="4838">
      <c r="A4838" s="18">
        <v>2210.0</v>
      </c>
      <c r="B4838" s="18" t="s">
        <v>30</v>
      </c>
      <c r="C4838" s="18" t="s">
        <v>34</v>
      </c>
      <c r="D4838" s="18" t="s">
        <v>35</v>
      </c>
      <c r="E4838" s="26">
        <v>42563.75208333333</v>
      </c>
      <c r="F4838" s="19">
        <f>IFERROR(__xludf.DUMMYFUNCTION("IFERROR(TO_DATE(E4838), """")"),42563.75208333333)</f>
        <v>42563.75208</v>
      </c>
      <c r="G4838" s="20">
        <f t="shared" si="1"/>
        <v>18</v>
      </c>
      <c r="H4838" s="18" t="s">
        <v>34</v>
      </c>
      <c r="I4838" s="19" t="str">
        <f>IFERROR(__xludf.DUMMYFUNCTION("IFERROR(TO_DATE(H4838), """")"),"NA")</f>
        <v>NA</v>
      </c>
      <c r="J4838" s="19" t="s">
        <v>12</v>
      </c>
      <c r="K4838" s="22">
        <f t="shared" si="2"/>
        <v>0</v>
      </c>
    </row>
    <row r="4839">
      <c r="A4839" s="18">
        <v>2218.0</v>
      </c>
      <c r="B4839" s="18" t="s">
        <v>30</v>
      </c>
      <c r="C4839" s="18" t="s">
        <v>34</v>
      </c>
      <c r="D4839" s="18" t="s">
        <v>35</v>
      </c>
      <c r="E4839" s="26">
        <v>42563.75277777778</v>
      </c>
      <c r="F4839" s="19">
        <f>IFERROR(__xludf.DUMMYFUNCTION("IFERROR(TO_DATE(E4839), """")"),42563.75277777778)</f>
        <v>42563.75278</v>
      </c>
      <c r="G4839" s="20">
        <f t="shared" si="1"/>
        <v>18</v>
      </c>
      <c r="H4839" s="18" t="s">
        <v>34</v>
      </c>
      <c r="I4839" s="19" t="str">
        <f>IFERROR(__xludf.DUMMYFUNCTION("IFERROR(TO_DATE(H4839), """")"),"NA")</f>
        <v>NA</v>
      </c>
      <c r="J4839" s="19" t="s">
        <v>12</v>
      </c>
      <c r="K4839" s="22">
        <f t="shared" si="2"/>
        <v>0</v>
      </c>
    </row>
    <row r="4840">
      <c r="A4840" s="18">
        <v>2228.0</v>
      </c>
      <c r="B4840" s="18" t="s">
        <v>30</v>
      </c>
      <c r="C4840" s="18" t="s">
        <v>34</v>
      </c>
      <c r="D4840" s="18" t="s">
        <v>35</v>
      </c>
      <c r="E4840" s="26">
        <v>42563.754166666666</v>
      </c>
      <c r="F4840" s="19">
        <f>IFERROR(__xludf.DUMMYFUNCTION("IFERROR(TO_DATE(E4840), """")"),42563.754166666666)</f>
        <v>42563.75417</v>
      </c>
      <c r="G4840" s="20">
        <f t="shared" si="1"/>
        <v>18</v>
      </c>
      <c r="H4840" s="18" t="s">
        <v>34</v>
      </c>
      <c r="I4840" s="19" t="str">
        <f>IFERROR(__xludf.DUMMYFUNCTION("IFERROR(TO_DATE(H4840), """")"),"NA")</f>
        <v>NA</v>
      </c>
      <c r="J4840" s="19" t="s">
        <v>12</v>
      </c>
      <c r="K4840" s="22">
        <f t="shared" si="2"/>
        <v>0</v>
      </c>
    </row>
    <row r="4841">
      <c r="A4841" s="18">
        <v>2229.0</v>
      </c>
      <c r="B4841" s="18" t="s">
        <v>30</v>
      </c>
      <c r="C4841" s="18" t="s">
        <v>34</v>
      </c>
      <c r="D4841" s="18" t="s">
        <v>35</v>
      </c>
      <c r="E4841" s="26">
        <v>42563.75555555556</v>
      </c>
      <c r="F4841" s="19">
        <f>IFERROR(__xludf.DUMMYFUNCTION("IFERROR(TO_DATE(E4841), """")"),42563.75555555556)</f>
        <v>42563.75556</v>
      </c>
      <c r="G4841" s="20">
        <f t="shared" si="1"/>
        <v>18</v>
      </c>
      <c r="H4841" s="18" t="s">
        <v>34</v>
      </c>
      <c r="I4841" s="19" t="str">
        <f>IFERROR(__xludf.DUMMYFUNCTION("IFERROR(TO_DATE(H4841), """")"),"NA")</f>
        <v>NA</v>
      </c>
      <c r="J4841" s="19" t="s">
        <v>12</v>
      </c>
      <c r="K4841" s="22">
        <f t="shared" si="2"/>
        <v>0</v>
      </c>
    </row>
    <row r="4842">
      <c r="A4842" s="18">
        <v>2226.0</v>
      </c>
      <c r="B4842" s="18" t="s">
        <v>30</v>
      </c>
      <c r="C4842" s="18" t="s">
        <v>34</v>
      </c>
      <c r="D4842" s="18" t="s">
        <v>35</v>
      </c>
      <c r="E4842" s="26">
        <v>42563.75555555556</v>
      </c>
      <c r="F4842" s="19">
        <f>IFERROR(__xludf.DUMMYFUNCTION("IFERROR(TO_DATE(E4842), """")"),42563.75555555556)</f>
        <v>42563.75556</v>
      </c>
      <c r="G4842" s="20">
        <f t="shared" si="1"/>
        <v>18</v>
      </c>
      <c r="H4842" s="18" t="s">
        <v>34</v>
      </c>
      <c r="I4842" s="19" t="str">
        <f>IFERROR(__xludf.DUMMYFUNCTION("IFERROR(TO_DATE(H4842), """")"),"NA")</f>
        <v>NA</v>
      </c>
      <c r="J4842" s="19" t="s">
        <v>12</v>
      </c>
      <c r="K4842" s="22">
        <f t="shared" si="2"/>
        <v>0</v>
      </c>
    </row>
    <row r="4843">
      <c r="A4843" s="18">
        <v>2224.0</v>
      </c>
      <c r="B4843" s="18" t="s">
        <v>30</v>
      </c>
      <c r="C4843" s="18" t="s">
        <v>34</v>
      </c>
      <c r="D4843" s="18" t="s">
        <v>35</v>
      </c>
      <c r="E4843" s="26">
        <v>42563.75555555556</v>
      </c>
      <c r="F4843" s="19">
        <f>IFERROR(__xludf.DUMMYFUNCTION("IFERROR(TO_DATE(E4843), """")"),42563.75555555556)</f>
        <v>42563.75556</v>
      </c>
      <c r="G4843" s="20">
        <f t="shared" si="1"/>
        <v>18</v>
      </c>
      <c r="H4843" s="18" t="s">
        <v>34</v>
      </c>
      <c r="I4843" s="19" t="str">
        <f>IFERROR(__xludf.DUMMYFUNCTION("IFERROR(TO_DATE(H4843), """")"),"NA")</f>
        <v>NA</v>
      </c>
      <c r="J4843" s="19" t="s">
        <v>12</v>
      </c>
      <c r="K4843" s="22">
        <f t="shared" si="2"/>
        <v>0</v>
      </c>
    </row>
    <row r="4844">
      <c r="A4844" s="18">
        <v>2221.0</v>
      </c>
      <c r="B4844" s="18" t="s">
        <v>30</v>
      </c>
      <c r="C4844" s="18" t="s">
        <v>34</v>
      </c>
      <c r="D4844" s="18" t="s">
        <v>35</v>
      </c>
      <c r="E4844" s="26">
        <v>42563.75625</v>
      </c>
      <c r="F4844" s="19">
        <f>IFERROR(__xludf.DUMMYFUNCTION("IFERROR(TO_DATE(E4844), """")"),42563.75625)</f>
        <v>42563.75625</v>
      </c>
      <c r="G4844" s="20">
        <f t="shared" si="1"/>
        <v>18</v>
      </c>
      <c r="H4844" s="18" t="s">
        <v>34</v>
      </c>
      <c r="I4844" s="19" t="str">
        <f>IFERROR(__xludf.DUMMYFUNCTION("IFERROR(TO_DATE(H4844), """")"),"NA")</f>
        <v>NA</v>
      </c>
      <c r="J4844" s="19" t="s">
        <v>12</v>
      </c>
      <c r="K4844" s="22">
        <f t="shared" si="2"/>
        <v>0</v>
      </c>
    </row>
    <row r="4845">
      <c r="A4845" s="18">
        <v>2230.0</v>
      </c>
      <c r="B4845" s="18" t="s">
        <v>30</v>
      </c>
      <c r="C4845" s="18" t="s">
        <v>34</v>
      </c>
      <c r="D4845" s="18" t="s">
        <v>35</v>
      </c>
      <c r="E4845" s="26">
        <v>42563.756944444445</v>
      </c>
      <c r="F4845" s="19">
        <f>IFERROR(__xludf.DUMMYFUNCTION("IFERROR(TO_DATE(E4845), """")"),42563.756944444445)</f>
        <v>42563.75694</v>
      </c>
      <c r="G4845" s="20">
        <f t="shared" si="1"/>
        <v>18</v>
      </c>
      <c r="H4845" s="18" t="s">
        <v>34</v>
      </c>
      <c r="I4845" s="19" t="str">
        <f>IFERROR(__xludf.DUMMYFUNCTION("IFERROR(TO_DATE(H4845), """")"),"NA")</f>
        <v>NA</v>
      </c>
      <c r="J4845" s="19" t="s">
        <v>12</v>
      </c>
      <c r="K4845" s="22">
        <f t="shared" si="2"/>
        <v>0</v>
      </c>
    </row>
    <row r="4846">
      <c r="A4846" s="18">
        <v>2225.0</v>
      </c>
      <c r="B4846" s="18" t="s">
        <v>30</v>
      </c>
      <c r="C4846" s="18" t="s">
        <v>34</v>
      </c>
      <c r="D4846" s="18" t="s">
        <v>35</v>
      </c>
      <c r="E4846" s="26">
        <v>42563.75763888889</v>
      </c>
      <c r="F4846" s="19">
        <f>IFERROR(__xludf.DUMMYFUNCTION("IFERROR(TO_DATE(E4846), """")"),42563.75763888889)</f>
        <v>42563.75764</v>
      </c>
      <c r="G4846" s="20">
        <f t="shared" si="1"/>
        <v>18</v>
      </c>
      <c r="H4846" s="18" t="s">
        <v>34</v>
      </c>
      <c r="I4846" s="19" t="str">
        <f>IFERROR(__xludf.DUMMYFUNCTION("IFERROR(TO_DATE(H4846), """")"),"NA")</f>
        <v>NA</v>
      </c>
      <c r="J4846" s="19" t="s">
        <v>12</v>
      </c>
      <c r="K4846" s="22">
        <f t="shared" si="2"/>
        <v>0</v>
      </c>
    </row>
    <row r="4847">
      <c r="A4847" s="18">
        <v>2231.0</v>
      </c>
      <c r="B4847" s="18" t="s">
        <v>30</v>
      </c>
      <c r="C4847" s="18" t="s">
        <v>34</v>
      </c>
      <c r="D4847" s="18" t="s">
        <v>35</v>
      </c>
      <c r="E4847" s="26">
        <v>42563.75763888889</v>
      </c>
      <c r="F4847" s="19">
        <f>IFERROR(__xludf.DUMMYFUNCTION("IFERROR(TO_DATE(E4847), """")"),42563.75763888889)</f>
        <v>42563.75764</v>
      </c>
      <c r="G4847" s="20">
        <f t="shared" si="1"/>
        <v>18</v>
      </c>
      <c r="H4847" s="18" t="s">
        <v>34</v>
      </c>
      <c r="I4847" s="19" t="str">
        <f>IFERROR(__xludf.DUMMYFUNCTION("IFERROR(TO_DATE(H4847), """")"),"NA")</f>
        <v>NA</v>
      </c>
      <c r="J4847" s="19" t="s">
        <v>12</v>
      </c>
      <c r="K4847" s="22">
        <f t="shared" si="2"/>
        <v>0</v>
      </c>
    </row>
    <row r="4848">
      <c r="A4848" s="18">
        <v>2220.0</v>
      </c>
      <c r="B4848" s="18" t="s">
        <v>30</v>
      </c>
      <c r="C4848" s="18" t="s">
        <v>34</v>
      </c>
      <c r="D4848" s="18" t="s">
        <v>35</v>
      </c>
      <c r="E4848" s="26">
        <v>42563.75833333333</v>
      </c>
      <c r="F4848" s="19">
        <f>IFERROR(__xludf.DUMMYFUNCTION("IFERROR(TO_DATE(E4848), """")"),42563.75833333333)</f>
        <v>42563.75833</v>
      </c>
      <c r="G4848" s="20">
        <f t="shared" si="1"/>
        <v>18</v>
      </c>
      <c r="H4848" s="18" t="s">
        <v>34</v>
      </c>
      <c r="I4848" s="19" t="str">
        <f>IFERROR(__xludf.DUMMYFUNCTION("IFERROR(TO_DATE(H4848), """")"),"NA")</f>
        <v>NA</v>
      </c>
      <c r="J4848" s="19" t="s">
        <v>12</v>
      </c>
      <c r="K4848" s="22">
        <f t="shared" si="2"/>
        <v>0</v>
      </c>
    </row>
    <row r="4849">
      <c r="A4849" s="18">
        <v>2232.0</v>
      </c>
      <c r="B4849" s="18" t="s">
        <v>30</v>
      </c>
      <c r="C4849" s="18" t="s">
        <v>34</v>
      </c>
      <c r="D4849" s="18" t="s">
        <v>35</v>
      </c>
      <c r="E4849" s="26">
        <v>42563.75902777778</v>
      </c>
      <c r="F4849" s="19">
        <f>IFERROR(__xludf.DUMMYFUNCTION("IFERROR(TO_DATE(E4849), """")"),42563.75902777778)</f>
        <v>42563.75903</v>
      </c>
      <c r="G4849" s="20">
        <f t="shared" si="1"/>
        <v>18</v>
      </c>
      <c r="H4849" s="18" t="s">
        <v>34</v>
      </c>
      <c r="I4849" s="19" t="str">
        <f>IFERROR(__xludf.DUMMYFUNCTION("IFERROR(TO_DATE(H4849), """")"),"NA")</f>
        <v>NA</v>
      </c>
      <c r="J4849" s="19" t="s">
        <v>12</v>
      </c>
      <c r="K4849" s="22">
        <f t="shared" si="2"/>
        <v>0</v>
      </c>
    </row>
    <row r="4850">
      <c r="A4850" s="18">
        <v>2239.0</v>
      </c>
      <c r="B4850" s="18" t="s">
        <v>30</v>
      </c>
      <c r="C4850" s="18" t="s">
        <v>34</v>
      </c>
      <c r="D4850" s="18" t="s">
        <v>35</v>
      </c>
      <c r="E4850" s="26">
        <v>42563.759722222225</v>
      </c>
      <c r="F4850" s="19">
        <f>IFERROR(__xludf.DUMMYFUNCTION("IFERROR(TO_DATE(E4850), """")"),42563.759722222225)</f>
        <v>42563.75972</v>
      </c>
      <c r="G4850" s="20">
        <f t="shared" si="1"/>
        <v>18</v>
      </c>
      <c r="H4850" s="18" t="s">
        <v>34</v>
      </c>
      <c r="I4850" s="19" t="str">
        <f>IFERROR(__xludf.DUMMYFUNCTION("IFERROR(TO_DATE(H4850), """")"),"NA")</f>
        <v>NA</v>
      </c>
      <c r="J4850" s="19" t="s">
        <v>12</v>
      </c>
      <c r="K4850" s="22">
        <f t="shared" si="2"/>
        <v>0</v>
      </c>
    </row>
    <row r="4851">
      <c r="A4851" s="18">
        <v>2233.0</v>
      </c>
      <c r="B4851" s="18" t="s">
        <v>30</v>
      </c>
      <c r="C4851" s="18" t="s">
        <v>34</v>
      </c>
      <c r="D4851" s="18" t="s">
        <v>35</v>
      </c>
      <c r="E4851" s="26">
        <v>42563.76111111111</v>
      </c>
      <c r="F4851" s="19">
        <f>IFERROR(__xludf.DUMMYFUNCTION("IFERROR(TO_DATE(E4851), """")"),42563.76111111111)</f>
        <v>42563.76111</v>
      </c>
      <c r="G4851" s="20">
        <f t="shared" si="1"/>
        <v>18</v>
      </c>
      <c r="H4851" s="18" t="s">
        <v>34</v>
      </c>
      <c r="I4851" s="19" t="str">
        <f>IFERROR(__xludf.DUMMYFUNCTION("IFERROR(TO_DATE(H4851), """")"),"NA")</f>
        <v>NA</v>
      </c>
      <c r="J4851" s="19" t="s">
        <v>12</v>
      </c>
      <c r="K4851" s="22">
        <f t="shared" si="2"/>
        <v>0</v>
      </c>
    </row>
    <row r="4852">
      <c r="A4852" s="18">
        <v>2243.0</v>
      </c>
      <c r="B4852" s="18" t="s">
        <v>30</v>
      </c>
      <c r="C4852" s="18" t="s">
        <v>34</v>
      </c>
      <c r="D4852" s="18" t="s">
        <v>35</v>
      </c>
      <c r="E4852" s="26">
        <v>42563.76111111111</v>
      </c>
      <c r="F4852" s="19">
        <f>IFERROR(__xludf.DUMMYFUNCTION("IFERROR(TO_DATE(E4852), """")"),42563.76111111111)</f>
        <v>42563.76111</v>
      </c>
      <c r="G4852" s="20">
        <f t="shared" si="1"/>
        <v>18</v>
      </c>
      <c r="H4852" s="18" t="s">
        <v>34</v>
      </c>
      <c r="I4852" s="19" t="str">
        <f>IFERROR(__xludf.DUMMYFUNCTION("IFERROR(TO_DATE(H4852), """")"),"NA")</f>
        <v>NA</v>
      </c>
      <c r="J4852" s="19" t="s">
        <v>12</v>
      </c>
      <c r="K4852" s="22">
        <f t="shared" si="2"/>
        <v>0</v>
      </c>
    </row>
    <row r="4853">
      <c r="A4853" s="18">
        <v>2241.0</v>
      </c>
      <c r="B4853" s="18" t="s">
        <v>30</v>
      </c>
      <c r="C4853" s="18" t="s">
        <v>34</v>
      </c>
      <c r="D4853" s="18" t="s">
        <v>35</v>
      </c>
      <c r="E4853" s="26">
        <v>42563.76180555556</v>
      </c>
      <c r="F4853" s="19">
        <f>IFERROR(__xludf.DUMMYFUNCTION("IFERROR(TO_DATE(E4853), """")"),42563.76180555556)</f>
        <v>42563.76181</v>
      </c>
      <c r="G4853" s="20">
        <f t="shared" si="1"/>
        <v>18</v>
      </c>
      <c r="H4853" s="18" t="s">
        <v>34</v>
      </c>
      <c r="I4853" s="19" t="str">
        <f>IFERROR(__xludf.DUMMYFUNCTION("IFERROR(TO_DATE(H4853), """")"),"NA")</f>
        <v>NA</v>
      </c>
      <c r="J4853" s="19" t="s">
        <v>12</v>
      </c>
      <c r="K4853" s="22">
        <f t="shared" si="2"/>
        <v>0</v>
      </c>
    </row>
    <row r="4854">
      <c r="A4854" s="18">
        <v>2238.0</v>
      </c>
      <c r="B4854" s="18" t="s">
        <v>30</v>
      </c>
      <c r="C4854" s="18" t="s">
        <v>34</v>
      </c>
      <c r="D4854" s="18" t="s">
        <v>35</v>
      </c>
      <c r="E4854" s="26">
        <v>42563.76388888889</v>
      </c>
      <c r="F4854" s="19">
        <f>IFERROR(__xludf.DUMMYFUNCTION("IFERROR(TO_DATE(E4854), """")"),42563.76388888889)</f>
        <v>42563.76389</v>
      </c>
      <c r="G4854" s="20">
        <f t="shared" si="1"/>
        <v>18</v>
      </c>
      <c r="H4854" s="18" t="s">
        <v>34</v>
      </c>
      <c r="I4854" s="19" t="str">
        <f>IFERROR(__xludf.DUMMYFUNCTION("IFERROR(TO_DATE(H4854), """")"),"NA")</f>
        <v>NA</v>
      </c>
      <c r="J4854" s="19" t="s">
        <v>12</v>
      </c>
      <c r="K4854" s="22">
        <f t="shared" si="2"/>
        <v>0</v>
      </c>
    </row>
    <row r="4855">
      <c r="A4855" s="18">
        <v>2242.0</v>
      </c>
      <c r="B4855" s="18" t="s">
        <v>30</v>
      </c>
      <c r="C4855" s="18" t="s">
        <v>34</v>
      </c>
      <c r="D4855" s="18" t="s">
        <v>35</v>
      </c>
      <c r="E4855" s="26">
        <v>42563.76388888889</v>
      </c>
      <c r="F4855" s="19">
        <f>IFERROR(__xludf.DUMMYFUNCTION("IFERROR(TO_DATE(E4855), """")"),42563.76388888889)</f>
        <v>42563.76389</v>
      </c>
      <c r="G4855" s="20">
        <f t="shared" si="1"/>
        <v>18</v>
      </c>
      <c r="H4855" s="18" t="s">
        <v>34</v>
      </c>
      <c r="I4855" s="19" t="str">
        <f>IFERROR(__xludf.DUMMYFUNCTION("IFERROR(TO_DATE(H4855), """")"),"NA")</f>
        <v>NA</v>
      </c>
      <c r="J4855" s="19" t="s">
        <v>12</v>
      </c>
      <c r="K4855" s="22">
        <f t="shared" si="2"/>
        <v>0</v>
      </c>
    </row>
    <row r="4856">
      <c r="A4856" s="18">
        <v>2255.0</v>
      </c>
      <c r="B4856" s="18" t="s">
        <v>30</v>
      </c>
      <c r="C4856" s="18" t="s">
        <v>34</v>
      </c>
      <c r="D4856" s="18" t="s">
        <v>35</v>
      </c>
      <c r="E4856" s="26">
        <v>42563.76458333333</v>
      </c>
      <c r="F4856" s="19">
        <f>IFERROR(__xludf.DUMMYFUNCTION("IFERROR(TO_DATE(E4856), """")"),42563.76458333333)</f>
        <v>42563.76458</v>
      </c>
      <c r="G4856" s="20">
        <f t="shared" si="1"/>
        <v>18</v>
      </c>
      <c r="H4856" s="18" t="s">
        <v>34</v>
      </c>
      <c r="I4856" s="19" t="str">
        <f>IFERROR(__xludf.DUMMYFUNCTION("IFERROR(TO_DATE(H4856), """")"),"NA")</f>
        <v>NA</v>
      </c>
      <c r="J4856" s="19" t="s">
        <v>12</v>
      </c>
      <c r="K4856" s="22">
        <f t="shared" si="2"/>
        <v>0</v>
      </c>
    </row>
    <row r="4857">
      <c r="A4857" s="18">
        <v>2244.0</v>
      </c>
      <c r="B4857" s="18" t="s">
        <v>30</v>
      </c>
      <c r="C4857" s="18" t="s">
        <v>34</v>
      </c>
      <c r="D4857" s="18" t="s">
        <v>35</v>
      </c>
      <c r="E4857" s="26">
        <v>42563.76527777778</v>
      </c>
      <c r="F4857" s="19">
        <f>IFERROR(__xludf.DUMMYFUNCTION("IFERROR(TO_DATE(E4857), """")"),42563.76527777778)</f>
        <v>42563.76528</v>
      </c>
      <c r="G4857" s="20">
        <f t="shared" si="1"/>
        <v>18</v>
      </c>
      <c r="H4857" s="18" t="s">
        <v>34</v>
      </c>
      <c r="I4857" s="19" t="str">
        <f>IFERROR(__xludf.DUMMYFUNCTION("IFERROR(TO_DATE(H4857), """")"),"NA")</f>
        <v>NA</v>
      </c>
      <c r="J4857" s="19" t="s">
        <v>12</v>
      </c>
      <c r="K4857" s="22">
        <f t="shared" si="2"/>
        <v>0</v>
      </c>
    </row>
    <row r="4858">
      <c r="A4858" s="18">
        <v>2247.0</v>
      </c>
      <c r="B4858" s="18" t="s">
        <v>30</v>
      </c>
      <c r="C4858" s="18" t="s">
        <v>34</v>
      </c>
      <c r="D4858" s="18" t="s">
        <v>35</v>
      </c>
      <c r="E4858" s="26">
        <v>42563.76666666667</v>
      </c>
      <c r="F4858" s="19">
        <f>IFERROR(__xludf.DUMMYFUNCTION("IFERROR(TO_DATE(E4858), """")"),42563.76666666667)</f>
        <v>42563.76667</v>
      </c>
      <c r="G4858" s="20">
        <f t="shared" si="1"/>
        <v>18</v>
      </c>
      <c r="H4858" s="18" t="s">
        <v>34</v>
      </c>
      <c r="I4858" s="19" t="str">
        <f>IFERROR(__xludf.DUMMYFUNCTION("IFERROR(TO_DATE(H4858), """")"),"NA")</f>
        <v>NA</v>
      </c>
      <c r="J4858" s="19" t="s">
        <v>12</v>
      </c>
      <c r="K4858" s="22">
        <f t="shared" si="2"/>
        <v>0</v>
      </c>
    </row>
    <row r="4859">
      <c r="A4859" s="18">
        <v>2245.0</v>
      </c>
      <c r="B4859" s="18" t="s">
        <v>30</v>
      </c>
      <c r="C4859" s="18" t="s">
        <v>34</v>
      </c>
      <c r="D4859" s="18" t="s">
        <v>35</v>
      </c>
      <c r="E4859" s="26">
        <v>42563.76666666667</v>
      </c>
      <c r="F4859" s="19">
        <f>IFERROR(__xludf.DUMMYFUNCTION("IFERROR(TO_DATE(E4859), """")"),42563.76666666667)</f>
        <v>42563.76667</v>
      </c>
      <c r="G4859" s="20">
        <f t="shared" si="1"/>
        <v>18</v>
      </c>
      <c r="H4859" s="18" t="s">
        <v>34</v>
      </c>
      <c r="I4859" s="19" t="str">
        <f>IFERROR(__xludf.DUMMYFUNCTION("IFERROR(TO_DATE(H4859), """")"),"NA")</f>
        <v>NA</v>
      </c>
      <c r="J4859" s="19" t="s">
        <v>12</v>
      </c>
      <c r="K4859" s="22">
        <f t="shared" si="2"/>
        <v>0</v>
      </c>
    </row>
    <row r="4860">
      <c r="A4860" s="18">
        <v>2258.0</v>
      </c>
      <c r="B4860" s="18" t="s">
        <v>30</v>
      </c>
      <c r="C4860" s="18" t="s">
        <v>34</v>
      </c>
      <c r="D4860" s="18" t="s">
        <v>35</v>
      </c>
      <c r="E4860" s="26">
        <v>42563.76736111111</v>
      </c>
      <c r="F4860" s="19">
        <f>IFERROR(__xludf.DUMMYFUNCTION("IFERROR(TO_DATE(E4860), """")"),42563.76736111111)</f>
        <v>42563.76736</v>
      </c>
      <c r="G4860" s="20">
        <f t="shared" si="1"/>
        <v>18</v>
      </c>
      <c r="H4860" s="18" t="s">
        <v>34</v>
      </c>
      <c r="I4860" s="19" t="str">
        <f>IFERROR(__xludf.DUMMYFUNCTION("IFERROR(TO_DATE(H4860), """")"),"NA")</f>
        <v>NA</v>
      </c>
      <c r="J4860" s="19" t="s">
        <v>12</v>
      </c>
      <c r="K4860" s="22">
        <f t="shared" si="2"/>
        <v>0</v>
      </c>
    </row>
    <row r="4861">
      <c r="A4861" s="18">
        <v>2260.0</v>
      </c>
      <c r="B4861" s="18" t="s">
        <v>30</v>
      </c>
      <c r="C4861" s="18" t="s">
        <v>34</v>
      </c>
      <c r="D4861" s="18" t="s">
        <v>35</v>
      </c>
      <c r="E4861" s="26">
        <v>42563.76736111111</v>
      </c>
      <c r="F4861" s="19">
        <f>IFERROR(__xludf.DUMMYFUNCTION("IFERROR(TO_DATE(E4861), """")"),42563.76736111111)</f>
        <v>42563.76736</v>
      </c>
      <c r="G4861" s="20">
        <f t="shared" si="1"/>
        <v>18</v>
      </c>
      <c r="H4861" s="18" t="s">
        <v>34</v>
      </c>
      <c r="I4861" s="19" t="str">
        <f>IFERROR(__xludf.DUMMYFUNCTION("IFERROR(TO_DATE(H4861), """")"),"NA")</f>
        <v>NA</v>
      </c>
      <c r="J4861" s="19" t="s">
        <v>12</v>
      </c>
      <c r="K4861" s="22">
        <f t="shared" si="2"/>
        <v>0</v>
      </c>
    </row>
    <row r="4862">
      <c r="A4862" s="18">
        <v>2254.0</v>
      </c>
      <c r="B4862" s="18" t="s">
        <v>30</v>
      </c>
      <c r="C4862" s="18" t="s">
        <v>34</v>
      </c>
      <c r="D4862" s="18" t="s">
        <v>35</v>
      </c>
      <c r="E4862" s="26">
        <v>42563.76736111111</v>
      </c>
      <c r="F4862" s="19">
        <f>IFERROR(__xludf.DUMMYFUNCTION("IFERROR(TO_DATE(E4862), """")"),42563.76736111111)</f>
        <v>42563.76736</v>
      </c>
      <c r="G4862" s="20">
        <f t="shared" si="1"/>
        <v>18</v>
      </c>
      <c r="H4862" s="18" t="s">
        <v>34</v>
      </c>
      <c r="I4862" s="19" t="str">
        <f>IFERROR(__xludf.DUMMYFUNCTION("IFERROR(TO_DATE(H4862), """")"),"NA")</f>
        <v>NA</v>
      </c>
      <c r="J4862" s="19" t="s">
        <v>12</v>
      </c>
      <c r="K4862" s="22">
        <f t="shared" si="2"/>
        <v>0</v>
      </c>
    </row>
    <row r="4863">
      <c r="A4863" s="18">
        <v>2250.0</v>
      </c>
      <c r="B4863" s="18" t="s">
        <v>30</v>
      </c>
      <c r="C4863" s="18" t="s">
        <v>34</v>
      </c>
      <c r="D4863" s="18" t="s">
        <v>35</v>
      </c>
      <c r="E4863" s="26">
        <v>42563.768055555556</v>
      </c>
      <c r="F4863" s="19">
        <f>IFERROR(__xludf.DUMMYFUNCTION("IFERROR(TO_DATE(E4863), """")"),42563.768055555556)</f>
        <v>42563.76806</v>
      </c>
      <c r="G4863" s="20">
        <f t="shared" si="1"/>
        <v>18</v>
      </c>
      <c r="H4863" s="18" t="s">
        <v>34</v>
      </c>
      <c r="I4863" s="19" t="str">
        <f>IFERROR(__xludf.DUMMYFUNCTION("IFERROR(TO_DATE(H4863), """")"),"NA")</f>
        <v>NA</v>
      </c>
      <c r="J4863" s="19" t="s">
        <v>12</v>
      </c>
      <c r="K4863" s="22">
        <f t="shared" si="2"/>
        <v>0</v>
      </c>
    </row>
    <row r="4864">
      <c r="A4864" s="18">
        <v>2263.0</v>
      </c>
      <c r="B4864" s="18" t="s">
        <v>30</v>
      </c>
      <c r="C4864" s="18" t="s">
        <v>34</v>
      </c>
      <c r="D4864" s="18" t="s">
        <v>35</v>
      </c>
      <c r="E4864" s="26">
        <v>42563.76875</v>
      </c>
      <c r="F4864" s="19">
        <f>IFERROR(__xludf.DUMMYFUNCTION("IFERROR(TO_DATE(E4864), """")"),42563.76875)</f>
        <v>42563.76875</v>
      </c>
      <c r="G4864" s="20">
        <f t="shared" si="1"/>
        <v>18</v>
      </c>
      <c r="H4864" s="18" t="s">
        <v>34</v>
      </c>
      <c r="I4864" s="19" t="str">
        <f>IFERROR(__xludf.DUMMYFUNCTION("IFERROR(TO_DATE(H4864), """")"),"NA")</f>
        <v>NA</v>
      </c>
      <c r="J4864" s="19" t="s">
        <v>12</v>
      </c>
      <c r="K4864" s="22">
        <f t="shared" si="2"/>
        <v>0</v>
      </c>
    </row>
    <row r="4865">
      <c r="A4865" s="18">
        <v>2261.0</v>
      </c>
      <c r="B4865" s="18" t="s">
        <v>30</v>
      </c>
      <c r="C4865" s="18" t="s">
        <v>34</v>
      </c>
      <c r="D4865" s="18" t="s">
        <v>35</v>
      </c>
      <c r="E4865" s="26">
        <v>42563.76944444444</v>
      </c>
      <c r="F4865" s="19">
        <f>IFERROR(__xludf.DUMMYFUNCTION("IFERROR(TO_DATE(E4865), """")"),42563.76944444444)</f>
        <v>42563.76944</v>
      </c>
      <c r="G4865" s="20">
        <f t="shared" si="1"/>
        <v>18</v>
      </c>
      <c r="H4865" s="18" t="s">
        <v>34</v>
      </c>
      <c r="I4865" s="19" t="str">
        <f>IFERROR(__xludf.DUMMYFUNCTION("IFERROR(TO_DATE(H4865), """")"),"NA")</f>
        <v>NA</v>
      </c>
      <c r="J4865" s="19" t="s">
        <v>12</v>
      </c>
      <c r="K4865" s="22">
        <f t="shared" si="2"/>
        <v>0</v>
      </c>
    </row>
    <row r="4866">
      <c r="A4866" s="18">
        <v>2246.0</v>
      </c>
      <c r="B4866" s="18" t="s">
        <v>30</v>
      </c>
      <c r="C4866" s="18" t="s">
        <v>34</v>
      </c>
      <c r="D4866" s="18" t="s">
        <v>35</v>
      </c>
      <c r="E4866" s="26">
        <v>42563.770833333336</v>
      </c>
      <c r="F4866" s="19">
        <f>IFERROR(__xludf.DUMMYFUNCTION("IFERROR(TO_DATE(E4866), """")"),42563.770833333336)</f>
        <v>42563.77083</v>
      </c>
      <c r="G4866" s="20">
        <f t="shared" si="1"/>
        <v>18</v>
      </c>
      <c r="H4866" s="18" t="s">
        <v>34</v>
      </c>
      <c r="I4866" s="19" t="str">
        <f>IFERROR(__xludf.DUMMYFUNCTION("IFERROR(TO_DATE(H4866), """")"),"NA")</f>
        <v>NA</v>
      </c>
      <c r="J4866" s="19" t="s">
        <v>12</v>
      </c>
      <c r="K4866" s="22">
        <f t="shared" si="2"/>
        <v>0</v>
      </c>
    </row>
    <row r="4867">
      <c r="A4867" s="18">
        <v>2257.0</v>
      </c>
      <c r="B4867" s="18" t="s">
        <v>30</v>
      </c>
      <c r="C4867" s="18" t="s">
        <v>34</v>
      </c>
      <c r="D4867" s="18" t="s">
        <v>35</v>
      </c>
      <c r="E4867" s="26">
        <v>42563.770833333336</v>
      </c>
      <c r="F4867" s="19">
        <f>IFERROR(__xludf.DUMMYFUNCTION("IFERROR(TO_DATE(E4867), """")"),42563.770833333336)</f>
        <v>42563.77083</v>
      </c>
      <c r="G4867" s="20">
        <f t="shared" si="1"/>
        <v>18</v>
      </c>
      <c r="H4867" s="18" t="s">
        <v>34</v>
      </c>
      <c r="I4867" s="19" t="str">
        <f>IFERROR(__xludf.DUMMYFUNCTION("IFERROR(TO_DATE(H4867), """")"),"NA")</f>
        <v>NA</v>
      </c>
      <c r="J4867" s="19" t="s">
        <v>12</v>
      </c>
      <c r="K4867" s="22">
        <f t="shared" si="2"/>
        <v>0</v>
      </c>
    </row>
    <row r="4868">
      <c r="A4868" s="18">
        <v>2271.0</v>
      </c>
      <c r="B4868" s="18" t="s">
        <v>32</v>
      </c>
      <c r="C4868" s="18" t="s">
        <v>34</v>
      </c>
      <c r="D4868" s="18" t="s">
        <v>35</v>
      </c>
      <c r="E4868" s="26">
        <v>42563.77222222222</v>
      </c>
      <c r="F4868" s="19">
        <f>IFERROR(__xludf.DUMMYFUNCTION("IFERROR(TO_DATE(E4868), """")"),42563.77222222222)</f>
        <v>42563.77222</v>
      </c>
      <c r="G4868" s="20">
        <f t="shared" si="1"/>
        <v>18</v>
      </c>
      <c r="H4868" s="18" t="s">
        <v>34</v>
      </c>
      <c r="I4868" s="19" t="str">
        <f>IFERROR(__xludf.DUMMYFUNCTION("IFERROR(TO_DATE(H4868), """")"),"NA")</f>
        <v>NA</v>
      </c>
      <c r="J4868" s="19" t="s">
        <v>12</v>
      </c>
      <c r="K4868" s="22">
        <f t="shared" si="2"/>
        <v>0</v>
      </c>
    </row>
    <row r="4869">
      <c r="A4869" s="18">
        <v>2265.0</v>
      </c>
      <c r="B4869" s="18" t="s">
        <v>30</v>
      </c>
      <c r="C4869" s="18" t="s">
        <v>34</v>
      </c>
      <c r="D4869" s="18" t="s">
        <v>35</v>
      </c>
      <c r="E4869" s="26">
        <v>42563.77222222222</v>
      </c>
      <c r="F4869" s="19">
        <f>IFERROR(__xludf.DUMMYFUNCTION("IFERROR(TO_DATE(E4869), """")"),42563.77222222222)</f>
        <v>42563.77222</v>
      </c>
      <c r="G4869" s="20">
        <f t="shared" si="1"/>
        <v>18</v>
      </c>
      <c r="H4869" s="18" t="s">
        <v>34</v>
      </c>
      <c r="I4869" s="19" t="str">
        <f>IFERROR(__xludf.DUMMYFUNCTION("IFERROR(TO_DATE(H4869), """")"),"NA")</f>
        <v>NA</v>
      </c>
      <c r="J4869" s="19" t="s">
        <v>12</v>
      </c>
      <c r="K4869" s="22">
        <f t="shared" si="2"/>
        <v>0</v>
      </c>
    </row>
    <row r="4870">
      <c r="A4870" s="18">
        <v>2264.0</v>
      </c>
      <c r="B4870" s="18" t="s">
        <v>30</v>
      </c>
      <c r="C4870" s="18" t="s">
        <v>34</v>
      </c>
      <c r="D4870" s="18" t="s">
        <v>35</v>
      </c>
      <c r="E4870" s="26">
        <v>42563.77222222222</v>
      </c>
      <c r="F4870" s="19">
        <f>IFERROR(__xludf.DUMMYFUNCTION("IFERROR(TO_DATE(E4870), """")"),42563.77222222222)</f>
        <v>42563.77222</v>
      </c>
      <c r="G4870" s="20">
        <f t="shared" si="1"/>
        <v>18</v>
      </c>
      <c r="H4870" s="18" t="s">
        <v>34</v>
      </c>
      <c r="I4870" s="19" t="str">
        <f>IFERROR(__xludf.DUMMYFUNCTION("IFERROR(TO_DATE(H4870), """")"),"NA")</f>
        <v>NA</v>
      </c>
      <c r="J4870" s="19" t="s">
        <v>12</v>
      </c>
      <c r="K4870" s="22">
        <f t="shared" si="2"/>
        <v>0</v>
      </c>
    </row>
    <row r="4871">
      <c r="A4871" s="18">
        <v>2251.0</v>
      </c>
      <c r="B4871" s="18" t="s">
        <v>30</v>
      </c>
      <c r="C4871" s="18" t="s">
        <v>34</v>
      </c>
      <c r="D4871" s="18" t="s">
        <v>35</v>
      </c>
      <c r="E4871" s="26">
        <v>42563.77222222222</v>
      </c>
      <c r="F4871" s="19">
        <f>IFERROR(__xludf.DUMMYFUNCTION("IFERROR(TO_DATE(E4871), """")"),42563.77222222222)</f>
        <v>42563.77222</v>
      </c>
      <c r="G4871" s="20">
        <f t="shared" si="1"/>
        <v>18</v>
      </c>
      <c r="H4871" s="18" t="s">
        <v>34</v>
      </c>
      <c r="I4871" s="19" t="str">
        <f>IFERROR(__xludf.DUMMYFUNCTION("IFERROR(TO_DATE(H4871), """")"),"NA")</f>
        <v>NA</v>
      </c>
      <c r="J4871" s="19" t="s">
        <v>12</v>
      </c>
      <c r="K4871" s="22">
        <f t="shared" si="2"/>
        <v>0</v>
      </c>
    </row>
    <row r="4872">
      <c r="A4872" s="18">
        <v>2269.0</v>
      </c>
      <c r="B4872" s="18" t="s">
        <v>30</v>
      </c>
      <c r="C4872" s="18" t="s">
        <v>34</v>
      </c>
      <c r="D4872" s="18" t="s">
        <v>35</v>
      </c>
      <c r="E4872" s="26">
        <v>42563.77291666667</v>
      </c>
      <c r="F4872" s="19">
        <f>IFERROR(__xludf.DUMMYFUNCTION("IFERROR(TO_DATE(E4872), """")"),42563.77291666667)</f>
        <v>42563.77292</v>
      </c>
      <c r="G4872" s="20">
        <f t="shared" si="1"/>
        <v>18</v>
      </c>
      <c r="H4872" s="18" t="s">
        <v>34</v>
      </c>
      <c r="I4872" s="19" t="str">
        <f>IFERROR(__xludf.DUMMYFUNCTION("IFERROR(TO_DATE(H4872), """")"),"NA")</f>
        <v>NA</v>
      </c>
      <c r="J4872" s="19" t="s">
        <v>12</v>
      </c>
      <c r="K4872" s="22">
        <f t="shared" si="2"/>
        <v>0</v>
      </c>
    </row>
    <row r="4873">
      <c r="A4873" s="18">
        <v>2278.0</v>
      </c>
      <c r="B4873" s="18" t="s">
        <v>30</v>
      </c>
      <c r="C4873" s="18" t="s">
        <v>34</v>
      </c>
      <c r="D4873" s="18" t="s">
        <v>35</v>
      </c>
      <c r="E4873" s="26">
        <v>42563.775</v>
      </c>
      <c r="F4873" s="19">
        <f>IFERROR(__xludf.DUMMYFUNCTION("IFERROR(TO_DATE(E4873), """")"),42563.775)</f>
        <v>42563.775</v>
      </c>
      <c r="G4873" s="20">
        <f t="shared" si="1"/>
        <v>18</v>
      </c>
      <c r="H4873" s="18" t="s">
        <v>34</v>
      </c>
      <c r="I4873" s="19" t="str">
        <f>IFERROR(__xludf.DUMMYFUNCTION("IFERROR(TO_DATE(H4873), """")"),"NA")</f>
        <v>NA</v>
      </c>
      <c r="J4873" s="19" t="s">
        <v>12</v>
      </c>
      <c r="K4873" s="22">
        <f t="shared" si="2"/>
        <v>0</v>
      </c>
    </row>
    <row r="4874">
      <c r="A4874" s="18">
        <v>2273.0</v>
      </c>
      <c r="B4874" s="18" t="s">
        <v>30</v>
      </c>
      <c r="C4874" s="18" t="s">
        <v>34</v>
      </c>
      <c r="D4874" s="18" t="s">
        <v>35</v>
      </c>
      <c r="E4874" s="26">
        <v>42563.775</v>
      </c>
      <c r="F4874" s="19">
        <f>IFERROR(__xludf.DUMMYFUNCTION("IFERROR(TO_DATE(E4874), """")"),42563.775)</f>
        <v>42563.775</v>
      </c>
      <c r="G4874" s="20">
        <f t="shared" si="1"/>
        <v>18</v>
      </c>
      <c r="H4874" s="18" t="s">
        <v>34</v>
      </c>
      <c r="I4874" s="19" t="str">
        <f>IFERROR(__xludf.DUMMYFUNCTION("IFERROR(TO_DATE(H4874), """")"),"NA")</f>
        <v>NA</v>
      </c>
      <c r="J4874" s="19" t="s">
        <v>12</v>
      </c>
      <c r="K4874" s="22">
        <f t="shared" si="2"/>
        <v>0</v>
      </c>
    </row>
    <row r="4875">
      <c r="A4875" s="18">
        <v>2281.0</v>
      </c>
      <c r="B4875" s="18" t="s">
        <v>30</v>
      </c>
      <c r="C4875" s="18" t="s">
        <v>34</v>
      </c>
      <c r="D4875" s="18" t="s">
        <v>35</v>
      </c>
      <c r="E4875" s="26">
        <v>42563.775</v>
      </c>
      <c r="F4875" s="19">
        <f>IFERROR(__xludf.DUMMYFUNCTION("IFERROR(TO_DATE(E4875), """")"),42563.775)</f>
        <v>42563.775</v>
      </c>
      <c r="G4875" s="20">
        <f t="shared" si="1"/>
        <v>18</v>
      </c>
      <c r="H4875" s="18" t="s">
        <v>34</v>
      </c>
      <c r="I4875" s="19" t="str">
        <f>IFERROR(__xludf.DUMMYFUNCTION("IFERROR(TO_DATE(H4875), """")"),"NA")</f>
        <v>NA</v>
      </c>
      <c r="J4875" s="19" t="s">
        <v>12</v>
      </c>
      <c r="K4875" s="22">
        <f t="shared" si="2"/>
        <v>0</v>
      </c>
    </row>
    <row r="4876">
      <c r="A4876" s="18">
        <v>2272.0</v>
      </c>
      <c r="B4876" s="18" t="s">
        <v>30</v>
      </c>
      <c r="C4876" s="18" t="s">
        <v>34</v>
      </c>
      <c r="D4876" s="18" t="s">
        <v>35</v>
      </c>
      <c r="E4876" s="26">
        <v>42563.777083333334</v>
      </c>
      <c r="F4876" s="19">
        <f>IFERROR(__xludf.DUMMYFUNCTION("IFERROR(TO_DATE(E4876), """")"),42563.777083333334)</f>
        <v>42563.77708</v>
      </c>
      <c r="G4876" s="20">
        <f t="shared" si="1"/>
        <v>18</v>
      </c>
      <c r="H4876" s="18" t="s">
        <v>34</v>
      </c>
      <c r="I4876" s="19" t="str">
        <f>IFERROR(__xludf.DUMMYFUNCTION("IFERROR(TO_DATE(H4876), """")"),"NA")</f>
        <v>NA</v>
      </c>
      <c r="J4876" s="19" t="s">
        <v>12</v>
      </c>
      <c r="K4876" s="22">
        <f t="shared" si="2"/>
        <v>0</v>
      </c>
    </row>
    <row r="4877">
      <c r="A4877" s="18">
        <v>2280.0</v>
      </c>
      <c r="B4877" s="18" t="s">
        <v>30</v>
      </c>
      <c r="C4877" s="18" t="s">
        <v>34</v>
      </c>
      <c r="D4877" s="18" t="s">
        <v>35</v>
      </c>
      <c r="E4877" s="26">
        <v>42563.77777777778</v>
      </c>
      <c r="F4877" s="19">
        <f>IFERROR(__xludf.DUMMYFUNCTION("IFERROR(TO_DATE(E4877), """")"),42563.77777777778)</f>
        <v>42563.77778</v>
      </c>
      <c r="G4877" s="20">
        <f t="shared" si="1"/>
        <v>18</v>
      </c>
      <c r="H4877" s="18" t="s">
        <v>34</v>
      </c>
      <c r="I4877" s="19" t="str">
        <f>IFERROR(__xludf.DUMMYFUNCTION("IFERROR(TO_DATE(H4877), """")"),"NA")</f>
        <v>NA</v>
      </c>
      <c r="J4877" s="19" t="s">
        <v>12</v>
      </c>
      <c r="K4877" s="22">
        <f t="shared" si="2"/>
        <v>0</v>
      </c>
    </row>
    <row r="4878">
      <c r="A4878" s="18">
        <v>2287.0</v>
      </c>
      <c r="B4878" s="18" t="s">
        <v>30</v>
      </c>
      <c r="C4878" s="18" t="s">
        <v>34</v>
      </c>
      <c r="D4878" s="18" t="s">
        <v>35</v>
      </c>
      <c r="E4878" s="26">
        <v>42563.77777777778</v>
      </c>
      <c r="F4878" s="19">
        <f>IFERROR(__xludf.DUMMYFUNCTION("IFERROR(TO_DATE(E4878), """")"),42563.77777777778)</f>
        <v>42563.77778</v>
      </c>
      <c r="G4878" s="20">
        <f t="shared" si="1"/>
        <v>18</v>
      </c>
      <c r="H4878" s="18" t="s">
        <v>34</v>
      </c>
      <c r="I4878" s="19" t="str">
        <f>IFERROR(__xludf.DUMMYFUNCTION("IFERROR(TO_DATE(H4878), """")"),"NA")</f>
        <v>NA</v>
      </c>
      <c r="J4878" s="19" t="s">
        <v>12</v>
      </c>
      <c r="K4878" s="22">
        <f t="shared" si="2"/>
        <v>0</v>
      </c>
    </row>
    <row r="4879">
      <c r="A4879" s="18">
        <v>2284.0</v>
      </c>
      <c r="B4879" s="18" t="s">
        <v>30</v>
      </c>
      <c r="C4879" s="18" t="s">
        <v>34</v>
      </c>
      <c r="D4879" s="18" t="s">
        <v>35</v>
      </c>
      <c r="E4879" s="26">
        <v>42563.77847222222</v>
      </c>
      <c r="F4879" s="19">
        <f>IFERROR(__xludf.DUMMYFUNCTION("IFERROR(TO_DATE(E4879), """")"),42563.77847222222)</f>
        <v>42563.77847</v>
      </c>
      <c r="G4879" s="20">
        <f t="shared" si="1"/>
        <v>18</v>
      </c>
      <c r="H4879" s="18" t="s">
        <v>34</v>
      </c>
      <c r="I4879" s="19" t="str">
        <f>IFERROR(__xludf.DUMMYFUNCTION("IFERROR(TO_DATE(H4879), """")"),"NA")</f>
        <v>NA</v>
      </c>
      <c r="J4879" s="19" t="s">
        <v>12</v>
      </c>
      <c r="K4879" s="22">
        <f t="shared" si="2"/>
        <v>0</v>
      </c>
    </row>
    <row r="4880">
      <c r="A4880" s="18">
        <v>2286.0</v>
      </c>
      <c r="B4880" s="18" t="s">
        <v>30</v>
      </c>
      <c r="C4880" s="18" t="s">
        <v>34</v>
      </c>
      <c r="D4880" s="18" t="s">
        <v>35</v>
      </c>
      <c r="E4880" s="26">
        <v>42563.77847222222</v>
      </c>
      <c r="F4880" s="19">
        <f>IFERROR(__xludf.DUMMYFUNCTION("IFERROR(TO_DATE(E4880), """")"),42563.77847222222)</f>
        <v>42563.77847</v>
      </c>
      <c r="G4880" s="20">
        <f t="shared" si="1"/>
        <v>18</v>
      </c>
      <c r="H4880" s="18" t="s">
        <v>34</v>
      </c>
      <c r="I4880" s="19" t="str">
        <f>IFERROR(__xludf.DUMMYFUNCTION("IFERROR(TO_DATE(H4880), """")"),"NA")</f>
        <v>NA</v>
      </c>
      <c r="J4880" s="19" t="s">
        <v>12</v>
      </c>
      <c r="K4880" s="22">
        <f t="shared" si="2"/>
        <v>0</v>
      </c>
    </row>
    <row r="4881">
      <c r="A4881" s="18">
        <v>2283.0</v>
      </c>
      <c r="B4881" s="18" t="s">
        <v>30</v>
      </c>
      <c r="C4881" s="18" t="s">
        <v>34</v>
      </c>
      <c r="D4881" s="18" t="s">
        <v>35</v>
      </c>
      <c r="E4881" s="26">
        <v>42563.77847222222</v>
      </c>
      <c r="F4881" s="19">
        <f>IFERROR(__xludf.DUMMYFUNCTION("IFERROR(TO_DATE(E4881), """")"),42563.77847222222)</f>
        <v>42563.77847</v>
      </c>
      <c r="G4881" s="20">
        <f t="shared" si="1"/>
        <v>18</v>
      </c>
      <c r="H4881" s="18" t="s">
        <v>34</v>
      </c>
      <c r="I4881" s="19" t="str">
        <f>IFERROR(__xludf.DUMMYFUNCTION("IFERROR(TO_DATE(H4881), """")"),"NA")</f>
        <v>NA</v>
      </c>
      <c r="J4881" s="19" t="s">
        <v>12</v>
      </c>
      <c r="K4881" s="22">
        <f t="shared" si="2"/>
        <v>0</v>
      </c>
    </row>
    <row r="4882">
      <c r="A4882" s="18">
        <v>2289.0</v>
      </c>
      <c r="B4882" s="18" t="s">
        <v>30</v>
      </c>
      <c r="C4882" s="18" t="s">
        <v>34</v>
      </c>
      <c r="D4882" s="18" t="s">
        <v>35</v>
      </c>
      <c r="E4882" s="26">
        <v>42563.77847222222</v>
      </c>
      <c r="F4882" s="19">
        <f>IFERROR(__xludf.DUMMYFUNCTION("IFERROR(TO_DATE(E4882), """")"),42563.77847222222)</f>
        <v>42563.77847</v>
      </c>
      <c r="G4882" s="20">
        <f t="shared" si="1"/>
        <v>18</v>
      </c>
      <c r="H4882" s="18" t="s">
        <v>34</v>
      </c>
      <c r="I4882" s="19" t="str">
        <f>IFERROR(__xludf.DUMMYFUNCTION("IFERROR(TO_DATE(H4882), """")"),"NA")</f>
        <v>NA</v>
      </c>
      <c r="J4882" s="19" t="s">
        <v>12</v>
      </c>
      <c r="K4882" s="22">
        <f t="shared" si="2"/>
        <v>0</v>
      </c>
    </row>
    <row r="4883">
      <c r="A4883" s="18">
        <v>2288.0</v>
      </c>
      <c r="B4883" s="18" t="s">
        <v>30</v>
      </c>
      <c r="C4883" s="18" t="s">
        <v>34</v>
      </c>
      <c r="D4883" s="18" t="s">
        <v>35</v>
      </c>
      <c r="E4883" s="26">
        <v>42563.77916666667</v>
      </c>
      <c r="F4883" s="19">
        <f>IFERROR(__xludf.DUMMYFUNCTION("IFERROR(TO_DATE(E4883), """")"),42563.77916666667)</f>
        <v>42563.77917</v>
      </c>
      <c r="G4883" s="20">
        <f t="shared" si="1"/>
        <v>18</v>
      </c>
      <c r="H4883" s="18" t="s">
        <v>34</v>
      </c>
      <c r="I4883" s="19" t="str">
        <f>IFERROR(__xludf.DUMMYFUNCTION("IFERROR(TO_DATE(H4883), """")"),"NA")</f>
        <v>NA</v>
      </c>
      <c r="J4883" s="19" t="s">
        <v>12</v>
      </c>
      <c r="K4883" s="22">
        <f t="shared" si="2"/>
        <v>0</v>
      </c>
    </row>
    <row r="4884">
      <c r="A4884" s="18">
        <v>2291.0</v>
      </c>
      <c r="B4884" s="18" t="s">
        <v>30</v>
      </c>
      <c r="C4884" s="18" t="s">
        <v>34</v>
      </c>
      <c r="D4884" s="18" t="s">
        <v>35</v>
      </c>
      <c r="E4884" s="26">
        <v>42563.78194444445</v>
      </c>
      <c r="F4884" s="19">
        <f>IFERROR(__xludf.DUMMYFUNCTION("IFERROR(TO_DATE(E4884), """")"),42563.78194444445)</f>
        <v>42563.78194</v>
      </c>
      <c r="G4884" s="20">
        <f t="shared" si="1"/>
        <v>18</v>
      </c>
      <c r="H4884" s="18" t="s">
        <v>34</v>
      </c>
      <c r="I4884" s="19" t="str">
        <f>IFERROR(__xludf.DUMMYFUNCTION("IFERROR(TO_DATE(H4884), """")"),"NA")</f>
        <v>NA</v>
      </c>
      <c r="J4884" s="19" t="s">
        <v>12</v>
      </c>
      <c r="K4884" s="22">
        <f t="shared" si="2"/>
        <v>0</v>
      </c>
    </row>
    <row r="4885">
      <c r="A4885" s="18">
        <v>2302.0</v>
      </c>
      <c r="B4885" s="18" t="s">
        <v>30</v>
      </c>
      <c r="C4885" s="18" t="s">
        <v>34</v>
      </c>
      <c r="D4885" s="18" t="s">
        <v>35</v>
      </c>
      <c r="E4885" s="26">
        <v>42563.782638888886</v>
      </c>
      <c r="F4885" s="19">
        <f>IFERROR(__xludf.DUMMYFUNCTION("IFERROR(TO_DATE(E4885), """")"),42563.782638888886)</f>
        <v>42563.78264</v>
      </c>
      <c r="G4885" s="20">
        <f t="shared" si="1"/>
        <v>18</v>
      </c>
      <c r="H4885" s="18" t="s">
        <v>34</v>
      </c>
      <c r="I4885" s="19" t="str">
        <f>IFERROR(__xludf.DUMMYFUNCTION("IFERROR(TO_DATE(H4885), """")"),"NA")</f>
        <v>NA</v>
      </c>
      <c r="J4885" s="19" t="s">
        <v>12</v>
      </c>
      <c r="K4885" s="22">
        <f t="shared" si="2"/>
        <v>0</v>
      </c>
    </row>
    <row r="4886">
      <c r="A4886" s="18">
        <v>2290.0</v>
      </c>
      <c r="B4886" s="18" t="s">
        <v>30</v>
      </c>
      <c r="C4886" s="18" t="s">
        <v>34</v>
      </c>
      <c r="D4886" s="18" t="s">
        <v>35</v>
      </c>
      <c r="E4886" s="26">
        <v>42563.78333333333</v>
      </c>
      <c r="F4886" s="19">
        <f>IFERROR(__xludf.DUMMYFUNCTION("IFERROR(TO_DATE(E4886), """")"),42563.78333333333)</f>
        <v>42563.78333</v>
      </c>
      <c r="G4886" s="20">
        <f t="shared" si="1"/>
        <v>18</v>
      </c>
      <c r="H4886" s="18" t="s">
        <v>34</v>
      </c>
      <c r="I4886" s="19" t="str">
        <f>IFERROR(__xludf.DUMMYFUNCTION("IFERROR(TO_DATE(H4886), """")"),"NA")</f>
        <v>NA</v>
      </c>
      <c r="J4886" s="19" t="s">
        <v>12</v>
      </c>
      <c r="K4886" s="22">
        <f t="shared" si="2"/>
        <v>0</v>
      </c>
    </row>
    <row r="4887">
      <c r="A4887" s="18">
        <v>2296.0</v>
      </c>
      <c r="B4887" s="18" t="s">
        <v>30</v>
      </c>
      <c r="C4887" s="18" t="s">
        <v>34</v>
      </c>
      <c r="D4887" s="18" t="s">
        <v>35</v>
      </c>
      <c r="E4887" s="26">
        <v>42563.78333333333</v>
      </c>
      <c r="F4887" s="19">
        <f>IFERROR(__xludf.DUMMYFUNCTION("IFERROR(TO_DATE(E4887), """")"),42563.78333333333)</f>
        <v>42563.78333</v>
      </c>
      <c r="G4887" s="20">
        <f t="shared" si="1"/>
        <v>18</v>
      </c>
      <c r="H4887" s="18" t="s">
        <v>34</v>
      </c>
      <c r="I4887" s="19" t="str">
        <f>IFERROR(__xludf.DUMMYFUNCTION("IFERROR(TO_DATE(H4887), """")"),"NA")</f>
        <v>NA</v>
      </c>
      <c r="J4887" s="19" t="s">
        <v>12</v>
      </c>
      <c r="K4887" s="22">
        <f t="shared" si="2"/>
        <v>0</v>
      </c>
    </row>
    <row r="4888">
      <c r="A4888" s="18">
        <v>2299.0</v>
      </c>
      <c r="B4888" s="18" t="s">
        <v>30</v>
      </c>
      <c r="C4888" s="18" t="s">
        <v>34</v>
      </c>
      <c r="D4888" s="18" t="s">
        <v>35</v>
      </c>
      <c r="E4888" s="26">
        <v>42563.78402777778</v>
      </c>
      <c r="F4888" s="19">
        <f>IFERROR(__xludf.DUMMYFUNCTION("IFERROR(TO_DATE(E4888), """")"),42563.78402777778)</f>
        <v>42563.78403</v>
      </c>
      <c r="G4888" s="20">
        <f t="shared" si="1"/>
        <v>18</v>
      </c>
      <c r="H4888" s="18" t="s">
        <v>34</v>
      </c>
      <c r="I4888" s="19" t="str">
        <f>IFERROR(__xludf.DUMMYFUNCTION("IFERROR(TO_DATE(H4888), """")"),"NA")</f>
        <v>NA</v>
      </c>
      <c r="J4888" s="19" t="s">
        <v>12</v>
      </c>
      <c r="K4888" s="22">
        <f t="shared" si="2"/>
        <v>0</v>
      </c>
    </row>
    <row r="4889">
      <c r="A4889" s="18">
        <v>2301.0</v>
      </c>
      <c r="B4889" s="18" t="s">
        <v>30</v>
      </c>
      <c r="C4889" s="18" t="s">
        <v>34</v>
      </c>
      <c r="D4889" s="18" t="s">
        <v>35</v>
      </c>
      <c r="E4889" s="26">
        <v>42563.78472222222</v>
      </c>
      <c r="F4889" s="19">
        <f>IFERROR(__xludf.DUMMYFUNCTION("IFERROR(TO_DATE(E4889), """")"),42563.78472222222)</f>
        <v>42563.78472</v>
      </c>
      <c r="G4889" s="20">
        <f t="shared" si="1"/>
        <v>18</v>
      </c>
      <c r="H4889" s="18" t="s">
        <v>34</v>
      </c>
      <c r="I4889" s="19" t="str">
        <f>IFERROR(__xludf.DUMMYFUNCTION("IFERROR(TO_DATE(H4889), """")"),"NA")</f>
        <v>NA</v>
      </c>
      <c r="J4889" s="19" t="s">
        <v>12</v>
      </c>
      <c r="K4889" s="22">
        <f t="shared" si="2"/>
        <v>0</v>
      </c>
    </row>
    <row r="4890">
      <c r="A4890" s="18">
        <v>2293.0</v>
      </c>
      <c r="B4890" s="18" t="s">
        <v>30</v>
      </c>
      <c r="C4890" s="18" t="s">
        <v>34</v>
      </c>
      <c r="D4890" s="18" t="s">
        <v>35</v>
      </c>
      <c r="E4890" s="26">
        <v>42563.78472222222</v>
      </c>
      <c r="F4890" s="19">
        <f>IFERROR(__xludf.DUMMYFUNCTION("IFERROR(TO_DATE(E4890), """")"),42563.78472222222)</f>
        <v>42563.78472</v>
      </c>
      <c r="G4890" s="20">
        <f t="shared" si="1"/>
        <v>18</v>
      </c>
      <c r="H4890" s="18" t="s">
        <v>34</v>
      </c>
      <c r="I4890" s="19" t="str">
        <f>IFERROR(__xludf.DUMMYFUNCTION("IFERROR(TO_DATE(H4890), """")"),"NA")</f>
        <v>NA</v>
      </c>
      <c r="J4890" s="19" t="s">
        <v>12</v>
      </c>
      <c r="K4890" s="22">
        <f t="shared" si="2"/>
        <v>0</v>
      </c>
    </row>
    <row r="4891">
      <c r="A4891" s="18">
        <v>2298.0</v>
      </c>
      <c r="B4891" s="18" t="s">
        <v>30</v>
      </c>
      <c r="C4891" s="18" t="s">
        <v>34</v>
      </c>
      <c r="D4891" s="18" t="s">
        <v>35</v>
      </c>
      <c r="E4891" s="26">
        <v>42563.78680555556</v>
      </c>
      <c r="F4891" s="19">
        <f>IFERROR(__xludf.DUMMYFUNCTION("IFERROR(TO_DATE(E4891), """")"),42563.78680555556)</f>
        <v>42563.78681</v>
      </c>
      <c r="G4891" s="20">
        <f t="shared" si="1"/>
        <v>18</v>
      </c>
      <c r="H4891" s="18" t="s">
        <v>34</v>
      </c>
      <c r="I4891" s="19" t="str">
        <f>IFERROR(__xludf.DUMMYFUNCTION("IFERROR(TO_DATE(H4891), """")"),"NA")</f>
        <v>NA</v>
      </c>
      <c r="J4891" s="19" t="s">
        <v>12</v>
      </c>
      <c r="K4891" s="22">
        <f t="shared" si="2"/>
        <v>0</v>
      </c>
    </row>
    <row r="4892">
      <c r="A4892" s="18">
        <v>2303.0</v>
      </c>
      <c r="B4892" s="18" t="s">
        <v>30</v>
      </c>
      <c r="C4892" s="18" t="s">
        <v>34</v>
      </c>
      <c r="D4892" s="18" t="s">
        <v>35</v>
      </c>
      <c r="E4892" s="26">
        <v>42563.78680555556</v>
      </c>
      <c r="F4892" s="19">
        <f>IFERROR(__xludf.DUMMYFUNCTION("IFERROR(TO_DATE(E4892), """")"),42563.78680555556)</f>
        <v>42563.78681</v>
      </c>
      <c r="G4892" s="20">
        <f t="shared" si="1"/>
        <v>18</v>
      </c>
      <c r="H4892" s="18" t="s">
        <v>34</v>
      </c>
      <c r="I4892" s="19" t="str">
        <f>IFERROR(__xludf.DUMMYFUNCTION("IFERROR(TO_DATE(H4892), """")"),"NA")</f>
        <v>NA</v>
      </c>
      <c r="J4892" s="19" t="s">
        <v>12</v>
      </c>
      <c r="K4892" s="22">
        <f t="shared" si="2"/>
        <v>0</v>
      </c>
    </row>
    <row r="4893">
      <c r="A4893" s="18">
        <v>2300.0</v>
      </c>
      <c r="B4893" s="18" t="s">
        <v>30</v>
      </c>
      <c r="C4893" s="18" t="s">
        <v>34</v>
      </c>
      <c r="D4893" s="18" t="s">
        <v>35</v>
      </c>
      <c r="E4893" s="26">
        <v>42563.78680555556</v>
      </c>
      <c r="F4893" s="19">
        <f>IFERROR(__xludf.DUMMYFUNCTION("IFERROR(TO_DATE(E4893), """")"),42563.78680555556)</f>
        <v>42563.78681</v>
      </c>
      <c r="G4893" s="20">
        <f t="shared" si="1"/>
        <v>18</v>
      </c>
      <c r="H4893" s="18" t="s">
        <v>34</v>
      </c>
      <c r="I4893" s="19" t="str">
        <f>IFERROR(__xludf.DUMMYFUNCTION("IFERROR(TO_DATE(H4893), """")"),"NA")</f>
        <v>NA</v>
      </c>
      <c r="J4893" s="19" t="s">
        <v>12</v>
      </c>
      <c r="K4893" s="22">
        <f t="shared" si="2"/>
        <v>0</v>
      </c>
    </row>
    <row r="4894">
      <c r="A4894" s="18">
        <v>2297.0</v>
      </c>
      <c r="B4894" s="18" t="s">
        <v>30</v>
      </c>
      <c r="C4894" s="18" t="s">
        <v>34</v>
      </c>
      <c r="D4894" s="18" t="s">
        <v>35</v>
      </c>
      <c r="E4894" s="26">
        <v>42563.7875</v>
      </c>
      <c r="F4894" s="19">
        <f>IFERROR(__xludf.DUMMYFUNCTION("IFERROR(TO_DATE(E4894), """")"),42563.7875)</f>
        <v>42563.7875</v>
      </c>
      <c r="G4894" s="20">
        <f t="shared" si="1"/>
        <v>18</v>
      </c>
      <c r="H4894" s="18" t="s">
        <v>34</v>
      </c>
      <c r="I4894" s="19" t="str">
        <f>IFERROR(__xludf.DUMMYFUNCTION("IFERROR(TO_DATE(H4894), """")"),"NA")</f>
        <v>NA</v>
      </c>
      <c r="J4894" s="19" t="s">
        <v>12</v>
      </c>
      <c r="K4894" s="22">
        <f t="shared" si="2"/>
        <v>0</v>
      </c>
    </row>
    <row r="4895">
      <c r="A4895" s="18">
        <v>2315.0</v>
      </c>
      <c r="B4895" s="18" t="s">
        <v>30</v>
      </c>
      <c r="C4895" s="18" t="s">
        <v>34</v>
      </c>
      <c r="D4895" s="18" t="s">
        <v>35</v>
      </c>
      <c r="E4895" s="26">
        <v>42563.79027777778</v>
      </c>
      <c r="F4895" s="19">
        <f>IFERROR(__xludf.DUMMYFUNCTION("IFERROR(TO_DATE(E4895), """")"),42563.79027777778)</f>
        <v>42563.79028</v>
      </c>
      <c r="G4895" s="20">
        <f t="shared" si="1"/>
        <v>18</v>
      </c>
      <c r="H4895" s="18" t="s">
        <v>34</v>
      </c>
      <c r="I4895" s="19" t="str">
        <f>IFERROR(__xludf.DUMMYFUNCTION("IFERROR(TO_DATE(H4895), """")"),"NA")</f>
        <v>NA</v>
      </c>
      <c r="J4895" s="19" t="s">
        <v>12</v>
      </c>
      <c r="K4895" s="22">
        <f t="shared" si="2"/>
        <v>0</v>
      </c>
    </row>
    <row r="4896">
      <c r="A4896" s="18">
        <v>2312.0</v>
      </c>
      <c r="B4896" s="18" t="s">
        <v>30</v>
      </c>
      <c r="C4896" s="18" t="s">
        <v>34</v>
      </c>
      <c r="D4896" s="18" t="s">
        <v>35</v>
      </c>
      <c r="E4896" s="26">
        <v>42563.79027777778</v>
      </c>
      <c r="F4896" s="19">
        <f>IFERROR(__xludf.DUMMYFUNCTION("IFERROR(TO_DATE(E4896), """")"),42563.79027777778)</f>
        <v>42563.79028</v>
      </c>
      <c r="G4896" s="20">
        <f t="shared" si="1"/>
        <v>18</v>
      </c>
      <c r="H4896" s="18" t="s">
        <v>34</v>
      </c>
      <c r="I4896" s="19" t="str">
        <f>IFERROR(__xludf.DUMMYFUNCTION("IFERROR(TO_DATE(H4896), """")"),"NA")</f>
        <v>NA</v>
      </c>
      <c r="J4896" s="19" t="s">
        <v>12</v>
      </c>
      <c r="K4896" s="22">
        <f t="shared" si="2"/>
        <v>0</v>
      </c>
    </row>
    <row r="4897">
      <c r="A4897" s="18">
        <v>2309.0</v>
      </c>
      <c r="B4897" s="18" t="s">
        <v>30</v>
      </c>
      <c r="C4897" s="18" t="s">
        <v>34</v>
      </c>
      <c r="D4897" s="18" t="s">
        <v>35</v>
      </c>
      <c r="E4897" s="26">
        <v>42563.790972222225</v>
      </c>
      <c r="F4897" s="19">
        <f>IFERROR(__xludf.DUMMYFUNCTION("IFERROR(TO_DATE(E4897), """")"),42563.790972222225)</f>
        <v>42563.79097</v>
      </c>
      <c r="G4897" s="20">
        <f t="shared" si="1"/>
        <v>18</v>
      </c>
      <c r="H4897" s="18" t="s">
        <v>34</v>
      </c>
      <c r="I4897" s="19" t="str">
        <f>IFERROR(__xludf.DUMMYFUNCTION("IFERROR(TO_DATE(H4897), """")"),"NA")</f>
        <v>NA</v>
      </c>
      <c r="J4897" s="19" t="s">
        <v>12</v>
      </c>
      <c r="K4897" s="22">
        <f t="shared" si="2"/>
        <v>0</v>
      </c>
    </row>
    <row r="4898">
      <c r="A4898" s="18">
        <v>2304.0</v>
      </c>
      <c r="B4898" s="18" t="s">
        <v>30</v>
      </c>
      <c r="C4898" s="18" t="s">
        <v>34</v>
      </c>
      <c r="D4898" s="18" t="s">
        <v>35</v>
      </c>
      <c r="E4898" s="26">
        <v>42563.790972222225</v>
      </c>
      <c r="F4898" s="19">
        <f>IFERROR(__xludf.DUMMYFUNCTION("IFERROR(TO_DATE(E4898), """")"),42563.790972222225)</f>
        <v>42563.79097</v>
      </c>
      <c r="G4898" s="20">
        <f t="shared" si="1"/>
        <v>18</v>
      </c>
      <c r="H4898" s="18" t="s">
        <v>34</v>
      </c>
      <c r="I4898" s="19" t="str">
        <f>IFERROR(__xludf.DUMMYFUNCTION("IFERROR(TO_DATE(H4898), """")"),"NA")</f>
        <v>NA</v>
      </c>
      <c r="J4898" s="19" t="s">
        <v>12</v>
      </c>
      <c r="K4898" s="22">
        <f t="shared" si="2"/>
        <v>0</v>
      </c>
    </row>
    <row r="4899">
      <c r="A4899" s="18">
        <v>2314.0</v>
      </c>
      <c r="B4899" s="18" t="s">
        <v>30</v>
      </c>
      <c r="C4899" s="18" t="s">
        <v>34</v>
      </c>
      <c r="D4899" s="18" t="s">
        <v>35</v>
      </c>
      <c r="E4899" s="26">
        <v>42563.790972222225</v>
      </c>
      <c r="F4899" s="19">
        <f>IFERROR(__xludf.DUMMYFUNCTION("IFERROR(TO_DATE(E4899), """")"),42563.790972222225)</f>
        <v>42563.79097</v>
      </c>
      <c r="G4899" s="20">
        <f t="shared" si="1"/>
        <v>18</v>
      </c>
      <c r="H4899" s="18" t="s">
        <v>34</v>
      </c>
      <c r="I4899" s="19" t="str">
        <f>IFERROR(__xludf.DUMMYFUNCTION("IFERROR(TO_DATE(H4899), """")"),"NA")</f>
        <v>NA</v>
      </c>
      <c r="J4899" s="19" t="s">
        <v>12</v>
      </c>
      <c r="K4899" s="22">
        <f t="shared" si="2"/>
        <v>0</v>
      </c>
    </row>
    <row r="4900">
      <c r="A4900" s="18">
        <v>2308.0</v>
      </c>
      <c r="B4900" s="18" t="s">
        <v>30</v>
      </c>
      <c r="C4900" s="18" t="s">
        <v>34</v>
      </c>
      <c r="D4900" s="18" t="s">
        <v>35</v>
      </c>
      <c r="E4900" s="26">
        <v>42563.79305555556</v>
      </c>
      <c r="F4900" s="19">
        <f>IFERROR(__xludf.DUMMYFUNCTION("IFERROR(TO_DATE(E4900), """")"),42563.79305555556)</f>
        <v>42563.79306</v>
      </c>
      <c r="G4900" s="20">
        <f t="shared" si="1"/>
        <v>19</v>
      </c>
      <c r="H4900" s="18" t="s">
        <v>34</v>
      </c>
      <c r="I4900" s="19" t="str">
        <f>IFERROR(__xludf.DUMMYFUNCTION("IFERROR(TO_DATE(H4900), """")"),"NA")</f>
        <v>NA</v>
      </c>
      <c r="J4900" s="19" t="s">
        <v>12</v>
      </c>
      <c r="K4900" s="22">
        <f t="shared" si="2"/>
        <v>0</v>
      </c>
    </row>
    <row r="4901">
      <c r="A4901" s="18">
        <v>2317.0</v>
      </c>
      <c r="B4901" s="18" t="s">
        <v>30</v>
      </c>
      <c r="C4901" s="18" t="s">
        <v>34</v>
      </c>
      <c r="D4901" s="18" t="s">
        <v>35</v>
      </c>
      <c r="E4901" s="26">
        <v>42563.79305555556</v>
      </c>
      <c r="F4901" s="19">
        <f>IFERROR(__xludf.DUMMYFUNCTION("IFERROR(TO_DATE(E4901), """")"),42563.79305555556)</f>
        <v>42563.79306</v>
      </c>
      <c r="G4901" s="20">
        <f t="shared" si="1"/>
        <v>19</v>
      </c>
      <c r="H4901" s="18" t="s">
        <v>34</v>
      </c>
      <c r="I4901" s="19" t="str">
        <f>IFERROR(__xludf.DUMMYFUNCTION("IFERROR(TO_DATE(H4901), """")"),"NA")</f>
        <v>NA</v>
      </c>
      <c r="J4901" s="19" t="s">
        <v>12</v>
      </c>
      <c r="K4901" s="22">
        <f t="shared" si="2"/>
        <v>0</v>
      </c>
    </row>
    <row r="4902">
      <c r="A4902" s="18">
        <v>2313.0</v>
      </c>
      <c r="B4902" s="18" t="s">
        <v>30</v>
      </c>
      <c r="C4902" s="18" t="s">
        <v>34</v>
      </c>
      <c r="D4902" s="18" t="s">
        <v>35</v>
      </c>
      <c r="E4902" s="26">
        <v>42563.79375</v>
      </c>
      <c r="F4902" s="19">
        <f>IFERROR(__xludf.DUMMYFUNCTION("IFERROR(TO_DATE(E4902), """")"),42563.79375)</f>
        <v>42563.79375</v>
      </c>
      <c r="G4902" s="20">
        <f t="shared" si="1"/>
        <v>19</v>
      </c>
      <c r="H4902" s="18" t="s">
        <v>34</v>
      </c>
      <c r="I4902" s="19" t="str">
        <f>IFERROR(__xludf.DUMMYFUNCTION("IFERROR(TO_DATE(H4902), """")"),"NA")</f>
        <v>NA</v>
      </c>
      <c r="J4902" s="19" t="s">
        <v>12</v>
      </c>
      <c r="K4902" s="22">
        <f t="shared" si="2"/>
        <v>0</v>
      </c>
    </row>
    <row r="4903">
      <c r="A4903" s="18">
        <v>2306.0</v>
      </c>
      <c r="B4903" s="18" t="s">
        <v>32</v>
      </c>
      <c r="C4903" s="18" t="s">
        <v>34</v>
      </c>
      <c r="D4903" s="18" t="s">
        <v>35</v>
      </c>
      <c r="E4903" s="26">
        <v>42563.79375</v>
      </c>
      <c r="F4903" s="19">
        <f>IFERROR(__xludf.DUMMYFUNCTION("IFERROR(TO_DATE(E4903), """")"),42563.79375)</f>
        <v>42563.79375</v>
      </c>
      <c r="G4903" s="20">
        <f t="shared" si="1"/>
        <v>19</v>
      </c>
      <c r="H4903" s="18" t="s">
        <v>34</v>
      </c>
      <c r="I4903" s="19" t="str">
        <f>IFERROR(__xludf.DUMMYFUNCTION("IFERROR(TO_DATE(H4903), """")"),"NA")</f>
        <v>NA</v>
      </c>
      <c r="J4903" s="19" t="s">
        <v>12</v>
      </c>
      <c r="K4903" s="22">
        <f t="shared" si="2"/>
        <v>0</v>
      </c>
    </row>
    <row r="4904">
      <c r="A4904" s="18">
        <v>2316.0</v>
      </c>
      <c r="B4904" s="18" t="s">
        <v>30</v>
      </c>
      <c r="C4904" s="18" t="s">
        <v>34</v>
      </c>
      <c r="D4904" s="18" t="s">
        <v>35</v>
      </c>
      <c r="E4904" s="26">
        <v>42563.794444444444</v>
      </c>
      <c r="F4904" s="19">
        <f>IFERROR(__xludf.DUMMYFUNCTION("IFERROR(TO_DATE(E4904), """")"),42563.794444444444)</f>
        <v>42563.79444</v>
      </c>
      <c r="G4904" s="20">
        <f t="shared" si="1"/>
        <v>19</v>
      </c>
      <c r="H4904" s="18" t="s">
        <v>34</v>
      </c>
      <c r="I4904" s="19" t="str">
        <f>IFERROR(__xludf.DUMMYFUNCTION("IFERROR(TO_DATE(H4904), """")"),"NA")</f>
        <v>NA</v>
      </c>
      <c r="J4904" s="19" t="s">
        <v>12</v>
      </c>
      <c r="K4904" s="22">
        <f t="shared" si="2"/>
        <v>0</v>
      </c>
    </row>
    <row r="4905">
      <c r="A4905" s="18">
        <v>2321.0</v>
      </c>
      <c r="B4905" s="18" t="s">
        <v>30</v>
      </c>
      <c r="C4905" s="18" t="s">
        <v>34</v>
      </c>
      <c r="D4905" s="18" t="s">
        <v>35</v>
      </c>
      <c r="E4905" s="26">
        <v>42563.794444444444</v>
      </c>
      <c r="F4905" s="19">
        <f>IFERROR(__xludf.DUMMYFUNCTION("IFERROR(TO_DATE(E4905), """")"),42563.794444444444)</f>
        <v>42563.79444</v>
      </c>
      <c r="G4905" s="20">
        <f t="shared" si="1"/>
        <v>19</v>
      </c>
      <c r="H4905" s="18" t="s">
        <v>34</v>
      </c>
      <c r="I4905" s="19" t="str">
        <f>IFERROR(__xludf.DUMMYFUNCTION("IFERROR(TO_DATE(H4905), """")"),"NA")</f>
        <v>NA</v>
      </c>
      <c r="J4905" s="19" t="s">
        <v>12</v>
      </c>
      <c r="K4905" s="22">
        <f t="shared" si="2"/>
        <v>0</v>
      </c>
    </row>
    <row r="4906">
      <c r="A4906" s="18">
        <v>2318.0</v>
      </c>
      <c r="B4906" s="18" t="s">
        <v>30</v>
      </c>
      <c r="C4906" s="18" t="s">
        <v>34</v>
      </c>
      <c r="D4906" s="18" t="s">
        <v>35</v>
      </c>
      <c r="E4906" s="26">
        <v>42563.794444444444</v>
      </c>
      <c r="F4906" s="19">
        <f>IFERROR(__xludf.DUMMYFUNCTION("IFERROR(TO_DATE(E4906), """")"),42563.794444444444)</f>
        <v>42563.79444</v>
      </c>
      <c r="G4906" s="20">
        <f t="shared" si="1"/>
        <v>19</v>
      </c>
      <c r="H4906" s="18" t="s">
        <v>34</v>
      </c>
      <c r="I4906" s="19" t="str">
        <f>IFERROR(__xludf.DUMMYFUNCTION("IFERROR(TO_DATE(H4906), """")"),"NA")</f>
        <v>NA</v>
      </c>
      <c r="J4906" s="19" t="s">
        <v>12</v>
      </c>
      <c r="K4906" s="22">
        <f t="shared" si="2"/>
        <v>0</v>
      </c>
    </row>
    <row r="4907">
      <c r="A4907" s="18">
        <v>2319.0</v>
      </c>
      <c r="B4907" s="18" t="s">
        <v>30</v>
      </c>
      <c r="C4907" s="18" t="s">
        <v>34</v>
      </c>
      <c r="D4907" s="18" t="s">
        <v>35</v>
      </c>
      <c r="E4907" s="26">
        <v>42563.79652777778</v>
      </c>
      <c r="F4907" s="19">
        <f>IFERROR(__xludf.DUMMYFUNCTION("IFERROR(TO_DATE(E4907), """")"),42563.79652777778)</f>
        <v>42563.79653</v>
      </c>
      <c r="G4907" s="20">
        <f t="shared" si="1"/>
        <v>19</v>
      </c>
      <c r="H4907" s="18" t="s">
        <v>34</v>
      </c>
      <c r="I4907" s="19" t="str">
        <f>IFERROR(__xludf.DUMMYFUNCTION("IFERROR(TO_DATE(H4907), """")"),"NA")</f>
        <v>NA</v>
      </c>
      <c r="J4907" s="19" t="s">
        <v>12</v>
      </c>
      <c r="K4907" s="22">
        <f t="shared" si="2"/>
        <v>0</v>
      </c>
    </row>
    <row r="4908">
      <c r="A4908" s="18">
        <v>2320.0</v>
      </c>
      <c r="B4908" s="18" t="s">
        <v>30</v>
      </c>
      <c r="C4908" s="18" t="s">
        <v>34</v>
      </c>
      <c r="D4908" s="18" t="s">
        <v>35</v>
      </c>
      <c r="E4908" s="26">
        <v>42563.79652777778</v>
      </c>
      <c r="F4908" s="19">
        <f>IFERROR(__xludf.DUMMYFUNCTION("IFERROR(TO_DATE(E4908), """")"),42563.79652777778)</f>
        <v>42563.79653</v>
      </c>
      <c r="G4908" s="20">
        <f t="shared" si="1"/>
        <v>19</v>
      </c>
      <c r="H4908" s="18" t="s">
        <v>34</v>
      </c>
      <c r="I4908" s="19" t="str">
        <f>IFERROR(__xludf.DUMMYFUNCTION("IFERROR(TO_DATE(H4908), """")"),"NA")</f>
        <v>NA</v>
      </c>
      <c r="J4908" s="19" t="s">
        <v>12</v>
      </c>
      <c r="K4908" s="22">
        <f t="shared" si="2"/>
        <v>0</v>
      </c>
    </row>
    <row r="4909">
      <c r="A4909" s="18">
        <v>2324.0</v>
      </c>
      <c r="B4909" s="18" t="s">
        <v>30</v>
      </c>
      <c r="C4909" s="18" t="s">
        <v>34</v>
      </c>
      <c r="D4909" s="18" t="s">
        <v>35</v>
      </c>
      <c r="E4909" s="26">
        <v>42563.79722222222</v>
      </c>
      <c r="F4909" s="19">
        <f>IFERROR(__xludf.DUMMYFUNCTION("IFERROR(TO_DATE(E4909), """")"),42563.79722222222)</f>
        <v>42563.79722</v>
      </c>
      <c r="G4909" s="20">
        <f t="shared" si="1"/>
        <v>19</v>
      </c>
      <c r="H4909" s="18" t="s">
        <v>34</v>
      </c>
      <c r="I4909" s="19" t="str">
        <f>IFERROR(__xludf.DUMMYFUNCTION("IFERROR(TO_DATE(H4909), """")"),"NA")</f>
        <v>NA</v>
      </c>
      <c r="J4909" s="19" t="s">
        <v>12</v>
      </c>
      <c r="K4909" s="22">
        <f t="shared" si="2"/>
        <v>0</v>
      </c>
    </row>
    <row r="4910">
      <c r="A4910" s="18">
        <v>2322.0</v>
      </c>
      <c r="B4910" s="18" t="s">
        <v>30</v>
      </c>
      <c r="C4910" s="18" t="s">
        <v>34</v>
      </c>
      <c r="D4910" s="18" t="s">
        <v>35</v>
      </c>
      <c r="E4910" s="26">
        <v>42563.79791666667</v>
      </c>
      <c r="F4910" s="19">
        <f>IFERROR(__xludf.DUMMYFUNCTION("IFERROR(TO_DATE(E4910), """")"),42563.79791666667)</f>
        <v>42563.79792</v>
      </c>
      <c r="G4910" s="20">
        <f t="shared" si="1"/>
        <v>19</v>
      </c>
      <c r="H4910" s="18" t="s">
        <v>34</v>
      </c>
      <c r="I4910" s="19" t="str">
        <f>IFERROR(__xludf.DUMMYFUNCTION("IFERROR(TO_DATE(H4910), """")"),"NA")</f>
        <v>NA</v>
      </c>
      <c r="J4910" s="19" t="s">
        <v>12</v>
      </c>
      <c r="K4910" s="22">
        <f t="shared" si="2"/>
        <v>0</v>
      </c>
    </row>
    <row r="4911">
      <c r="A4911" s="18">
        <v>2329.0</v>
      </c>
      <c r="B4911" s="18" t="s">
        <v>30</v>
      </c>
      <c r="C4911" s="18" t="s">
        <v>34</v>
      </c>
      <c r="D4911" s="18" t="s">
        <v>35</v>
      </c>
      <c r="E4911" s="26">
        <v>42563.79861111111</v>
      </c>
      <c r="F4911" s="19">
        <f>IFERROR(__xludf.DUMMYFUNCTION("IFERROR(TO_DATE(E4911), """")"),42563.79861111111)</f>
        <v>42563.79861</v>
      </c>
      <c r="G4911" s="20">
        <f t="shared" si="1"/>
        <v>19</v>
      </c>
      <c r="H4911" s="18" t="s">
        <v>34</v>
      </c>
      <c r="I4911" s="19" t="str">
        <f>IFERROR(__xludf.DUMMYFUNCTION("IFERROR(TO_DATE(H4911), """")"),"NA")</f>
        <v>NA</v>
      </c>
      <c r="J4911" s="19" t="s">
        <v>12</v>
      </c>
      <c r="K4911" s="22">
        <f t="shared" si="2"/>
        <v>0</v>
      </c>
    </row>
    <row r="4912">
      <c r="A4912" s="18">
        <v>2325.0</v>
      </c>
      <c r="B4912" s="18" t="s">
        <v>30</v>
      </c>
      <c r="C4912" s="18" t="s">
        <v>34</v>
      </c>
      <c r="D4912" s="18" t="s">
        <v>35</v>
      </c>
      <c r="E4912" s="26">
        <v>42563.79861111111</v>
      </c>
      <c r="F4912" s="19">
        <f>IFERROR(__xludf.DUMMYFUNCTION("IFERROR(TO_DATE(E4912), """")"),42563.79861111111)</f>
        <v>42563.79861</v>
      </c>
      <c r="G4912" s="20">
        <f t="shared" si="1"/>
        <v>19</v>
      </c>
      <c r="H4912" s="18" t="s">
        <v>34</v>
      </c>
      <c r="I4912" s="19" t="str">
        <f>IFERROR(__xludf.DUMMYFUNCTION("IFERROR(TO_DATE(H4912), """")"),"NA")</f>
        <v>NA</v>
      </c>
      <c r="J4912" s="19" t="s">
        <v>12</v>
      </c>
      <c r="K4912" s="22">
        <f t="shared" si="2"/>
        <v>0</v>
      </c>
    </row>
    <row r="4913">
      <c r="A4913" s="18">
        <v>2344.0</v>
      </c>
      <c r="B4913" s="18" t="s">
        <v>30</v>
      </c>
      <c r="C4913" s="18" t="s">
        <v>34</v>
      </c>
      <c r="D4913" s="18" t="s">
        <v>35</v>
      </c>
      <c r="E4913" s="26">
        <v>42563.80069444444</v>
      </c>
      <c r="F4913" s="19">
        <f>IFERROR(__xludf.DUMMYFUNCTION("IFERROR(TO_DATE(E4913), """")"),42563.80069444444)</f>
        <v>42563.80069</v>
      </c>
      <c r="G4913" s="20">
        <f t="shared" si="1"/>
        <v>19</v>
      </c>
      <c r="H4913" s="18" t="s">
        <v>34</v>
      </c>
      <c r="I4913" s="19" t="str">
        <f>IFERROR(__xludf.DUMMYFUNCTION("IFERROR(TO_DATE(H4913), """")"),"NA")</f>
        <v>NA</v>
      </c>
      <c r="J4913" s="19" t="s">
        <v>12</v>
      </c>
      <c r="K4913" s="22">
        <f t="shared" si="2"/>
        <v>0</v>
      </c>
    </row>
    <row r="4914">
      <c r="A4914" s="18">
        <v>2334.0</v>
      </c>
      <c r="B4914" s="18" t="s">
        <v>30</v>
      </c>
      <c r="C4914" s="18" t="s">
        <v>34</v>
      </c>
      <c r="D4914" s="18" t="s">
        <v>35</v>
      </c>
      <c r="E4914" s="26">
        <v>42563.80138888889</v>
      </c>
      <c r="F4914" s="19">
        <f>IFERROR(__xludf.DUMMYFUNCTION("IFERROR(TO_DATE(E4914), """")"),42563.80138888889)</f>
        <v>42563.80139</v>
      </c>
      <c r="G4914" s="20">
        <f t="shared" si="1"/>
        <v>19</v>
      </c>
      <c r="H4914" s="18" t="s">
        <v>34</v>
      </c>
      <c r="I4914" s="19" t="str">
        <f>IFERROR(__xludf.DUMMYFUNCTION("IFERROR(TO_DATE(H4914), """")"),"NA")</f>
        <v>NA</v>
      </c>
      <c r="J4914" s="19" t="s">
        <v>12</v>
      </c>
      <c r="K4914" s="22">
        <f t="shared" si="2"/>
        <v>0</v>
      </c>
    </row>
    <row r="4915">
      <c r="A4915" s="18">
        <v>2330.0</v>
      </c>
      <c r="B4915" s="18" t="s">
        <v>30</v>
      </c>
      <c r="C4915" s="18" t="s">
        <v>34</v>
      </c>
      <c r="D4915" s="18" t="s">
        <v>35</v>
      </c>
      <c r="E4915" s="26">
        <v>42563.802083333336</v>
      </c>
      <c r="F4915" s="19">
        <f>IFERROR(__xludf.DUMMYFUNCTION("IFERROR(TO_DATE(E4915), """")"),42563.802083333336)</f>
        <v>42563.80208</v>
      </c>
      <c r="G4915" s="20">
        <f t="shared" si="1"/>
        <v>19</v>
      </c>
      <c r="H4915" s="18" t="s">
        <v>34</v>
      </c>
      <c r="I4915" s="19" t="str">
        <f>IFERROR(__xludf.DUMMYFUNCTION("IFERROR(TO_DATE(H4915), """")"),"NA")</f>
        <v>NA</v>
      </c>
      <c r="J4915" s="19" t="s">
        <v>12</v>
      </c>
      <c r="K4915" s="22">
        <f t="shared" si="2"/>
        <v>0</v>
      </c>
    </row>
    <row r="4916">
      <c r="A4916" s="18">
        <v>2337.0</v>
      </c>
      <c r="B4916" s="18" t="s">
        <v>30</v>
      </c>
      <c r="C4916" s="18" t="s">
        <v>34</v>
      </c>
      <c r="D4916" s="18" t="s">
        <v>35</v>
      </c>
      <c r="E4916" s="26">
        <v>42563.802083333336</v>
      </c>
      <c r="F4916" s="19">
        <f>IFERROR(__xludf.DUMMYFUNCTION("IFERROR(TO_DATE(E4916), """")"),42563.802083333336)</f>
        <v>42563.80208</v>
      </c>
      <c r="G4916" s="20">
        <f t="shared" si="1"/>
        <v>19</v>
      </c>
      <c r="H4916" s="18" t="s">
        <v>34</v>
      </c>
      <c r="I4916" s="19" t="str">
        <f>IFERROR(__xludf.DUMMYFUNCTION("IFERROR(TO_DATE(H4916), """")"),"NA")</f>
        <v>NA</v>
      </c>
      <c r="J4916" s="19" t="s">
        <v>12</v>
      </c>
      <c r="K4916" s="22">
        <f t="shared" si="2"/>
        <v>0</v>
      </c>
    </row>
    <row r="4917">
      <c r="A4917" s="18">
        <v>2326.0</v>
      </c>
      <c r="B4917" s="18" t="s">
        <v>30</v>
      </c>
      <c r="C4917" s="18" t="s">
        <v>34</v>
      </c>
      <c r="D4917" s="18" t="s">
        <v>35</v>
      </c>
      <c r="E4917" s="26">
        <v>42563.802777777775</v>
      </c>
      <c r="F4917" s="19">
        <f>IFERROR(__xludf.DUMMYFUNCTION("IFERROR(TO_DATE(E4917), """")"),42563.802777777775)</f>
        <v>42563.80278</v>
      </c>
      <c r="G4917" s="20">
        <f t="shared" si="1"/>
        <v>19</v>
      </c>
      <c r="H4917" s="18" t="s">
        <v>34</v>
      </c>
      <c r="I4917" s="19" t="str">
        <f>IFERROR(__xludf.DUMMYFUNCTION("IFERROR(TO_DATE(H4917), """")"),"NA")</f>
        <v>NA</v>
      </c>
      <c r="J4917" s="19" t="s">
        <v>12</v>
      </c>
      <c r="K4917" s="22">
        <f t="shared" si="2"/>
        <v>0</v>
      </c>
    </row>
    <row r="4918">
      <c r="A4918" s="18">
        <v>2341.0</v>
      </c>
      <c r="B4918" s="18" t="s">
        <v>30</v>
      </c>
      <c r="C4918" s="18" t="s">
        <v>34</v>
      </c>
      <c r="D4918" s="18" t="s">
        <v>35</v>
      </c>
      <c r="E4918" s="26">
        <v>42563.80347222222</v>
      </c>
      <c r="F4918" s="19">
        <f>IFERROR(__xludf.DUMMYFUNCTION("IFERROR(TO_DATE(E4918), """")"),42563.80347222222)</f>
        <v>42563.80347</v>
      </c>
      <c r="G4918" s="20">
        <f t="shared" si="1"/>
        <v>19</v>
      </c>
      <c r="H4918" s="18" t="s">
        <v>34</v>
      </c>
      <c r="I4918" s="19" t="str">
        <f>IFERROR(__xludf.DUMMYFUNCTION("IFERROR(TO_DATE(H4918), """")"),"NA")</f>
        <v>NA</v>
      </c>
      <c r="J4918" s="19" t="s">
        <v>12</v>
      </c>
      <c r="K4918" s="22">
        <f t="shared" si="2"/>
        <v>0</v>
      </c>
    </row>
    <row r="4919">
      <c r="A4919" s="18">
        <v>2332.0</v>
      </c>
      <c r="B4919" s="18" t="s">
        <v>32</v>
      </c>
      <c r="C4919" s="18" t="s">
        <v>34</v>
      </c>
      <c r="D4919" s="18" t="s">
        <v>35</v>
      </c>
      <c r="E4919" s="26">
        <v>42563.80347222222</v>
      </c>
      <c r="F4919" s="19">
        <f>IFERROR(__xludf.DUMMYFUNCTION("IFERROR(TO_DATE(E4919), """")"),42563.80347222222)</f>
        <v>42563.80347</v>
      </c>
      <c r="G4919" s="20">
        <f t="shared" si="1"/>
        <v>19</v>
      </c>
      <c r="H4919" s="18" t="s">
        <v>34</v>
      </c>
      <c r="I4919" s="19" t="str">
        <f>IFERROR(__xludf.DUMMYFUNCTION("IFERROR(TO_DATE(H4919), """")"),"NA")</f>
        <v>NA</v>
      </c>
      <c r="J4919" s="19" t="s">
        <v>12</v>
      </c>
      <c r="K4919" s="22">
        <f t="shared" si="2"/>
        <v>0</v>
      </c>
    </row>
    <row r="4920">
      <c r="A4920" s="18">
        <v>2338.0</v>
      </c>
      <c r="B4920" s="18" t="s">
        <v>30</v>
      </c>
      <c r="C4920" s="18" t="s">
        <v>34</v>
      </c>
      <c r="D4920" s="18" t="s">
        <v>35</v>
      </c>
      <c r="E4920" s="26">
        <v>42563.80347222222</v>
      </c>
      <c r="F4920" s="19">
        <f>IFERROR(__xludf.DUMMYFUNCTION("IFERROR(TO_DATE(E4920), """")"),42563.80347222222)</f>
        <v>42563.80347</v>
      </c>
      <c r="G4920" s="20">
        <f t="shared" si="1"/>
        <v>19</v>
      </c>
      <c r="H4920" s="18" t="s">
        <v>34</v>
      </c>
      <c r="I4920" s="19" t="str">
        <f>IFERROR(__xludf.DUMMYFUNCTION("IFERROR(TO_DATE(H4920), """")"),"NA")</f>
        <v>NA</v>
      </c>
      <c r="J4920" s="19" t="s">
        <v>12</v>
      </c>
      <c r="K4920" s="22">
        <f t="shared" si="2"/>
        <v>0</v>
      </c>
    </row>
    <row r="4921">
      <c r="A4921" s="18">
        <v>2333.0</v>
      </c>
      <c r="B4921" s="18" t="s">
        <v>30</v>
      </c>
      <c r="C4921" s="18" t="s">
        <v>34</v>
      </c>
      <c r="D4921" s="18" t="s">
        <v>35</v>
      </c>
      <c r="E4921" s="26">
        <v>42563.80347222222</v>
      </c>
      <c r="F4921" s="19">
        <f>IFERROR(__xludf.DUMMYFUNCTION("IFERROR(TO_DATE(E4921), """")"),42563.80347222222)</f>
        <v>42563.80347</v>
      </c>
      <c r="G4921" s="20">
        <f t="shared" si="1"/>
        <v>19</v>
      </c>
      <c r="H4921" s="18" t="s">
        <v>34</v>
      </c>
      <c r="I4921" s="19" t="str">
        <f>IFERROR(__xludf.DUMMYFUNCTION("IFERROR(TO_DATE(H4921), """")"),"NA")</f>
        <v>NA</v>
      </c>
      <c r="J4921" s="19" t="s">
        <v>12</v>
      </c>
      <c r="K4921" s="22">
        <f t="shared" si="2"/>
        <v>0</v>
      </c>
    </row>
    <row r="4922">
      <c r="A4922" s="18">
        <v>2336.0</v>
      </c>
      <c r="B4922" s="18" t="s">
        <v>30</v>
      </c>
      <c r="C4922" s="18" t="s">
        <v>34</v>
      </c>
      <c r="D4922" s="18" t="s">
        <v>35</v>
      </c>
      <c r="E4922" s="26">
        <v>42563.80416666667</v>
      </c>
      <c r="F4922" s="19">
        <f>IFERROR(__xludf.DUMMYFUNCTION("IFERROR(TO_DATE(E4922), """")"),42563.80416666667)</f>
        <v>42563.80417</v>
      </c>
      <c r="G4922" s="20">
        <f t="shared" si="1"/>
        <v>19</v>
      </c>
      <c r="H4922" s="18" t="s">
        <v>34</v>
      </c>
      <c r="I4922" s="19" t="str">
        <f>IFERROR(__xludf.DUMMYFUNCTION("IFERROR(TO_DATE(H4922), """")"),"NA")</f>
        <v>NA</v>
      </c>
      <c r="J4922" s="19" t="s">
        <v>12</v>
      </c>
      <c r="K4922" s="22">
        <f t="shared" si="2"/>
        <v>0</v>
      </c>
    </row>
    <row r="4923">
      <c r="A4923" s="18">
        <v>2342.0</v>
      </c>
      <c r="B4923" s="18" t="s">
        <v>30</v>
      </c>
      <c r="C4923" s="18" t="s">
        <v>34</v>
      </c>
      <c r="D4923" s="18" t="s">
        <v>35</v>
      </c>
      <c r="E4923" s="26">
        <v>42563.80416666667</v>
      </c>
      <c r="F4923" s="19">
        <f>IFERROR(__xludf.DUMMYFUNCTION("IFERROR(TO_DATE(E4923), """")"),42563.80416666667)</f>
        <v>42563.80417</v>
      </c>
      <c r="G4923" s="20">
        <f t="shared" si="1"/>
        <v>19</v>
      </c>
      <c r="H4923" s="18" t="s">
        <v>34</v>
      </c>
      <c r="I4923" s="19" t="str">
        <f>IFERROR(__xludf.DUMMYFUNCTION("IFERROR(TO_DATE(H4923), """")"),"NA")</f>
        <v>NA</v>
      </c>
      <c r="J4923" s="19" t="s">
        <v>12</v>
      </c>
      <c r="K4923" s="22">
        <f t="shared" si="2"/>
        <v>0</v>
      </c>
    </row>
    <row r="4924">
      <c r="A4924" s="18">
        <v>2343.0</v>
      </c>
      <c r="B4924" s="18" t="s">
        <v>30</v>
      </c>
      <c r="C4924" s="18" t="s">
        <v>34</v>
      </c>
      <c r="D4924" s="18" t="s">
        <v>35</v>
      </c>
      <c r="E4924" s="26">
        <v>42563.80486111111</v>
      </c>
      <c r="F4924" s="19">
        <f>IFERROR(__xludf.DUMMYFUNCTION("IFERROR(TO_DATE(E4924), """")"),42563.80486111111)</f>
        <v>42563.80486</v>
      </c>
      <c r="G4924" s="20">
        <f t="shared" si="1"/>
        <v>19</v>
      </c>
      <c r="H4924" s="18" t="s">
        <v>34</v>
      </c>
      <c r="I4924" s="19" t="str">
        <f>IFERROR(__xludf.DUMMYFUNCTION("IFERROR(TO_DATE(H4924), """")"),"NA")</f>
        <v>NA</v>
      </c>
      <c r="J4924" s="19" t="s">
        <v>12</v>
      </c>
      <c r="K4924" s="22">
        <f t="shared" si="2"/>
        <v>0</v>
      </c>
    </row>
    <row r="4925">
      <c r="A4925" s="18">
        <v>2351.0</v>
      </c>
      <c r="B4925" s="18" t="s">
        <v>32</v>
      </c>
      <c r="C4925" s="18" t="s">
        <v>34</v>
      </c>
      <c r="D4925" s="18" t="s">
        <v>35</v>
      </c>
      <c r="E4925" s="26">
        <v>42563.805555555555</v>
      </c>
      <c r="F4925" s="19">
        <f>IFERROR(__xludf.DUMMYFUNCTION("IFERROR(TO_DATE(E4925), """")"),42563.805555555555)</f>
        <v>42563.80556</v>
      </c>
      <c r="G4925" s="20">
        <f t="shared" si="1"/>
        <v>19</v>
      </c>
      <c r="H4925" s="18" t="s">
        <v>34</v>
      </c>
      <c r="I4925" s="19" t="str">
        <f>IFERROR(__xludf.DUMMYFUNCTION("IFERROR(TO_DATE(H4925), """")"),"NA")</f>
        <v>NA</v>
      </c>
      <c r="J4925" s="19" t="s">
        <v>12</v>
      </c>
      <c r="K4925" s="22">
        <f t="shared" si="2"/>
        <v>0</v>
      </c>
    </row>
    <row r="4926">
      <c r="A4926" s="18">
        <v>2345.0</v>
      </c>
      <c r="B4926" s="18" t="s">
        <v>30</v>
      </c>
      <c r="C4926" s="18" t="s">
        <v>34</v>
      </c>
      <c r="D4926" s="18" t="s">
        <v>35</v>
      </c>
      <c r="E4926" s="26">
        <v>42563.805555555555</v>
      </c>
      <c r="F4926" s="19">
        <f>IFERROR(__xludf.DUMMYFUNCTION("IFERROR(TO_DATE(E4926), """")"),42563.805555555555)</f>
        <v>42563.80556</v>
      </c>
      <c r="G4926" s="20">
        <f t="shared" si="1"/>
        <v>19</v>
      </c>
      <c r="H4926" s="18" t="s">
        <v>34</v>
      </c>
      <c r="I4926" s="19" t="str">
        <f>IFERROR(__xludf.DUMMYFUNCTION("IFERROR(TO_DATE(H4926), """")"),"NA")</f>
        <v>NA</v>
      </c>
      <c r="J4926" s="19" t="s">
        <v>12</v>
      </c>
      <c r="K4926" s="22">
        <f t="shared" si="2"/>
        <v>0</v>
      </c>
    </row>
    <row r="4927">
      <c r="A4927" s="18">
        <v>2350.0</v>
      </c>
      <c r="B4927" s="18" t="s">
        <v>32</v>
      </c>
      <c r="C4927" s="18" t="s">
        <v>34</v>
      </c>
      <c r="D4927" s="18" t="s">
        <v>35</v>
      </c>
      <c r="E4927" s="26">
        <v>42563.808333333334</v>
      </c>
      <c r="F4927" s="19">
        <f>IFERROR(__xludf.DUMMYFUNCTION("IFERROR(TO_DATE(E4927), """")"),42563.808333333334)</f>
        <v>42563.80833</v>
      </c>
      <c r="G4927" s="20">
        <f t="shared" si="1"/>
        <v>19</v>
      </c>
      <c r="H4927" s="18" t="s">
        <v>34</v>
      </c>
      <c r="I4927" s="19" t="str">
        <f>IFERROR(__xludf.DUMMYFUNCTION("IFERROR(TO_DATE(H4927), """")"),"NA")</f>
        <v>NA</v>
      </c>
      <c r="J4927" s="19" t="s">
        <v>12</v>
      </c>
      <c r="K4927" s="22">
        <f t="shared" si="2"/>
        <v>0</v>
      </c>
    </row>
    <row r="4928">
      <c r="A4928" s="18">
        <v>2352.0</v>
      </c>
      <c r="B4928" s="18" t="s">
        <v>30</v>
      </c>
      <c r="C4928" s="18" t="s">
        <v>34</v>
      </c>
      <c r="D4928" s="18" t="s">
        <v>35</v>
      </c>
      <c r="E4928" s="26">
        <v>42563.80972222222</v>
      </c>
      <c r="F4928" s="19">
        <f>IFERROR(__xludf.DUMMYFUNCTION("IFERROR(TO_DATE(E4928), """")"),42563.80972222222)</f>
        <v>42563.80972</v>
      </c>
      <c r="G4928" s="20">
        <f t="shared" si="1"/>
        <v>19</v>
      </c>
      <c r="H4928" s="18" t="s">
        <v>34</v>
      </c>
      <c r="I4928" s="19" t="str">
        <f>IFERROR(__xludf.DUMMYFUNCTION("IFERROR(TO_DATE(H4928), """")"),"NA")</f>
        <v>NA</v>
      </c>
      <c r="J4928" s="19" t="s">
        <v>12</v>
      </c>
      <c r="K4928" s="22">
        <f t="shared" si="2"/>
        <v>0</v>
      </c>
    </row>
    <row r="4929">
      <c r="A4929" s="18">
        <v>2361.0</v>
      </c>
      <c r="B4929" s="18" t="s">
        <v>30</v>
      </c>
      <c r="C4929" s="18" t="s">
        <v>34</v>
      </c>
      <c r="D4929" s="18" t="s">
        <v>35</v>
      </c>
      <c r="E4929" s="26">
        <v>42563.811111111114</v>
      </c>
      <c r="F4929" s="19">
        <f>IFERROR(__xludf.DUMMYFUNCTION("IFERROR(TO_DATE(E4929), """")"),42563.811111111114)</f>
        <v>42563.81111</v>
      </c>
      <c r="G4929" s="20">
        <f t="shared" si="1"/>
        <v>19</v>
      </c>
      <c r="H4929" s="18" t="s">
        <v>34</v>
      </c>
      <c r="I4929" s="19" t="str">
        <f>IFERROR(__xludf.DUMMYFUNCTION("IFERROR(TO_DATE(H4929), """")"),"NA")</f>
        <v>NA</v>
      </c>
      <c r="J4929" s="19" t="s">
        <v>12</v>
      </c>
      <c r="K4929" s="22">
        <f t="shared" si="2"/>
        <v>0</v>
      </c>
    </row>
    <row r="4930">
      <c r="A4930" s="18">
        <v>2364.0</v>
      </c>
      <c r="B4930" s="18" t="s">
        <v>30</v>
      </c>
      <c r="C4930" s="18" t="s">
        <v>34</v>
      </c>
      <c r="D4930" s="18" t="s">
        <v>35</v>
      </c>
      <c r="E4930" s="26">
        <v>42563.81180555555</v>
      </c>
      <c r="F4930" s="19">
        <f>IFERROR(__xludf.DUMMYFUNCTION("IFERROR(TO_DATE(E4930), """")"),42563.81180555555)</f>
        <v>42563.81181</v>
      </c>
      <c r="G4930" s="20">
        <f t="shared" si="1"/>
        <v>19</v>
      </c>
      <c r="H4930" s="18" t="s">
        <v>34</v>
      </c>
      <c r="I4930" s="19" t="str">
        <f>IFERROR(__xludf.DUMMYFUNCTION("IFERROR(TO_DATE(H4930), """")"),"NA")</f>
        <v>NA</v>
      </c>
      <c r="J4930" s="19" t="s">
        <v>12</v>
      </c>
      <c r="K4930" s="22">
        <f t="shared" si="2"/>
        <v>0</v>
      </c>
    </row>
    <row r="4931">
      <c r="A4931" s="18">
        <v>2355.0</v>
      </c>
      <c r="B4931" s="18" t="s">
        <v>30</v>
      </c>
      <c r="C4931" s="18" t="s">
        <v>34</v>
      </c>
      <c r="D4931" s="18" t="s">
        <v>35</v>
      </c>
      <c r="E4931" s="26">
        <v>42563.81319444445</v>
      </c>
      <c r="F4931" s="19">
        <f>IFERROR(__xludf.DUMMYFUNCTION("IFERROR(TO_DATE(E4931), """")"),42563.81319444445)</f>
        <v>42563.81319</v>
      </c>
      <c r="G4931" s="20">
        <f t="shared" si="1"/>
        <v>19</v>
      </c>
      <c r="H4931" s="18" t="s">
        <v>34</v>
      </c>
      <c r="I4931" s="19" t="str">
        <f>IFERROR(__xludf.DUMMYFUNCTION("IFERROR(TO_DATE(H4931), """")"),"NA")</f>
        <v>NA</v>
      </c>
      <c r="J4931" s="19" t="s">
        <v>12</v>
      </c>
      <c r="K4931" s="22">
        <f t="shared" si="2"/>
        <v>0</v>
      </c>
    </row>
    <row r="4932">
      <c r="A4932" s="18">
        <v>2357.0</v>
      </c>
      <c r="B4932" s="18" t="s">
        <v>30</v>
      </c>
      <c r="C4932" s="18" t="s">
        <v>34</v>
      </c>
      <c r="D4932" s="18" t="s">
        <v>35</v>
      </c>
      <c r="E4932" s="26">
        <v>42563.81319444445</v>
      </c>
      <c r="F4932" s="19">
        <f>IFERROR(__xludf.DUMMYFUNCTION("IFERROR(TO_DATE(E4932), """")"),42563.81319444445)</f>
        <v>42563.81319</v>
      </c>
      <c r="G4932" s="20">
        <f t="shared" si="1"/>
        <v>19</v>
      </c>
      <c r="H4932" s="18" t="s">
        <v>34</v>
      </c>
      <c r="I4932" s="19" t="str">
        <f>IFERROR(__xludf.DUMMYFUNCTION("IFERROR(TO_DATE(H4932), """")"),"NA")</f>
        <v>NA</v>
      </c>
      <c r="J4932" s="19" t="s">
        <v>12</v>
      </c>
      <c r="K4932" s="22">
        <f t="shared" si="2"/>
        <v>0</v>
      </c>
    </row>
    <row r="4933">
      <c r="A4933" s="18">
        <v>2366.0</v>
      </c>
      <c r="B4933" s="18" t="s">
        <v>30</v>
      </c>
      <c r="C4933" s="18" t="s">
        <v>34</v>
      </c>
      <c r="D4933" s="18" t="s">
        <v>35</v>
      </c>
      <c r="E4933" s="26">
        <v>42563.81458333333</v>
      </c>
      <c r="F4933" s="19">
        <f>IFERROR(__xludf.DUMMYFUNCTION("IFERROR(TO_DATE(E4933), """")"),42563.81458333333)</f>
        <v>42563.81458</v>
      </c>
      <c r="G4933" s="20">
        <f t="shared" si="1"/>
        <v>19</v>
      </c>
      <c r="H4933" s="18" t="s">
        <v>34</v>
      </c>
      <c r="I4933" s="19" t="str">
        <f>IFERROR(__xludf.DUMMYFUNCTION("IFERROR(TO_DATE(H4933), """")"),"NA")</f>
        <v>NA</v>
      </c>
      <c r="J4933" s="19" t="s">
        <v>12</v>
      </c>
      <c r="K4933" s="22">
        <f t="shared" si="2"/>
        <v>0</v>
      </c>
    </row>
    <row r="4934">
      <c r="A4934" s="18">
        <v>2367.0</v>
      </c>
      <c r="B4934" s="18" t="s">
        <v>30</v>
      </c>
      <c r="C4934" s="18" t="s">
        <v>34</v>
      </c>
      <c r="D4934" s="18" t="s">
        <v>35</v>
      </c>
      <c r="E4934" s="26">
        <v>42563.81597222222</v>
      </c>
      <c r="F4934" s="19">
        <f>IFERROR(__xludf.DUMMYFUNCTION("IFERROR(TO_DATE(E4934), """")"),42563.81597222222)</f>
        <v>42563.81597</v>
      </c>
      <c r="G4934" s="20">
        <f t="shared" si="1"/>
        <v>19</v>
      </c>
      <c r="H4934" s="18" t="s">
        <v>34</v>
      </c>
      <c r="I4934" s="19" t="str">
        <f>IFERROR(__xludf.DUMMYFUNCTION("IFERROR(TO_DATE(H4934), """")"),"NA")</f>
        <v>NA</v>
      </c>
      <c r="J4934" s="19" t="s">
        <v>12</v>
      </c>
      <c r="K4934" s="22">
        <f t="shared" si="2"/>
        <v>0</v>
      </c>
    </row>
    <row r="4935">
      <c r="A4935" s="18">
        <v>2358.0</v>
      </c>
      <c r="B4935" s="18" t="s">
        <v>30</v>
      </c>
      <c r="C4935" s="18" t="s">
        <v>34</v>
      </c>
      <c r="D4935" s="18" t="s">
        <v>35</v>
      </c>
      <c r="E4935" s="26">
        <v>42563.81597222222</v>
      </c>
      <c r="F4935" s="19">
        <f>IFERROR(__xludf.DUMMYFUNCTION("IFERROR(TO_DATE(E4935), """")"),42563.81597222222)</f>
        <v>42563.81597</v>
      </c>
      <c r="G4935" s="20">
        <f t="shared" si="1"/>
        <v>19</v>
      </c>
      <c r="H4935" s="18" t="s">
        <v>34</v>
      </c>
      <c r="I4935" s="19" t="str">
        <f>IFERROR(__xludf.DUMMYFUNCTION("IFERROR(TO_DATE(H4935), """")"),"NA")</f>
        <v>NA</v>
      </c>
      <c r="J4935" s="19" t="s">
        <v>12</v>
      </c>
      <c r="K4935" s="22">
        <f t="shared" si="2"/>
        <v>0</v>
      </c>
    </row>
    <row r="4936">
      <c r="A4936" s="18">
        <v>2362.0</v>
      </c>
      <c r="B4936" s="18" t="s">
        <v>30</v>
      </c>
      <c r="C4936" s="18" t="s">
        <v>34</v>
      </c>
      <c r="D4936" s="18" t="s">
        <v>35</v>
      </c>
      <c r="E4936" s="26">
        <v>42563.816666666666</v>
      </c>
      <c r="F4936" s="19">
        <f>IFERROR(__xludf.DUMMYFUNCTION("IFERROR(TO_DATE(E4936), """")"),42563.816666666666)</f>
        <v>42563.81667</v>
      </c>
      <c r="G4936" s="20">
        <f t="shared" si="1"/>
        <v>19</v>
      </c>
      <c r="H4936" s="18" t="s">
        <v>34</v>
      </c>
      <c r="I4936" s="19" t="str">
        <f>IFERROR(__xludf.DUMMYFUNCTION("IFERROR(TO_DATE(H4936), """")"),"NA")</f>
        <v>NA</v>
      </c>
      <c r="J4936" s="19" t="s">
        <v>12</v>
      </c>
      <c r="K4936" s="22">
        <f t="shared" si="2"/>
        <v>0</v>
      </c>
    </row>
    <row r="4937">
      <c r="A4937" s="18">
        <v>2371.0</v>
      </c>
      <c r="B4937" s="18" t="s">
        <v>30</v>
      </c>
      <c r="C4937" s="18" t="s">
        <v>34</v>
      </c>
      <c r="D4937" s="18" t="s">
        <v>35</v>
      </c>
      <c r="E4937" s="26">
        <v>42563.81736111111</v>
      </c>
      <c r="F4937" s="19">
        <f>IFERROR(__xludf.DUMMYFUNCTION("IFERROR(TO_DATE(E4937), """")"),42563.81736111111)</f>
        <v>42563.81736</v>
      </c>
      <c r="G4937" s="20">
        <f t="shared" si="1"/>
        <v>19</v>
      </c>
      <c r="H4937" s="18" t="s">
        <v>34</v>
      </c>
      <c r="I4937" s="19" t="str">
        <f>IFERROR(__xludf.DUMMYFUNCTION("IFERROR(TO_DATE(H4937), """")"),"NA")</f>
        <v>NA</v>
      </c>
      <c r="J4937" s="19" t="s">
        <v>12</v>
      </c>
      <c r="K4937" s="22">
        <f t="shared" si="2"/>
        <v>0</v>
      </c>
    </row>
    <row r="4938">
      <c r="A4938" s="18">
        <v>2369.0</v>
      </c>
      <c r="B4938" s="18" t="s">
        <v>32</v>
      </c>
      <c r="C4938" s="18" t="s">
        <v>34</v>
      </c>
      <c r="D4938" s="18" t="s">
        <v>35</v>
      </c>
      <c r="E4938" s="26">
        <v>42563.81736111111</v>
      </c>
      <c r="F4938" s="19">
        <f>IFERROR(__xludf.DUMMYFUNCTION("IFERROR(TO_DATE(E4938), """")"),42563.81736111111)</f>
        <v>42563.81736</v>
      </c>
      <c r="G4938" s="20">
        <f t="shared" si="1"/>
        <v>19</v>
      </c>
      <c r="H4938" s="18" t="s">
        <v>34</v>
      </c>
      <c r="I4938" s="19" t="str">
        <f>IFERROR(__xludf.DUMMYFUNCTION("IFERROR(TO_DATE(H4938), """")"),"NA")</f>
        <v>NA</v>
      </c>
      <c r="J4938" s="19" t="s">
        <v>12</v>
      </c>
      <c r="K4938" s="22">
        <f t="shared" si="2"/>
        <v>0</v>
      </c>
    </row>
    <row r="4939">
      <c r="A4939" s="18">
        <v>2380.0</v>
      </c>
      <c r="B4939" s="18" t="s">
        <v>30</v>
      </c>
      <c r="C4939" s="18" t="s">
        <v>34</v>
      </c>
      <c r="D4939" s="18" t="s">
        <v>35</v>
      </c>
      <c r="E4939" s="26">
        <v>42563.81875</v>
      </c>
      <c r="F4939" s="19">
        <f>IFERROR(__xludf.DUMMYFUNCTION("IFERROR(TO_DATE(E4939), """")"),42563.81875)</f>
        <v>42563.81875</v>
      </c>
      <c r="G4939" s="20">
        <f t="shared" si="1"/>
        <v>19</v>
      </c>
      <c r="H4939" s="18" t="s">
        <v>34</v>
      </c>
      <c r="I4939" s="19" t="str">
        <f>IFERROR(__xludf.DUMMYFUNCTION("IFERROR(TO_DATE(H4939), """")"),"NA")</f>
        <v>NA</v>
      </c>
      <c r="J4939" s="19" t="s">
        <v>12</v>
      </c>
      <c r="K4939" s="22">
        <f t="shared" si="2"/>
        <v>0</v>
      </c>
    </row>
    <row r="4940">
      <c r="A4940" s="18">
        <v>2377.0</v>
      </c>
      <c r="B4940" s="18" t="s">
        <v>30</v>
      </c>
      <c r="C4940" s="18" t="s">
        <v>34</v>
      </c>
      <c r="D4940" s="18" t="s">
        <v>35</v>
      </c>
      <c r="E4940" s="26">
        <v>42563.819444444445</v>
      </c>
      <c r="F4940" s="19">
        <f>IFERROR(__xludf.DUMMYFUNCTION("IFERROR(TO_DATE(E4940), """")"),42563.819444444445)</f>
        <v>42563.81944</v>
      </c>
      <c r="G4940" s="20">
        <f t="shared" si="1"/>
        <v>19</v>
      </c>
      <c r="H4940" s="18" t="s">
        <v>34</v>
      </c>
      <c r="I4940" s="19" t="str">
        <f>IFERROR(__xludf.DUMMYFUNCTION("IFERROR(TO_DATE(H4940), """")"),"NA")</f>
        <v>NA</v>
      </c>
      <c r="J4940" s="19" t="s">
        <v>12</v>
      </c>
      <c r="K4940" s="22">
        <f t="shared" si="2"/>
        <v>0</v>
      </c>
    </row>
    <row r="4941">
      <c r="A4941" s="18">
        <v>2384.0</v>
      </c>
      <c r="B4941" s="18" t="s">
        <v>30</v>
      </c>
      <c r="C4941" s="18" t="s">
        <v>34</v>
      </c>
      <c r="D4941" s="18" t="s">
        <v>35</v>
      </c>
      <c r="E4941" s="26">
        <v>42563.819444444445</v>
      </c>
      <c r="F4941" s="19">
        <f>IFERROR(__xludf.DUMMYFUNCTION("IFERROR(TO_DATE(E4941), """")"),42563.819444444445)</f>
        <v>42563.81944</v>
      </c>
      <c r="G4941" s="20">
        <f t="shared" si="1"/>
        <v>19</v>
      </c>
      <c r="H4941" s="18" t="s">
        <v>34</v>
      </c>
      <c r="I4941" s="19" t="str">
        <f>IFERROR(__xludf.DUMMYFUNCTION("IFERROR(TO_DATE(H4941), """")"),"NA")</f>
        <v>NA</v>
      </c>
      <c r="J4941" s="19" t="s">
        <v>12</v>
      </c>
      <c r="K4941" s="22">
        <f t="shared" si="2"/>
        <v>0</v>
      </c>
    </row>
    <row r="4942">
      <c r="A4942" s="18">
        <v>2374.0</v>
      </c>
      <c r="B4942" s="18" t="s">
        <v>30</v>
      </c>
      <c r="C4942" s="18" t="s">
        <v>34</v>
      </c>
      <c r="D4942" s="18" t="s">
        <v>35</v>
      </c>
      <c r="E4942" s="26">
        <v>42563.82013888889</v>
      </c>
      <c r="F4942" s="19">
        <f>IFERROR(__xludf.DUMMYFUNCTION("IFERROR(TO_DATE(E4942), """")"),42563.82013888889)</f>
        <v>42563.82014</v>
      </c>
      <c r="G4942" s="20">
        <f t="shared" si="1"/>
        <v>19</v>
      </c>
      <c r="H4942" s="18" t="s">
        <v>34</v>
      </c>
      <c r="I4942" s="19" t="str">
        <f>IFERROR(__xludf.DUMMYFUNCTION("IFERROR(TO_DATE(H4942), """")"),"NA")</f>
        <v>NA</v>
      </c>
      <c r="J4942" s="19" t="s">
        <v>12</v>
      </c>
      <c r="K4942" s="22">
        <f t="shared" si="2"/>
        <v>0</v>
      </c>
    </row>
    <row r="4943">
      <c r="A4943" s="18">
        <v>2379.0</v>
      </c>
      <c r="B4943" s="18" t="s">
        <v>30</v>
      </c>
      <c r="C4943" s="18" t="s">
        <v>34</v>
      </c>
      <c r="D4943" s="18" t="s">
        <v>35</v>
      </c>
      <c r="E4943" s="26">
        <v>42563.82152777778</v>
      </c>
      <c r="F4943" s="19">
        <f>IFERROR(__xludf.DUMMYFUNCTION("IFERROR(TO_DATE(E4943), """")"),42563.82152777778)</f>
        <v>42563.82153</v>
      </c>
      <c r="G4943" s="20">
        <f t="shared" si="1"/>
        <v>19</v>
      </c>
      <c r="H4943" s="18" t="s">
        <v>34</v>
      </c>
      <c r="I4943" s="19" t="str">
        <f>IFERROR(__xludf.DUMMYFUNCTION("IFERROR(TO_DATE(H4943), """")"),"NA")</f>
        <v>NA</v>
      </c>
      <c r="J4943" s="19" t="s">
        <v>12</v>
      </c>
      <c r="K4943" s="22">
        <f t="shared" si="2"/>
        <v>0</v>
      </c>
    </row>
    <row r="4944">
      <c r="A4944" s="18">
        <v>2376.0</v>
      </c>
      <c r="B4944" s="18" t="s">
        <v>32</v>
      </c>
      <c r="C4944" s="18" t="s">
        <v>34</v>
      </c>
      <c r="D4944" s="18" t="s">
        <v>35</v>
      </c>
      <c r="E4944" s="26">
        <v>42563.82152777778</v>
      </c>
      <c r="F4944" s="19">
        <f>IFERROR(__xludf.DUMMYFUNCTION("IFERROR(TO_DATE(E4944), """")"),42563.82152777778)</f>
        <v>42563.82153</v>
      </c>
      <c r="G4944" s="20">
        <f t="shared" si="1"/>
        <v>19</v>
      </c>
      <c r="H4944" s="18" t="s">
        <v>34</v>
      </c>
      <c r="I4944" s="19" t="str">
        <f>IFERROR(__xludf.DUMMYFUNCTION("IFERROR(TO_DATE(H4944), """")"),"NA")</f>
        <v>NA</v>
      </c>
      <c r="J4944" s="19" t="s">
        <v>12</v>
      </c>
      <c r="K4944" s="22">
        <f t="shared" si="2"/>
        <v>0</v>
      </c>
    </row>
    <row r="4945">
      <c r="A4945" s="18">
        <v>2378.0</v>
      </c>
      <c r="B4945" s="18" t="s">
        <v>30</v>
      </c>
      <c r="C4945" s="18" t="s">
        <v>34</v>
      </c>
      <c r="D4945" s="18" t="s">
        <v>35</v>
      </c>
      <c r="E4945" s="26">
        <v>42563.822222222225</v>
      </c>
      <c r="F4945" s="19">
        <f>IFERROR(__xludf.DUMMYFUNCTION("IFERROR(TO_DATE(E4945), """")"),42563.822222222225)</f>
        <v>42563.82222</v>
      </c>
      <c r="G4945" s="20">
        <f t="shared" si="1"/>
        <v>19</v>
      </c>
      <c r="H4945" s="18" t="s">
        <v>34</v>
      </c>
      <c r="I4945" s="19" t="str">
        <f>IFERROR(__xludf.DUMMYFUNCTION("IFERROR(TO_DATE(H4945), """")"),"NA")</f>
        <v>NA</v>
      </c>
      <c r="J4945" s="19" t="s">
        <v>12</v>
      </c>
      <c r="K4945" s="22">
        <f t="shared" si="2"/>
        <v>0</v>
      </c>
    </row>
    <row r="4946">
      <c r="A4946" s="18">
        <v>2388.0</v>
      </c>
      <c r="B4946" s="18" t="s">
        <v>30</v>
      </c>
      <c r="C4946" s="18" t="s">
        <v>34</v>
      </c>
      <c r="D4946" s="18" t="s">
        <v>35</v>
      </c>
      <c r="E4946" s="26">
        <v>42563.82361111111</v>
      </c>
      <c r="F4946" s="19">
        <f>IFERROR(__xludf.DUMMYFUNCTION("IFERROR(TO_DATE(E4946), """")"),42563.82361111111)</f>
        <v>42563.82361</v>
      </c>
      <c r="G4946" s="20">
        <f t="shared" si="1"/>
        <v>19</v>
      </c>
      <c r="H4946" s="18" t="s">
        <v>34</v>
      </c>
      <c r="I4946" s="19" t="str">
        <f>IFERROR(__xludf.DUMMYFUNCTION("IFERROR(TO_DATE(H4946), """")"),"NA")</f>
        <v>NA</v>
      </c>
      <c r="J4946" s="19" t="s">
        <v>12</v>
      </c>
      <c r="K4946" s="22">
        <f t="shared" si="2"/>
        <v>0</v>
      </c>
    </row>
    <row r="4947">
      <c r="A4947" s="18">
        <v>2383.0</v>
      </c>
      <c r="B4947" s="18" t="s">
        <v>30</v>
      </c>
      <c r="C4947" s="18" t="s">
        <v>34</v>
      </c>
      <c r="D4947" s="18" t="s">
        <v>35</v>
      </c>
      <c r="E4947" s="26">
        <v>42563.82430555556</v>
      </c>
      <c r="F4947" s="19">
        <f>IFERROR(__xludf.DUMMYFUNCTION("IFERROR(TO_DATE(E4947), """")"),42563.82430555556)</f>
        <v>42563.82431</v>
      </c>
      <c r="G4947" s="20">
        <f t="shared" si="1"/>
        <v>19</v>
      </c>
      <c r="H4947" s="18" t="s">
        <v>34</v>
      </c>
      <c r="I4947" s="19" t="str">
        <f>IFERROR(__xludf.DUMMYFUNCTION("IFERROR(TO_DATE(H4947), """")"),"NA")</f>
        <v>NA</v>
      </c>
      <c r="J4947" s="19" t="s">
        <v>12</v>
      </c>
      <c r="K4947" s="22">
        <f t="shared" si="2"/>
        <v>0</v>
      </c>
    </row>
    <row r="4948">
      <c r="A4948" s="18">
        <v>2385.0</v>
      </c>
      <c r="B4948" s="18" t="s">
        <v>30</v>
      </c>
      <c r="C4948" s="18" t="s">
        <v>34</v>
      </c>
      <c r="D4948" s="18" t="s">
        <v>35</v>
      </c>
      <c r="E4948" s="26">
        <v>42563.82430555556</v>
      </c>
      <c r="F4948" s="19">
        <f>IFERROR(__xludf.DUMMYFUNCTION("IFERROR(TO_DATE(E4948), """")"),42563.82430555556)</f>
        <v>42563.82431</v>
      </c>
      <c r="G4948" s="20">
        <f t="shared" si="1"/>
        <v>19</v>
      </c>
      <c r="H4948" s="18" t="s">
        <v>34</v>
      </c>
      <c r="I4948" s="19" t="str">
        <f>IFERROR(__xludf.DUMMYFUNCTION("IFERROR(TO_DATE(H4948), """")"),"NA")</f>
        <v>NA</v>
      </c>
      <c r="J4948" s="19" t="s">
        <v>12</v>
      </c>
      <c r="K4948" s="22">
        <f t="shared" si="2"/>
        <v>0</v>
      </c>
    </row>
    <row r="4949">
      <c r="A4949" s="18">
        <v>2391.0</v>
      </c>
      <c r="B4949" s="18" t="s">
        <v>30</v>
      </c>
      <c r="C4949" s="18" t="s">
        <v>34</v>
      </c>
      <c r="D4949" s="18" t="s">
        <v>35</v>
      </c>
      <c r="E4949" s="26">
        <v>42563.825</v>
      </c>
      <c r="F4949" s="19">
        <f>IFERROR(__xludf.DUMMYFUNCTION("IFERROR(TO_DATE(E4949), """")"),42563.825)</f>
        <v>42563.825</v>
      </c>
      <c r="G4949" s="20">
        <f t="shared" si="1"/>
        <v>19</v>
      </c>
      <c r="H4949" s="18" t="s">
        <v>34</v>
      </c>
      <c r="I4949" s="19" t="str">
        <f>IFERROR(__xludf.DUMMYFUNCTION("IFERROR(TO_DATE(H4949), """")"),"NA")</f>
        <v>NA</v>
      </c>
      <c r="J4949" s="19" t="s">
        <v>12</v>
      </c>
      <c r="K4949" s="22">
        <f t="shared" si="2"/>
        <v>0</v>
      </c>
    </row>
    <row r="4950">
      <c r="A4950" s="18">
        <v>2386.0</v>
      </c>
      <c r="B4950" s="18" t="s">
        <v>30</v>
      </c>
      <c r="C4950" s="18" t="s">
        <v>34</v>
      </c>
      <c r="D4950" s="18" t="s">
        <v>35</v>
      </c>
      <c r="E4950" s="26">
        <v>42563.82708333333</v>
      </c>
      <c r="F4950" s="19">
        <f>IFERROR(__xludf.DUMMYFUNCTION("IFERROR(TO_DATE(E4950), """")"),42563.82708333333)</f>
        <v>42563.82708</v>
      </c>
      <c r="G4950" s="20">
        <f t="shared" si="1"/>
        <v>19</v>
      </c>
      <c r="H4950" s="18" t="s">
        <v>34</v>
      </c>
      <c r="I4950" s="19" t="str">
        <f>IFERROR(__xludf.DUMMYFUNCTION("IFERROR(TO_DATE(H4950), """")"),"NA")</f>
        <v>NA</v>
      </c>
      <c r="J4950" s="19" t="s">
        <v>12</v>
      </c>
      <c r="K4950" s="22">
        <f t="shared" si="2"/>
        <v>0</v>
      </c>
    </row>
    <row r="4951">
      <c r="A4951" s="18">
        <v>2394.0</v>
      </c>
      <c r="B4951" s="18" t="s">
        <v>30</v>
      </c>
      <c r="C4951" s="18" t="s">
        <v>34</v>
      </c>
      <c r="D4951" s="18" t="s">
        <v>35</v>
      </c>
      <c r="E4951" s="26">
        <v>42563.82777777778</v>
      </c>
      <c r="F4951" s="19">
        <f>IFERROR(__xludf.DUMMYFUNCTION("IFERROR(TO_DATE(E4951), """")"),42563.82777777778)</f>
        <v>42563.82778</v>
      </c>
      <c r="G4951" s="20">
        <f t="shared" si="1"/>
        <v>19</v>
      </c>
      <c r="H4951" s="18" t="s">
        <v>34</v>
      </c>
      <c r="I4951" s="19" t="str">
        <f>IFERROR(__xludf.DUMMYFUNCTION("IFERROR(TO_DATE(H4951), """")"),"NA")</f>
        <v>NA</v>
      </c>
      <c r="J4951" s="19" t="s">
        <v>12</v>
      </c>
      <c r="K4951" s="22">
        <f t="shared" si="2"/>
        <v>0</v>
      </c>
    </row>
    <row r="4952">
      <c r="A4952" s="18">
        <v>2402.0</v>
      </c>
      <c r="B4952" s="18" t="s">
        <v>30</v>
      </c>
      <c r="C4952" s="18" t="s">
        <v>34</v>
      </c>
      <c r="D4952" s="18" t="s">
        <v>35</v>
      </c>
      <c r="E4952" s="26">
        <v>42563.82847222222</v>
      </c>
      <c r="F4952" s="19">
        <f>IFERROR(__xludf.DUMMYFUNCTION("IFERROR(TO_DATE(E4952), """")"),42563.82847222222)</f>
        <v>42563.82847</v>
      </c>
      <c r="G4952" s="20">
        <f t="shared" si="1"/>
        <v>19</v>
      </c>
      <c r="H4952" s="18" t="s">
        <v>34</v>
      </c>
      <c r="I4952" s="19" t="str">
        <f>IFERROR(__xludf.DUMMYFUNCTION("IFERROR(TO_DATE(H4952), """")"),"NA")</f>
        <v>NA</v>
      </c>
      <c r="J4952" s="19" t="s">
        <v>12</v>
      </c>
      <c r="K4952" s="22">
        <f t="shared" si="2"/>
        <v>0</v>
      </c>
    </row>
    <row r="4953">
      <c r="A4953" s="18">
        <v>2390.0</v>
      </c>
      <c r="B4953" s="18" t="s">
        <v>30</v>
      </c>
      <c r="C4953" s="18" t="s">
        <v>34</v>
      </c>
      <c r="D4953" s="18" t="s">
        <v>35</v>
      </c>
      <c r="E4953" s="26">
        <v>42563.82847222222</v>
      </c>
      <c r="F4953" s="19">
        <f>IFERROR(__xludf.DUMMYFUNCTION("IFERROR(TO_DATE(E4953), """")"),42563.82847222222)</f>
        <v>42563.82847</v>
      </c>
      <c r="G4953" s="20">
        <f t="shared" si="1"/>
        <v>19</v>
      </c>
      <c r="H4953" s="18" t="s">
        <v>34</v>
      </c>
      <c r="I4953" s="19" t="str">
        <f>IFERROR(__xludf.DUMMYFUNCTION("IFERROR(TO_DATE(H4953), """")"),"NA")</f>
        <v>NA</v>
      </c>
      <c r="J4953" s="19" t="s">
        <v>12</v>
      </c>
      <c r="K4953" s="22">
        <f t="shared" si="2"/>
        <v>0</v>
      </c>
    </row>
    <row r="4954">
      <c r="A4954" s="18">
        <v>2401.0</v>
      </c>
      <c r="B4954" s="18" t="s">
        <v>30</v>
      </c>
      <c r="C4954" s="18" t="s">
        <v>34</v>
      </c>
      <c r="D4954" s="18" t="s">
        <v>35</v>
      </c>
      <c r="E4954" s="26">
        <v>42563.82986111111</v>
      </c>
      <c r="F4954" s="19">
        <f>IFERROR(__xludf.DUMMYFUNCTION("IFERROR(TO_DATE(E4954), """")"),42563.82986111111)</f>
        <v>42563.82986</v>
      </c>
      <c r="G4954" s="20">
        <f t="shared" si="1"/>
        <v>19</v>
      </c>
      <c r="H4954" s="18" t="s">
        <v>34</v>
      </c>
      <c r="I4954" s="19" t="str">
        <f>IFERROR(__xludf.DUMMYFUNCTION("IFERROR(TO_DATE(H4954), """")"),"NA")</f>
        <v>NA</v>
      </c>
      <c r="J4954" s="19" t="s">
        <v>12</v>
      </c>
      <c r="K4954" s="22">
        <f t="shared" si="2"/>
        <v>0</v>
      </c>
    </row>
    <row r="4955">
      <c r="A4955" s="18">
        <v>2400.0</v>
      </c>
      <c r="B4955" s="18" t="s">
        <v>30</v>
      </c>
      <c r="C4955" s="18" t="s">
        <v>34</v>
      </c>
      <c r="D4955" s="18" t="s">
        <v>35</v>
      </c>
      <c r="E4955" s="26">
        <v>42563.82986111111</v>
      </c>
      <c r="F4955" s="19">
        <f>IFERROR(__xludf.DUMMYFUNCTION("IFERROR(TO_DATE(E4955), """")"),42563.82986111111)</f>
        <v>42563.82986</v>
      </c>
      <c r="G4955" s="20">
        <f t="shared" si="1"/>
        <v>19</v>
      </c>
      <c r="H4955" s="18" t="s">
        <v>34</v>
      </c>
      <c r="I4955" s="19" t="str">
        <f>IFERROR(__xludf.DUMMYFUNCTION("IFERROR(TO_DATE(H4955), """")"),"NA")</f>
        <v>NA</v>
      </c>
      <c r="J4955" s="19" t="s">
        <v>12</v>
      </c>
      <c r="K4955" s="22">
        <f t="shared" si="2"/>
        <v>0</v>
      </c>
    </row>
    <row r="4956">
      <c r="A4956" s="18">
        <v>2403.0</v>
      </c>
      <c r="B4956" s="18" t="s">
        <v>30</v>
      </c>
      <c r="C4956" s="18" t="s">
        <v>34</v>
      </c>
      <c r="D4956" s="18" t="s">
        <v>35</v>
      </c>
      <c r="E4956" s="26">
        <v>42563.82986111111</v>
      </c>
      <c r="F4956" s="19">
        <f>IFERROR(__xludf.DUMMYFUNCTION("IFERROR(TO_DATE(E4956), """")"),42563.82986111111)</f>
        <v>42563.82986</v>
      </c>
      <c r="G4956" s="20">
        <f t="shared" si="1"/>
        <v>19</v>
      </c>
      <c r="H4956" s="18" t="s">
        <v>34</v>
      </c>
      <c r="I4956" s="19" t="str">
        <f>IFERROR(__xludf.DUMMYFUNCTION("IFERROR(TO_DATE(H4956), """")"),"NA")</f>
        <v>NA</v>
      </c>
      <c r="J4956" s="19" t="s">
        <v>12</v>
      </c>
      <c r="K4956" s="22">
        <f t="shared" si="2"/>
        <v>0</v>
      </c>
    </row>
    <row r="4957">
      <c r="A4957" s="18">
        <v>2414.0</v>
      </c>
      <c r="B4957" s="18" t="s">
        <v>30</v>
      </c>
      <c r="C4957" s="18" t="s">
        <v>34</v>
      </c>
      <c r="D4957" s="18" t="s">
        <v>35</v>
      </c>
      <c r="E4957" s="26">
        <v>42563.830555555556</v>
      </c>
      <c r="F4957" s="19">
        <f>IFERROR(__xludf.DUMMYFUNCTION("IFERROR(TO_DATE(E4957), """")"),42563.830555555556)</f>
        <v>42563.83056</v>
      </c>
      <c r="G4957" s="20">
        <f t="shared" si="1"/>
        <v>19</v>
      </c>
      <c r="H4957" s="18" t="s">
        <v>34</v>
      </c>
      <c r="I4957" s="19" t="str">
        <f>IFERROR(__xludf.DUMMYFUNCTION("IFERROR(TO_DATE(H4957), """")"),"NA")</f>
        <v>NA</v>
      </c>
      <c r="J4957" s="19" t="s">
        <v>12</v>
      </c>
      <c r="K4957" s="22">
        <f t="shared" si="2"/>
        <v>0</v>
      </c>
    </row>
    <row r="4958">
      <c r="A4958" s="18">
        <v>2393.0</v>
      </c>
      <c r="B4958" s="18" t="s">
        <v>30</v>
      </c>
      <c r="C4958" s="18" t="s">
        <v>34</v>
      </c>
      <c r="D4958" s="18" t="s">
        <v>35</v>
      </c>
      <c r="E4958" s="26">
        <v>42563.83194444444</v>
      </c>
      <c r="F4958" s="19">
        <f>IFERROR(__xludf.DUMMYFUNCTION("IFERROR(TO_DATE(E4958), """")"),42563.83194444444)</f>
        <v>42563.83194</v>
      </c>
      <c r="G4958" s="20">
        <f t="shared" si="1"/>
        <v>19</v>
      </c>
      <c r="H4958" s="18" t="s">
        <v>34</v>
      </c>
      <c r="I4958" s="19" t="str">
        <f>IFERROR(__xludf.DUMMYFUNCTION("IFERROR(TO_DATE(H4958), """")"),"NA")</f>
        <v>NA</v>
      </c>
      <c r="J4958" s="19" t="s">
        <v>12</v>
      </c>
      <c r="K4958" s="22">
        <f t="shared" si="2"/>
        <v>0</v>
      </c>
    </row>
    <row r="4959">
      <c r="A4959" s="18">
        <v>2398.0</v>
      </c>
      <c r="B4959" s="18" t="s">
        <v>30</v>
      </c>
      <c r="C4959" s="18" t="s">
        <v>34</v>
      </c>
      <c r="D4959" s="18" t="s">
        <v>35</v>
      </c>
      <c r="E4959" s="26">
        <v>42563.83263888889</v>
      </c>
      <c r="F4959" s="19">
        <f>IFERROR(__xludf.DUMMYFUNCTION("IFERROR(TO_DATE(E4959), """")"),42563.83263888889)</f>
        <v>42563.83264</v>
      </c>
      <c r="G4959" s="20">
        <f t="shared" si="1"/>
        <v>19</v>
      </c>
      <c r="H4959" s="18" t="s">
        <v>34</v>
      </c>
      <c r="I4959" s="19" t="str">
        <f>IFERROR(__xludf.DUMMYFUNCTION("IFERROR(TO_DATE(H4959), """")"),"NA")</f>
        <v>NA</v>
      </c>
      <c r="J4959" s="19" t="s">
        <v>12</v>
      </c>
      <c r="K4959" s="22">
        <f t="shared" si="2"/>
        <v>0</v>
      </c>
    </row>
    <row r="4960">
      <c r="A4960" s="18">
        <v>2408.0</v>
      </c>
      <c r="B4960" s="18" t="s">
        <v>30</v>
      </c>
      <c r="C4960" s="18" t="s">
        <v>34</v>
      </c>
      <c r="D4960" s="18" t="s">
        <v>35</v>
      </c>
      <c r="E4960" s="26">
        <v>42563.834027777775</v>
      </c>
      <c r="F4960" s="19">
        <f>IFERROR(__xludf.DUMMYFUNCTION("IFERROR(TO_DATE(E4960), """")"),42563.834027777775)</f>
        <v>42563.83403</v>
      </c>
      <c r="G4960" s="20">
        <f t="shared" si="1"/>
        <v>20</v>
      </c>
      <c r="H4960" s="18" t="s">
        <v>34</v>
      </c>
      <c r="I4960" s="19" t="str">
        <f>IFERROR(__xludf.DUMMYFUNCTION("IFERROR(TO_DATE(H4960), """")"),"NA")</f>
        <v>NA</v>
      </c>
      <c r="J4960" s="19" t="s">
        <v>13</v>
      </c>
      <c r="K4960" s="22">
        <f t="shared" si="2"/>
        <v>0</v>
      </c>
    </row>
    <row r="4961">
      <c r="A4961" s="18">
        <v>2415.0</v>
      </c>
      <c r="B4961" s="18" t="s">
        <v>30</v>
      </c>
      <c r="C4961" s="18" t="s">
        <v>34</v>
      </c>
      <c r="D4961" s="18" t="s">
        <v>35</v>
      </c>
      <c r="E4961" s="26">
        <v>42563.834027777775</v>
      </c>
      <c r="F4961" s="19">
        <f>IFERROR(__xludf.DUMMYFUNCTION("IFERROR(TO_DATE(E4961), """")"),42563.834027777775)</f>
        <v>42563.83403</v>
      </c>
      <c r="G4961" s="20">
        <f t="shared" si="1"/>
        <v>20</v>
      </c>
      <c r="H4961" s="18" t="s">
        <v>34</v>
      </c>
      <c r="I4961" s="19" t="str">
        <f>IFERROR(__xludf.DUMMYFUNCTION("IFERROR(TO_DATE(H4961), """")"),"NA")</f>
        <v>NA</v>
      </c>
      <c r="J4961" s="19" t="s">
        <v>13</v>
      </c>
      <c r="K4961" s="22">
        <f t="shared" si="2"/>
        <v>0</v>
      </c>
    </row>
    <row r="4962">
      <c r="A4962" s="18">
        <v>2421.0</v>
      </c>
      <c r="B4962" s="18" t="s">
        <v>30</v>
      </c>
      <c r="C4962" s="18" t="s">
        <v>34</v>
      </c>
      <c r="D4962" s="18" t="s">
        <v>35</v>
      </c>
      <c r="E4962" s="26">
        <v>42563.83819444444</v>
      </c>
      <c r="F4962" s="19">
        <f>IFERROR(__xludf.DUMMYFUNCTION("IFERROR(TO_DATE(E4962), """")"),42563.83819444444)</f>
        <v>42563.83819</v>
      </c>
      <c r="G4962" s="20">
        <f t="shared" si="1"/>
        <v>20</v>
      </c>
      <c r="H4962" s="18" t="s">
        <v>34</v>
      </c>
      <c r="I4962" s="19" t="str">
        <f>IFERROR(__xludf.DUMMYFUNCTION("IFERROR(TO_DATE(H4962), """")"),"NA")</f>
        <v>NA</v>
      </c>
      <c r="J4962" s="19" t="s">
        <v>13</v>
      </c>
      <c r="K4962" s="22">
        <f t="shared" si="2"/>
        <v>0</v>
      </c>
    </row>
    <row r="4963">
      <c r="A4963" s="18">
        <v>2419.0</v>
      </c>
      <c r="B4963" s="18" t="s">
        <v>30</v>
      </c>
      <c r="C4963" s="18" t="s">
        <v>34</v>
      </c>
      <c r="D4963" s="18" t="s">
        <v>35</v>
      </c>
      <c r="E4963" s="26">
        <v>42563.839583333334</v>
      </c>
      <c r="F4963" s="19">
        <f>IFERROR(__xludf.DUMMYFUNCTION("IFERROR(TO_DATE(E4963), """")"),42563.839583333334)</f>
        <v>42563.83958</v>
      </c>
      <c r="G4963" s="20">
        <f t="shared" si="1"/>
        <v>20</v>
      </c>
      <c r="H4963" s="18" t="s">
        <v>34</v>
      </c>
      <c r="I4963" s="19" t="str">
        <f>IFERROR(__xludf.DUMMYFUNCTION("IFERROR(TO_DATE(H4963), """")"),"NA")</f>
        <v>NA</v>
      </c>
      <c r="J4963" s="19" t="s">
        <v>13</v>
      </c>
      <c r="K4963" s="22">
        <f t="shared" si="2"/>
        <v>0</v>
      </c>
    </row>
    <row r="4964">
      <c r="A4964" s="18">
        <v>2409.0</v>
      </c>
      <c r="B4964" s="18" t="s">
        <v>30</v>
      </c>
      <c r="C4964" s="18" t="s">
        <v>34</v>
      </c>
      <c r="D4964" s="18" t="s">
        <v>35</v>
      </c>
      <c r="E4964" s="26">
        <v>42563.84027777778</v>
      </c>
      <c r="F4964" s="19">
        <f>IFERROR(__xludf.DUMMYFUNCTION("IFERROR(TO_DATE(E4964), """")"),42563.84027777778)</f>
        <v>42563.84028</v>
      </c>
      <c r="G4964" s="20">
        <f t="shared" si="1"/>
        <v>20</v>
      </c>
      <c r="H4964" s="18" t="s">
        <v>34</v>
      </c>
      <c r="I4964" s="19" t="str">
        <f>IFERROR(__xludf.DUMMYFUNCTION("IFERROR(TO_DATE(H4964), """")"),"NA")</f>
        <v>NA</v>
      </c>
      <c r="J4964" s="19" t="s">
        <v>13</v>
      </c>
      <c r="K4964" s="22">
        <f t="shared" si="2"/>
        <v>0</v>
      </c>
    </row>
    <row r="4965">
      <c r="A4965" s="18">
        <v>2428.0</v>
      </c>
      <c r="B4965" s="18" t="s">
        <v>30</v>
      </c>
      <c r="C4965" s="18" t="s">
        <v>34</v>
      </c>
      <c r="D4965" s="18" t="s">
        <v>35</v>
      </c>
      <c r="E4965" s="26">
        <v>42563.84027777778</v>
      </c>
      <c r="F4965" s="19">
        <f>IFERROR(__xludf.DUMMYFUNCTION("IFERROR(TO_DATE(E4965), """")"),42563.84027777778)</f>
        <v>42563.84028</v>
      </c>
      <c r="G4965" s="20">
        <f t="shared" si="1"/>
        <v>20</v>
      </c>
      <c r="H4965" s="18" t="s">
        <v>34</v>
      </c>
      <c r="I4965" s="19" t="str">
        <f>IFERROR(__xludf.DUMMYFUNCTION("IFERROR(TO_DATE(H4965), """")"),"NA")</f>
        <v>NA</v>
      </c>
      <c r="J4965" s="19" t="s">
        <v>13</v>
      </c>
      <c r="K4965" s="22">
        <f t="shared" si="2"/>
        <v>0</v>
      </c>
    </row>
    <row r="4966">
      <c r="A4966" s="18">
        <v>2426.0</v>
      </c>
      <c r="B4966" s="18" t="s">
        <v>30</v>
      </c>
      <c r="C4966" s="18" t="s">
        <v>34</v>
      </c>
      <c r="D4966" s="18" t="s">
        <v>35</v>
      </c>
      <c r="E4966" s="26">
        <v>42563.84027777778</v>
      </c>
      <c r="F4966" s="19">
        <f>IFERROR(__xludf.DUMMYFUNCTION("IFERROR(TO_DATE(E4966), """")"),42563.84027777778)</f>
        <v>42563.84028</v>
      </c>
      <c r="G4966" s="20">
        <f t="shared" si="1"/>
        <v>20</v>
      </c>
      <c r="H4966" s="18" t="s">
        <v>34</v>
      </c>
      <c r="I4966" s="19" t="str">
        <f>IFERROR(__xludf.DUMMYFUNCTION("IFERROR(TO_DATE(H4966), """")"),"NA")</f>
        <v>NA</v>
      </c>
      <c r="J4966" s="19" t="s">
        <v>13</v>
      </c>
      <c r="K4966" s="22">
        <f t="shared" si="2"/>
        <v>0</v>
      </c>
    </row>
    <row r="4967">
      <c r="A4967" s="18">
        <v>2422.0</v>
      </c>
      <c r="B4967" s="18" t="s">
        <v>30</v>
      </c>
      <c r="C4967" s="18" t="s">
        <v>34</v>
      </c>
      <c r="D4967" s="18" t="s">
        <v>35</v>
      </c>
      <c r="E4967" s="26">
        <v>42563.84027777778</v>
      </c>
      <c r="F4967" s="19">
        <f>IFERROR(__xludf.DUMMYFUNCTION("IFERROR(TO_DATE(E4967), """")"),42563.84027777778)</f>
        <v>42563.84028</v>
      </c>
      <c r="G4967" s="20">
        <f t="shared" si="1"/>
        <v>20</v>
      </c>
      <c r="H4967" s="18" t="s">
        <v>34</v>
      </c>
      <c r="I4967" s="19" t="str">
        <f>IFERROR(__xludf.DUMMYFUNCTION("IFERROR(TO_DATE(H4967), """")"),"NA")</f>
        <v>NA</v>
      </c>
      <c r="J4967" s="19" t="s">
        <v>13</v>
      </c>
      <c r="K4967" s="22">
        <f t="shared" si="2"/>
        <v>0</v>
      </c>
    </row>
    <row r="4968">
      <c r="A4968" s="18">
        <v>2427.0</v>
      </c>
      <c r="B4968" s="18" t="s">
        <v>30</v>
      </c>
      <c r="C4968" s="18" t="s">
        <v>34</v>
      </c>
      <c r="D4968" s="18" t="s">
        <v>35</v>
      </c>
      <c r="E4968" s="26">
        <v>42563.84166666667</v>
      </c>
      <c r="F4968" s="19">
        <f>IFERROR(__xludf.DUMMYFUNCTION("IFERROR(TO_DATE(E4968), """")"),42563.84166666667)</f>
        <v>42563.84167</v>
      </c>
      <c r="G4968" s="20">
        <f t="shared" si="1"/>
        <v>20</v>
      </c>
      <c r="H4968" s="18" t="s">
        <v>34</v>
      </c>
      <c r="I4968" s="19" t="str">
        <f>IFERROR(__xludf.DUMMYFUNCTION("IFERROR(TO_DATE(H4968), """")"),"NA")</f>
        <v>NA</v>
      </c>
      <c r="J4968" s="19" t="s">
        <v>13</v>
      </c>
      <c r="K4968" s="22">
        <f t="shared" si="2"/>
        <v>0</v>
      </c>
    </row>
    <row r="4969">
      <c r="A4969" s="18">
        <v>2425.0</v>
      </c>
      <c r="B4969" s="18" t="s">
        <v>30</v>
      </c>
      <c r="C4969" s="18" t="s">
        <v>34</v>
      </c>
      <c r="D4969" s="18" t="s">
        <v>35</v>
      </c>
      <c r="E4969" s="26">
        <v>42563.842361111114</v>
      </c>
      <c r="F4969" s="19">
        <f>IFERROR(__xludf.DUMMYFUNCTION("IFERROR(TO_DATE(E4969), """")"),42563.842361111114)</f>
        <v>42563.84236</v>
      </c>
      <c r="G4969" s="20">
        <f t="shared" si="1"/>
        <v>20</v>
      </c>
      <c r="H4969" s="18" t="s">
        <v>34</v>
      </c>
      <c r="I4969" s="19" t="str">
        <f>IFERROR(__xludf.DUMMYFUNCTION("IFERROR(TO_DATE(H4969), """")"),"NA")</f>
        <v>NA</v>
      </c>
      <c r="J4969" s="19" t="s">
        <v>13</v>
      </c>
      <c r="K4969" s="22">
        <f t="shared" si="2"/>
        <v>0</v>
      </c>
    </row>
    <row r="4970">
      <c r="A4970" s="18">
        <v>2429.0</v>
      </c>
      <c r="B4970" s="18" t="s">
        <v>30</v>
      </c>
      <c r="C4970" s="18" t="s">
        <v>34</v>
      </c>
      <c r="D4970" s="18" t="s">
        <v>35</v>
      </c>
      <c r="E4970" s="26">
        <v>42563.845138888886</v>
      </c>
      <c r="F4970" s="19">
        <f>IFERROR(__xludf.DUMMYFUNCTION("IFERROR(TO_DATE(E4970), """")"),42563.845138888886)</f>
        <v>42563.84514</v>
      </c>
      <c r="G4970" s="20">
        <f t="shared" si="1"/>
        <v>20</v>
      </c>
      <c r="H4970" s="18" t="s">
        <v>34</v>
      </c>
      <c r="I4970" s="19" t="str">
        <f>IFERROR(__xludf.DUMMYFUNCTION("IFERROR(TO_DATE(H4970), """")"),"NA")</f>
        <v>NA</v>
      </c>
      <c r="J4970" s="19" t="s">
        <v>13</v>
      </c>
      <c r="K4970" s="22">
        <f t="shared" si="2"/>
        <v>0</v>
      </c>
    </row>
    <row r="4971">
      <c r="A4971" s="18">
        <v>2431.0</v>
      </c>
      <c r="B4971" s="18" t="s">
        <v>30</v>
      </c>
      <c r="C4971" s="18" t="s">
        <v>34</v>
      </c>
      <c r="D4971" s="18" t="s">
        <v>35</v>
      </c>
      <c r="E4971" s="26">
        <v>42563.84652777778</v>
      </c>
      <c r="F4971" s="19">
        <f>IFERROR(__xludf.DUMMYFUNCTION("IFERROR(TO_DATE(E4971), """")"),42563.84652777778)</f>
        <v>42563.84653</v>
      </c>
      <c r="G4971" s="20">
        <f t="shared" si="1"/>
        <v>20</v>
      </c>
      <c r="H4971" s="18" t="s">
        <v>34</v>
      </c>
      <c r="I4971" s="19" t="str">
        <f>IFERROR(__xludf.DUMMYFUNCTION("IFERROR(TO_DATE(H4971), """")"),"NA")</f>
        <v>NA</v>
      </c>
      <c r="J4971" s="19" t="s">
        <v>13</v>
      </c>
      <c r="K4971" s="22">
        <f t="shared" si="2"/>
        <v>0</v>
      </c>
    </row>
    <row r="4972">
      <c r="A4972" s="18">
        <v>2439.0</v>
      </c>
      <c r="B4972" s="18" t="s">
        <v>30</v>
      </c>
      <c r="C4972" s="18" t="s">
        <v>34</v>
      </c>
      <c r="D4972" s="18" t="s">
        <v>35</v>
      </c>
      <c r="E4972" s="26">
        <v>42563.84652777778</v>
      </c>
      <c r="F4972" s="19">
        <f>IFERROR(__xludf.DUMMYFUNCTION("IFERROR(TO_DATE(E4972), """")"),42563.84652777778)</f>
        <v>42563.84653</v>
      </c>
      <c r="G4972" s="20">
        <f t="shared" si="1"/>
        <v>20</v>
      </c>
      <c r="H4972" s="18" t="s">
        <v>34</v>
      </c>
      <c r="I4972" s="19" t="str">
        <f>IFERROR(__xludf.DUMMYFUNCTION("IFERROR(TO_DATE(H4972), """")"),"NA")</f>
        <v>NA</v>
      </c>
      <c r="J4972" s="19" t="s">
        <v>13</v>
      </c>
      <c r="K4972" s="22">
        <f t="shared" si="2"/>
        <v>0</v>
      </c>
    </row>
    <row r="4973">
      <c r="A4973" s="18">
        <v>2433.0</v>
      </c>
      <c r="B4973" s="18" t="s">
        <v>30</v>
      </c>
      <c r="C4973" s="18" t="s">
        <v>34</v>
      </c>
      <c r="D4973" s="18" t="s">
        <v>35</v>
      </c>
      <c r="E4973" s="26">
        <v>42563.84652777778</v>
      </c>
      <c r="F4973" s="19">
        <f>IFERROR(__xludf.DUMMYFUNCTION("IFERROR(TO_DATE(E4973), """")"),42563.84652777778)</f>
        <v>42563.84653</v>
      </c>
      <c r="G4973" s="20">
        <f t="shared" si="1"/>
        <v>20</v>
      </c>
      <c r="H4973" s="18" t="s">
        <v>34</v>
      </c>
      <c r="I4973" s="19" t="str">
        <f>IFERROR(__xludf.DUMMYFUNCTION("IFERROR(TO_DATE(H4973), """")"),"NA")</f>
        <v>NA</v>
      </c>
      <c r="J4973" s="19" t="s">
        <v>13</v>
      </c>
      <c r="K4973" s="22">
        <f t="shared" si="2"/>
        <v>0</v>
      </c>
    </row>
    <row r="4974">
      <c r="A4974" s="18">
        <v>2450.0</v>
      </c>
      <c r="B4974" s="18" t="s">
        <v>30</v>
      </c>
      <c r="C4974" s="18" t="s">
        <v>34</v>
      </c>
      <c r="D4974" s="18" t="s">
        <v>35</v>
      </c>
      <c r="E4974" s="26">
        <v>42563.84722222222</v>
      </c>
      <c r="F4974" s="19">
        <f>IFERROR(__xludf.DUMMYFUNCTION("IFERROR(TO_DATE(E4974), """")"),42563.84722222222)</f>
        <v>42563.84722</v>
      </c>
      <c r="G4974" s="20">
        <f t="shared" si="1"/>
        <v>20</v>
      </c>
      <c r="H4974" s="18" t="s">
        <v>34</v>
      </c>
      <c r="I4974" s="19" t="str">
        <f>IFERROR(__xludf.DUMMYFUNCTION("IFERROR(TO_DATE(H4974), """")"),"NA")</f>
        <v>NA</v>
      </c>
      <c r="J4974" s="19" t="s">
        <v>13</v>
      </c>
      <c r="K4974" s="22">
        <f t="shared" si="2"/>
        <v>0</v>
      </c>
    </row>
    <row r="4975">
      <c r="A4975" s="18">
        <v>2440.0</v>
      </c>
      <c r="B4975" s="18" t="s">
        <v>30</v>
      </c>
      <c r="C4975" s="18" t="s">
        <v>34</v>
      </c>
      <c r="D4975" s="18" t="s">
        <v>35</v>
      </c>
      <c r="E4975" s="26">
        <v>42563.847916666666</v>
      </c>
      <c r="F4975" s="19">
        <f>IFERROR(__xludf.DUMMYFUNCTION("IFERROR(TO_DATE(E4975), """")"),42563.847916666666)</f>
        <v>42563.84792</v>
      </c>
      <c r="G4975" s="20">
        <f t="shared" si="1"/>
        <v>20</v>
      </c>
      <c r="H4975" s="18" t="s">
        <v>34</v>
      </c>
      <c r="I4975" s="19" t="str">
        <f>IFERROR(__xludf.DUMMYFUNCTION("IFERROR(TO_DATE(H4975), """")"),"NA")</f>
        <v>NA</v>
      </c>
      <c r="J4975" s="19" t="s">
        <v>13</v>
      </c>
      <c r="K4975" s="22">
        <f t="shared" si="2"/>
        <v>0</v>
      </c>
    </row>
    <row r="4976">
      <c r="A4976" s="18">
        <v>2442.0</v>
      </c>
      <c r="B4976" s="18" t="s">
        <v>30</v>
      </c>
      <c r="C4976" s="18" t="s">
        <v>34</v>
      </c>
      <c r="D4976" s="18" t="s">
        <v>35</v>
      </c>
      <c r="E4976" s="26">
        <v>42563.84861111111</v>
      </c>
      <c r="F4976" s="19">
        <f>IFERROR(__xludf.DUMMYFUNCTION("IFERROR(TO_DATE(E4976), """")"),42563.84861111111)</f>
        <v>42563.84861</v>
      </c>
      <c r="G4976" s="20">
        <f t="shared" si="1"/>
        <v>20</v>
      </c>
      <c r="H4976" s="18" t="s">
        <v>34</v>
      </c>
      <c r="I4976" s="19" t="str">
        <f>IFERROR(__xludf.DUMMYFUNCTION("IFERROR(TO_DATE(H4976), """")"),"NA")</f>
        <v>NA</v>
      </c>
      <c r="J4976" s="19" t="s">
        <v>13</v>
      </c>
      <c r="K4976" s="22">
        <f t="shared" si="2"/>
        <v>0</v>
      </c>
    </row>
    <row r="4977">
      <c r="A4977" s="18">
        <v>2443.0</v>
      </c>
      <c r="B4977" s="18" t="s">
        <v>30</v>
      </c>
      <c r="C4977" s="18" t="s">
        <v>34</v>
      </c>
      <c r="D4977" s="18" t="s">
        <v>35</v>
      </c>
      <c r="E4977" s="26">
        <v>42563.84930555556</v>
      </c>
      <c r="F4977" s="19">
        <f>IFERROR(__xludf.DUMMYFUNCTION("IFERROR(TO_DATE(E4977), """")"),42563.84930555556)</f>
        <v>42563.84931</v>
      </c>
      <c r="G4977" s="20">
        <f t="shared" si="1"/>
        <v>20</v>
      </c>
      <c r="H4977" s="18" t="s">
        <v>34</v>
      </c>
      <c r="I4977" s="19" t="str">
        <f>IFERROR(__xludf.DUMMYFUNCTION("IFERROR(TO_DATE(H4977), """")"),"NA")</f>
        <v>NA</v>
      </c>
      <c r="J4977" s="19" t="s">
        <v>13</v>
      </c>
      <c r="K4977" s="22">
        <f t="shared" si="2"/>
        <v>0</v>
      </c>
    </row>
    <row r="4978">
      <c r="A4978" s="18">
        <v>2446.0</v>
      </c>
      <c r="B4978" s="18" t="s">
        <v>30</v>
      </c>
      <c r="C4978" s="18" t="s">
        <v>34</v>
      </c>
      <c r="D4978" s="18" t="s">
        <v>35</v>
      </c>
      <c r="E4978" s="26">
        <v>42563.850694444445</v>
      </c>
      <c r="F4978" s="19">
        <f>IFERROR(__xludf.DUMMYFUNCTION("IFERROR(TO_DATE(E4978), """")"),42563.850694444445)</f>
        <v>42563.85069</v>
      </c>
      <c r="G4978" s="20">
        <f t="shared" si="1"/>
        <v>20</v>
      </c>
      <c r="H4978" s="18" t="s">
        <v>34</v>
      </c>
      <c r="I4978" s="19" t="str">
        <f>IFERROR(__xludf.DUMMYFUNCTION("IFERROR(TO_DATE(H4978), """")"),"NA")</f>
        <v>NA</v>
      </c>
      <c r="J4978" s="19" t="s">
        <v>13</v>
      </c>
      <c r="K4978" s="22">
        <f t="shared" si="2"/>
        <v>0</v>
      </c>
    </row>
    <row r="4979">
      <c r="A4979" s="18">
        <v>2455.0</v>
      </c>
      <c r="B4979" s="18" t="s">
        <v>30</v>
      </c>
      <c r="C4979" s="18" t="s">
        <v>34</v>
      </c>
      <c r="D4979" s="18" t="s">
        <v>35</v>
      </c>
      <c r="E4979" s="26">
        <v>42563.850694444445</v>
      </c>
      <c r="F4979" s="19">
        <f>IFERROR(__xludf.DUMMYFUNCTION("IFERROR(TO_DATE(E4979), """")"),42563.850694444445)</f>
        <v>42563.85069</v>
      </c>
      <c r="G4979" s="20">
        <f t="shared" si="1"/>
        <v>20</v>
      </c>
      <c r="H4979" s="18" t="s">
        <v>34</v>
      </c>
      <c r="I4979" s="19" t="str">
        <f>IFERROR(__xludf.DUMMYFUNCTION("IFERROR(TO_DATE(H4979), """")"),"NA")</f>
        <v>NA</v>
      </c>
      <c r="J4979" s="19" t="s">
        <v>13</v>
      </c>
      <c r="K4979" s="22">
        <f t="shared" si="2"/>
        <v>0</v>
      </c>
    </row>
    <row r="4980">
      <c r="A4980" s="18">
        <v>2453.0</v>
      </c>
      <c r="B4980" s="18" t="s">
        <v>30</v>
      </c>
      <c r="C4980" s="18" t="s">
        <v>34</v>
      </c>
      <c r="D4980" s="18" t="s">
        <v>35</v>
      </c>
      <c r="E4980" s="26">
        <v>42563.850694444445</v>
      </c>
      <c r="F4980" s="19">
        <f>IFERROR(__xludf.DUMMYFUNCTION("IFERROR(TO_DATE(E4980), """")"),42563.850694444445)</f>
        <v>42563.85069</v>
      </c>
      <c r="G4980" s="20">
        <f t="shared" si="1"/>
        <v>20</v>
      </c>
      <c r="H4980" s="18" t="s">
        <v>34</v>
      </c>
      <c r="I4980" s="19" t="str">
        <f>IFERROR(__xludf.DUMMYFUNCTION("IFERROR(TO_DATE(H4980), """")"),"NA")</f>
        <v>NA</v>
      </c>
      <c r="J4980" s="19" t="s">
        <v>13</v>
      </c>
      <c r="K4980" s="22">
        <f t="shared" si="2"/>
        <v>0</v>
      </c>
    </row>
    <row r="4981">
      <c r="A4981" s="18">
        <v>2452.0</v>
      </c>
      <c r="B4981" s="18" t="s">
        <v>30</v>
      </c>
      <c r="C4981" s="18" t="s">
        <v>34</v>
      </c>
      <c r="D4981" s="18" t="s">
        <v>35</v>
      </c>
      <c r="E4981" s="26">
        <v>42563.85208333333</v>
      </c>
      <c r="F4981" s="19">
        <f>IFERROR(__xludf.DUMMYFUNCTION("IFERROR(TO_DATE(E4981), """")"),42563.85208333333)</f>
        <v>42563.85208</v>
      </c>
      <c r="G4981" s="20">
        <f t="shared" si="1"/>
        <v>20</v>
      </c>
      <c r="H4981" s="18" t="s">
        <v>34</v>
      </c>
      <c r="I4981" s="19" t="str">
        <f>IFERROR(__xludf.DUMMYFUNCTION("IFERROR(TO_DATE(H4981), """")"),"NA")</f>
        <v>NA</v>
      </c>
      <c r="J4981" s="19" t="s">
        <v>13</v>
      </c>
      <c r="K4981" s="22">
        <f t="shared" si="2"/>
        <v>0</v>
      </c>
    </row>
    <row r="4982">
      <c r="A4982" s="18">
        <v>2454.0</v>
      </c>
      <c r="B4982" s="18" t="s">
        <v>30</v>
      </c>
      <c r="C4982" s="18" t="s">
        <v>34</v>
      </c>
      <c r="D4982" s="18" t="s">
        <v>35</v>
      </c>
      <c r="E4982" s="26">
        <v>42563.85277777778</v>
      </c>
      <c r="F4982" s="19">
        <f>IFERROR(__xludf.DUMMYFUNCTION("IFERROR(TO_DATE(E4982), """")"),42563.85277777778)</f>
        <v>42563.85278</v>
      </c>
      <c r="G4982" s="20">
        <f t="shared" si="1"/>
        <v>20</v>
      </c>
      <c r="H4982" s="18" t="s">
        <v>34</v>
      </c>
      <c r="I4982" s="19" t="str">
        <f>IFERROR(__xludf.DUMMYFUNCTION("IFERROR(TO_DATE(H4982), """")"),"NA")</f>
        <v>NA</v>
      </c>
      <c r="J4982" s="19" t="s">
        <v>13</v>
      </c>
      <c r="K4982" s="22">
        <f t="shared" si="2"/>
        <v>0</v>
      </c>
    </row>
    <row r="4983">
      <c r="A4983" s="18">
        <v>2451.0</v>
      </c>
      <c r="B4983" s="18" t="s">
        <v>30</v>
      </c>
      <c r="C4983" s="18" t="s">
        <v>34</v>
      </c>
      <c r="D4983" s="18" t="s">
        <v>35</v>
      </c>
      <c r="E4983" s="26">
        <v>42563.853472222225</v>
      </c>
      <c r="F4983" s="19">
        <f>IFERROR(__xludf.DUMMYFUNCTION("IFERROR(TO_DATE(E4983), """")"),42563.853472222225)</f>
        <v>42563.85347</v>
      </c>
      <c r="G4983" s="20">
        <f t="shared" si="1"/>
        <v>20</v>
      </c>
      <c r="H4983" s="18" t="s">
        <v>34</v>
      </c>
      <c r="I4983" s="19" t="str">
        <f>IFERROR(__xludf.DUMMYFUNCTION("IFERROR(TO_DATE(H4983), """")"),"NA")</f>
        <v>NA</v>
      </c>
      <c r="J4983" s="19" t="s">
        <v>13</v>
      </c>
      <c r="K4983" s="22">
        <f t="shared" si="2"/>
        <v>0</v>
      </c>
    </row>
    <row r="4984">
      <c r="A4984" s="18">
        <v>2438.0</v>
      </c>
      <c r="B4984" s="18" t="s">
        <v>30</v>
      </c>
      <c r="C4984" s="18" t="s">
        <v>34</v>
      </c>
      <c r="D4984" s="18" t="s">
        <v>35</v>
      </c>
      <c r="E4984" s="26">
        <v>42563.853472222225</v>
      </c>
      <c r="F4984" s="19">
        <f>IFERROR(__xludf.DUMMYFUNCTION("IFERROR(TO_DATE(E4984), """")"),42563.853472222225)</f>
        <v>42563.85347</v>
      </c>
      <c r="G4984" s="20">
        <f t="shared" si="1"/>
        <v>20</v>
      </c>
      <c r="H4984" s="18" t="s">
        <v>34</v>
      </c>
      <c r="I4984" s="19" t="str">
        <f>IFERROR(__xludf.DUMMYFUNCTION("IFERROR(TO_DATE(H4984), """")"),"NA")</f>
        <v>NA</v>
      </c>
      <c r="J4984" s="19" t="s">
        <v>13</v>
      </c>
      <c r="K4984" s="22">
        <f t="shared" si="2"/>
        <v>0</v>
      </c>
    </row>
    <row r="4985">
      <c r="A4985" s="18">
        <v>2462.0</v>
      </c>
      <c r="B4985" s="18" t="s">
        <v>30</v>
      </c>
      <c r="C4985" s="18" t="s">
        <v>34</v>
      </c>
      <c r="D4985" s="18" t="s">
        <v>35</v>
      </c>
      <c r="E4985" s="26">
        <v>42563.85486111111</v>
      </c>
      <c r="F4985" s="19">
        <f>IFERROR(__xludf.DUMMYFUNCTION("IFERROR(TO_DATE(E4985), """")"),42563.85486111111)</f>
        <v>42563.85486</v>
      </c>
      <c r="G4985" s="20">
        <f t="shared" si="1"/>
        <v>20</v>
      </c>
      <c r="H4985" s="18" t="s">
        <v>34</v>
      </c>
      <c r="I4985" s="19" t="str">
        <f>IFERROR(__xludf.DUMMYFUNCTION("IFERROR(TO_DATE(H4985), """")"),"NA")</f>
        <v>NA</v>
      </c>
      <c r="J4985" s="19" t="s">
        <v>13</v>
      </c>
      <c r="K4985" s="22">
        <f t="shared" si="2"/>
        <v>0</v>
      </c>
    </row>
    <row r="4986">
      <c r="A4986" s="18">
        <v>2468.0</v>
      </c>
      <c r="B4986" s="18" t="s">
        <v>30</v>
      </c>
      <c r="C4986" s="18" t="s">
        <v>34</v>
      </c>
      <c r="D4986" s="18" t="s">
        <v>35</v>
      </c>
      <c r="E4986" s="26">
        <v>42563.85486111111</v>
      </c>
      <c r="F4986" s="19">
        <f>IFERROR(__xludf.DUMMYFUNCTION("IFERROR(TO_DATE(E4986), """")"),42563.85486111111)</f>
        <v>42563.85486</v>
      </c>
      <c r="G4986" s="20">
        <f t="shared" si="1"/>
        <v>20</v>
      </c>
      <c r="H4986" s="18" t="s">
        <v>34</v>
      </c>
      <c r="I4986" s="19" t="str">
        <f>IFERROR(__xludf.DUMMYFUNCTION("IFERROR(TO_DATE(H4986), """")"),"NA")</f>
        <v>NA</v>
      </c>
      <c r="J4986" s="19" t="s">
        <v>13</v>
      </c>
      <c r="K4986" s="22">
        <f t="shared" si="2"/>
        <v>0</v>
      </c>
    </row>
    <row r="4987">
      <c r="A4987" s="18">
        <v>2456.0</v>
      </c>
      <c r="B4987" s="18" t="s">
        <v>30</v>
      </c>
      <c r="C4987" s="18" t="s">
        <v>34</v>
      </c>
      <c r="D4987" s="18" t="s">
        <v>35</v>
      </c>
      <c r="E4987" s="26">
        <v>42563.85486111111</v>
      </c>
      <c r="F4987" s="19">
        <f>IFERROR(__xludf.DUMMYFUNCTION("IFERROR(TO_DATE(E4987), """")"),42563.85486111111)</f>
        <v>42563.85486</v>
      </c>
      <c r="G4987" s="20">
        <f t="shared" si="1"/>
        <v>20</v>
      </c>
      <c r="H4987" s="18" t="s">
        <v>34</v>
      </c>
      <c r="I4987" s="19" t="str">
        <f>IFERROR(__xludf.DUMMYFUNCTION("IFERROR(TO_DATE(H4987), """")"),"NA")</f>
        <v>NA</v>
      </c>
      <c r="J4987" s="19" t="s">
        <v>13</v>
      </c>
      <c r="K4987" s="22">
        <f t="shared" si="2"/>
        <v>0</v>
      </c>
    </row>
    <row r="4988">
      <c r="A4988" s="18">
        <v>2471.0</v>
      </c>
      <c r="B4988" s="18" t="s">
        <v>30</v>
      </c>
      <c r="C4988" s="18" t="s">
        <v>34</v>
      </c>
      <c r="D4988" s="18" t="s">
        <v>35</v>
      </c>
      <c r="E4988" s="26">
        <v>42563.85763888889</v>
      </c>
      <c r="F4988" s="19">
        <f>IFERROR(__xludf.DUMMYFUNCTION("IFERROR(TO_DATE(E4988), """")"),42563.85763888889)</f>
        <v>42563.85764</v>
      </c>
      <c r="G4988" s="20">
        <f t="shared" si="1"/>
        <v>20</v>
      </c>
      <c r="H4988" s="18" t="s">
        <v>34</v>
      </c>
      <c r="I4988" s="19" t="str">
        <f>IFERROR(__xludf.DUMMYFUNCTION("IFERROR(TO_DATE(H4988), """")"),"NA")</f>
        <v>NA</v>
      </c>
      <c r="J4988" s="19" t="s">
        <v>13</v>
      </c>
      <c r="K4988" s="22">
        <f t="shared" si="2"/>
        <v>0</v>
      </c>
    </row>
    <row r="4989">
      <c r="A4989" s="18">
        <v>2464.0</v>
      </c>
      <c r="B4989" s="18" t="s">
        <v>30</v>
      </c>
      <c r="C4989" s="18" t="s">
        <v>34</v>
      </c>
      <c r="D4989" s="18" t="s">
        <v>35</v>
      </c>
      <c r="E4989" s="26">
        <v>42563.85902777778</v>
      </c>
      <c r="F4989" s="19">
        <f>IFERROR(__xludf.DUMMYFUNCTION("IFERROR(TO_DATE(E4989), """")"),42563.85902777778)</f>
        <v>42563.85903</v>
      </c>
      <c r="G4989" s="20">
        <f t="shared" si="1"/>
        <v>20</v>
      </c>
      <c r="H4989" s="18" t="s">
        <v>34</v>
      </c>
      <c r="I4989" s="19" t="str">
        <f>IFERROR(__xludf.DUMMYFUNCTION("IFERROR(TO_DATE(H4989), """")"),"NA")</f>
        <v>NA</v>
      </c>
      <c r="J4989" s="19" t="s">
        <v>13</v>
      </c>
      <c r="K4989" s="22">
        <f t="shared" si="2"/>
        <v>0</v>
      </c>
    </row>
    <row r="4990">
      <c r="A4990" s="18">
        <v>2477.0</v>
      </c>
      <c r="B4990" s="18" t="s">
        <v>30</v>
      </c>
      <c r="C4990" s="18" t="s">
        <v>34</v>
      </c>
      <c r="D4990" s="18" t="s">
        <v>35</v>
      </c>
      <c r="E4990" s="26">
        <v>42563.85972222222</v>
      </c>
      <c r="F4990" s="19">
        <f>IFERROR(__xludf.DUMMYFUNCTION("IFERROR(TO_DATE(E4990), """")"),42563.85972222222)</f>
        <v>42563.85972</v>
      </c>
      <c r="G4990" s="20">
        <f t="shared" si="1"/>
        <v>20</v>
      </c>
      <c r="H4990" s="18" t="s">
        <v>34</v>
      </c>
      <c r="I4990" s="19" t="str">
        <f>IFERROR(__xludf.DUMMYFUNCTION("IFERROR(TO_DATE(H4990), """")"),"NA")</f>
        <v>NA</v>
      </c>
      <c r="J4990" s="19" t="s">
        <v>13</v>
      </c>
      <c r="K4990" s="22">
        <f t="shared" si="2"/>
        <v>0</v>
      </c>
    </row>
    <row r="4991">
      <c r="A4991" s="18">
        <v>2472.0</v>
      </c>
      <c r="B4991" s="18" t="s">
        <v>30</v>
      </c>
      <c r="C4991" s="18" t="s">
        <v>34</v>
      </c>
      <c r="D4991" s="18" t="s">
        <v>35</v>
      </c>
      <c r="E4991" s="26">
        <v>42563.86041666667</v>
      </c>
      <c r="F4991" s="19">
        <f>IFERROR(__xludf.DUMMYFUNCTION("IFERROR(TO_DATE(E4991), """")"),42563.86041666667)</f>
        <v>42563.86042</v>
      </c>
      <c r="G4991" s="20">
        <f t="shared" si="1"/>
        <v>20</v>
      </c>
      <c r="H4991" s="18" t="s">
        <v>34</v>
      </c>
      <c r="I4991" s="19" t="str">
        <f>IFERROR(__xludf.DUMMYFUNCTION("IFERROR(TO_DATE(H4991), """")"),"NA")</f>
        <v>NA</v>
      </c>
      <c r="J4991" s="19" t="s">
        <v>13</v>
      </c>
      <c r="K4991" s="22">
        <f t="shared" si="2"/>
        <v>0</v>
      </c>
    </row>
    <row r="4992">
      <c r="A4992" s="18">
        <v>2470.0</v>
      </c>
      <c r="B4992" s="18" t="s">
        <v>30</v>
      </c>
      <c r="C4992" s="18" t="s">
        <v>34</v>
      </c>
      <c r="D4992" s="18" t="s">
        <v>35</v>
      </c>
      <c r="E4992" s="26">
        <v>42563.86111111111</v>
      </c>
      <c r="F4992" s="19">
        <f>IFERROR(__xludf.DUMMYFUNCTION("IFERROR(TO_DATE(E4992), """")"),42563.86111111111)</f>
        <v>42563.86111</v>
      </c>
      <c r="G4992" s="20">
        <f t="shared" si="1"/>
        <v>20</v>
      </c>
      <c r="H4992" s="18" t="s">
        <v>34</v>
      </c>
      <c r="I4992" s="19" t="str">
        <f>IFERROR(__xludf.DUMMYFUNCTION("IFERROR(TO_DATE(H4992), """")"),"NA")</f>
        <v>NA</v>
      </c>
      <c r="J4992" s="19" t="s">
        <v>13</v>
      </c>
      <c r="K4992" s="22">
        <f t="shared" si="2"/>
        <v>0</v>
      </c>
    </row>
    <row r="4993">
      <c r="A4993" s="18">
        <v>2476.0</v>
      </c>
      <c r="B4993" s="18" t="s">
        <v>30</v>
      </c>
      <c r="C4993" s="18" t="s">
        <v>34</v>
      </c>
      <c r="D4993" s="18" t="s">
        <v>35</v>
      </c>
      <c r="E4993" s="26">
        <v>42563.8625</v>
      </c>
      <c r="F4993" s="19">
        <f>IFERROR(__xludf.DUMMYFUNCTION("IFERROR(TO_DATE(E4993), """")"),42563.8625)</f>
        <v>42563.8625</v>
      </c>
      <c r="G4993" s="20">
        <f t="shared" si="1"/>
        <v>20</v>
      </c>
      <c r="H4993" s="18" t="s">
        <v>34</v>
      </c>
      <c r="I4993" s="19" t="str">
        <f>IFERROR(__xludf.DUMMYFUNCTION("IFERROR(TO_DATE(H4993), """")"),"NA")</f>
        <v>NA</v>
      </c>
      <c r="J4993" s="19" t="s">
        <v>13</v>
      </c>
      <c r="K4993" s="22">
        <f t="shared" si="2"/>
        <v>0</v>
      </c>
    </row>
    <row r="4994">
      <c r="A4994" s="18">
        <v>2475.0</v>
      </c>
      <c r="B4994" s="18" t="s">
        <v>30</v>
      </c>
      <c r="C4994" s="18" t="s">
        <v>34</v>
      </c>
      <c r="D4994" s="18" t="s">
        <v>35</v>
      </c>
      <c r="E4994" s="26">
        <v>42563.86388888889</v>
      </c>
      <c r="F4994" s="19">
        <f>IFERROR(__xludf.DUMMYFUNCTION("IFERROR(TO_DATE(E4994), """")"),42563.86388888889)</f>
        <v>42563.86389</v>
      </c>
      <c r="G4994" s="20">
        <f t="shared" si="1"/>
        <v>20</v>
      </c>
      <c r="H4994" s="18" t="s">
        <v>34</v>
      </c>
      <c r="I4994" s="19" t="str">
        <f>IFERROR(__xludf.DUMMYFUNCTION("IFERROR(TO_DATE(H4994), """")"),"NA")</f>
        <v>NA</v>
      </c>
      <c r="J4994" s="19" t="s">
        <v>13</v>
      </c>
      <c r="K4994" s="22">
        <f t="shared" si="2"/>
        <v>0</v>
      </c>
    </row>
    <row r="4995">
      <c r="A4995" s="18">
        <v>2478.0</v>
      </c>
      <c r="B4995" s="18" t="s">
        <v>30</v>
      </c>
      <c r="C4995" s="18" t="s">
        <v>34</v>
      </c>
      <c r="D4995" s="18" t="s">
        <v>35</v>
      </c>
      <c r="E4995" s="26">
        <v>42563.86388888889</v>
      </c>
      <c r="F4995" s="19">
        <f>IFERROR(__xludf.DUMMYFUNCTION("IFERROR(TO_DATE(E4995), """")"),42563.86388888889)</f>
        <v>42563.86389</v>
      </c>
      <c r="G4995" s="20">
        <f t="shared" si="1"/>
        <v>20</v>
      </c>
      <c r="H4995" s="18" t="s">
        <v>34</v>
      </c>
      <c r="I4995" s="19" t="str">
        <f>IFERROR(__xludf.DUMMYFUNCTION("IFERROR(TO_DATE(H4995), """")"),"NA")</f>
        <v>NA</v>
      </c>
      <c r="J4995" s="19" t="s">
        <v>13</v>
      </c>
      <c r="K4995" s="22">
        <f t="shared" si="2"/>
        <v>0</v>
      </c>
    </row>
    <row r="4996">
      <c r="A4996" s="18">
        <v>2493.0</v>
      </c>
      <c r="B4996" s="18" t="s">
        <v>30</v>
      </c>
      <c r="C4996" s="18" t="s">
        <v>34</v>
      </c>
      <c r="D4996" s="18" t="s">
        <v>35</v>
      </c>
      <c r="E4996" s="26">
        <v>42563.86666666667</v>
      </c>
      <c r="F4996" s="19">
        <f>IFERROR(__xludf.DUMMYFUNCTION("IFERROR(TO_DATE(E4996), """")"),42563.86666666667)</f>
        <v>42563.86667</v>
      </c>
      <c r="G4996" s="20">
        <f t="shared" si="1"/>
        <v>20</v>
      </c>
      <c r="H4996" s="18" t="s">
        <v>34</v>
      </c>
      <c r="I4996" s="19" t="str">
        <f>IFERROR(__xludf.DUMMYFUNCTION("IFERROR(TO_DATE(H4996), """")"),"NA")</f>
        <v>NA</v>
      </c>
      <c r="J4996" s="19" t="s">
        <v>13</v>
      </c>
      <c r="K4996" s="22">
        <f t="shared" si="2"/>
        <v>0</v>
      </c>
    </row>
    <row r="4997">
      <c r="A4997" s="18">
        <v>2488.0</v>
      </c>
      <c r="B4997" s="18" t="s">
        <v>30</v>
      </c>
      <c r="C4997" s="18" t="s">
        <v>34</v>
      </c>
      <c r="D4997" s="18" t="s">
        <v>35</v>
      </c>
      <c r="E4997" s="26">
        <v>42563.86666666667</v>
      </c>
      <c r="F4997" s="19">
        <f>IFERROR(__xludf.DUMMYFUNCTION("IFERROR(TO_DATE(E4997), """")"),42563.86666666667)</f>
        <v>42563.86667</v>
      </c>
      <c r="G4997" s="20">
        <f t="shared" si="1"/>
        <v>20</v>
      </c>
      <c r="H4997" s="18" t="s">
        <v>34</v>
      </c>
      <c r="I4997" s="19" t="str">
        <f>IFERROR(__xludf.DUMMYFUNCTION("IFERROR(TO_DATE(H4997), """")"),"NA")</f>
        <v>NA</v>
      </c>
      <c r="J4997" s="19" t="s">
        <v>13</v>
      </c>
      <c r="K4997" s="22">
        <f t="shared" si="2"/>
        <v>0</v>
      </c>
    </row>
    <row r="4998">
      <c r="A4998" s="18">
        <v>2495.0</v>
      </c>
      <c r="B4998" s="18" t="s">
        <v>30</v>
      </c>
      <c r="C4998" s="18" t="s">
        <v>34</v>
      </c>
      <c r="D4998" s="18" t="s">
        <v>35</v>
      </c>
      <c r="E4998" s="26">
        <v>42563.86736111111</v>
      </c>
      <c r="F4998" s="19">
        <f>IFERROR(__xludf.DUMMYFUNCTION("IFERROR(TO_DATE(E4998), """")"),42563.86736111111)</f>
        <v>42563.86736</v>
      </c>
      <c r="G4998" s="20">
        <f t="shared" si="1"/>
        <v>20</v>
      </c>
      <c r="H4998" s="18" t="s">
        <v>34</v>
      </c>
      <c r="I4998" s="19" t="str">
        <f>IFERROR(__xludf.DUMMYFUNCTION("IFERROR(TO_DATE(H4998), """")"),"NA")</f>
        <v>NA</v>
      </c>
      <c r="J4998" s="19" t="s">
        <v>13</v>
      </c>
      <c r="K4998" s="22">
        <f t="shared" si="2"/>
        <v>0</v>
      </c>
    </row>
    <row r="4999">
      <c r="A4999" s="18">
        <v>2485.0</v>
      </c>
      <c r="B4999" s="18" t="s">
        <v>30</v>
      </c>
      <c r="C4999" s="18" t="s">
        <v>34</v>
      </c>
      <c r="D4999" s="18" t="s">
        <v>35</v>
      </c>
      <c r="E4999" s="26">
        <v>42563.868055555555</v>
      </c>
      <c r="F4999" s="19">
        <f>IFERROR(__xludf.DUMMYFUNCTION("IFERROR(TO_DATE(E4999), """")"),42563.868055555555)</f>
        <v>42563.86806</v>
      </c>
      <c r="G4999" s="20">
        <f t="shared" si="1"/>
        <v>20</v>
      </c>
      <c r="H4999" s="18" t="s">
        <v>34</v>
      </c>
      <c r="I4999" s="19" t="str">
        <f>IFERROR(__xludf.DUMMYFUNCTION("IFERROR(TO_DATE(H4999), """")"),"NA")</f>
        <v>NA</v>
      </c>
      <c r="J4999" s="19" t="s">
        <v>13</v>
      </c>
      <c r="K4999" s="22">
        <f t="shared" si="2"/>
        <v>0</v>
      </c>
    </row>
    <row r="5000">
      <c r="A5000" s="18">
        <v>2489.0</v>
      </c>
      <c r="B5000" s="18" t="s">
        <v>30</v>
      </c>
      <c r="C5000" s="18" t="s">
        <v>34</v>
      </c>
      <c r="D5000" s="18" t="s">
        <v>35</v>
      </c>
      <c r="E5000" s="26">
        <v>42563.868055555555</v>
      </c>
      <c r="F5000" s="19">
        <f>IFERROR(__xludf.DUMMYFUNCTION("IFERROR(TO_DATE(E5000), """")"),42563.868055555555)</f>
        <v>42563.86806</v>
      </c>
      <c r="G5000" s="20">
        <f t="shared" si="1"/>
        <v>20</v>
      </c>
      <c r="H5000" s="18" t="s">
        <v>34</v>
      </c>
      <c r="I5000" s="19" t="str">
        <f>IFERROR(__xludf.DUMMYFUNCTION("IFERROR(TO_DATE(H5000), """")"),"NA")</f>
        <v>NA</v>
      </c>
      <c r="J5000" s="19" t="s">
        <v>13</v>
      </c>
      <c r="K5000" s="22">
        <f t="shared" si="2"/>
        <v>0</v>
      </c>
    </row>
    <row r="5001">
      <c r="A5001" s="18">
        <v>2479.0</v>
      </c>
      <c r="B5001" s="18" t="s">
        <v>30</v>
      </c>
      <c r="C5001" s="18" t="s">
        <v>34</v>
      </c>
      <c r="D5001" s="18" t="s">
        <v>35</v>
      </c>
      <c r="E5001" s="26">
        <v>42563.868055555555</v>
      </c>
      <c r="F5001" s="19">
        <f>IFERROR(__xludf.DUMMYFUNCTION("IFERROR(TO_DATE(E5001), """")"),42563.868055555555)</f>
        <v>42563.86806</v>
      </c>
      <c r="G5001" s="20">
        <f t="shared" si="1"/>
        <v>20</v>
      </c>
      <c r="H5001" s="18" t="s">
        <v>34</v>
      </c>
      <c r="I5001" s="19" t="str">
        <f>IFERROR(__xludf.DUMMYFUNCTION("IFERROR(TO_DATE(H5001), """")"),"NA")</f>
        <v>NA</v>
      </c>
      <c r="J5001" s="19" t="s">
        <v>13</v>
      </c>
      <c r="K5001" s="22">
        <f t="shared" si="2"/>
        <v>0</v>
      </c>
    </row>
    <row r="5002">
      <c r="A5002" s="18">
        <v>2487.0</v>
      </c>
      <c r="B5002" s="18" t="s">
        <v>30</v>
      </c>
      <c r="C5002" s="18" t="s">
        <v>34</v>
      </c>
      <c r="D5002" s="18" t="s">
        <v>35</v>
      </c>
      <c r="E5002" s="26">
        <v>42563.86875</v>
      </c>
      <c r="F5002" s="19">
        <f>IFERROR(__xludf.DUMMYFUNCTION("IFERROR(TO_DATE(E5002), """")"),42563.86875)</f>
        <v>42563.86875</v>
      </c>
      <c r="G5002" s="20">
        <f t="shared" si="1"/>
        <v>20</v>
      </c>
      <c r="H5002" s="18" t="s">
        <v>34</v>
      </c>
      <c r="I5002" s="19" t="str">
        <f>IFERROR(__xludf.DUMMYFUNCTION("IFERROR(TO_DATE(H5002), """")"),"NA")</f>
        <v>NA</v>
      </c>
      <c r="J5002" s="19" t="s">
        <v>13</v>
      </c>
      <c r="K5002" s="22">
        <f t="shared" si="2"/>
        <v>0</v>
      </c>
    </row>
    <row r="5003">
      <c r="A5003" s="18">
        <v>2492.0</v>
      </c>
      <c r="B5003" s="18" t="s">
        <v>30</v>
      </c>
      <c r="C5003" s="18" t="s">
        <v>34</v>
      </c>
      <c r="D5003" s="18" t="s">
        <v>35</v>
      </c>
      <c r="E5003" s="26">
        <v>42563.86944444444</v>
      </c>
      <c r="F5003" s="19">
        <f>IFERROR(__xludf.DUMMYFUNCTION("IFERROR(TO_DATE(E5003), """")"),42563.86944444444)</f>
        <v>42563.86944</v>
      </c>
      <c r="G5003" s="20">
        <f t="shared" si="1"/>
        <v>20</v>
      </c>
      <c r="H5003" s="18" t="s">
        <v>34</v>
      </c>
      <c r="I5003" s="19" t="str">
        <f>IFERROR(__xludf.DUMMYFUNCTION("IFERROR(TO_DATE(H5003), """")"),"NA")</f>
        <v>NA</v>
      </c>
      <c r="J5003" s="19" t="s">
        <v>13</v>
      </c>
      <c r="K5003" s="22">
        <f t="shared" si="2"/>
        <v>0</v>
      </c>
    </row>
    <row r="5004">
      <c r="A5004" s="18">
        <v>2500.0</v>
      </c>
      <c r="B5004" s="18" t="s">
        <v>30</v>
      </c>
      <c r="C5004" s="18" t="s">
        <v>34</v>
      </c>
      <c r="D5004" s="18" t="s">
        <v>35</v>
      </c>
      <c r="E5004" s="26">
        <v>42563.870833333334</v>
      </c>
      <c r="F5004" s="19">
        <f>IFERROR(__xludf.DUMMYFUNCTION("IFERROR(TO_DATE(E5004), """")"),42563.870833333334)</f>
        <v>42563.87083</v>
      </c>
      <c r="G5004" s="20">
        <f t="shared" si="1"/>
        <v>20</v>
      </c>
      <c r="H5004" s="18" t="s">
        <v>34</v>
      </c>
      <c r="I5004" s="19" t="str">
        <f>IFERROR(__xludf.DUMMYFUNCTION("IFERROR(TO_DATE(H5004), """")"),"NA")</f>
        <v>NA</v>
      </c>
      <c r="J5004" s="19" t="s">
        <v>13</v>
      </c>
      <c r="K5004" s="22">
        <f t="shared" si="2"/>
        <v>0</v>
      </c>
    </row>
    <row r="5005">
      <c r="A5005" s="18">
        <v>2504.0</v>
      </c>
      <c r="B5005" s="18" t="s">
        <v>30</v>
      </c>
      <c r="C5005" s="18" t="s">
        <v>34</v>
      </c>
      <c r="D5005" s="18" t="s">
        <v>35</v>
      </c>
      <c r="E5005" s="26">
        <v>42563.87152777778</v>
      </c>
      <c r="F5005" s="19">
        <f>IFERROR(__xludf.DUMMYFUNCTION("IFERROR(TO_DATE(E5005), """")"),42563.87152777778)</f>
        <v>42563.87153</v>
      </c>
      <c r="G5005" s="20">
        <f t="shared" si="1"/>
        <v>20</v>
      </c>
      <c r="H5005" s="18" t="s">
        <v>34</v>
      </c>
      <c r="I5005" s="19" t="str">
        <f>IFERROR(__xludf.DUMMYFUNCTION("IFERROR(TO_DATE(H5005), """")"),"NA")</f>
        <v>NA</v>
      </c>
      <c r="J5005" s="19" t="s">
        <v>13</v>
      </c>
      <c r="K5005" s="22">
        <f t="shared" si="2"/>
        <v>0</v>
      </c>
    </row>
    <row r="5006">
      <c r="A5006" s="18">
        <v>2503.0</v>
      </c>
      <c r="B5006" s="18" t="s">
        <v>30</v>
      </c>
      <c r="C5006" s="18" t="s">
        <v>34</v>
      </c>
      <c r="D5006" s="18" t="s">
        <v>35</v>
      </c>
      <c r="E5006" s="26">
        <v>42563.87152777778</v>
      </c>
      <c r="F5006" s="19">
        <f>IFERROR(__xludf.DUMMYFUNCTION("IFERROR(TO_DATE(E5006), """")"),42563.87152777778)</f>
        <v>42563.87153</v>
      </c>
      <c r="G5006" s="20">
        <f t="shared" si="1"/>
        <v>20</v>
      </c>
      <c r="H5006" s="18" t="s">
        <v>34</v>
      </c>
      <c r="I5006" s="19" t="str">
        <f>IFERROR(__xludf.DUMMYFUNCTION("IFERROR(TO_DATE(H5006), """")"),"NA")</f>
        <v>NA</v>
      </c>
      <c r="J5006" s="19" t="s">
        <v>13</v>
      </c>
      <c r="K5006" s="22">
        <f t="shared" si="2"/>
        <v>0</v>
      </c>
    </row>
    <row r="5007">
      <c r="A5007" s="18">
        <v>2490.0</v>
      </c>
      <c r="B5007" s="18" t="s">
        <v>30</v>
      </c>
      <c r="C5007" s="18" t="s">
        <v>34</v>
      </c>
      <c r="D5007" s="18" t="s">
        <v>35</v>
      </c>
      <c r="E5007" s="26">
        <v>42563.87222222222</v>
      </c>
      <c r="F5007" s="19">
        <f>IFERROR(__xludf.DUMMYFUNCTION("IFERROR(TO_DATE(E5007), """")"),42563.87222222222)</f>
        <v>42563.87222</v>
      </c>
      <c r="G5007" s="20">
        <f t="shared" si="1"/>
        <v>20</v>
      </c>
      <c r="H5007" s="18" t="s">
        <v>34</v>
      </c>
      <c r="I5007" s="19" t="str">
        <f>IFERROR(__xludf.DUMMYFUNCTION("IFERROR(TO_DATE(H5007), """")"),"NA")</f>
        <v>NA</v>
      </c>
      <c r="J5007" s="19" t="s">
        <v>13</v>
      </c>
      <c r="K5007" s="22">
        <f t="shared" si="2"/>
        <v>0</v>
      </c>
    </row>
    <row r="5008">
      <c r="A5008" s="18">
        <v>2502.0</v>
      </c>
      <c r="B5008" s="18" t="s">
        <v>30</v>
      </c>
      <c r="C5008" s="18" t="s">
        <v>34</v>
      </c>
      <c r="D5008" s="18" t="s">
        <v>35</v>
      </c>
      <c r="E5008" s="26">
        <v>42563.87222222222</v>
      </c>
      <c r="F5008" s="19">
        <f>IFERROR(__xludf.DUMMYFUNCTION("IFERROR(TO_DATE(E5008), """")"),42563.87222222222)</f>
        <v>42563.87222</v>
      </c>
      <c r="G5008" s="20">
        <f t="shared" si="1"/>
        <v>20</v>
      </c>
      <c r="H5008" s="18" t="s">
        <v>34</v>
      </c>
      <c r="I5008" s="19" t="str">
        <f>IFERROR(__xludf.DUMMYFUNCTION("IFERROR(TO_DATE(H5008), """")"),"NA")</f>
        <v>NA</v>
      </c>
      <c r="J5008" s="19" t="s">
        <v>13</v>
      </c>
      <c r="K5008" s="22">
        <f t="shared" si="2"/>
        <v>0</v>
      </c>
    </row>
    <row r="5009">
      <c r="A5009" s="18">
        <v>2494.0</v>
      </c>
      <c r="B5009" s="18" t="s">
        <v>30</v>
      </c>
      <c r="C5009" s="18" t="s">
        <v>34</v>
      </c>
      <c r="D5009" s="18" t="s">
        <v>35</v>
      </c>
      <c r="E5009" s="26">
        <v>42563.87291666667</v>
      </c>
      <c r="F5009" s="19">
        <f>IFERROR(__xludf.DUMMYFUNCTION("IFERROR(TO_DATE(E5009), """")"),42563.87291666667)</f>
        <v>42563.87292</v>
      </c>
      <c r="G5009" s="20">
        <f t="shared" si="1"/>
        <v>20</v>
      </c>
      <c r="H5009" s="18" t="s">
        <v>34</v>
      </c>
      <c r="I5009" s="19" t="str">
        <f>IFERROR(__xludf.DUMMYFUNCTION("IFERROR(TO_DATE(H5009), """")"),"NA")</f>
        <v>NA</v>
      </c>
      <c r="J5009" s="19" t="s">
        <v>13</v>
      </c>
      <c r="K5009" s="22">
        <f t="shared" si="2"/>
        <v>0</v>
      </c>
    </row>
    <row r="5010">
      <c r="A5010" s="18">
        <v>2501.0</v>
      </c>
      <c r="B5010" s="18" t="s">
        <v>30</v>
      </c>
      <c r="C5010" s="18" t="s">
        <v>34</v>
      </c>
      <c r="D5010" s="18" t="s">
        <v>35</v>
      </c>
      <c r="E5010" s="26">
        <v>42563.87430555555</v>
      </c>
      <c r="F5010" s="19">
        <f>IFERROR(__xludf.DUMMYFUNCTION("IFERROR(TO_DATE(E5010), """")"),42563.87430555555)</f>
        <v>42563.87431</v>
      </c>
      <c r="G5010" s="20">
        <f t="shared" si="1"/>
        <v>20</v>
      </c>
      <c r="H5010" s="18" t="s">
        <v>34</v>
      </c>
      <c r="I5010" s="19" t="str">
        <f>IFERROR(__xludf.DUMMYFUNCTION("IFERROR(TO_DATE(H5010), """")"),"NA")</f>
        <v>NA</v>
      </c>
      <c r="J5010" s="19" t="s">
        <v>13</v>
      </c>
      <c r="K5010" s="22">
        <f t="shared" si="2"/>
        <v>0</v>
      </c>
    </row>
    <row r="5011">
      <c r="A5011" s="18">
        <v>2498.0</v>
      </c>
      <c r="B5011" s="18" t="s">
        <v>30</v>
      </c>
      <c r="C5011" s="18" t="s">
        <v>34</v>
      </c>
      <c r="D5011" s="18" t="s">
        <v>35</v>
      </c>
      <c r="E5011" s="26">
        <v>42563.875</v>
      </c>
      <c r="F5011" s="19">
        <f>IFERROR(__xludf.DUMMYFUNCTION("IFERROR(TO_DATE(E5011), """")"),42563.875)</f>
        <v>42563.875</v>
      </c>
      <c r="G5011" s="20">
        <f t="shared" si="1"/>
        <v>21</v>
      </c>
      <c r="H5011" s="18" t="s">
        <v>34</v>
      </c>
      <c r="I5011" s="19" t="str">
        <f>IFERROR(__xludf.DUMMYFUNCTION("IFERROR(TO_DATE(H5011), """")"),"NA")</f>
        <v>NA</v>
      </c>
      <c r="J5011" s="19" t="s">
        <v>13</v>
      </c>
      <c r="K5011" s="22">
        <f t="shared" si="2"/>
        <v>0</v>
      </c>
    </row>
    <row r="5012">
      <c r="A5012" s="18">
        <v>2512.0</v>
      </c>
      <c r="B5012" s="18" t="s">
        <v>30</v>
      </c>
      <c r="C5012" s="18" t="s">
        <v>34</v>
      </c>
      <c r="D5012" s="18" t="s">
        <v>35</v>
      </c>
      <c r="E5012" s="26">
        <v>42563.87708333333</v>
      </c>
      <c r="F5012" s="19">
        <f>IFERROR(__xludf.DUMMYFUNCTION("IFERROR(TO_DATE(E5012), """")"),42563.87708333333)</f>
        <v>42563.87708</v>
      </c>
      <c r="G5012" s="20">
        <f t="shared" si="1"/>
        <v>21</v>
      </c>
      <c r="H5012" s="18" t="s">
        <v>34</v>
      </c>
      <c r="I5012" s="19" t="str">
        <f>IFERROR(__xludf.DUMMYFUNCTION("IFERROR(TO_DATE(H5012), """")"),"NA")</f>
        <v>NA</v>
      </c>
      <c r="J5012" s="19" t="s">
        <v>13</v>
      </c>
      <c r="K5012" s="22">
        <f t="shared" si="2"/>
        <v>0</v>
      </c>
    </row>
    <row r="5013">
      <c r="A5013" s="18">
        <v>2514.0</v>
      </c>
      <c r="B5013" s="18" t="s">
        <v>30</v>
      </c>
      <c r="C5013" s="18" t="s">
        <v>34</v>
      </c>
      <c r="D5013" s="18" t="s">
        <v>35</v>
      </c>
      <c r="E5013" s="26">
        <v>42563.87986111111</v>
      </c>
      <c r="F5013" s="19">
        <f>IFERROR(__xludf.DUMMYFUNCTION("IFERROR(TO_DATE(E5013), """")"),42563.87986111111)</f>
        <v>42563.87986</v>
      </c>
      <c r="G5013" s="20">
        <f t="shared" si="1"/>
        <v>21</v>
      </c>
      <c r="H5013" s="18" t="s">
        <v>34</v>
      </c>
      <c r="I5013" s="19" t="str">
        <f>IFERROR(__xludf.DUMMYFUNCTION("IFERROR(TO_DATE(H5013), """")"),"NA")</f>
        <v>NA</v>
      </c>
      <c r="J5013" s="19" t="s">
        <v>13</v>
      </c>
      <c r="K5013" s="22">
        <f t="shared" si="2"/>
        <v>0</v>
      </c>
    </row>
    <row r="5014">
      <c r="A5014" s="18">
        <v>2519.0</v>
      </c>
      <c r="B5014" s="18" t="s">
        <v>30</v>
      </c>
      <c r="C5014" s="18" t="s">
        <v>34</v>
      </c>
      <c r="D5014" s="18" t="s">
        <v>35</v>
      </c>
      <c r="E5014" s="26">
        <v>42563.87986111111</v>
      </c>
      <c r="F5014" s="19">
        <f>IFERROR(__xludf.DUMMYFUNCTION("IFERROR(TO_DATE(E5014), """")"),42563.87986111111)</f>
        <v>42563.87986</v>
      </c>
      <c r="G5014" s="20">
        <f t="shared" si="1"/>
        <v>21</v>
      </c>
      <c r="H5014" s="18" t="s">
        <v>34</v>
      </c>
      <c r="I5014" s="19" t="str">
        <f>IFERROR(__xludf.DUMMYFUNCTION("IFERROR(TO_DATE(H5014), """")"),"NA")</f>
        <v>NA</v>
      </c>
      <c r="J5014" s="19" t="s">
        <v>13</v>
      </c>
      <c r="K5014" s="22">
        <f t="shared" si="2"/>
        <v>0</v>
      </c>
    </row>
    <row r="5015">
      <c r="A5015" s="18">
        <v>2513.0</v>
      </c>
      <c r="B5015" s="18" t="s">
        <v>30</v>
      </c>
      <c r="C5015" s="18" t="s">
        <v>34</v>
      </c>
      <c r="D5015" s="18" t="s">
        <v>35</v>
      </c>
      <c r="E5015" s="26">
        <v>42563.88055555556</v>
      </c>
      <c r="F5015" s="19">
        <f>IFERROR(__xludf.DUMMYFUNCTION("IFERROR(TO_DATE(E5015), """")"),42563.88055555556)</f>
        <v>42563.88056</v>
      </c>
      <c r="G5015" s="20">
        <f t="shared" si="1"/>
        <v>21</v>
      </c>
      <c r="H5015" s="18" t="s">
        <v>34</v>
      </c>
      <c r="I5015" s="19" t="str">
        <f>IFERROR(__xludf.DUMMYFUNCTION("IFERROR(TO_DATE(H5015), """")"),"NA")</f>
        <v>NA</v>
      </c>
      <c r="J5015" s="19" t="s">
        <v>13</v>
      </c>
      <c r="K5015" s="22">
        <f t="shared" si="2"/>
        <v>0</v>
      </c>
    </row>
    <row r="5016">
      <c r="A5016" s="18">
        <v>2515.0</v>
      </c>
      <c r="B5016" s="18" t="s">
        <v>30</v>
      </c>
      <c r="C5016" s="18" t="s">
        <v>34</v>
      </c>
      <c r="D5016" s="18" t="s">
        <v>35</v>
      </c>
      <c r="E5016" s="26">
        <v>42563.88055555556</v>
      </c>
      <c r="F5016" s="19">
        <f>IFERROR(__xludf.DUMMYFUNCTION("IFERROR(TO_DATE(E5016), """")"),42563.88055555556)</f>
        <v>42563.88056</v>
      </c>
      <c r="G5016" s="20">
        <f t="shared" si="1"/>
        <v>21</v>
      </c>
      <c r="H5016" s="18" t="s">
        <v>34</v>
      </c>
      <c r="I5016" s="19" t="str">
        <f>IFERROR(__xludf.DUMMYFUNCTION("IFERROR(TO_DATE(H5016), """")"),"NA")</f>
        <v>NA</v>
      </c>
      <c r="J5016" s="19" t="s">
        <v>13</v>
      </c>
      <c r="K5016" s="22">
        <f t="shared" si="2"/>
        <v>0</v>
      </c>
    </row>
    <row r="5017">
      <c r="A5017" s="18">
        <v>2522.0</v>
      </c>
      <c r="B5017" s="18" t="s">
        <v>32</v>
      </c>
      <c r="C5017" s="18" t="s">
        <v>34</v>
      </c>
      <c r="D5017" s="18" t="s">
        <v>35</v>
      </c>
      <c r="E5017" s="26">
        <v>42563.88125</v>
      </c>
      <c r="F5017" s="19">
        <f>IFERROR(__xludf.DUMMYFUNCTION("IFERROR(TO_DATE(E5017), """")"),42563.88125)</f>
        <v>42563.88125</v>
      </c>
      <c r="G5017" s="20">
        <f t="shared" si="1"/>
        <v>21</v>
      </c>
      <c r="H5017" s="18" t="s">
        <v>34</v>
      </c>
      <c r="I5017" s="19" t="str">
        <f>IFERROR(__xludf.DUMMYFUNCTION("IFERROR(TO_DATE(H5017), """")"),"NA")</f>
        <v>NA</v>
      </c>
      <c r="J5017" s="19" t="s">
        <v>13</v>
      </c>
      <c r="K5017" s="22">
        <f t="shared" si="2"/>
        <v>0</v>
      </c>
    </row>
    <row r="5018">
      <c r="A5018" s="18">
        <v>2528.0</v>
      </c>
      <c r="B5018" s="18" t="s">
        <v>30</v>
      </c>
      <c r="C5018" s="18" t="s">
        <v>34</v>
      </c>
      <c r="D5018" s="18" t="s">
        <v>35</v>
      </c>
      <c r="E5018" s="26">
        <v>42563.88263888889</v>
      </c>
      <c r="F5018" s="19">
        <f>IFERROR(__xludf.DUMMYFUNCTION("IFERROR(TO_DATE(E5018), """")"),42563.88263888889)</f>
        <v>42563.88264</v>
      </c>
      <c r="G5018" s="20">
        <f t="shared" si="1"/>
        <v>21</v>
      </c>
      <c r="H5018" s="18" t="s">
        <v>34</v>
      </c>
      <c r="I5018" s="19" t="str">
        <f>IFERROR(__xludf.DUMMYFUNCTION("IFERROR(TO_DATE(H5018), """")"),"NA")</f>
        <v>NA</v>
      </c>
      <c r="J5018" s="19" t="s">
        <v>13</v>
      </c>
      <c r="K5018" s="22">
        <f t="shared" si="2"/>
        <v>0</v>
      </c>
    </row>
    <row r="5019">
      <c r="A5019" s="18">
        <v>2523.0</v>
      </c>
      <c r="B5019" s="18" t="s">
        <v>30</v>
      </c>
      <c r="C5019" s="18" t="s">
        <v>34</v>
      </c>
      <c r="D5019" s="18" t="s">
        <v>35</v>
      </c>
      <c r="E5019" s="26">
        <v>42563.88263888889</v>
      </c>
      <c r="F5019" s="19">
        <f>IFERROR(__xludf.DUMMYFUNCTION("IFERROR(TO_DATE(E5019), """")"),42563.88263888889)</f>
        <v>42563.88264</v>
      </c>
      <c r="G5019" s="20">
        <f t="shared" si="1"/>
        <v>21</v>
      </c>
      <c r="H5019" s="18" t="s">
        <v>34</v>
      </c>
      <c r="I5019" s="19" t="str">
        <f>IFERROR(__xludf.DUMMYFUNCTION("IFERROR(TO_DATE(H5019), """")"),"NA")</f>
        <v>NA</v>
      </c>
      <c r="J5019" s="19" t="s">
        <v>13</v>
      </c>
      <c r="K5019" s="22">
        <f t="shared" si="2"/>
        <v>0</v>
      </c>
    </row>
    <row r="5020">
      <c r="A5020" s="18">
        <v>2529.0</v>
      </c>
      <c r="B5020" s="18" t="s">
        <v>30</v>
      </c>
      <c r="C5020" s="18" t="s">
        <v>34</v>
      </c>
      <c r="D5020" s="18" t="s">
        <v>35</v>
      </c>
      <c r="E5020" s="26">
        <v>42563.88333333333</v>
      </c>
      <c r="F5020" s="19">
        <f>IFERROR(__xludf.DUMMYFUNCTION("IFERROR(TO_DATE(E5020), """")"),42563.88333333333)</f>
        <v>42563.88333</v>
      </c>
      <c r="G5020" s="20">
        <f t="shared" si="1"/>
        <v>21</v>
      </c>
      <c r="H5020" s="18" t="s">
        <v>34</v>
      </c>
      <c r="I5020" s="19" t="str">
        <f>IFERROR(__xludf.DUMMYFUNCTION("IFERROR(TO_DATE(H5020), """")"),"NA")</f>
        <v>NA</v>
      </c>
      <c r="J5020" s="19" t="s">
        <v>13</v>
      </c>
      <c r="K5020" s="22">
        <f t="shared" si="2"/>
        <v>0</v>
      </c>
    </row>
    <row r="5021">
      <c r="A5021" s="18">
        <v>2521.0</v>
      </c>
      <c r="B5021" s="18" t="s">
        <v>30</v>
      </c>
      <c r="C5021" s="18" t="s">
        <v>34</v>
      </c>
      <c r="D5021" s="18" t="s">
        <v>35</v>
      </c>
      <c r="E5021" s="26">
        <v>42563.88402777778</v>
      </c>
      <c r="F5021" s="19">
        <f>IFERROR(__xludf.DUMMYFUNCTION("IFERROR(TO_DATE(E5021), """")"),42563.88402777778)</f>
        <v>42563.88403</v>
      </c>
      <c r="G5021" s="20">
        <f t="shared" si="1"/>
        <v>21</v>
      </c>
      <c r="H5021" s="18" t="s">
        <v>34</v>
      </c>
      <c r="I5021" s="19" t="str">
        <f>IFERROR(__xludf.DUMMYFUNCTION("IFERROR(TO_DATE(H5021), """")"),"NA")</f>
        <v>NA</v>
      </c>
      <c r="J5021" s="19" t="s">
        <v>13</v>
      </c>
      <c r="K5021" s="22">
        <f t="shared" si="2"/>
        <v>0</v>
      </c>
    </row>
    <row r="5022">
      <c r="A5022" s="18">
        <v>2525.0</v>
      </c>
      <c r="B5022" s="18" t="s">
        <v>30</v>
      </c>
      <c r="C5022" s="18" t="s">
        <v>34</v>
      </c>
      <c r="D5022" s="18" t="s">
        <v>35</v>
      </c>
      <c r="E5022" s="26">
        <v>42563.885416666664</v>
      </c>
      <c r="F5022" s="19">
        <f>IFERROR(__xludf.DUMMYFUNCTION("IFERROR(TO_DATE(E5022), """")"),42563.885416666664)</f>
        <v>42563.88542</v>
      </c>
      <c r="G5022" s="20">
        <f t="shared" si="1"/>
        <v>21</v>
      </c>
      <c r="H5022" s="18" t="s">
        <v>34</v>
      </c>
      <c r="I5022" s="19" t="str">
        <f>IFERROR(__xludf.DUMMYFUNCTION("IFERROR(TO_DATE(H5022), """")"),"NA")</f>
        <v>NA</v>
      </c>
      <c r="J5022" s="19" t="s">
        <v>13</v>
      </c>
      <c r="K5022" s="22">
        <f t="shared" si="2"/>
        <v>0</v>
      </c>
    </row>
    <row r="5023">
      <c r="A5023" s="18">
        <v>2541.0</v>
      </c>
      <c r="B5023" s="18" t="s">
        <v>30</v>
      </c>
      <c r="C5023" s="18" t="s">
        <v>34</v>
      </c>
      <c r="D5023" s="18" t="s">
        <v>35</v>
      </c>
      <c r="E5023" s="26">
        <v>42563.885416666664</v>
      </c>
      <c r="F5023" s="19">
        <f>IFERROR(__xludf.DUMMYFUNCTION("IFERROR(TO_DATE(E5023), """")"),42563.885416666664)</f>
        <v>42563.88542</v>
      </c>
      <c r="G5023" s="20">
        <f t="shared" si="1"/>
        <v>21</v>
      </c>
      <c r="H5023" s="18" t="s">
        <v>34</v>
      </c>
      <c r="I5023" s="19" t="str">
        <f>IFERROR(__xludf.DUMMYFUNCTION("IFERROR(TO_DATE(H5023), """")"),"NA")</f>
        <v>NA</v>
      </c>
      <c r="J5023" s="19" t="s">
        <v>13</v>
      </c>
      <c r="K5023" s="22">
        <f t="shared" si="2"/>
        <v>0</v>
      </c>
    </row>
    <row r="5024">
      <c r="A5024" s="18">
        <v>2536.0</v>
      </c>
      <c r="B5024" s="18" t="s">
        <v>30</v>
      </c>
      <c r="C5024" s="18" t="s">
        <v>34</v>
      </c>
      <c r="D5024" s="18" t="s">
        <v>35</v>
      </c>
      <c r="E5024" s="26">
        <v>42563.885416666664</v>
      </c>
      <c r="F5024" s="19">
        <f>IFERROR(__xludf.DUMMYFUNCTION("IFERROR(TO_DATE(E5024), """")"),42563.885416666664)</f>
        <v>42563.88542</v>
      </c>
      <c r="G5024" s="20">
        <f t="shared" si="1"/>
        <v>21</v>
      </c>
      <c r="H5024" s="18" t="s">
        <v>34</v>
      </c>
      <c r="I5024" s="19" t="str">
        <f>IFERROR(__xludf.DUMMYFUNCTION("IFERROR(TO_DATE(H5024), """")"),"NA")</f>
        <v>NA</v>
      </c>
      <c r="J5024" s="19" t="s">
        <v>13</v>
      </c>
      <c r="K5024" s="22">
        <f t="shared" si="2"/>
        <v>0</v>
      </c>
    </row>
    <row r="5025">
      <c r="A5025" s="18">
        <v>2546.0</v>
      </c>
      <c r="B5025" s="18" t="s">
        <v>30</v>
      </c>
      <c r="C5025" s="18" t="s">
        <v>34</v>
      </c>
      <c r="D5025" s="18" t="s">
        <v>35</v>
      </c>
      <c r="E5025" s="26">
        <v>42563.88611111111</v>
      </c>
      <c r="F5025" s="19">
        <f>IFERROR(__xludf.DUMMYFUNCTION("IFERROR(TO_DATE(E5025), """")"),42563.88611111111)</f>
        <v>42563.88611</v>
      </c>
      <c r="G5025" s="20">
        <f t="shared" si="1"/>
        <v>21</v>
      </c>
      <c r="H5025" s="18" t="s">
        <v>34</v>
      </c>
      <c r="I5025" s="19" t="str">
        <f>IFERROR(__xludf.DUMMYFUNCTION("IFERROR(TO_DATE(H5025), """")"),"NA")</f>
        <v>NA</v>
      </c>
      <c r="J5025" s="19" t="s">
        <v>13</v>
      </c>
      <c r="K5025" s="22">
        <f t="shared" si="2"/>
        <v>0</v>
      </c>
    </row>
    <row r="5026">
      <c r="A5026" s="18">
        <v>2531.0</v>
      </c>
      <c r="B5026" s="18" t="s">
        <v>30</v>
      </c>
      <c r="C5026" s="18" t="s">
        <v>34</v>
      </c>
      <c r="D5026" s="18" t="s">
        <v>35</v>
      </c>
      <c r="E5026" s="26">
        <v>42563.88611111111</v>
      </c>
      <c r="F5026" s="19">
        <f>IFERROR(__xludf.DUMMYFUNCTION("IFERROR(TO_DATE(E5026), """")"),42563.88611111111)</f>
        <v>42563.88611</v>
      </c>
      <c r="G5026" s="20">
        <f t="shared" si="1"/>
        <v>21</v>
      </c>
      <c r="H5026" s="18" t="s">
        <v>34</v>
      </c>
      <c r="I5026" s="19" t="str">
        <f>IFERROR(__xludf.DUMMYFUNCTION("IFERROR(TO_DATE(H5026), """")"),"NA")</f>
        <v>NA</v>
      </c>
      <c r="J5026" s="19" t="s">
        <v>13</v>
      </c>
      <c r="K5026" s="22">
        <f t="shared" si="2"/>
        <v>0</v>
      </c>
    </row>
    <row r="5027">
      <c r="A5027" s="18">
        <v>2542.0</v>
      </c>
      <c r="B5027" s="18" t="s">
        <v>30</v>
      </c>
      <c r="C5027" s="18" t="s">
        <v>34</v>
      </c>
      <c r="D5027" s="18" t="s">
        <v>35</v>
      </c>
      <c r="E5027" s="26">
        <v>42563.88611111111</v>
      </c>
      <c r="F5027" s="19">
        <f>IFERROR(__xludf.DUMMYFUNCTION("IFERROR(TO_DATE(E5027), """")"),42563.88611111111)</f>
        <v>42563.88611</v>
      </c>
      <c r="G5027" s="20">
        <f t="shared" si="1"/>
        <v>21</v>
      </c>
      <c r="H5027" s="18" t="s">
        <v>34</v>
      </c>
      <c r="I5027" s="19" t="str">
        <f>IFERROR(__xludf.DUMMYFUNCTION("IFERROR(TO_DATE(H5027), """")"),"NA")</f>
        <v>NA</v>
      </c>
      <c r="J5027" s="19" t="s">
        <v>13</v>
      </c>
      <c r="K5027" s="22">
        <f t="shared" si="2"/>
        <v>0</v>
      </c>
    </row>
    <row r="5028">
      <c r="A5028" s="18">
        <v>2534.0</v>
      </c>
      <c r="B5028" s="18" t="s">
        <v>32</v>
      </c>
      <c r="C5028" s="18" t="s">
        <v>34</v>
      </c>
      <c r="D5028" s="18" t="s">
        <v>35</v>
      </c>
      <c r="E5028" s="26">
        <v>42563.8875</v>
      </c>
      <c r="F5028" s="19">
        <f>IFERROR(__xludf.DUMMYFUNCTION("IFERROR(TO_DATE(E5028), """")"),42563.8875)</f>
        <v>42563.8875</v>
      </c>
      <c r="G5028" s="20">
        <f t="shared" si="1"/>
        <v>21</v>
      </c>
      <c r="H5028" s="18" t="s">
        <v>34</v>
      </c>
      <c r="I5028" s="19" t="str">
        <f>IFERROR(__xludf.DUMMYFUNCTION("IFERROR(TO_DATE(H5028), """")"),"NA")</f>
        <v>NA</v>
      </c>
      <c r="J5028" s="19" t="s">
        <v>13</v>
      </c>
      <c r="K5028" s="22">
        <f t="shared" si="2"/>
        <v>0</v>
      </c>
    </row>
    <row r="5029">
      <c r="A5029" s="18">
        <v>2539.0</v>
      </c>
      <c r="B5029" s="18" t="s">
        <v>30</v>
      </c>
      <c r="C5029" s="18" t="s">
        <v>34</v>
      </c>
      <c r="D5029" s="18" t="s">
        <v>35</v>
      </c>
      <c r="E5029" s="26">
        <v>42563.888194444444</v>
      </c>
      <c r="F5029" s="19">
        <f>IFERROR(__xludf.DUMMYFUNCTION("IFERROR(TO_DATE(E5029), """")"),42563.888194444444)</f>
        <v>42563.88819</v>
      </c>
      <c r="G5029" s="20">
        <f t="shared" si="1"/>
        <v>21</v>
      </c>
      <c r="H5029" s="18" t="s">
        <v>34</v>
      </c>
      <c r="I5029" s="19" t="str">
        <f>IFERROR(__xludf.DUMMYFUNCTION("IFERROR(TO_DATE(H5029), """")"),"NA")</f>
        <v>NA</v>
      </c>
      <c r="J5029" s="19" t="s">
        <v>13</v>
      </c>
      <c r="K5029" s="22">
        <f t="shared" si="2"/>
        <v>0</v>
      </c>
    </row>
    <row r="5030">
      <c r="A5030" s="18">
        <v>2533.0</v>
      </c>
      <c r="B5030" s="18" t="s">
        <v>30</v>
      </c>
      <c r="C5030" s="18" t="s">
        <v>34</v>
      </c>
      <c r="D5030" s="18" t="s">
        <v>35</v>
      </c>
      <c r="E5030" s="26">
        <v>42563.888194444444</v>
      </c>
      <c r="F5030" s="19">
        <f>IFERROR(__xludf.DUMMYFUNCTION("IFERROR(TO_DATE(E5030), """")"),42563.888194444444)</f>
        <v>42563.88819</v>
      </c>
      <c r="G5030" s="20">
        <f t="shared" si="1"/>
        <v>21</v>
      </c>
      <c r="H5030" s="18" t="s">
        <v>34</v>
      </c>
      <c r="I5030" s="19" t="str">
        <f>IFERROR(__xludf.DUMMYFUNCTION("IFERROR(TO_DATE(H5030), """")"),"NA")</f>
        <v>NA</v>
      </c>
      <c r="J5030" s="19" t="s">
        <v>13</v>
      </c>
      <c r="K5030" s="22">
        <f t="shared" si="2"/>
        <v>0</v>
      </c>
    </row>
    <row r="5031">
      <c r="A5031" s="18">
        <v>2558.0</v>
      </c>
      <c r="B5031" s="18" t="s">
        <v>30</v>
      </c>
      <c r="C5031" s="18" t="s">
        <v>34</v>
      </c>
      <c r="D5031" s="18" t="s">
        <v>35</v>
      </c>
      <c r="E5031" s="26">
        <v>42563.88958333333</v>
      </c>
      <c r="F5031" s="19">
        <f>IFERROR(__xludf.DUMMYFUNCTION("IFERROR(TO_DATE(E5031), """")"),42563.88958333333)</f>
        <v>42563.88958</v>
      </c>
      <c r="G5031" s="20">
        <f t="shared" si="1"/>
        <v>21</v>
      </c>
      <c r="H5031" s="18" t="s">
        <v>34</v>
      </c>
      <c r="I5031" s="19" t="str">
        <f>IFERROR(__xludf.DUMMYFUNCTION("IFERROR(TO_DATE(H5031), """")"),"NA")</f>
        <v>NA</v>
      </c>
      <c r="J5031" s="19" t="s">
        <v>13</v>
      </c>
      <c r="K5031" s="22">
        <f t="shared" si="2"/>
        <v>0</v>
      </c>
    </row>
    <row r="5032">
      <c r="A5032" s="18">
        <v>2550.0</v>
      </c>
      <c r="B5032" s="18" t="s">
        <v>30</v>
      </c>
      <c r="C5032" s="18" t="s">
        <v>34</v>
      </c>
      <c r="D5032" s="18" t="s">
        <v>35</v>
      </c>
      <c r="E5032" s="26">
        <v>42563.88958333333</v>
      </c>
      <c r="F5032" s="19">
        <f>IFERROR(__xludf.DUMMYFUNCTION("IFERROR(TO_DATE(E5032), """")"),42563.88958333333)</f>
        <v>42563.88958</v>
      </c>
      <c r="G5032" s="20">
        <f t="shared" si="1"/>
        <v>21</v>
      </c>
      <c r="H5032" s="18" t="s">
        <v>34</v>
      </c>
      <c r="I5032" s="19" t="str">
        <f>IFERROR(__xludf.DUMMYFUNCTION("IFERROR(TO_DATE(H5032), """")"),"NA")</f>
        <v>NA</v>
      </c>
      <c r="J5032" s="19" t="s">
        <v>13</v>
      </c>
      <c r="K5032" s="22">
        <f t="shared" si="2"/>
        <v>0</v>
      </c>
    </row>
    <row r="5033">
      <c r="A5033" s="18">
        <v>2547.0</v>
      </c>
      <c r="B5033" s="18" t="s">
        <v>30</v>
      </c>
      <c r="C5033" s="18" t="s">
        <v>34</v>
      </c>
      <c r="D5033" s="18" t="s">
        <v>35</v>
      </c>
      <c r="E5033" s="26">
        <v>42563.89027777778</v>
      </c>
      <c r="F5033" s="19">
        <f>IFERROR(__xludf.DUMMYFUNCTION("IFERROR(TO_DATE(E5033), """")"),42563.89027777778)</f>
        <v>42563.89028</v>
      </c>
      <c r="G5033" s="20">
        <f t="shared" si="1"/>
        <v>21</v>
      </c>
      <c r="H5033" s="18" t="s">
        <v>34</v>
      </c>
      <c r="I5033" s="19" t="str">
        <f>IFERROR(__xludf.DUMMYFUNCTION("IFERROR(TO_DATE(H5033), """")"),"NA")</f>
        <v>NA</v>
      </c>
      <c r="J5033" s="19" t="s">
        <v>13</v>
      </c>
      <c r="K5033" s="22">
        <f t="shared" si="2"/>
        <v>0</v>
      </c>
    </row>
    <row r="5034">
      <c r="A5034" s="18">
        <v>2538.0</v>
      </c>
      <c r="B5034" s="18" t="s">
        <v>30</v>
      </c>
      <c r="C5034" s="18" t="s">
        <v>34</v>
      </c>
      <c r="D5034" s="18" t="s">
        <v>35</v>
      </c>
      <c r="E5034" s="26">
        <v>42563.89027777778</v>
      </c>
      <c r="F5034" s="19">
        <f>IFERROR(__xludf.DUMMYFUNCTION("IFERROR(TO_DATE(E5034), """")"),42563.89027777778)</f>
        <v>42563.89028</v>
      </c>
      <c r="G5034" s="20">
        <f t="shared" si="1"/>
        <v>21</v>
      </c>
      <c r="H5034" s="18" t="s">
        <v>34</v>
      </c>
      <c r="I5034" s="19" t="str">
        <f>IFERROR(__xludf.DUMMYFUNCTION("IFERROR(TO_DATE(H5034), """")"),"NA")</f>
        <v>NA</v>
      </c>
      <c r="J5034" s="19" t="s">
        <v>13</v>
      </c>
      <c r="K5034" s="22">
        <f t="shared" si="2"/>
        <v>0</v>
      </c>
    </row>
    <row r="5035">
      <c r="A5035" s="18">
        <v>2557.0</v>
      </c>
      <c r="B5035" s="18" t="s">
        <v>30</v>
      </c>
      <c r="C5035" s="18" t="s">
        <v>34</v>
      </c>
      <c r="D5035" s="18" t="s">
        <v>35</v>
      </c>
      <c r="E5035" s="26">
        <v>42563.89097222222</v>
      </c>
      <c r="F5035" s="19">
        <f>IFERROR(__xludf.DUMMYFUNCTION("IFERROR(TO_DATE(E5035), """")"),42563.89097222222)</f>
        <v>42563.89097</v>
      </c>
      <c r="G5035" s="20">
        <f t="shared" si="1"/>
        <v>21</v>
      </c>
      <c r="H5035" s="18" t="s">
        <v>34</v>
      </c>
      <c r="I5035" s="19" t="str">
        <f>IFERROR(__xludf.DUMMYFUNCTION("IFERROR(TO_DATE(H5035), """")"),"NA")</f>
        <v>NA</v>
      </c>
      <c r="J5035" s="19" t="s">
        <v>13</v>
      </c>
      <c r="K5035" s="22">
        <f t="shared" si="2"/>
        <v>0</v>
      </c>
    </row>
    <row r="5036">
      <c r="A5036" s="18">
        <v>2563.0</v>
      </c>
      <c r="B5036" s="18" t="s">
        <v>30</v>
      </c>
      <c r="C5036" s="18" t="s">
        <v>34</v>
      </c>
      <c r="D5036" s="18" t="s">
        <v>35</v>
      </c>
      <c r="E5036" s="26">
        <v>42563.89166666667</v>
      </c>
      <c r="F5036" s="19">
        <f>IFERROR(__xludf.DUMMYFUNCTION("IFERROR(TO_DATE(E5036), """")"),42563.89166666667)</f>
        <v>42563.89167</v>
      </c>
      <c r="G5036" s="20">
        <f t="shared" si="1"/>
        <v>21</v>
      </c>
      <c r="H5036" s="18" t="s">
        <v>34</v>
      </c>
      <c r="I5036" s="19" t="str">
        <f>IFERROR(__xludf.DUMMYFUNCTION("IFERROR(TO_DATE(H5036), """")"),"NA")</f>
        <v>NA</v>
      </c>
      <c r="J5036" s="19" t="s">
        <v>13</v>
      </c>
      <c r="K5036" s="22">
        <f t="shared" si="2"/>
        <v>0</v>
      </c>
    </row>
    <row r="5037">
      <c r="A5037" s="18">
        <v>2548.0</v>
      </c>
      <c r="B5037" s="18" t="s">
        <v>30</v>
      </c>
      <c r="C5037" s="18" t="s">
        <v>34</v>
      </c>
      <c r="D5037" s="18" t="s">
        <v>35</v>
      </c>
      <c r="E5037" s="26">
        <v>42563.89166666667</v>
      </c>
      <c r="F5037" s="19">
        <f>IFERROR(__xludf.DUMMYFUNCTION("IFERROR(TO_DATE(E5037), """")"),42563.89166666667)</f>
        <v>42563.89167</v>
      </c>
      <c r="G5037" s="20">
        <f t="shared" si="1"/>
        <v>21</v>
      </c>
      <c r="H5037" s="18" t="s">
        <v>34</v>
      </c>
      <c r="I5037" s="19" t="str">
        <f>IFERROR(__xludf.DUMMYFUNCTION("IFERROR(TO_DATE(H5037), """")"),"NA")</f>
        <v>NA</v>
      </c>
      <c r="J5037" s="19" t="s">
        <v>13</v>
      </c>
      <c r="K5037" s="22">
        <f t="shared" si="2"/>
        <v>0</v>
      </c>
    </row>
    <row r="5038">
      <c r="A5038" s="18">
        <v>2551.0</v>
      </c>
      <c r="B5038" s="18" t="s">
        <v>30</v>
      </c>
      <c r="C5038" s="18" t="s">
        <v>34</v>
      </c>
      <c r="D5038" s="18" t="s">
        <v>35</v>
      </c>
      <c r="E5038" s="26">
        <v>42563.893055555556</v>
      </c>
      <c r="F5038" s="19">
        <f>IFERROR(__xludf.DUMMYFUNCTION("IFERROR(TO_DATE(E5038), """")"),42563.893055555556)</f>
        <v>42563.89306</v>
      </c>
      <c r="G5038" s="20">
        <f t="shared" si="1"/>
        <v>21</v>
      </c>
      <c r="H5038" s="18" t="s">
        <v>34</v>
      </c>
      <c r="I5038" s="19" t="str">
        <f>IFERROR(__xludf.DUMMYFUNCTION("IFERROR(TO_DATE(H5038), """")"),"NA")</f>
        <v>NA</v>
      </c>
      <c r="J5038" s="19" t="s">
        <v>13</v>
      </c>
      <c r="K5038" s="22">
        <f t="shared" si="2"/>
        <v>0</v>
      </c>
    </row>
    <row r="5039">
      <c r="A5039" s="18">
        <v>2555.0</v>
      </c>
      <c r="B5039" s="18" t="s">
        <v>30</v>
      </c>
      <c r="C5039" s="18" t="s">
        <v>34</v>
      </c>
      <c r="D5039" s="18" t="s">
        <v>35</v>
      </c>
      <c r="E5039" s="26">
        <v>42563.89444444444</v>
      </c>
      <c r="F5039" s="19">
        <f>IFERROR(__xludf.DUMMYFUNCTION("IFERROR(TO_DATE(E5039), """")"),42563.89444444444)</f>
        <v>42563.89444</v>
      </c>
      <c r="G5039" s="20">
        <f t="shared" si="1"/>
        <v>21</v>
      </c>
      <c r="H5039" s="18" t="s">
        <v>34</v>
      </c>
      <c r="I5039" s="19" t="str">
        <f>IFERROR(__xludf.DUMMYFUNCTION("IFERROR(TO_DATE(H5039), """")"),"NA")</f>
        <v>NA</v>
      </c>
      <c r="J5039" s="19" t="s">
        <v>13</v>
      </c>
      <c r="K5039" s="22">
        <f t="shared" si="2"/>
        <v>0</v>
      </c>
    </row>
    <row r="5040">
      <c r="A5040" s="18">
        <v>2549.0</v>
      </c>
      <c r="B5040" s="18" t="s">
        <v>30</v>
      </c>
      <c r="C5040" s="18" t="s">
        <v>34</v>
      </c>
      <c r="D5040" s="18" t="s">
        <v>35</v>
      </c>
      <c r="E5040" s="26">
        <v>42563.89444444444</v>
      </c>
      <c r="F5040" s="19">
        <f>IFERROR(__xludf.DUMMYFUNCTION("IFERROR(TO_DATE(E5040), """")"),42563.89444444444)</f>
        <v>42563.89444</v>
      </c>
      <c r="G5040" s="20">
        <f t="shared" si="1"/>
        <v>21</v>
      </c>
      <c r="H5040" s="18" t="s">
        <v>34</v>
      </c>
      <c r="I5040" s="19" t="str">
        <f>IFERROR(__xludf.DUMMYFUNCTION("IFERROR(TO_DATE(H5040), """")"),"NA")</f>
        <v>NA</v>
      </c>
      <c r="J5040" s="19" t="s">
        <v>13</v>
      </c>
      <c r="K5040" s="22">
        <f t="shared" si="2"/>
        <v>0</v>
      </c>
    </row>
    <row r="5041">
      <c r="A5041" s="18">
        <v>2554.0</v>
      </c>
      <c r="B5041" s="18" t="s">
        <v>30</v>
      </c>
      <c r="C5041" s="18" t="s">
        <v>34</v>
      </c>
      <c r="D5041" s="18" t="s">
        <v>35</v>
      </c>
      <c r="E5041" s="26">
        <v>42563.895833333336</v>
      </c>
      <c r="F5041" s="19">
        <f>IFERROR(__xludf.DUMMYFUNCTION("IFERROR(TO_DATE(E5041), """")"),42563.895833333336)</f>
        <v>42563.89583</v>
      </c>
      <c r="G5041" s="20">
        <f t="shared" si="1"/>
        <v>21</v>
      </c>
      <c r="H5041" s="18" t="s">
        <v>34</v>
      </c>
      <c r="I5041" s="19" t="str">
        <f>IFERROR(__xludf.DUMMYFUNCTION("IFERROR(TO_DATE(H5041), """")"),"NA")</f>
        <v>NA</v>
      </c>
      <c r="J5041" s="19" t="s">
        <v>13</v>
      </c>
      <c r="K5041" s="22">
        <f t="shared" si="2"/>
        <v>0</v>
      </c>
    </row>
    <row r="5042">
      <c r="A5042" s="18">
        <v>2566.0</v>
      </c>
      <c r="B5042" s="18" t="s">
        <v>30</v>
      </c>
      <c r="C5042" s="18" t="s">
        <v>34</v>
      </c>
      <c r="D5042" s="18" t="s">
        <v>35</v>
      </c>
      <c r="E5042" s="26">
        <v>42563.896527777775</v>
      </c>
      <c r="F5042" s="19">
        <f>IFERROR(__xludf.DUMMYFUNCTION("IFERROR(TO_DATE(E5042), """")"),42563.896527777775)</f>
        <v>42563.89653</v>
      </c>
      <c r="G5042" s="20">
        <f t="shared" si="1"/>
        <v>21</v>
      </c>
      <c r="H5042" s="18" t="s">
        <v>34</v>
      </c>
      <c r="I5042" s="19" t="str">
        <f>IFERROR(__xludf.DUMMYFUNCTION("IFERROR(TO_DATE(H5042), """")"),"NA")</f>
        <v>NA</v>
      </c>
      <c r="J5042" s="19" t="s">
        <v>13</v>
      </c>
      <c r="K5042" s="22">
        <f t="shared" si="2"/>
        <v>0</v>
      </c>
    </row>
    <row r="5043">
      <c r="A5043" s="18">
        <v>2562.0</v>
      </c>
      <c r="B5043" s="18" t="s">
        <v>30</v>
      </c>
      <c r="C5043" s="18" t="s">
        <v>34</v>
      </c>
      <c r="D5043" s="18" t="s">
        <v>35</v>
      </c>
      <c r="E5043" s="26">
        <v>42563.89722222222</v>
      </c>
      <c r="F5043" s="19">
        <f>IFERROR(__xludf.DUMMYFUNCTION("IFERROR(TO_DATE(E5043), """")"),42563.89722222222)</f>
        <v>42563.89722</v>
      </c>
      <c r="G5043" s="20">
        <f t="shared" si="1"/>
        <v>21</v>
      </c>
      <c r="H5043" s="18" t="s">
        <v>34</v>
      </c>
      <c r="I5043" s="19" t="str">
        <f>IFERROR(__xludf.DUMMYFUNCTION("IFERROR(TO_DATE(H5043), """")"),"NA")</f>
        <v>NA</v>
      </c>
      <c r="J5043" s="19" t="s">
        <v>13</v>
      </c>
      <c r="K5043" s="22">
        <f t="shared" si="2"/>
        <v>0</v>
      </c>
    </row>
    <row r="5044">
      <c r="A5044" s="18">
        <v>2571.0</v>
      </c>
      <c r="B5044" s="18" t="s">
        <v>30</v>
      </c>
      <c r="C5044" s="18" t="s">
        <v>34</v>
      </c>
      <c r="D5044" s="18" t="s">
        <v>35</v>
      </c>
      <c r="E5044" s="26">
        <v>42563.89722222222</v>
      </c>
      <c r="F5044" s="19">
        <f>IFERROR(__xludf.DUMMYFUNCTION("IFERROR(TO_DATE(E5044), """")"),42563.89722222222)</f>
        <v>42563.89722</v>
      </c>
      <c r="G5044" s="20">
        <f t="shared" si="1"/>
        <v>21</v>
      </c>
      <c r="H5044" s="18" t="s">
        <v>34</v>
      </c>
      <c r="I5044" s="19" t="str">
        <f>IFERROR(__xludf.DUMMYFUNCTION("IFERROR(TO_DATE(H5044), """")"),"NA")</f>
        <v>NA</v>
      </c>
      <c r="J5044" s="19" t="s">
        <v>13</v>
      </c>
      <c r="K5044" s="22">
        <f t="shared" si="2"/>
        <v>0</v>
      </c>
    </row>
    <row r="5045">
      <c r="A5045" s="18">
        <v>2565.0</v>
      </c>
      <c r="B5045" s="18" t="s">
        <v>30</v>
      </c>
      <c r="C5045" s="18" t="s">
        <v>34</v>
      </c>
      <c r="D5045" s="18" t="s">
        <v>35</v>
      </c>
      <c r="E5045" s="26">
        <v>42563.89722222222</v>
      </c>
      <c r="F5045" s="19">
        <f>IFERROR(__xludf.DUMMYFUNCTION("IFERROR(TO_DATE(E5045), """")"),42563.89722222222)</f>
        <v>42563.89722</v>
      </c>
      <c r="G5045" s="20">
        <f t="shared" si="1"/>
        <v>21</v>
      </c>
      <c r="H5045" s="18" t="s">
        <v>34</v>
      </c>
      <c r="I5045" s="19" t="str">
        <f>IFERROR(__xludf.DUMMYFUNCTION("IFERROR(TO_DATE(H5045), """")"),"NA")</f>
        <v>NA</v>
      </c>
      <c r="J5045" s="19" t="s">
        <v>13</v>
      </c>
      <c r="K5045" s="22">
        <f t="shared" si="2"/>
        <v>0</v>
      </c>
    </row>
    <row r="5046">
      <c r="A5046" s="18">
        <v>2575.0</v>
      </c>
      <c r="B5046" s="18" t="s">
        <v>30</v>
      </c>
      <c r="C5046" s="18" t="s">
        <v>34</v>
      </c>
      <c r="D5046" s="18" t="s">
        <v>35</v>
      </c>
      <c r="E5046" s="26">
        <v>42563.89791666667</v>
      </c>
      <c r="F5046" s="19">
        <f>IFERROR(__xludf.DUMMYFUNCTION("IFERROR(TO_DATE(E5046), """")"),42563.89791666667)</f>
        <v>42563.89792</v>
      </c>
      <c r="G5046" s="20">
        <f t="shared" si="1"/>
        <v>21</v>
      </c>
      <c r="H5046" s="18" t="s">
        <v>34</v>
      </c>
      <c r="I5046" s="19" t="str">
        <f>IFERROR(__xludf.DUMMYFUNCTION("IFERROR(TO_DATE(H5046), """")"),"NA")</f>
        <v>NA</v>
      </c>
      <c r="J5046" s="19" t="s">
        <v>13</v>
      </c>
      <c r="K5046" s="22">
        <f t="shared" si="2"/>
        <v>0</v>
      </c>
    </row>
    <row r="5047">
      <c r="A5047" s="18">
        <v>2568.0</v>
      </c>
      <c r="B5047" s="18" t="s">
        <v>30</v>
      </c>
      <c r="C5047" s="18" t="s">
        <v>34</v>
      </c>
      <c r="D5047" s="18" t="s">
        <v>35</v>
      </c>
      <c r="E5047" s="26">
        <v>42563.89861111111</v>
      </c>
      <c r="F5047" s="19">
        <f>IFERROR(__xludf.DUMMYFUNCTION("IFERROR(TO_DATE(E5047), """")"),42563.89861111111)</f>
        <v>42563.89861</v>
      </c>
      <c r="G5047" s="20">
        <f t="shared" si="1"/>
        <v>21</v>
      </c>
      <c r="H5047" s="18" t="s">
        <v>34</v>
      </c>
      <c r="I5047" s="19" t="str">
        <f>IFERROR(__xludf.DUMMYFUNCTION("IFERROR(TO_DATE(H5047), """")"),"NA")</f>
        <v>NA</v>
      </c>
      <c r="J5047" s="19" t="s">
        <v>13</v>
      </c>
      <c r="K5047" s="22">
        <f t="shared" si="2"/>
        <v>0</v>
      </c>
    </row>
    <row r="5048">
      <c r="A5048" s="18">
        <v>2570.0</v>
      </c>
      <c r="B5048" s="18" t="s">
        <v>30</v>
      </c>
      <c r="C5048" s="18" t="s">
        <v>34</v>
      </c>
      <c r="D5048" s="18" t="s">
        <v>35</v>
      </c>
      <c r="E5048" s="26">
        <v>42563.89861111111</v>
      </c>
      <c r="F5048" s="19">
        <f>IFERROR(__xludf.DUMMYFUNCTION("IFERROR(TO_DATE(E5048), """")"),42563.89861111111)</f>
        <v>42563.89861</v>
      </c>
      <c r="G5048" s="20">
        <f t="shared" si="1"/>
        <v>21</v>
      </c>
      <c r="H5048" s="18" t="s">
        <v>34</v>
      </c>
      <c r="I5048" s="19" t="str">
        <f>IFERROR(__xludf.DUMMYFUNCTION("IFERROR(TO_DATE(H5048), """")"),"NA")</f>
        <v>NA</v>
      </c>
      <c r="J5048" s="19" t="s">
        <v>13</v>
      </c>
      <c r="K5048" s="22">
        <f t="shared" si="2"/>
        <v>0</v>
      </c>
    </row>
    <row r="5049">
      <c r="A5049" s="18">
        <v>2564.0</v>
      </c>
      <c r="B5049" s="18" t="s">
        <v>30</v>
      </c>
      <c r="C5049" s="18" t="s">
        <v>34</v>
      </c>
      <c r="D5049" s="18" t="s">
        <v>35</v>
      </c>
      <c r="E5049" s="26">
        <v>42563.899305555555</v>
      </c>
      <c r="F5049" s="19">
        <f>IFERROR(__xludf.DUMMYFUNCTION("IFERROR(TO_DATE(E5049), """")"),42563.899305555555)</f>
        <v>42563.89931</v>
      </c>
      <c r="G5049" s="20">
        <f t="shared" si="1"/>
        <v>21</v>
      </c>
      <c r="H5049" s="18" t="s">
        <v>34</v>
      </c>
      <c r="I5049" s="19" t="str">
        <f>IFERROR(__xludf.DUMMYFUNCTION("IFERROR(TO_DATE(H5049), """")"),"NA")</f>
        <v>NA</v>
      </c>
      <c r="J5049" s="19" t="s">
        <v>13</v>
      </c>
      <c r="K5049" s="22">
        <f t="shared" si="2"/>
        <v>0</v>
      </c>
    </row>
    <row r="5050">
      <c r="A5050" s="18">
        <v>2581.0</v>
      </c>
      <c r="B5050" s="18" t="s">
        <v>30</v>
      </c>
      <c r="C5050" s="18" t="s">
        <v>34</v>
      </c>
      <c r="D5050" s="18" t="s">
        <v>35</v>
      </c>
      <c r="E5050" s="26">
        <v>42563.899305555555</v>
      </c>
      <c r="F5050" s="19">
        <f>IFERROR(__xludf.DUMMYFUNCTION("IFERROR(TO_DATE(E5050), """")"),42563.899305555555)</f>
        <v>42563.89931</v>
      </c>
      <c r="G5050" s="20">
        <f t="shared" si="1"/>
        <v>21</v>
      </c>
      <c r="H5050" s="18" t="s">
        <v>34</v>
      </c>
      <c r="I5050" s="19" t="str">
        <f>IFERROR(__xludf.DUMMYFUNCTION("IFERROR(TO_DATE(H5050), """")"),"NA")</f>
        <v>NA</v>
      </c>
      <c r="J5050" s="19" t="s">
        <v>13</v>
      </c>
      <c r="K5050" s="22">
        <f t="shared" si="2"/>
        <v>0</v>
      </c>
    </row>
    <row r="5051">
      <c r="A5051" s="18">
        <v>2576.0</v>
      </c>
      <c r="B5051" s="18" t="s">
        <v>30</v>
      </c>
      <c r="C5051" s="18" t="s">
        <v>34</v>
      </c>
      <c r="D5051" s="18" t="s">
        <v>35</v>
      </c>
      <c r="E5051" s="26">
        <v>42563.9</v>
      </c>
      <c r="F5051" s="19">
        <f>IFERROR(__xludf.DUMMYFUNCTION("IFERROR(TO_DATE(E5051), """")"),42563.9)</f>
        <v>42563.9</v>
      </c>
      <c r="G5051" s="20">
        <f t="shared" si="1"/>
        <v>21</v>
      </c>
      <c r="H5051" s="18" t="s">
        <v>34</v>
      </c>
      <c r="I5051" s="19" t="str">
        <f>IFERROR(__xludf.DUMMYFUNCTION("IFERROR(TO_DATE(H5051), """")"),"NA")</f>
        <v>NA</v>
      </c>
      <c r="J5051" s="19" t="s">
        <v>13</v>
      </c>
      <c r="K5051" s="22">
        <f t="shared" si="2"/>
        <v>0</v>
      </c>
    </row>
    <row r="5052">
      <c r="A5052" s="18">
        <v>2579.0</v>
      </c>
      <c r="B5052" s="18" t="s">
        <v>30</v>
      </c>
      <c r="C5052" s="18" t="s">
        <v>34</v>
      </c>
      <c r="D5052" s="18" t="s">
        <v>35</v>
      </c>
      <c r="E5052" s="26">
        <v>42563.90138888889</v>
      </c>
      <c r="F5052" s="19">
        <f>IFERROR(__xludf.DUMMYFUNCTION("IFERROR(TO_DATE(E5052), """")"),42563.90138888889)</f>
        <v>42563.90139</v>
      </c>
      <c r="G5052" s="20">
        <f t="shared" si="1"/>
        <v>21</v>
      </c>
      <c r="H5052" s="18" t="s">
        <v>34</v>
      </c>
      <c r="I5052" s="19" t="str">
        <f>IFERROR(__xludf.DUMMYFUNCTION("IFERROR(TO_DATE(H5052), """")"),"NA")</f>
        <v>NA</v>
      </c>
      <c r="J5052" s="19" t="s">
        <v>13</v>
      </c>
      <c r="K5052" s="22">
        <f t="shared" si="2"/>
        <v>0</v>
      </c>
    </row>
    <row r="5053">
      <c r="A5053" s="18">
        <v>2574.0</v>
      </c>
      <c r="B5053" s="18" t="s">
        <v>30</v>
      </c>
      <c r="C5053" s="18" t="s">
        <v>34</v>
      </c>
      <c r="D5053" s="18" t="s">
        <v>35</v>
      </c>
      <c r="E5053" s="26">
        <v>42563.90138888889</v>
      </c>
      <c r="F5053" s="19">
        <f>IFERROR(__xludf.DUMMYFUNCTION("IFERROR(TO_DATE(E5053), """")"),42563.90138888889)</f>
        <v>42563.90139</v>
      </c>
      <c r="G5053" s="20">
        <f t="shared" si="1"/>
        <v>21</v>
      </c>
      <c r="H5053" s="18" t="s">
        <v>34</v>
      </c>
      <c r="I5053" s="19" t="str">
        <f>IFERROR(__xludf.DUMMYFUNCTION("IFERROR(TO_DATE(H5053), """")"),"NA")</f>
        <v>NA</v>
      </c>
      <c r="J5053" s="19" t="s">
        <v>13</v>
      </c>
      <c r="K5053" s="22">
        <f t="shared" si="2"/>
        <v>0</v>
      </c>
    </row>
    <row r="5054">
      <c r="A5054" s="18">
        <v>2577.0</v>
      </c>
      <c r="B5054" s="18" t="s">
        <v>30</v>
      </c>
      <c r="C5054" s="18" t="s">
        <v>34</v>
      </c>
      <c r="D5054" s="18" t="s">
        <v>35</v>
      </c>
      <c r="E5054" s="26">
        <v>42563.90138888889</v>
      </c>
      <c r="F5054" s="19">
        <f>IFERROR(__xludf.DUMMYFUNCTION("IFERROR(TO_DATE(E5054), """")"),42563.90138888889)</f>
        <v>42563.90139</v>
      </c>
      <c r="G5054" s="20">
        <f t="shared" si="1"/>
        <v>21</v>
      </c>
      <c r="H5054" s="18" t="s">
        <v>34</v>
      </c>
      <c r="I5054" s="19" t="str">
        <f>IFERROR(__xludf.DUMMYFUNCTION("IFERROR(TO_DATE(H5054), """")"),"NA")</f>
        <v>NA</v>
      </c>
      <c r="J5054" s="19" t="s">
        <v>13</v>
      </c>
      <c r="K5054" s="22">
        <f t="shared" si="2"/>
        <v>0</v>
      </c>
    </row>
    <row r="5055">
      <c r="A5055" s="18">
        <v>2580.0</v>
      </c>
      <c r="B5055" s="18" t="s">
        <v>30</v>
      </c>
      <c r="C5055" s="18" t="s">
        <v>34</v>
      </c>
      <c r="D5055" s="18" t="s">
        <v>35</v>
      </c>
      <c r="E5055" s="26">
        <v>42563.902083333334</v>
      </c>
      <c r="F5055" s="19">
        <f>IFERROR(__xludf.DUMMYFUNCTION("IFERROR(TO_DATE(E5055), """")"),42563.902083333334)</f>
        <v>42563.90208</v>
      </c>
      <c r="G5055" s="20">
        <f t="shared" si="1"/>
        <v>21</v>
      </c>
      <c r="H5055" s="18" t="s">
        <v>34</v>
      </c>
      <c r="I5055" s="19" t="str">
        <f>IFERROR(__xludf.DUMMYFUNCTION("IFERROR(TO_DATE(H5055), """")"),"NA")</f>
        <v>NA</v>
      </c>
      <c r="J5055" s="19" t="s">
        <v>13</v>
      </c>
      <c r="K5055" s="22">
        <f t="shared" si="2"/>
        <v>0</v>
      </c>
    </row>
    <row r="5056">
      <c r="A5056" s="18">
        <v>2583.0</v>
      </c>
      <c r="B5056" s="18" t="s">
        <v>30</v>
      </c>
      <c r="C5056" s="18" t="s">
        <v>34</v>
      </c>
      <c r="D5056" s="18" t="s">
        <v>35</v>
      </c>
      <c r="E5056" s="26">
        <v>42563.90347222222</v>
      </c>
      <c r="F5056" s="19">
        <f>IFERROR(__xludf.DUMMYFUNCTION("IFERROR(TO_DATE(E5056), """")"),42563.90347222222)</f>
        <v>42563.90347</v>
      </c>
      <c r="G5056" s="20">
        <f t="shared" si="1"/>
        <v>21</v>
      </c>
      <c r="H5056" s="18" t="s">
        <v>34</v>
      </c>
      <c r="I5056" s="19" t="str">
        <f>IFERROR(__xludf.DUMMYFUNCTION("IFERROR(TO_DATE(H5056), """")"),"NA")</f>
        <v>NA</v>
      </c>
      <c r="J5056" s="19" t="s">
        <v>13</v>
      </c>
      <c r="K5056" s="22">
        <f t="shared" si="2"/>
        <v>0</v>
      </c>
    </row>
    <row r="5057">
      <c r="A5057" s="18">
        <v>2573.0</v>
      </c>
      <c r="B5057" s="18" t="s">
        <v>30</v>
      </c>
      <c r="C5057" s="18" t="s">
        <v>34</v>
      </c>
      <c r="D5057" s="18" t="s">
        <v>35</v>
      </c>
      <c r="E5057" s="26">
        <v>42563.90416666667</v>
      </c>
      <c r="F5057" s="19">
        <f>IFERROR(__xludf.DUMMYFUNCTION("IFERROR(TO_DATE(E5057), """")"),42563.90416666667)</f>
        <v>42563.90417</v>
      </c>
      <c r="G5057" s="20">
        <f t="shared" si="1"/>
        <v>21</v>
      </c>
      <c r="H5057" s="18" t="s">
        <v>34</v>
      </c>
      <c r="I5057" s="19" t="str">
        <f>IFERROR(__xludf.DUMMYFUNCTION("IFERROR(TO_DATE(H5057), """")"),"NA")</f>
        <v>NA</v>
      </c>
      <c r="J5057" s="19" t="s">
        <v>13</v>
      </c>
      <c r="K5057" s="22">
        <f t="shared" si="2"/>
        <v>0</v>
      </c>
    </row>
    <row r="5058">
      <c r="A5058" s="18">
        <v>2578.0</v>
      </c>
      <c r="B5058" s="18" t="s">
        <v>30</v>
      </c>
      <c r="C5058" s="18" t="s">
        <v>34</v>
      </c>
      <c r="D5058" s="18" t="s">
        <v>35</v>
      </c>
      <c r="E5058" s="26">
        <v>42563.90416666667</v>
      </c>
      <c r="F5058" s="19">
        <f>IFERROR(__xludf.DUMMYFUNCTION("IFERROR(TO_DATE(E5058), """")"),42563.90416666667)</f>
        <v>42563.90417</v>
      </c>
      <c r="G5058" s="20">
        <f t="shared" si="1"/>
        <v>21</v>
      </c>
      <c r="H5058" s="18" t="s">
        <v>34</v>
      </c>
      <c r="I5058" s="19" t="str">
        <f>IFERROR(__xludf.DUMMYFUNCTION("IFERROR(TO_DATE(H5058), """")"),"NA")</f>
        <v>NA</v>
      </c>
      <c r="J5058" s="19" t="s">
        <v>13</v>
      </c>
      <c r="K5058" s="22">
        <f t="shared" si="2"/>
        <v>0</v>
      </c>
    </row>
    <row r="5059">
      <c r="A5059" s="18">
        <v>2590.0</v>
      </c>
      <c r="B5059" s="18" t="s">
        <v>30</v>
      </c>
      <c r="C5059" s="18" t="s">
        <v>34</v>
      </c>
      <c r="D5059" s="18" t="s">
        <v>35</v>
      </c>
      <c r="E5059" s="26">
        <v>42563.90416666667</v>
      </c>
      <c r="F5059" s="19">
        <f>IFERROR(__xludf.DUMMYFUNCTION("IFERROR(TO_DATE(E5059), """")"),42563.90416666667)</f>
        <v>42563.90417</v>
      </c>
      <c r="G5059" s="20">
        <f t="shared" si="1"/>
        <v>21</v>
      </c>
      <c r="H5059" s="18" t="s">
        <v>34</v>
      </c>
      <c r="I5059" s="19" t="str">
        <f>IFERROR(__xludf.DUMMYFUNCTION("IFERROR(TO_DATE(H5059), """")"),"NA")</f>
        <v>NA</v>
      </c>
      <c r="J5059" s="19" t="s">
        <v>13</v>
      </c>
      <c r="K5059" s="22">
        <f t="shared" si="2"/>
        <v>0</v>
      </c>
    </row>
    <row r="5060">
      <c r="A5060" s="18">
        <v>2585.0</v>
      </c>
      <c r="B5060" s="18" t="s">
        <v>30</v>
      </c>
      <c r="C5060" s="18" t="s">
        <v>34</v>
      </c>
      <c r="D5060" s="18" t="s">
        <v>35</v>
      </c>
      <c r="E5060" s="26">
        <v>42563.90416666667</v>
      </c>
      <c r="F5060" s="19">
        <f>IFERROR(__xludf.DUMMYFUNCTION("IFERROR(TO_DATE(E5060), """")"),42563.90416666667)</f>
        <v>42563.90417</v>
      </c>
      <c r="G5060" s="20">
        <f t="shared" si="1"/>
        <v>21</v>
      </c>
      <c r="H5060" s="18" t="s">
        <v>34</v>
      </c>
      <c r="I5060" s="19" t="str">
        <f>IFERROR(__xludf.DUMMYFUNCTION("IFERROR(TO_DATE(H5060), """")"),"NA")</f>
        <v>NA</v>
      </c>
      <c r="J5060" s="19" t="s">
        <v>13</v>
      </c>
      <c r="K5060" s="22">
        <f t="shared" si="2"/>
        <v>0</v>
      </c>
    </row>
    <row r="5061">
      <c r="A5061" s="18">
        <v>2594.0</v>
      </c>
      <c r="B5061" s="18" t="s">
        <v>30</v>
      </c>
      <c r="C5061" s="18" t="s">
        <v>34</v>
      </c>
      <c r="D5061" s="18" t="s">
        <v>35</v>
      </c>
      <c r="E5061" s="26">
        <v>42563.90555555555</v>
      </c>
      <c r="F5061" s="19">
        <f>IFERROR(__xludf.DUMMYFUNCTION("IFERROR(TO_DATE(E5061), """")"),42563.90555555555)</f>
        <v>42563.90556</v>
      </c>
      <c r="G5061" s="20">
        <f t="shared" si="1"/>
        <v>21</v>
      </c>
      <c r="H5061" s="18" t="s">
        <v>34</v>
      </c>
      <c r="I5061" s="19" t="str">
        <f>IFERROR(__xludf.DUMMYFUNCTION("IFERROR(TO_DATE(H5061), """")"),"NA")</f>
        <v>NA</v>
      </c>
      <c r="J5061" s="19" t="s">
        <v>13</v>
      </c>
      <c r="K5061" s="22">
        <f t="shared" si="2"/>
        <v>0</v>
      </c>
    </row>
    <row r="5062">
      <c r="A5062" s="18">
        <v>2586.0</v>
      </c>
      <c r="B5062" s="18" t="s">
        <v>30</v>
      </c>
      <c r="C5062" s="18" t="s">
        <v>34</v>
      </c>
      <c r="D5062" s="18" t="s">
        <v>35</v>
      </c>
      <c r="E5062" s="26">
        <v>42563.90625</v>
      </c>
      <c r="F5062" s="19">
        <f>IFERROR(__xludf.DUMMYFUNCTION("IFERROR(TO_DATE(E5062), """")"),42563.90625)</f>
        <v>42563.90625</v>
      </c>
      <c r="G5062" s="20">
        <f t="shared" si="1"/>
        <v>21</v>
      </c>
      <c r="H5062" s="18" t="s">
        <v>34</v>
      </c>
      <c r="I5062" s="19" t="str">
        <f>IFERROR(__xludf.DUMMYFUNCTION("IFERROR(TO_DATE(H5062), """")"),"NA")</f>
        <v>NA</v>
      </c>
      <c r="J5062" s="19" t="s">
        <v>13</v>
      </c>
      <c r="K5062" s="22">
        <f t="shared" si="2"/>
        <v>0</v>
      </c>
    </row>
    <row r="5063">
      <c r="A5063" s="18">
        <v>2587.0</v>
      </c>
      <c r="B5063" s="18" t="s">
        <v>30</v>
      </c>
      <c r="C5063" s="18" t="s">
        <v>34</v>
      </c>
      <c r="D5063" s="18" t="s">
        <v>35</v>
      </c>
      <c r="E5063" s="26">
        <v>42563.90625</v>
      </c>
      <c r="F5063" s="19">
        <f>IFERROR(__xludf.DUMMYFUNCTION("IFERROR(TO_DATE(E5063), """")"),42563.90625)</f>
        <v>42563.90625</v>
      </c>
      <c r="G5063" s="20">
        <f t="shared" si="1"/>
        <v>21</v>
      </c>
      <c r="H5063" s="18" t="s">
        <v>34</v>
      </c>
      <c r="I5063" s="19" t="str">
        <f>IFERROR(__xludf.DUMMYFUNCTION("IFERROR(TO_DATE(H5063), """")"),"NA")</f>
        <v>NA</v>
      </c>
      <c r="J5063" s="19" t="s">
        <v>13</v>
      </c>
      <c r="K5063" s="22">
        <f t="shared" si="2"/>
        <v>0</v>
      </c>
    </row>
    <row r="5064">
      <c r="A5064" s="18">
        <v>2595.0</v>
      </c>
      <c r="B5064" s="18" t="s">
        <v>30</v>
      </c>
      <c r="C5064" s="18" t="s">
        <v>34</v>
      </c>
      <c r="D5064" s="18" t="s">
        <v>35</v>
      </c>
      <c r="E5064" s="26">
        <v>42563.90902777778</v>
      </c>
      <c r="F5064" s="19">
        <f>IFERROR(__xludf.DUMMYFUNCTION("IFERROR(TO_DATE(E5064), """")"),42563.90902777778)</f>
        <v>42563.90903</v>
      </c>
      <c r="G5064" s="20">
        <f t="shared" si="1"/>
        <v>21</v>
      </c>
      <c r="H5064" s="18" t="s">
        <v>34</v>
      </c>
      <c r="I5064" s="19" t="str">
        <f>IFERROR(__xludf.DUMMYFUNCTION("IFERROR(TO_DATE(H5064), """")"),"NA")</f>
        <v>NA</v>
      </c>
      <c r="J5064" s="19" t="s">
        <v>13</v>
      </c>
      <c r="K5064" s="22">
        <f t="shared" si="2"/>
        <v>0</v>
      </c>
    </row>
    <row r="5065">
      <c r="A5065" s="18">
        <v>2599.0</v>
      </c>
      <c r="B5065" s="18" t="s">
        <v>30</v>
      </c>
      <c r="C5065" s="18" t="s">
        <v>34</v>
      </c>
      <c r="D5065" s="18" t="s">
        <v>35</v>
      </c>
      <c r="E5065" s="26">
        <v>42563.910416666666</v>
      </c>
      <c r="F5065" s="19">
        <f>IFERROR(__xludf.DUMMYFUNCTION("IFERROR(TO_DATE(E5065), """")"),42563.910416666666)</f>
        <v>42563.91042</v>
      </c>
      <c r="G5065" s="20">
        <f t="shared" si="1"/>
        <v>21</v>
      </c>
      <c r="H5065" s="18" t="s">
        <v>34</v>
      </c>
      <c r="I5065" s="19" t="str">
        <f>IFERROR(__xludf.DUMMYFUNCTION("IFERROR(TO_DATE(H5065), """")"),"NA")</f>
        <v>NA</v>
      </c>
      <c r="J5065" s="19" t="s">
        <v>13</v>
      </c>
      <c r="K5065" s="22">
        <f t="shared" si="2"/>
        <v>0</v>
      </c>
    </row>
    <row r="5066">
      <c r="A5066" s="18">
        <v>2592.0</v>
      </c>
      <c r="B5066" s="18" t="s">
        <v>30</v>
      </c>
      <c r="C5066" s="18" t="s">
        <v>34</v>
      </c>
      <c r="D5066" s="18" t="s">
        <v>35</v>
      </c>
      <c r="E5066" s="26">
        <v>42563.91111111111</v>
      </c>
      <c r="F5066" s="19">
        <f>IFERROR(__xludf.DUMMYFUNCTION("IFERROR(TO_DATE(E5066), """")"),42563.91111111111)</f>
        <v>42563.91111</v>
      </c>
      <c r="G5066" s="20">
        <f t="shared" si="1"/>
        <v>21</v>
      </c>
      <c r="H5066" s="18" t="s">
        <v>34</v>
      </c>
      <c r="I5066" s="19" t="str">
        <f>IFERROR(__xludf.DUMMYFUNCTION("IFERROR(TO_DATE(H5066), """")"),"NA")</f>
        <v>NA</v>
      </c>
      <c r="J5066" s="19" t="s">
        <v>13</v>
      </c>
      <c r="K5066" s="22">
        <f t="shared" si="2"/>
        <v>0</v>
      </c>
    </row>
    <row r="5067">
      <c r="A5067" s="18">
        <v>2600.0</v>
      </c>
      <c r="B5067" s="18" t="s">
        <v>30</v>
      </c>
      <c r="C5067" s="18" t="s">
        <v>34</v>
      </c>
      <c r="D5067" s="18" t="s">
        <v>35</v>
      </c>
      <c r="E5067" s="26">
        <v>42563.913194444445</v>
      </c>
      <c r="F5067" s="19">
        <f>IFERROR(__xludf.DUMMYFUNCTION("IFERROR(TO_DATE(E5067), """")"),42563.913194444445)</f>
        <v>42563.91319</v>
      </c>
      <c r="G5067" s="20">
        <f t="shared" si="1"/>
        <v>21</v>
      </c>
      <c r="H5067" s="18" t="s">
        <v>34</v>
      </c>
      <c r="I5067" s="19" t="str">
        <f>IFERROR(__xludf.DUMMYFUNCTION("IFERROR(TO_DATE(H5067), """")"),"NA")</f>
        <v>NA</v>
      </c>
      <c r="J5067" s="19" t="s">
        <v>13</v>
      </c>
      <c r="K5067" s="22">
        <f t="shared" si="2"/>
        <v>0</v>
      </c>
    </row>
    <row r="5068">
      <c r="A5068" s="18">
        <v>2602.0</v>
      </c>
      <c r="B5068" s="18" t="s">
        <v>30</v>
      </c>
      <c r="C5068" s="18" t="s">
        <v>34</v>
      </c>
      <c r="D5068" s="18" t="s">
        <v>35</v>
      </c>
      <c r="E5068" s="26">
        <v>42563.91388888889</v>
      </c>
      <c r="F5068" s="19">
        <f>IFERROR(__xludf.DUMMYFUNCTION("IFERROR(TO_DATE(E5068), """")"),42563.91388888889)</f>
        <v>42563.91389</v>
      </c>
      <c r="G5068" s="20">
        <f t="shared" si="1"/>
        <v>21</v>
      </c>
      <c r="H5068" s="18" t="s">
        <v>34</v>
      </c>
      <c r="I5068" s="19" t="str">
        <f>IFERROR(__xludf.DUMMYFUNCTION("IFERROR(TO_DATE(H5068), """")"),"NA")</f>
        <v>NA</v>
      </c>
      <c r="J5068" s="19" t="s">
        <v>13</v>
      </c>
      <c r="K5068" s="22">
        <f t="shared" si="2"/>
        <v>0</v>
      </c>
    </row>
    <row r="5069">
      <c r="A5069" s="18">
        <v>2601.0</v>
      </c>
      <c r="B5069" s="18" t="s">
        <v>30</v>
      </c>
      <c r="C5069" s="18" t="s">
        <v>34</v>
      </c>
      <c r="D5069" s="18" t="s">
        <v>35</v>
      </c>
      <c r="E5069" s="26">
        <v>42563.91388888889</v>
      </c>
      <c r="F5069" s="19">
        <f>IFERROR(__xludf.DUMMYFUNCTION("IFERROR(TO_DATE(E5069), """")"),42563.91388888889)</f>
        <v>42563.91389</v>
      </c>
      <c r="G5069" s="20">
        <f t="shared" si="1"/>
        <v>21</v>
      </c>
      <c r="H5069" s="18" t="s">
        <v>34</v>
      </c>
      <c r="I5069" s="19" t="str">
        <f>IFERROR(__xludf.DUMMYFUNCTION("IFERROR(TO_DATE(H5069), """")"),"NA")</f>
        <v>NA</v>
      </c>
      <c r="J5069" s="19" t="s">
        <v>13</v>
      </c>
      <c r="K5069" s="22">
        <f t="shared" si="2"/>
        <v>0</v>
      </c>
    </row>
    <row r="5070">
      <c r="A5070" s="18">
        <v>2607.0</v>
      </c>
      <c r="B5070" s="18" t="s">
        <v>30</v>
      </c>
      <c r="C5070" s="18" t="s">
        <v>34</v>
      </c>
      <c r="D5070" s="18" t="s">
        <v>35</v>
      </c>
      <c r="E5070" s="26">
        <v>42563.915972222225</v>
      </c>
      <c r="F5070" s="19">
        <f>IFERROR(__xludf.DUMMYFUNCTION("IFERROR(TO_DATE(E5070), """")"),42563.915972222225)</f>
        <v>42563.91597</v>
      </c>
      <c r="G5070" s="20">
        <f t="shared" si="1"/>
        <v>21</v>
      </c>
      <c r="H5070" s="18" t="s">
        <v>34</v>
      </c>
      <c r="I5070" s="19" t="str">
        <f>IFERROR(__xludf.DUMMYFUNCTION("IFERROR(TO_DATE(H5070), """")"),"NA")</f>
        <v>NA</v>
      </c>
      <c r="J5070" s="19" t="s">
        <v>13</v>
      </c>
      <c r="K5070" s="22">
        <f t="shared" si="2"/>
        <v>0</v>
      </c>
    </row>
    <row r="5071">
      <c r="A5071" s="18">
        <v>2612.0</v>
      </c>
      <c r="B5071" s="18" t="s">
        <v>30</v>
      </c>
      <c r="C5071" s="18" t="s">
        <v>34</v>
      </c>
      <c r="D5071" s="18" t="s">
        <v>35</v>
      </c>
      <c r="E5071" s="26">
        <v>42563.91805555556</v>
      </c>
      <c r="F5071" s="19">
        <f>IFERROR(__xludf.DUMMYFUNCTION("IFERROR(TO_DATE(E5071), """")"),42563.91805555556)</f>
        <v>42563.91806</v>
      </c>
      <c r="G5071" s="20">
        <f t="shared" si="1"/>
        <v>22</v>
      </c>
      <c r="H5071" s="18" t="s">
        <v>34</v>
      </c>
      <c r="I5071" s="19" t="str">
        <f>IFERROR(__xludf.DUMMYFUNCTION("IFERROR(TO_DATE(H5071), """")"),"NA")</f>
        <v>NA</v>
      </c>
      <c r="J5071" s="19" t="s">
        <v>13</v>
      </c>
      <c r="K5071" s="22">
        <f t="shared" si="2"/>
        <v>0</v>
      </c>
    </row>
    <row r="5072">
      <c r="A5072" s="18">
        <v>2605.0</v>
      </c>
      <c r="B5072" s="18" t="s">
        <v>30</v>
      </c>
      <c r="C5072" s="18" t="s">
        <v>34</v>
      </c>
      <c r="D5072" s="18" t="s">
        <v>35</v>
      </c>
      <c r="E5072" s="26">
        <v>42563.91875</v>
      </c>
      <c r="F5072" s="19">
        <f>IFERROR(__xludf.DUMMYFUNCTION("IFERROR(TO_DATE(E5072), """")"),42563.91875)</f>
        <v>42563.91875</v>
      </c>
      <c r="G5072" s="20">
        <f t="shared" si="1"/>
        <v>22</v>
      </c>
      <c r="H5072" s="18" t="s">
        <v>34</v>
      </c>
      <c r="I5072" s="19" t="str">
        <f>IFERROR(__xludf.DUMMYFUNCTION("IFERROR(TO_DATE(H5072), """")"),"NA")</f>
        <v>NA</v>
      </c>
      <c r="J5072" s="19" t="s">
        <v>13</v>
      </c>
      <c r="K5072" s="22">
        <f t="shared" si="2"/>
        <v>0</v>
      </c>
    </row>
    <row r="5073">
      <c r="A5073" s="18">
        <v>2606.0</v>
      </c>
      <c r="B5073" s="18" t="s">
        <v>30</v>
      </c>
      <c r="C5073" s="18" t="s">
        <v>34</v>
      </c>
      <c r="D5073" s="18" t="s">
        <v>35</v>
      </c>
      <c r="E5073" s="26">
        <v>42563.91875</v>
      </c>
      <c r="F5073" s="19">
        <f>IFERROR(__xludf.DUMMYFUNCTION("IFERROR(TO_DATE(E5073), """")"),42563.91875)</f>
        <v>42563.91875</v>
      </c>
      <c r="G5073" s="20">
        <f t="shared" si="1"/>
        <v>22</v>
      </c>
      <c r="H5073" s="18" t="s">
        <v>34</v>
      </c>
      <c r="I5073" s="19" t="str">
        <f>IFERROR(__xludf.DUMMYFUNCTION("IFERROR(TO_DATE(H5073), """")"),"NA")</f>
        <v>NA</v>
      </c>
      <c r="J5073" s="19" t="s">
        <v>13</v>
      </c>
      <c r="K5073" s="22">
        <f t="shared" si="2"/>
        <v>0</v>
      </c>
    </row>
    <row r="5074">
      <c r="A5074" s="18">
        <v>2611.0</v>
      </c>
      <c r="B5074" s="18" t="s">
        <v>30</v>
      </c>
      <c r="C5074" s="18" t="s">
        <v>34</v>
      </c>
      <c r="D5074" s="18" t="s">
        <v>35</v>
      </c>
      <c r="E5074" s="26">
        <v>42563.919444444444</v>
      </c>
      <c r="F5074" s="19">
        <f>IFERROR(__xludf.DUMMYFUNCTION("IFERROR(TO_DATE(E5074), """")"),42563.919444444444)</f>
        <v>42563.91944</v>
      </c>
      <c r="G5074" s="20">
        <f t="shared" si="1"/>
        <v>22</v>
      </c>
      <c r="H5074" s="18" t="s">
        <v>34</v>
      </c>
      <c r="I5074" s="19" t="str">
        <f>IFERROR(__xludf.DUMMYFUNCTION("IFERROR(TO_DATE(H5074), """")"),"NA")</f>
        <v>NA</v>
      </c>
      <c r="J5074" s="19" t="s">
        <v>13</v>
      </c>
      <c r="K5074" s="22">
        <f t="shared" si="2"/>
        <v>0</v>
      </c>
    </row>
    <row r="5075">
      <c r="A5075" s="18">
        <v>2614.0</v>
      </c>
      <c r="B5075" s="18" t="s">
        <v>30</v>
      </c>
      <c r="C5075" s="18" t="s">
        <v>34</v>
      </c>
      <c r="D5075" s="18" t="s">
        <v>35</v>
      </c>
      <c r="E5075" s="26">
        <v>42563.92013888889</v>
      </c>
      <c r="F5075" s="19">
        <f>IFERROR(__xludf.DUMMYFUNCTION("IFERROR(TO_DATE(E5075), """")"),42563.92013888889)</f>
        <v>42563.92014</v>
      </c>
      <c r="G5075" s="20">
        <f t="shared" si="1"/>
        <v>22</v>
      </c>
      <c r="H5075" s="18" t="s">
        <v>34</v>
      </c>
      <c r="I5075" s="19" t="str">
        <f>IFERROR(__xludf.DUMMYFUNCTION("IFERROR(TO_DATE(H5075), """")"),"NA")</f>
        <v>NA</v>
      </c>
      <c r="J5075" s="19" t="s">
        <v>13</v>
      </c>
      <c r="K5075" s="22">
        <f t="shared" si="2"/>
        <v>0</v>
      </c>
    </row>
    <row r="5076">
      <c r="A5076" s="18">
        <v>2610.0</v>
      </c>
      <c r="B5076" s="18" t="s">
        <v>30</v>
      </c>
      <c r="C5076" s="18" t="s">
        <v>34</v>
      </c>
      <c r="D5076" s="18" t="s">
        <v>35</v>
      </c>
      <c r="E5076" s="26">
        <v>42563.92083333333</v>
      </c>
      <c r="F5076" s="19">
        <f>IFERROR(__xludf.DUMMYFUNCTION("IFERROR(TO_DATE(E5076), """")"),42563.92083333333)</f>
        <v>42563.92083</v>
      </c>
      <c r="G5076" s="20">
        <f t="shared" si="1"/>
        <v>22</v>
      </c>
      <c r="H5076" s="18" t="s">
        <v>34</v>
      </c>
      <c r="I5076" s="19" t="str">
        <f>IFERROR(__xludf.DUMMYFUNCTION("IFERROR(TO_DATE(H5076), """")"),"NA")</f>
        <v>NA</v>
      </c>
      <c r="J5076" s="19" t="s">
        <v>13</v>
      </c>
      <c r="K5076" s="22">
        <f t="shared" si="2"/>
        <v>0</v>
      </c>
    </row>
    <row r="5077">
      <c r="A5077" s="18">
        <v>2615.0</v>
      </c>
      <c r="B5077" s="18" t="s">
        <v>30</v>
      </c>
      <c r="C5077" s="18" t="s">
        <v>34</v>
      </c>
      <c r="D5077" s="18" t="s">
        <v>35</v>
      </c>
      <c r="E5077" s="26">
        <v>42563.92083333333</v>
      </c>
      <c r="F5077" s="19">
        <f>IFERROR(__xludf.DUMMYFUNCTION("IFERROR(TO_DATE(E5077), """")"),42563.92083333333)</f>
        <v>42563.92083</v>
      </c>
      <c r="G5077" s="20">
        <f t="shared" si="1"/>
        <v>22</v>
      </c>
      <c r="H5077" s="18" t="s">
        <v>34</v>
      </c>
      <c r="I5077" s="19" t="str">
        <f>IFERROR(__xludf.DUMMYFUNCTION("IFERROR(TO_DATE(H5077), """")"),"NA")</f>
        <v>NA</v>
      </c>
      <c r="J5077" s="19" t="s">
        <v>13</v>
      </c>
      <c r="K5077" s="22">
        <f t="shared" si="2"/>
        <v>0</v>
      </c>
    </row>
    <row r="5078">
      <c r="A5078" s="18">
        <v>2616.0</v>
      </c>
      <c r="B5078" s="18" t="s">
        <v>30</v>
      </c>
      <c r="C5078" s="18" t="s">
        <v>34</v>
      </c>
      <c r="D5078" s="18" t="s">
        <v>35</v>
      </c>
      <c r="E5078" s="26">
        <v>42563.92152777778</v>
      </c>
      <c r="F5078" s="19">
        <f>IFERROR(__xludf.DUMMYFUNCTION("IFERROR(TO_DATE(E5078), """")"),42563.92152777778)</f>
        <v>42563.92153</v>
      </c>
      <c r="G5078" s="20">
        <f t="shared" si="1"/>
        <v>22</v>
      </c>
      <c r="H5078" s="18" t="s">
        <v>34</v>
      </c>
      <c r="I5078" s="19" t="str">
        <f>IFERROR(__xludf.DUMMYFUNCTION("IFERROR(TO_DATE(H5078), """")"),"NA")</f>
        <v>NA</v>
      </c>
      <c r="J5078" s="19" t="s">
        <v>13</v>
      </c>
      <c r="K5078" s="22">
        <f t="shared" si="2"/>
        <v>0</v>
      </c>
    </row>
    <row r="5079">
      <c r="A5079" s="18">
        <v>2618.0</v>
      </c>
      <c r="B5079" s="18" t="s">
        <v>30</v>
      </c>
      <c r="C5079" s="18" t="s">
        <v>34</v>
      </c>
      <c r="D5079" s="18" t="s">
        <v>35</v>
      </c>
      <c r="E5079" s="26">
        <v>42563.92152777778</v>
      </c>
      <c r="F5079" s="19">
        <f>IFERROR(__xludf.DUMMYFUNCTION("IFERROR(TO_DATE(E5079), """")"),42563.92152777778)</f>
        <v>42563.92153</v>
      </c>
      <c r="G5079" s="20">
        <f t="shared" si="1"/>
        <v>22</v>
      </c>
      <c r="H5079" s="18" t="s">
        <v>34</v>
      </c>
      <c r="I5079" s="19" t="str">
        <f>IFERROR(__xludf.DUMMYFUNCTION("IFERROR(TO_DATE(H5079), """")"),"NA")</f>
        <v>NA</v>
      </c>
      <c r="J5079" s="19" t="s">
        <v>13</v>
      </c>
      <c r="K5079" s="22">
        <f t="shared" si="2"/>
        <v>0</v>
      </c>
    </row>
    <row r="5080">
      <c r="A5080" s="18">
        <v>2620.0</v>
      </c>
      <c r="B5080" s="18" t="s">
        <v>30</v>
      </c>
      <c r="C5080" s="18" t="s">
        <v>34</v>
      </c>
      <c r="D5080" s="18" t="s">
        <v>35</v>
      </c>
      <c r="E5080" s="26">
        <v>42563.92222222222</v>
      </c>
      <c r="F5080" s="19">
        <f>IFERROR(__xludf.DUMMYFUNCTION("IFERROR(TO_DATE(E5080), """")"),42563.92222222222)</f>
        <v>42563.92222</v>
      </c>
      <c r="G5080" s="20">
        <f t="shared" si="1"/>
        <v>22</v>
      </c>
      <c r="H5080" s="18" t="s">
        <v>34</v>
      </c>
      <c r="I5080" s="19" t="str">
        <f>IFERROR(__xludf.DUMMYFUNCTION("IFERROR(TO_DATE(H5080), """")"),"NA")</f>
        <v>NA</v>
      </c>
      <c r="J5080" s="19" t="s">
        <v>13</v>
      </c>
      <c r="K5080" s="22">
        <f t="shared" si="2"/>
        <v>0</v>
      </c>
    </row>
    <row r="5081">
      <c r="A5081" s="18">
        <v>2623.0</v>
      </c>
      <c r="B5081" s="18" t="s">
        <v>30</v>
      </c>
      <c r="C5081" s="18" t="s">
        <v>34</v>
      </c>
      <c r="D5081" s="18" t="s">
        <v>35</v>
      </c>
      <c r="E5081" s="26">
        <v>42563.92291666667</v>
      </c>
      <c r="F5081" s="19">
        <f>IFERROR(__xludf.DUMMYFUNCTION("IFERROR(TO_DATE(E5081), """")"),42563.92291666667)</f>
        <v>42563.92292</v>
      </c>
      <c r="G5081" s="20">
        <f t="shared" si="1"/>
        <v>22</v>
      </c>
      <c r="H5081" s="18" t="s">
        <v>34</v>
      </c>
      <c r="I5081" s="19" t="str">
        <f>IFERROR(__xludf.DUMMYFUNCTION("IFERROR(TO_DATE(H5081), """")"),"NA")</f>
        <v>NA</v>
      </c>
      <c r="J5081" s="19" t="s">
        <v>13</v>
      </c>
      <c r="K5081" s="22">
        <f t="shared" si="2"/>
        <v>0</v>
      </c>
    </row>
    <row r="5082">
      <c r="A5082" s="18">
        <v>2626.0</v>
      </c>
      <c r="B5082" s="18" t="s">
        <v>30</v>
      </c>
      <c r="C5082" s="18" t="s">
        <v>34</v>
      </c>
      <c r="D5082" s="18" t="s">
        <v>35</v>
      </c>
      <c r="E5082" s="26">
        <v>42563.924305555556</v>
      </c>
      <c r="F5082" s="19">
        <f>IFERROR(__xludf.DUMMYFUNCTION("IFERROR(TO_DATE(E5082), """")"),42563.924305555556)</f>
        <v>42563.92431</v>
      </c>
      <c r="G5082" s="20">
        <f t="shared" si="1"/>
        <v>22</v>
      </c>
      <c r="H5082" s="18" t="s">
        <v>34</v>
      </c>
      <c r="I5082" s="19" t="str">
        <f>IFERROR(__xludf.DUMMYFUNCTION("IFERROR(TO_DATE(H5082), """")"),"NA")</f>
        <v>NA</v>
      </c>
      <c r="J5082" s="19" t="s">
        <v>13</v>
      </c>
      <c r="K5082" s="22">
        <f t="shared" si="2"/>
        <v>0</v>
      </c>
    </row>
    <row r="5083">
      <c r="A5083" s="18">
        <v>2619.0</v>
      </c>
      <c r="B5083" s="18" t="s">
        <v>30</v>
      </c>
      <c r="C5083" s="18" t="s">
        <v>34</v>
      </c>
      <c r="D5083" s="18" t="s">
        <v>35</v>
      </c>
      <c r="E5083" s="26">
        <v>42563.924305555556</v>
      </c>
      <c r="F5083" s="19">
        <f>IFERROR(__xludf.DUMMYFUNCTION("IFERROR(TO_DATE(E5083), """")"),42563.924305555556)</f>
        <v>42563.92431</v>
      </c>
      <c r="G5083" s="20">
        <f t="shared" si="1"/>
        <v>22</v>
      </c>
      <c r="H5083" s="18" t="s">
        <v>34</v>
      </c>
      <c r="I5083" s="19" t="str">
        <f>IFERROR(__xludf.DUMMYFUNCTION("IFERROR(TO_DATE(H5083), """")"),"NA")</f>
        <v>NA</v>
      </c>
      <c r="J5083" s="19" t="s">
        <v>13</v>
      </c>
      <c r="K5083" s="22">
        <f t="shared" si="2"/>
        <v>0</v>
      </c>
    </row>
    <row r="5084">
      <c r="A5084" s="18">
        <v>2617.0</v>
      </c>
      <c r="B5084" s="18" t="s">
        <v>30</v>
      </c>
      <c r="C5084" s="18" t="s">
        <v>34</v>
      </c>
      <c r="D5084" s="18" t="s">
        <v>35</v>
      </c>
      <c r="E5084" s="26">
        <v>42563.924305555556</v>
      </c>
      <c r="F5084" s="19">
        <f>IFERROR(__xludf.DUMMYFUNCTION("IFERROR(TO_DATE(E5084), """")"),42563.924305555556)</f>
        <v>42563.92431</v>
      </c>
      <c r="G5084" s="20">
        <f t="shared" si="1"/>
        <v>22</v>
      </c>
      <c r="H5084" s="18" t="s">
        <v>34</v>
      </c>
      <c r="I5084" s="19" t="str">
        <f>IFERROR(__xludf.DUMMYFUNCTION("IFERROR(TO_DATE(H5084), """")"),"NA")</f>
        <v>NA</v>
      </c>
      <c r="J5084" s="19" t="s">
        <v>13</v>
      </c>
      <c r="K5084" s="22">
        <f t="shared" si="2"/>
        <v>0</v>
      </c>
    </row>
    <row r="5085">
      <c r="A5085" s="18">
        <v>2622.0</v>
      </c>
      <c r="B5085" s="18" t="s">
        <v>30</v>
      </c>
      <c r="C5085" s="18" t="s">
        <v>34</v>
      </c>
      <c r="D5085" s="18" t="s">
        <v>35</v>
      </c>
      <c r="E5085" s="26">
        <v>42563.927083333336</v>
      </c>
      <c r="F5085" s="19">
        <f>IFERROR(__xludf.DUMMYFUNCTION("IFERROR(TO_DATE(E5085), """")"),42563.927083333336)</f>
        <v>42563.92708</v>
      </c>
      <c r="G5085" s="20">
        <f t="shared" si="1"/>
        <v>22</v>
      </c>
      <c r="H5085" s="18" t="s">
        <v>34</v>
      </c>
      <c r="I5085" s="19" t="str">
        <f>IFERROR(__xludf.DUMMYFUNCTION("IFERROR(TO_DATE(H5085), """")"),"NA")</f>
        <v>NA</v>
      </c>
      <c r="J5085" s="19" t="s">
        <v>13</v>
      </c>
      <c r="K5085" s="22">
        <f t="shared" si="2"/>
        <v>0</v>
      </c>
    </row>
    <row r="5086">
      <c r="A5086" s="18">
        <v>2630.0</v>
      </c>
      <c r="B5086" s="18" t="s">
        <v>32</v>
      </c>
      <c r="C5086" s="18" t="s">
        <v>34</v>
      </c>
      <c r="D5086" s="18" t="s">
        <v>35</v>
      </c>
      <c r="E5086" s="26">
        <v>42563.927083333336</v>
      </c>
      <c r="F5086" s="19">
        <f>IFERROR(__xludf.DUMMYFUNCTION("IFERROR(TO_DATE(E5086), """")"),42563.927083333336)</f>
        <v>42563.92708</v>
      </c>
      <c r="G5086" s="20">
        <f t="shared" si="1"/>
        <v>22</v>
      </c>
      <c r="H5086" s="18" t="s">
        <v>34</v>
      </c>
      <c r="I5086" s="19" t="str">
        <f>IFERROR(__xludf.DUMMYFUNCTION("IFERROR(TO_DATE(H5086), """")"),"NA")</f>
        <v>NA</v>
      </c>
      <c r="J5086" s="19" t="s">
        <v>13</v>
      </c>
      <c r="K5086" s="22">
        <f t="shared" si="2"/>
        <v>0</v>
      </c>
    </row>
    <row r="5087">
      <c r="A5087" s="18">
        <v>2638.0</v>
      </c>
      <c r="B5087" s="18" t="s">
        <v>30</v>
      </c>
      <c r="C5087" s="18" t="s">
        <v>34</v>
      </c>
      <c r="D5087" s="18" t="s">
        <v>35</v>
      </c>
      <c r="E5087" s="26">
        <v>42563.93472222222</v>
      </c>
      <c r="F5087" s="19">
        <f>IFERROR(__xludf.DUMMYFUNCTION("IFERROR(TO_DATE(E5087), """")"),42563.93472222222)</f>
        <v>42563.93472</v>
      </c>
      <c r="G5087" s="20">
        <f t="shared" si="1"/>
        <v>22</v>
      </c>
      <c r="H5087" s="18" t="s">
        <v>34</v>
      </c>
      <c r="I5087" s="19" t="str">
        <f>IFERROR(__xludf.DUMMYFUNCTION("IFERROR(TO_DATE(H5087), """")"),"NA")</f>
        <v>NA</v>
      </c>
      <c r="J5087" s="19" t="s">
        <v>13</v>
      </c>
      <c r="K5087" s="22">
        <f t="shared" si="2"/>
        <v>0</v>
      </c>
    </row>
    <row r="5088">
      <c r="A5088" s="18">
        <v>2639.0</v>
      </c>
      <c r="B5088" s="18" t="s">
        <v>30</v>
      </c>
      <c r="C5088" s="18" t="s">
        <v>34</v>
      </c>
      <c r="D5088" s="18" t="s">
        <v>35</v>
      </c>
      <c r="E5088" s="26">
        <v>42563.936111111114</v>
      </c>
      <c r="F5088" s="19">
        <f>IFERROR(__xludf.DUMMYFUNCTION("IFERROR(TO_DATE(E5088), """")"),42563.936111111114)</f>
        <v>42563.93611</v>
      </c>
      <c r="G5088" s="20">
        <f t="shared" si="1"/>
        <v>22</v>
      </c>
      <c r="H5088" s="18" t="s">
        <v>34</v>
      </c>
      <c r="I5088" s="19" t="str">
        <f>IFERROR(__xludf.DUMMYFUNCTION("IFERROR(TO_DATE(H5088), """")"),"NA")</f>
        <v>NA</v>
      </c>
      <c r="J5088" s="19" t="s">
        <v>13</v>
      </c>
      <c r="K5088" s="22">
        <f t="shared" si="2"/>
        <v>0</v>
      </c>
    </row>
    <row r="5089">
      <c r="A5089" s="18">
        <v>2634.0</v>
      </c>
      <c r="B5089" s="18" t="s">
        <v>32</v>
      </c>
      <c r="C5089" s="18" t="s">
        <v>34</v>
      </c>
      <c r="D5089" s="18" t="s">
        <v>35</v>
      </c>
      <c r="E5089" s="26">
        <v>42563.9375</v>
      </c>
      <c r="F5089" s="19">
        <f>IFERROR(__xludf.DUMMYFUNCTION("IFERROR(TO_DATE(E5089), """")"),42563.9375)</f>
        <v>42563.9375</v>
      </c>
      <c r="G5089" s="20">
        <f t="shared" si="1"/>
        <v>22</v>
      </c>
      <c r="H5089" s="18" t="s">
        <v>34</v>
      </c>
      <c r="I5089" s="19" t="str">
        <f>IFERROR(__xludf.DUMMYFUNCTION("IFERROR(TO_DATE(H5089), """")"),"NA")</f>
        <v>NA</v>
      </c>
      <c r="J5089" s="19" t="s">
        <v>13</v>
      </c>
      <c r="K5089" s="22">
        <f t="shared" si="2"/>
        <v>0</v>
      </c>
    </row>
    <row r="5090">
      <c r="A5090" s="18">
        <v>2640.0</v>
      </c>
      <c r="B5090" s="18" t="s">
        <v>30</v>
      </c>
      <c r="C5090" s="18" t="s">
        <v>34</v>
      </c>
      <c r="D5090" s="18" t="s">
        <v>35</v>
      </c>
      <c r="E5090" s="26">
        <v>42563.938888888886</v>
      </c>
      <c r="F5090" s="19">
        <f>IFERROR(__xludf.DUMMYFUNCTION("IFERROR(TO_DATE(E5090), """")"),42563.938888888886)</f>
        <v>42563.93889</v>
      </c>
      <c r="G5090" s="20">
        <f t="shared" si="1"/>
        <v>22</v>
      </c>
      <c r="H5090" s="18" t="s">
        <v>34</v>
      </c>
      <c r="I5090" s="19" t="str">
        <f>IFERROR(__xludf.DUMMYFUNCTION("IFERROR(TO_DATE(H5090), """")"),"NA")</f>
        <v>NA</v>
      </c>
      <c r="J5090" s="19" t="s">
        <v>13</v>
      </c>
      <c r="K5090" s="22">
        <f t="shared" si="2"/>
        <v>0</v>
      </c>
    </row>
    <row r="5091">
      <c r="A5091" s="18">
        <v>2649.0</v>
      </c>
      <c r="B5091" s="18" t="s">
        <v>32</v>
      </c>
      <c r="C5091" s="18" t="s">
        <v>34</v>
      </c>
      <c r="D5091" s="18" t="s">
        <v>35</v>
      </c>
      <c r="E5091" s="26">
        <v>42563.95416666667</v>
      </c>
      <c r="F5091" s="19">
        <f>IFERROR(__xludf.DUMMYFUNCTION("IFERROR(TO_DATE(E5091), """")"),42563.95416666667)</f>
        <v>42563.95417</v>
      </c>
      <c r="G5091" s="20">
        <f t="shared" si="1"/>
        <v>22</v>
      </c>
      <c r="H5091" s="18" t="s">
        <v>34</v>
      </c>
      <c r="I5091" s="19" t="str">
        <f>IFERROR(__xludf.DUMMYFUNCTION("IFERROR(TO_DATE(H5091), """")"),"NA")</f>
        <v>NA</v>
      </c>
      <c r="J5091" s="19" t="s">
        <v>13</v>
      </c>
      <c r="K5091" s="22">
        <f t="shared" si="2"/>
        <v>0</v>
      </c>
    </row>
    <row r="5092">
      <c r="A5092" s="18">
        <v>2653.0</v>
      </c>
      <c r="B5092" s="18" t="s">
        <v>32</v>
      </c>
      <c r="C5092" s="18" t="s">
        <v>34</v>
      </c>
      <c r="D5092" s="18" t="s">
        <v>35</v>
      </c>
      <c r="E5092" s="26">
        <v>42563.95763888889</v>
      </c>
      <c r="F5092" s="19">
        <f>IFERROR(__xludf.DUMMYFUNCTION("IFERROR(TO_DATE(E5092), """")"),42563.95763888889)</f>
        <v>42563.95764</v>
      </c>
      <c r="G5092" s="20">
        <f t="shared" si="1"/>
        <v>22</v>
      </c>
      <c r="H5092" s="18" t="s">
        <v>34</v>
      </c>
      <c r="I5092" s="19" t="str">
        <f>IFERROR(__xludf.DUMMYFUNCTION("IFERROR(TO_DATE(H5092), """")"),"NA")</f>
        <v>NA</v>
      </c>
      <c r="J5092" s="19" t="s">
        <v>13</v>
      </c>
      <c r="K5092" s="22">
        <f t="shared" si="2"/>
        <v>0</v>
      </c>
    </row>
    <row r="5093">
      <c r="A5093" s="18">
        <v>2654.0</v>
      </c>
      <c r="B5093" s="18" t="s">
        <v>32</v>
      </c>
      <c r="C5093" s="18" t="s">
        <v>34</v>
      </c>
      <c r="D5093" s="18" t="s">
        <v>35</v>
      </c>
      <c r="E5093" s="26">
        <v>42563.96111111111</v>
      </c>
      <c r="F5093" s="19">
        <f>IFERROR(__xludf.DUMMYFUNCTION("IFERROR(TO_DATE(E5093), """")"),42563.96111111111)</f>
        <v>42563.96111</v>
      </c>
      <c r="G5093" s="20">
        <f t="shared" si="1"/>
        <v>23</v>
      </c>
      <c r="H5093" s="18" t="s">
        <v>34</v>
      </c>
      <c r="I5093" s="19" t="str">
        <f>IFERROR(__xludf.DUMMYFUNCTION("IFERROR(TO_DATE(H5093), """")"),"NA")</f>
        <v>NA</v>
      </c>
      <c r="J5093" s="19" t="s">
        <v>13</v>
      </c>
      <c r="K5093" s="22">
        <f t="shared" si="2"/>
        <v>0</v>
      </c>
    </row>
    <row r="5094">
      <c r="A5094" s="18">
        <v>2652.0</v>
      </c>
      <c r="B5094" s="18" t="s">
        <v>30</v>
      </c>
      <c r="C5094" s="18" t="s">
        <v>34</v>
      </c>
      <c r="D5094" s="18" t="s">
        <v>35</v>
      </c>
      <c r="E5094" s="26">
        <v>42563.96319444444</v>
      </c>
      <c r="F5094" s="19">
        <f>IFERROR(__xludf.DUMMYFUNCTION("IFERROR(TO_DATE(E5094), """")"),42563.96319444444)</f>
        <v>42563.96319</v>
      </c>
      <c r="G5094" s="20">
        <f t="shared" si="1"/>
        <v>23</v>
      </c>
      <c r="H5094" s="18" t="s">
        <v>34</v>
      </c>
      <c r="I5094" s="19" t="str">
        <f>IFERROR(__xludf.DUMMYFUNCTION("IFERROR(TO_DATE(H5094), """")"),"NA")</f>
        <v>NA</v>
      </c>
      <c r="J5094" s="19" t="s">
        <v>13</v>
      </c>
      <c r="K5094" s="22">
        <f t="shared" si="2"/>
        <v>0</v>
      </c>
    </row>
    <row r="5095">
      <c r="A5095" s="18">
        <v>2656.0</v>
      </c>
      <c r="B5095" s="18" t="s">
        <v>30</v>
      </c>
      <c r="C5095" s="18" t="s">
        <v>34</v>
      </c>
      <c r="D5095" s="18" t="s">
        <v>35</v>
      </c>
      <c r="E5095" s="26">
        <v>42563.96388888889</v>
      </c>
      <c r="F5095" s="19">
        <f>IFERROR(__xludf.DUMMYFUNCTION("IFERROR(TO_DATE(E5095), """")"),42563.96388888889)</f>
        <v>42563.96389</v>
      </c>
      <c r="G5095" s="20">
        <f t="shared" si="1"/>
        <v>23</v>
      </c>
      <c r="H5095" s="18" t="s">
        <v>34</v>
      </c>
      <c r="I5095" s="19" t="str">
        <f>IFERROR(__xludf.DUMMYFUNCTION("IFERROR(TO_DATE(H5095), """")"),"NA")</f>
        <v>NA</v>
      </c>
      <c r="J5095" s="19" t="s">
        <v>13</v>
      </c>
      <c r="K5095" s="22">
        <f t="shared" si="2"/>
        <v>0</v>
      </c>
    </row>
    <row r="5096">
      <c r="A5096" s="18">
        <v>2655.0</v>
      </c>
      <c r="B5096" s="18" t="s">
        <v>32</v>
      </c>
      <c r="C5096" s="18" t="s">
        <v>34</v>
      </c>
      <c r="D5096" s="18" t="s">
        <v>35</v>
      </c>
      <c r="E5096" s="26">
        <v>42563.96597222222</v>
      </c>
      <c r="F5096" s="19">
        <f>IFERROR(__xludf.DUMMYFUNCTION("IFERROR(TO_DATE(E5096), """")"),42563.96597222222)</f>
        <v>42563.96597</v>
      </c>
      <c r="G5096" s="20">
        <f t="shared" si="1"/>
        <v>23</v>
      </c>
      <c r="H5096" s="18" t="s">
        <v>34</v>
      </c>
      <c r="I5096" s="19" t="str">
        <f>IFERROR(__xludf.DUMMYFUNCTION("IFERROR(TO_DATE(H5096), """")"),"NA")</f>
        <v>NA</v>
      </c>
      <c r="J5096" s="19" t="s">
        <v>13</v>
      </c>
      <c r="K5096" s="22">
        <f t="shared" si="2"/>
        <v>0</v>
      </c>
    </row>
    <row r="5097">
      <c r="A5097" s="18">
        <v>2660.0</v>
      </c>
      <c r="B5097" s="18" t="s">
        <v>30</v>
      </c>
      <c r="C5097" s="18" t="s">
        <v>34</v>
      </c>
      <c r="D5097" s="18" t="s">
        <v>35</v>
      </c>
      <c r="E5097" s="26">
        <v>42563.970138888886</v>
      </c>
      <c r="F5097" s="19">
        <f>IFERROR(__xludf.DUMMYFUNCTION("IFERROR(TO_DATE(E5097), """")"),42563.970138888886)</f>
        <v>42563.97014</v>
      </c>
      <c r="G5097" s="20">
        <f t="shared" si="1"/>
        <v>23</v>
      </c>
      <c r="H5097" s="18" t="s">
        <v>34</v>
      </c>
      <c r="I5097" s="19" t="str">
        <f>IFERROR(__xludf.DUMMYFUNCTION("IFERROR(TO_DATE(H5097), """")"),"NA")</f>
        <v>NA</v>
      </c>
      <c r="J5097" s="19" t="s">
        <v>13</v>
      </c>
      <c r="K5097" s="22">
        <f t="shared" si="2"/>
        <v>0</v>
      </c>
    </row>
    <row r="5098">
      <c r="A5098" s="18">
        <v>2659.0</v>
      </c>
      <c r="B5098" s="18" t="s">
        <v>32</v>
      </c>
      <c r="C5098" s="18" t="s">
        <v>34</v>
      </c>
      <c r="D5098" s="18" t="s">
        <v>35</v>
      </c>
      <c r="E5098" s="26">
        <v>42563.97361111111</v>
      </c>
      <c r="F5098" s="19">
        <f>IFERROR(__xludf.DUMMYFUNCTION("IFERROR(TO_DATE(E5098), """")"),42563.97361111111)</f>
        <v>42563.97361</v>
      </c>
      <c r="G5098" s="20">
        <f t="shared" si="1"/>
        <v>23</v>
      </c>
      <c r="H5098" s="18" t="s">
        <v>34</v>
      </c>
      <c r="I5098" s="19" t="str">
        <f>IFERROR(__xludf.DUMMYFUNCTION("IFERROR(TO_DATE(H5098), """")"),"NA")</f>
        <v>NA</v>
      </c>
      <c r="J5098" s="19" t="s">
        <v>13</v>
      </c>
      <c r="K5098" s="22">
        <f t="shared" si="2"/>
        <v>0</v>
      </c>
    </row>
    <row r="5099">
      <c r="A5099" s="18">
        <v>2663.0</v>
      </c>
      <c r="B5099" s="18" t="s">
        <v>30</v>
      </c>
      <c r="C5099" s="18" t="s">
        <v>34</v>
      </c>
      <c r="D5099" s="18" t="s">
        <v>35</v>
      </c>
      <c r="E5099" s="26">
        <v>42563.975694444445</v>
      </c>
      <c r="F5099" s="19">
        <f>IFERROR(__xludf.DUMMYFUNCTION("IFERROR(TO_DATE(E5099), """")"),42563.975694444445)</f>
        <v>42563.97569</v>
      </c>
      <c r="G5099" s="20">
        <f t="shared" si="1"/>
        <v>23</v>
      </c>
      <c r="H5099" s="18" t="s">
        <v>34</v>
      </c>
      <c r="I5099" s="19" t="str">
        <f>IFERROR(__xludf.DUMMYFUNCTION("IFERROR(TO_DATE(H5099), """")"),"NA")</f>
        <v>NA</v>
      </c>
      <c r="J5099" s="19" t="s">
        <v>13</v>
      </c>
      <c r="K5099" s="22">
        <f t="shared" si="2"/>
        <v>0</v>
      </c>
    </row>
    <row r="5100">
      <c r="A5100" s="18">
        <v>2669.0</v>
      </c>
      <c r="B5100" s="18" t="s">
        <v>30</v>
      </c>
      <c r="C5100" s="18" t="s">
        <v>34</v>
      </c>
      <c r="D5100" s="18" t="s">
        <v>35</v>
      </c>
      <c r="E5100" s="26">
        <v>42563.98402777778</v>
      </c>
      <c r="F5100" s="19">
        <f>IFERROR(__xludf.DUMMYFUNCTION("IFERROR(TO_DATE(E5100), """")"),42563.98402777778)</f>
        <v>42563.98403</v>
      </c>
      <c r="G5100" s="20">
        <f t="shared" si="1"/>
        <v>23</v>
      </c>
      <c r="H5100" s="18" t="s">
        <v>34</v>
      </c>
      <c r="I5100" s="19" t="str">
        <f>IFERROR(__xludf.DUMMYFUNCTION("IFERROR(TO_DATE(H5100), """")"),"NA")</f>
        <v>NA</v>
      </c>
      <c r="J5100" s="19" t="s">
        <v>13</v>
      </c>
      <c r="K5100" s="22">
        <f t="shared" si="2"/>
        <v>0</v>
      </c>
    </row>
    <row r="5101">
      <c r="A5101" s="18">
        <v>2670.0</v>
      </c>
      <c r="B5101" s="18" t="s">
        <v>30</v>
      </c>
      <c r="C5101" s="18" t="s">
        <v>34</v>
      </c>
      <c r="D5101" s="18" t="s">
        <v>35</v>
      </c>
      <c r="E5101" s="26">
        <v>42563.98541666667</v>
      </c>
      <c r="F5101" s="19">
        <f>IFERROR(__xludf.DUMMYFUNCTION("IFERROR(TO_DATE(E5101), """")"),42563.98541666667)</f>
        <v>42563.98542</v>
      </c>
      <c r="G5101" s="20">
        <f t="shared" si="1"/>
        <v>23</v>
      </c>
      <c r="H5101" s="18" t="s">
        <v>34</v>
      </c>
      <c r="I5101" s="19" t="str">
        <f>IFERROR(__xludf.DUMMYFUNCTION("IFERROR(TO_DATE(H5101), """")"),"NA")</f>
        <v>NA</v>
      </c>
      <c r="J5101" s="19" t="s">
        <v>13</v>
      </c>
      <c r="K5101" s="22">
        <f t="shared" si="2"/>
        <v>0</v>
      </c>
    </row>
    <row r="5102">
      <c r="A5102" s="18">
        <v>2671.0</v>
      </c>
      <c r="B5102" s="18" t="s">
        <v>32</v>
      </c>
      <c r="C5102" s="18" t="s">
        <v>34</v>
      </c>
      <c r="D5102" s="18" t="s">
        <v>35</v>
      </c>
      <c r="E5102" s="26">
        <v>42563.98819444444</v>
      </c>
      <c r="F5102" s="19">
        <f>IFERROR(__xludf.DUMMYFUNCTION("IFERROR(TO_DATE(E5102), """")"),42563.98819444444)</f>
        <v>42563.98819</v>
      </c>
      <c r="G5102" s="20">
        <f t="shared" si="1"/>
        <v>23</v>
      </c>
      <c r="H5102" s="18" t="s">
        <v>34</v>
      </c>
      <c r="I5102" s="19" t="str">
        <f>IFERROR(__xludf.DUMMYFUNCTION("IFERROR(TO_DATE(H5102), """")"),"NA")</f>
        <v>NA</v>
      </c>
      <c r="J5102" s="19" t="s">
        <v>13</v>
      </c>
      <c r="K5102" s="22">
        <f t="shared" si="2"/>
        <v>0</v>
      </c>
    </row>
    <row r="5103">
      <c r="A5103" s="18">
        <v>2673.0</v>
      </c>
      <c r="B5103" s="18" t="s">
        <v>30</v>
      </c>
      <c r="C5103" s="18" t="s">
        <v>34</v>
      </c>
      <c r="D5103" s="18" t="s">
        <v>35</v>
      </c>
      <c r="E5103" s="26">
        <v>42563.98819444444</v>
      </c>
      <c r="F5103" s="19">
        <f>IFERROR(__xludf.DUMMYFUNCTION("IFERROR(TO_DATE(E5103), """")"),42563.98819444444)</f>
        <v>42563.98819</v>
      </c>
      <c r="G5103" s="20">
        <f t="shared" si="1"/>
        <v>23</v>
      </c>
      <c r="H5103" s="18" t="s">
        <v>34</v>
      </c>
      <c r="I5103" s="19" t="str">
        <f>IFERROR(__xludf.DUMMYFUNCTION("IFERROR(TO_DATE(H5103), """")"),"NA")</f>
        <v>NA</v>
      </c>
      <c r="J5103" s="19" t="s">
        <v>13</v>
      </c>
      <c r="K5103" s="22">
        <f t="shared" si="2"/>
        <v>0</v>
      </c>
    </row>
    <row r="5104">
      <c r="A5104" s="18">
        <v>2674.0</v>
      </c>
      <c r="B5104" s="18" t="s">
        <v>32</v>
      </c>
      <c r="C5104" s="18" t="s">
        <v>34</v>
      </c>
      <c r="D5104" s="18" t="s">
        <v>35</v>
      </c>
      <c r="E5104" s="26">
        <v>42563.989583333336</v>
      </c>
      <c r="F5104" s="19">
        <f>IFERROR(__xludf.DUMMYFUNCTION("IFERROR(TO_DATE(E5104), """")"),42563.989583333336)</f>
        <v>42563.98958</v>
      </c>
      <c r="G5104" s="20">
        <f t="shared" si="1"/>
        <v>23</v>
      </c>
      <c r="H5104" s="18" t="s">
        <v>34</v>
      </c>
      <c r="I5104" s="19" t="str">
        <f>IFERROR(__xludf.DUMMYFUNCTION("IFERROR(TO_DATE(H5104), """")"),"NA")</f>
        <v>NA</v>
      </c>
      <c r="J5104" s="19" t="s">
        <v>13</v>
      </c>
      <c r="K5104" s="22">
        <f t="shared" si="2"/>
        <v>0</v>
      </c>
    </row>
    <row r="5105">
      <c r="A5105" s="18">
        <v>2678.0</v>
      </c>
      <c r="B5105" s="18" t="s">
        <v>30</v>
      </c>
      <c r="C5105" s="18" t="s">
        <v>34</v>
      </c>
      <c r="D5105" s="18" t="s">
        <v>35</v>
      </c>
      <c r="E5105" s="26">
        <v>42563.99513888889</v>
      </c>
      <c r="F5105" s="19">
        <f>IFERROR(__xludf.DUMMYFUNCTION("IFERROR(TO_DATE(E5105), """")"),42563.99513888889)</f>
        <v>42563.99514</v>
      </c>
      <c r="G5105" s="20">
        <f t="shared" si="1"/>
        <v>23</v>
      </c>
      <c r="H5105" s="18" t="s">
        <v>34</v>
      </c>
      <c r="I5105" s="19" t="str">
        <f>IFERROR(__xludf.DUMMYFUNCTION("IFERROR(TO_DATE(H5105), """")"),"NA")</f>
        <v>NA</v>
      </c>
      <c r="J5105" s="19" t="s">
        <v>13</v>
      </c>
      <c r="K5105" s="22">
        <f t="shared" si="2"/>
        <v>0</v>
      </c>
    </row>
    <row r="5106">
      <c r="A5106" s="18">
        <v>4020.0</v>
      </c>
      <c r="B5106" s="18" t="s">
        <v>30</v>
      </c>
      <c r="C5106" s="18" t="s">
        <v>34</v>
      </c>
      <c r="D5106" s="18" t="s">
        <v>35</v>
      </c>
      <c r="E5106" s="27">
        <v>42564.001550925925</v>
      </c>
      <c r="F5106" s="19">
        <f>IFERROR(__xludf.DUMMYFUNCTION("IFERROR(TO_DATE(E5106), """")"),42564.001550925925)</f>
        <v>42564.00155</v>
      </c>
      <c r="G5106" s="20">
        <f t="shared" si="1"/>
        <v>0</v>
      </c>
      <c r="H5106" s="18" t="s">
        <v>34</v>
      </c>
      <c r="I5106" s="19" t="str">
        <f>IFERROR(__xludf.DUMMYFUNCTION("IFERROR(TO_DATE(H5106), """")"),"NA")</f>
        <v>NA</v>
      </c>
      <c r="J5106" s="19" t="s">
        <v>15</v>
      </c>
      <c r="K5106" s="22">
        <f t="shared" si="2"/>
        <v>0</v>
      </c>
    </row>
    <row r="5107">
      <c r="A5107" s="18">
        <v>4022.0</v>
      </c>
      <c r="B5107" s="18" t="s">
        <v>32</v>
      </c>
      <c r="C5107" s="18" t="s">
        <v>34</v>
      </c>
      <c r="D5107" s="18" t="s">
        <v>35</v>
      </c>
      <c r="E5107" s="27">
        <v>42564.005219907405</v>
      </c>
      <c r="F5107" s="19">
        <f>IFERROR(__xludf.DUMMYFUNCTION("IFERROR(TO_DATE(E5107), """")"),42564.005219907405)</f>
        <v>42564.00522</v>
      </c>
      <c r="G5107" s="20">
        <f t="shared" si="1"/>
        <v>0</v>
      </c>
      <c r="H5107" s="18" t="s">
        <v>34</v>
      </c>
      <c r="I5107" s="19" t="str">
        <f>IFERROR(__xludf.DUMMYFUNCTION("IFERROR(TO_DATE(H5107), """")"),"NA")</f>
        <v>NA</v>
      </c>
      <c r="J5107" s="19" t="s">
        <v>15</v>
      </c>
      <c r="K5107" s="22">
        <f t="shared" si="2"/>
        <v>0</v>
      </c>
    </row>
    <row r="5108">
      <c r="A5108" s="18">
        <v>4026.0</v>
      </c>
      <c r="B5108" s="18" t="s">
        <v>32</v>
      </c>
      <c r="C5108" s="18" t="s">
        <v>34</v>
      </c>
      <c r="D5108" s="18" t="s">
        <v>35</v>
      </c>
      <c r="E5108" s="27">
        <v>42564.00582175926</v>
      </c>
      <c r="F5108" s="19">
        <f>IFERROR(__xludf.DUMMYFUNCTION("IFERROR(TO_DATE(E5108), """")"),42564.00582175926)</f>
        <v>42564.00582</v>
      </c>
      <c r="G5108" s="20">
        <f t="shared" si="1"/>
        <v>0</v>
      </c>
      <c r="H5108" s="18" t="s">
        <v>34</v>
      </c>
      <c r="I5108" s="19" t="str">
        <f>IFERROR(__xludf.DUMMYFUNCTION("IFERROR(TO_DATE(H5108), """")"),"NA")</f>
        <v>NA</v>
      </c>
      <c r="J5108" s="19" t="s">
        <v>15</v>
      </c>
      <c r="K5108" s="22">
        <f t="shared" si="2"/>
        <v>0</v>
      </c>
    </row>
    <row r="5109">
      <c r="A5109" s="18">
        <v>4025.0</v>
      </c>
      <c r="B5109" s="18" t="s">
        <v>32</v>
      </c>
      <c r="C5109" s="18" t="s">
        <v>34</v>
      </c>
      <c r="D5109" s="18" t="s">
        <v>35</v>
      </c>
      <c r="E5109" s="27">
        <v>42564.00871527778</v>
      </c>
      <c r="F5109" s="19">
        <f>IFERROR(__xludf.DUMMYFUNCTION("IFERROR(TO_DATE(E5109), """")"),42564.00871527778)</f>
        <v>42564.00872</v>
      </c>
      <c r="G5109" s="20">
        <f t="shared" si="1"/>
        <v>0</v>
      </c>
      <c r="H5109" s="18" t="s">
        <v>34</v>
      </c>
      <c r="I5109" s="19" t="str">
        <f>IFERROR(__xludf.DUMMYFUNCTION("IFERROR(TO_DATE(H5109), """")"),"NA")</f>
        <v>NA</v>
      </c>
      <c r="J5109" s="19" t="s">
        <v>15</v>
      </c>
      <c r="K5109" s="22">
        <f t="shared" si="2"/>
        <v>0</v>
      </c>
    </row>
    <row r="5110">
      <c r="A5110" s="18">
        <v>2684.0</v>
      </c>
      <c r="B5110" s="18" t="s">
        <v>30</v>
      </c>
      <c r="C5110" s="18" t="s">
        <v>34</v>
      </c>
      <c r="D5110" s="18" t="s">
        <v>35</v>
      </c>
      <c r="E5110" s="27">
        <v>42564.01018518519</v>
      </c>
      <c r="F5110" s="19">
        <f>IFERROR(__xludf.DUMMYFUNCTION("IFERROR(TO_DATE(E5110), """")"),42564.01018518519)</f>
        <v>42564.01019</v>
      </c>
      <c r="G5110" s="20">
        <f t="shared" si="1"/>
        <v>0</v>
      </c>
      <c r="H5110" s="18" t="s">
        <v>34</v>
      </c>
      <c r="I5110" s="19" t="str">
        <f>IFERROR(__xludf.DUMMYFUNCTION("IFERROR(TO_DATE(H5110), """")"),"NA")</f>
        <v>NA</v>
      </c>
      <c r="J5110" s="19" t="s">
        <v>15</v>
      </c>
      <c r="K5110" s="22">
        <f t="shared" si="2"/>
        <v>0</v>
      </c>
    </row>
    <row r="5111">
      <c r="A5111" s="18">
        <v>2685.0</v>
      </c>
      <c r="B5111" s="18" t="s">
        <v>32</v>
      </c>
      <c r="C5111" s="18" t="s">
        <v>34</v>
      </c>
      <c r="D5111" s="18" t="s">
        <v>35</v>
      </c>
      <c r="E5111" s="27">
        <v>42564.01125</v>
      </c>
      <c r="F5111" s="19">
        <f>IFERROR(__xludf.DUMMYFUNCTION("IFERROR(TO_DATE(E5111), """")"),42564.01125)</f>
        <v>42564.01125</v>
      </c>
      <c r="G5111" s="20">
        <f t="shared" si="1"/>
        <v>0</v>
      </c>
      <c r="H5111" s="18" t="s">
        <v>34</v>
      </c>
      <c r="I5111" s="19" t="str">
        <f>IFERROR(__xludf.DUMMYFUNCTION("IFERROR(TO_DATE(H5111), """")"),"NA")</f>
        <v>NA</v>
      </c>
      <c r="J5111" s="19" t="s">
        <v>15</v>
      </c>
      <c r="K5111" s="22">
        <f t="shared" si="2"/>
        <v>0</v>
      </c>
    </row>
    <row r="5112">
      <c r="A5112" s="18">
        <v>2686.0</v>
      </c>
      <c r="B5112" s="18" t="s">
        <v>32</v>
      </c>
      <c r="C5112" s="18" t="s">
        <v>34</v>
      </c>
      <c r="D5112" s="18" t="s">
        <v>35</v>
      </c>
      <c r="E5112" s="27">
        <v>42564.016875</v>
      </c>
      <c r="F5112" s="19">
        <f>IFERROR(__xludf.DUMMYFUNCTION("IFERROR(TO_DATE(E5112), """")"),42564.016875)</f>
        <v>42564.01688</v>
      </c>
      <c r="G5112" s="20">
        <f t="shared" si="1"/>
        <v>0</v>
      </c>
      <c r="H5112" s="18" t="s">
        <v>34</v>
      </c>
      <c r="I5112" s="19" t="str">
        <f>IFERROR(__xludf.DUMMYFUNCTION("IFERROR(TO_DATE(H5112), """")"),"NA")</f>
        <v>NA</v>
      </c>
      <c r="J5112" s="19" t="s">
        <v>15</v>
      </c>
      <c r="K5112" s="22">
        <f t="shared" si="2"/>
        <v>0</v>
      </c>
    </row>
    <row r="5113">
      <c r="A5113" s="18">
        <v>2688.0</v>
      </c>
      <c r="B5113" s="18" t="s">
        <v>32</v>
      </c>
      <c r="C5113" s="18" t="s">
        <v>34</v>
      </c>
      <c r="D5113" s="18" t="s">
        <v>35</v>
      </c>
      <c r="E5113" s="27">
        <v>42564.0180787037</v>
      </c>
      <c r="F5113" s="19">
        <f>IFERROR(__xludf.DUMMYFUNCTION("IFERROR(TO_DATE(E5113), """")"),42564.0180787037)</f>
        <v>42564.01808</v>
      </c>
      <c r="G5113" s="20">
        <f t="shared" si="1"/>
        <v>0</v>
      </c>
      <c r="H5113" s="18" t="s">
        <v>34</v>
      </c>
      <c r="I5113" s="19" t="str">
        <f>IFERROR(__xludf.DUMMYFUNCTION("IFERROR(TO_DATE(H5113), """")"),"NA")</f>
        <v>NA</v>
      </c>
      <c r="J5113" s="19" t="s">
        <v>15</v>
      </c>
      <c r="K5113" s="22">
        <f t="shared" si="2"/>
        <v>0</v>
      </c>
    </row>
    <row r="5114">
      <c r="A5114" s="18">
        <v>2687.0</v>
      </c>
      <c r="B5114" s="18" t="s">
        <v>30</v>
      </c>
      <c r="C5114" s="18" t="s">
        <v>34</v>
      </c>
      <c r="D5114" s="18" t="s">
        <v>35</v>
      </c>
      <c r="E5114" s="27">
        <v>42564.02155092593</v>
      </c>
      <c r="F5114" s="19">
        <f>IFERROR(__xludf.DUMMYFUNCTION("IFERROR(TO_DATE(E5114), """")"),42564.02155092593)</f>
        <v>42564.02155</v>
      </c>
      <c r="G5114" s="20">
        <f t="shared" si="1"/>
        <v>0</v>
      </c>
      <c r="H5114" s="18" t="s">
        <v>34</v>
      </c>
      <c r="I5114" s="19" t="str">
        <f>IFERROR(__xludf.DUMMYFUNCTION("IFERROR(TO_DATE(H5114), """")"),"NA")</f>
        <v>NA</v>
      </c>
      <c r="J5114" s="19" t="s">
        <v>15</v>
      </c>
      <c r="K5114" s="22">
        <f t="shared" si="2"/>
        <v>0</v>
      </c>
    </row>
    <row r="5115">
      <c r="A5115" s="18">
        <v>2690.0</v>
      </c>
      <c r="B5115" s="18" t="s">
        <v>30</v>
      </c>
      <c r="C5115" s="18" t="s">
        <v>34</v>
      </c>
      <c r="D5115" s="18" t="s">
        <v>35</v>
      </c>
      <c r="E5115" s="27">
        <v>42564.03076388889</v>
      </c>
      <c r="F5115" s="19">
        <f>IFERROR(__xludf.DUMMYFUNCTION("IFERROR(TO_DATE(E5115), """")"),42564.03076388889)</f>
        <v>42564.03076</v>
      </c>
      <c r="G5115" s="20">
        <f t="shared" si="1"/>
        <v>0</v>
      </c>
      <c r="H5115" s="18" t="s">
        <v>34</v>
      </c>
      <c r="I5115" s="19" t="str">
        <f>IFERROR(__xludf.DUMMYFUNCTION("IFERROR(TO_DATE(H5115), """")"),"NA")</f>
        <v>NA</v>
      </c>
      <c r="J5115" s="19" t="s">
        <v>15</v>
      </c>
      <c r="K5115" s="22">
        <f t="shared" si="2"/>
        <v>0</v>
      </c>
    </row>
    <row r="5116">
      <c r="A5116" s="18">
        <v>2695.0</v>
      </c>
      <c r="B5116" s="18" t="s">
        <v>30</v>
      </c>
      <c r="C5116" s="18" t="s">
        <v>34</v>
      </c>
      <c r="D5116" s="18" t="s">
        <v>35</v>
      </c>
      <c r="E5116" s="27">
        <v>42564.03350694444</v>
      </c>
      <c r="F5116" s="19">
        <f>IFERROR(__xludf.DUMMYFUNCTION("IFERROR(TO_DATE(E5116), """")"),42564.03350694444)</f>
        <v>42564.03351</v>
      </c>
      <c r="G5116" s="20">
        <f t="shared" si="1"/>
        <v>0</v>
      </c>
      <c r="H5116" s="18" t="s">
        <v>34</v>
      </c>
      <c r="I5116" s="19" t="str">
        <f>IFERROR(__xludf.DUMMYFUNCTION("IFERROR(TO_DATE(H5116), """")"),"NA")</f>
        <v>NA</v>
      </c>
      <c r="J5116" s="19" t="s">
        <v>15</v>
      </c>
      <c r="K5116" s="22">
        <f t="shared" si="2"/>
        <v>0</v>
      </c>
    </row>
    <row r="5117">
      <c r="A5117" s="18">
        <v>2693.0</v>
      </c>
      <c r="B5117" s="18" t="s">
        <v>30</v>
      </c>
      <c r="C5117" s="18" t="s">
        <v>34</v>
      </c>
      <c r="D5117" s="18" t="s">
        <v>35</v>
      </c>
      <c r="E5117" s="27">
        <v>42564.03456018519</v>
      </c>
      <c r="F5117" s="19">
        <f>IFERROR(__xludf.DUMMYFUNCTION("IFERROR(TO_DATE(E5117), """")"),42564.03456018519)</f>
        <v>42564.03456</v>
      </c>
      <c r="G5117" s="20">
        <f t="shared" si="1"/>
        <v>0</v>
      </c>
      <c r="H5117" s="18" t="s">
        <v>34</v>
      </c>
      <c r="I5117" s="19" t="str">
        <f>IFERROR(__xludf.DUMMYFUNCTION("IFERROR(TO_DATE(H5117), """")"),"NA")</f>
        <v>NA</v>
      </c>
      <c r="J5117" s="19" t="s">
        <v>15</v>
      </c>
      <c r="K5117" s="22">
        <f t="shared" si="2"/>
        <v>0</v>
      </c>
    </row>
    <row r="5118">
      <c r="A5118" s="18">
        <v>2696.0</v>
      </c>
      <c r="B5118" s="18" t="s">
        <v>30</v>
      </c>
      <c r="C5118" s="18" t="s">
        <v>34</v>
      </c>
      <c r="D5118" s="18" t="s">
        <v>35</v>
      </c>
      <c r="E5118" s="27">
        <v>42564.034895833334</v>
      </c>
      <c r="F5118" s="19">
        <f>IFERROR(__xludf.DUMMYFUNCTION("IFERROR(TO_DATE(E5118), """")"),42564.034895833334)</f>
        <v>42564.0349</v>
      </c>
      <c r="G5118" s="20">
        <f t="shared" si="1"/>
        <v>0</v>
      </c>
      <c r="H5118" s="18" t="s">
        <v>34</v>
      </c>
      <c r="I5118" s="19" t="str">
        <f>IFERROR(__xludf.DUMMYFUNCTION("IFERROR(TO_DATE(H5118), """")"),"NA")</f>
        <v>NA</v>
      </c>
      <c r="J5118" s="19" t="s">
        <v>15</v>
      </c>
      <c r="K5118" s="22">
        <f t="shared" si="2"/>
        <v>0</v>
      </c>
    </row>
    <row r="5119">
      <c r="A5119" s="18">
        <v>2694.0</v>
      </c>
      <c r="B5119" s="18" t="s">
        <v>30</v>
      </c>
      <c r="C5119" s="18" t="s">
        <v>34</v>
      </c>
      <c r="D5119" s="18" t="s">
        <v>35</v>
      </c>
      <c r="E5119" s="27">
        <v>42564.03497685185</v>
      </c>
      <c r="F5119" s="19">
        <f>IFERROR(__xludf.DUMMYFUNCTION("IFERROR(TO_DATE(E5119), """")"),42564.03497685185)</f>
        <v>42564.03498</v>
      </c>
      <c r="G5119" s="20">
        <f t="shared" si="1"/>
        <v>0</v>
      </c>
      <c r="H5119" s="18" t="s">
        <v>34</v>
      </c>
      <c r="I5119" s="19" t="str">
        <f>IFERROR(__xludf.DUMMYFUNCTION("IFERROR(TO_DATE(H5119), """")"),"NA")</f>
        <v>NA</v>
      </c>
      <c r="J5119" s="19" t="s">
        <v>15</v>
      </c>
      <c r="K5119" s="22">
        <f t="shared" si="2"/>
        <v>0</v>
      </c>
    </row>
    <row r="5120">
      <c r="A5120" s="18">
        <v>2698.0</v>
      </c>
      <c r="B5120" s="18" t="s">
        <v>30</v>
      </c>
      <c r="C5120" s="18" t="s">
        <v>34</v>
      </c>
      <c r="D5120" s="18" t="s">
        <v>35</v>
      </c>
      <c r="E5120" s="27">
        <v>42564.038877314815</v>
      </c>
      <c r="F5120" s="19">
        <f>IFERROR(__xludf.DUMMYFUNCTION("IFERROR(TO_DATE(E5120), """")"),42564.038877314815)</f>
        <v>42564.03888</v>
      </c>
      <c r="G5120" s="20">
        <f t="shared" si="1"/>
        <v>0</v>
      </c>
      <c r="H5120" s="18" t="s">
        <v>34</v>
      </c>
      <c r="I5120" s="19" t="str">
        <f>IFERROR(__xludf.DUMMYFUNCTION("IFERROR(TO_DATE(H5120), """")"),"NA")</f>
        <v>NA</v>
      </c>
      <c r="J5120" s="19" t="s">
        <v>15</v>
      </c>
      <c r="K5120" s="22">
        <f t="shared" si="2"/>
        <v>0</v>
      </c>
    </row>
    <row r="5121">
      <c r="A5121" s="18">
        <v>2697.0</v>
      </c>
      <c r="B5121" s="18" t="s">
        <v>32</v>
      </c>
      <c r="C5121" s="18" t="s">
        <v>34</v>
      </c>
      <c r="D5121" s="18" t="s">
        <v>35</v>
      </c>
      <c r="E5121" s="27">
        <v>42564.03959490741</v>
      </c>
      <c r="F5121" s="19">
        <f>IFERROR(__xludf.DUMMYFUNCTION("IFERROR(TO_DATE(E5121), """")"),42564.03959490741)</f>
        <v>42564.03959</v>
      </c>
      <c r="G5121" s="20">
        <f t="shared" si="1"/>
        <v>0</v>
      </c>
      <c r="H5121" s="18" t="s">
        <v>34</v>
      </c>
      <c r="I5121" s="19" t="str">
        <f>IFERROR(__xludf.DUMMYFUNCTION("IFERROR(TO_DATE(H5121), """")"),"NA")</f>
        <v>NA</v>
      </c>
      <c r="J5121" s="19" t="s">
        <v>15</v>
      </c>
      <c r="K5121" s="22">
        <f t="shared" si="2"/>
        <v>0</v>
      </c>
    </row>
    <row r="5122">
      <c r="A5122" s="18">
        <v>2699.0</v>
      </c>
      <c r="B5122" s="18" t="s">
        <v>30</v>
      </c>
      <c r="C5122" s="18" t="s">
        <v>34</v>
      </c>
      <c r="D5122" s="18" t="s">
        <v>35</v>
      </c>
      <c r="E5122" s="27">
        <v>42564.0415625</v>
      </c>
      <c r="F5122" s="19">
        <f>IFERROR(__xludf.DUMMYFUNCTION("IFERROR(TO_DATE(E5122), """")"),42564.0415625)</f>
        <v>42564.04156</v>
      </c>
      <c r="G5122" s="20">
        <f t="shared" si="1"/>
        <v>0</v>
      </c>
      <c r="H5122" s="18" t="s">
        <v>34</v>
      </c>
      <c r="I5122" s="19" t="str">
        <f>IFERROR(__xludf.DUMMYFUNCTION("IFERROR(TO_DATE(H5122), """")"),"NA")</f>
        <v>NA</v>
      </c>
      <c r="J5122" s="19" t="s">
        <v>15</v>
      </c>
      <c r="K5122" s="22">
        <f t="shared" si="2"/>
        <v>0</v>
      </c>
    </row>
    <row r="5123">
      <c r="A5123" s="18">
        <v>2700.0</v>
      </c>
      <c r="B5123" s="18" t="s">
        <v>32</v>
      </c>
      <c r="C5123" s="18" t="s">
        <v>34</v>
      </c>
      <c r="D5123" s="18" t="s">
        <v>35</v>
      </c>
      <c r="E5123" s="27">
        <v>42564.04377314815</v>
      </c>
      <c r="F5123" s="19">
        <f>IFERROR(__xludf.DUMMYFUNCTION("IFERROR(TO_DATE(E5123), """")"),42564.04377314815)</f>
        <v>42564.04377</v>
      </c>
      <c r="G5123" s="20">
        <f t="shared" si="1"/>
        <v>1</v>
      </c>
      <c r="H5123" s="18" t="s">
        <v>34</v>
      </c>
      <c r="I5123" s="19" t="str">
        <f>IFERROR(__xludf.DUMMYFUNCTION("IFERROR(TO_DATE(H5123), """")"),"NA")</f>
        <v>NA</v>
      </c>
      <c r="J5123" s="19" t="s">
        <v>15</v>
      </c>
      <c r="K5123" s="22">
        <f t="shared" si="2"/>
        <v>0</v>
      </c>
    </row>
    <row r="5124">
      <c r="A5124" s="18">
        <v>2703.0</v>
      </c>
      <c r="B5124" s="18" t="s">
        <v>32</v>
      </c>
      <c r="C5124" s="18" t="s">
        <v>34</v>
      </c>
      <c r="D5124" s="18" t="s">
        <v>35</v>
      </c>
      <c r="E5124" s="27">
        <v>42564.04858796296</v>
      </c>
      <c r="F5124" s="19">
        <f>IFERROR(__xludf.DUMMYFUNCTION("IFERROR(TO_DATE(E5124), """")"),42564.04858796296)</f>
        <v>42564.04859</v>
      </c>
      <c r="G5124" s="20">
        <f t="shared" si="1"/>
        <v>1</v>
      </c>
      <c r="H5124" s="18" t="s">
        <v>34</v>
      </c>
      <c r="I5124" s="19" t="str">
        <f>IFERROR(__xludf.DUMMYFUNCTION("IFERROR(TO_DATE(H5124), """")"),"NA")</f>
        <v>NA</v>
      </c>
      <c r="J5124" s="19" t="s">
        <v>15</v>
      </c>
      <c r="K5124" s="22">
        <f t="shared" si="2"/>
        <v>0</v>
      </c>
    </row>
    <row r="5125">
      <c r="A5125" s="18">
        <v>2705.0</v>
      </c>
      <c r="B5125" s="18" t="s">
        <v>30</v>
      </c>
      <c r="C5125" s="18" t="s">
        <v>34</v>
      </c>
      <c r="D5125" s="18" t="s">
        <v>35</v>
      </c>
      <c r="E5125" s="27">
        <v>42564.05241898148</v>
      </c>
      <c r="F5125" s="19">
        <f>IFERROR(__xludf.DUMMYFUNCTION("IFERROR(TO_DATE(E5125), """")"),42564.05241898148)</f>
        <v>42564.05242</v>
      </c>
      <c r="G5125" s="20">
        <f t="shared" si="1"/>
        <v>1</v>
      </c>
      <c r="H5125" s="18" t="s">
        <v>34</v>
      </c>
      <c r="I5125" s="19" t="str">
        <f>IFERROR(__xludf.DUMMYFUNCTION("IFERROR(TO_DATE(H5125), """")"),"NA")</f>
        <v>NA</v>
      </c>
      <c r="J5125" s="19" t="s">
        <v>15</v>
      </c>
      <c r="K5125" s="22">
        <f t="shared" si="2"/>
        <v>0</v>
      </c>
    </row>
    <row r="5126">
      <c r="A5126" s="18">
        <v>2706.0</v>
      </c>
      <c r="B5126" s="18" t="s">
        <v>30</v>
      </c>
      <c r="C5126" s="18" t="s">
        <v>34</v>
      </c>
      <c r="D5126" s="18" t="s">
        <v>35</v>
      </c>
      <c r="E5126" s="27">
        <v>42564.05641203704</v>
      </c>
      <c r="F5126" s="19">
        <f>IFERROR(__xludf.DUMMYFUNCTION("IFERROR(TO_DATE(E5126), """")"),42564.05641203704)</f>
        <v>42564.05641</v>
      </c>
      <c r="G5126" s="20">
        <f t="shared" si="1"/>
        <v>1</v>
      </c>
      <c r="H5126" s="18" t="s">
        <v>34</v>
      </c>
      <c r="I5126" s="19" t="str">
        <f>IFERROR(__xludf.DUMMYFUNCTION("IFERROR(TO_DATE(H5126), """")"),"NA")</f>
        <v>NA</v>
      </c>
      <c r="J5126" s="19" t="s">
        <v>15</v>
      </c>
      <c r="K5126" s="22">
        <f t="shared" si="2"/>
        <v>0</v>
      </c>
    </row>
    <row r="5127">
      <c r="A5127" s="18">
        <v>2710.0</v>
      </c>
      <c r="B5127" s="18" t="s">
        <v>30</v>
      </c>
      <c r="C5127" s="18" t="s">
        <v>34</v>
      </c>
      <c r="D5127" s="18" t="s">
        <v>35</v>
      </c>
      <c r="E5127" s="27">
        <v>42564.07224537037</v>
      </c>
      <c r="F5127" s="19">
        <f>IFERROR(__xludf.DUMMYFUNCTION("IFERROR(TO_DATE(E5127), """")"),42564.07224537037)</f>
        <v>42564.07225</v>
      </c>
      <c r="G5127" s="20">
        <f t="shared" si="1"/>
        <v>1</v>
      </c>
      <c r="H5127" s="18" t="s">
        <v>34</v>
      </c>
      <c r="I5127" s="19" t="str">
        <f>IFERROR(__xludf.DUMMYFUNCTION("IFERROR(TO_DATE(H5127), """")"),"NA")</f>
        <v>NA</v>
      </c>
      <c r="J5127" s="19" t="s">
        <v>15</v>
      </c>
      <c r="K5127" s="22">
        <f t="shared" si="2"/>
        <v>0</v>
      </c>
    </row>
    <row r="5128">
      <c r="A5128" s="18">
        <v>2711.0</v>
      </c>
      <c r="B5128" s="18" t="s">
        <v>32</v>
      </c>
      <c r="C5128" s="18" t="s">
        <v>34</v>
      </c>
      <c r="D5128" s="18" t="s">
        <v>35</v>
      </c>
      <c r="E5128" s="27">
        <v>42564.07462962963</v>
      </c>
      <c r="F5128" s="19">
        <f>IFERROR(__xludf.DUMMYFUNCTION("IFERROR(TO_DATE(E5128), """")"),42564.07462962963)</f>
        <v>42564.07463</v>
      </c>
      <c r="G5128" s="20">
        <f t="shared" si="1"/>
        <v>1</v>
      </c>
      <c r="H5128" s="18" t="s">
        <v>34</v>
      </c>
      <c r="I5128" s="19" t="str">
        <f>IFERROR(__xludf.DUMMYFUNCTION("IFERROR(TO_DATE(H5128), """")"),"NA")</f>
        <v>NA</v>
      </c>
      <c r="J5128" s="19" t="s">
        <v>15</v>
      </c>
      <c r="K5128" s="22">
        <f t="shared" si="2"/>
        <v>0</v>
      </c>
    </row>
    <row r="5129">
      <c r="A5129" s="18">
        <v>2712.0</v>
      </c>
      <c r="B5129" s="18" t="s">
        <v>30</v>
      </c>
      <c r="C5129" s="18" t="s">
        <v>34</v>
      </c>
      <c r="D5129" s="18" t="s">
        <v>35</v>
      </c>
      <c r="E5129" s="27">
        <v>42564.0787037037</v>
      </c>
      <c r="F5129" s="19">
        <f>IFERROR(__xludf.DUMMYFUNCTION("IFERROR(TO_DATE(E5129), """")"),42564.0787037037)</f>
        <v>42564.0787</v>
      </c>
      <c r="G5129" s="20">
        <f t="shared" si="1"/>
        <v>1</v>
      </c>
      <c r="H5129" s="18" t="s">
        <v>34</v>
      </c>
      <c r="I5129" s="19" t="str">
        <f>IFERROR(__xludf.DUMMYFUNCTION("IFERROR(TO_DATE(H5129), """")"),"NA")</f>
        <v>NA</v>
      </c>
      <c r="J5129" s="19" t="s">
        <v>15</v>
      </c>
      <c r="K5129" s="22">
        <f t="shared" si="2"/>
        <v>0</v>
      </c>
    </row>
    <row r="5130">
      <c r="A5130" s="18">
        <v>2716.0</v>
      </c>
      <c r="B5130" s="18" t="s">
        <v>32</v>
      </c>
      <c r="C5130" s="18" t="s">
        <v>34</v>
      </c>
      <c r="D5130" s="18" t="s">
        <v>35</v>
      </c>
      <c r="E5130" s="27">
        <v>42564.08112268519</v>
      </c>
      <c r="F5130" s="19">
        <f>IFERROR(__xludf.DUMMYFUNCTION("IFERROR(TO_DATE(E5130), """")"),42564.08112268519)</f>
        <v>42564.08112</v>
      </c>
      <c r="G5130" s="20">
        <f t="shared" si="1"/>
        <v>1</v>
      </c>
      <c r="H5130" s="18" t="s">
        <v>34</v>
      </c>
      <c r="I5130" s="19" t="str">
        <f>IFERROR(__xludf.DUMMYFUNCTION("IFERROR(TO_DATE(H5130), """")"),"NA")</f>
        <v>NA</v>
      </c>
      <c r="J5130" s="19" t="s">
        <v>15</v>
      </c>
      <c r="K5130" s="22">
        <f t="shared" si="2"/>
        <v>0</v>
      </c>
    </row>
    <row r="5131">
      <c r="A5131" s="18">
        <v>2715.0</v>
      </c>
      <c r="B5131" s="18" t="s">
        <v>30</v>
      </c>
      <c r="C5131" s="18" t="s">
        <v>34</v>
      </c>
      <c r="D5131" s="18" t="s">
        <v>35</v>
      </c>
      <c r="E5131" s="27">
        <v>42564.08210648148</v>
      </c>
      <c r="F5131" s="19">
        <f>IFERROR(__xludf.DUMMYFUNCTION("IFERROR(TO_DATE(E5131), """")"),42564.08210648148)</f>
        <v>42564.08211</v>
      </c>
      <c r="G5131" s="20">
        <f t="shared" si="1"/>
        <v>1</v>
      </c>
      <c r="H5131" s="18" t="s">
        <v>34</v>
      </c>
      <c r="I5131" s="19" t="str">
        <f>IFERROR(__xludf.DUMMYFUNCTION("IFERROR(TO_DATE(H5131), """")"),"NA")</f>
        <v>NA</v>
      </c>
      <c r="J5131" s="19" t="s">
        <v>15</v>
      </c>
      <c r="K5131" s="22">
        <f t="shared" si="2"/>
        <v>0</v>
      </c>
    </row>
    <row r="5132">
      <c r="A5132" s="18">
        <v>2718.0</v>
      </c>
      <c r="B5132" s="18" t="s">
        <v>32</v>
      </c>
      <c r="C5132" s="18" t="s">
        <v>34</v>
      </c>
      <c r="D5132" s="18" t="s">
        <v>35</v>
      </c>
      <c r="E5132" s="27">
        <v>42564.08795138889</v>
      </c>
      <c r="F5132" s="19">
        <f>IFERROR(__xludf.DUMMYFUNCTION("IFERROR(TO_DATE(E5132), """")"),42564.08795138889)</f>
        <v>42564.08795</v>
      </c>
      <c r="G5132" s="20">
        <f t="shared" si="1"/>
        <v>2</v>
      </c>
      <c r="H5132" s="18" t="s">
        <v>34</v>
      </c>
      <c r="I5132" s="19" t="str">
        <f>IFERROR(__xludf.DUMMYFUNCTION("IFERROR(TO_DATE(H5132), """")"),"NA")</f>
        <v>NA</v>
      </c>
      <c r="J5132" s="19" t="s">
        <v>15</v>
      </c>
      <c r="K5132" s="22">
        <f t="shared" si="2"/>
        <v>0</v>
      </c>
    </row>
    <row r="5133">
      <c r="A5133" s="18">
        <v>2720.0</v>
      </c>
      <c r="B5133" s="18" t="s">
        <v>32</v>
      </c>
      <c r="C5133" s="18" t="s">
        <v>34</v>
      </c>
      <c r="D5133" s="18" t="s">
        <v>35</v>
      </c>
      <c r="E5133" s="27">
        <v>42564.09260416667</v>
      </c>
      <c r="F5133" s="19">
        <f>IFERROR(__xludf.DUMMYFUNCTION("IFERROR(TO_DATE(E5133), """")"),42564.09260416667)</f>
        <v>42564.0926</v>
      </c>
      <c r="G5133" s="20">
        <f t="shared" si="1"/>
        <v>2</v>
      </c>
      <c r="H5133" s="18" t="s">
        <v>34</v>
      </c>
      <c r="I5133" s="19" t="str">
        <f>IFERROR(__xludf.DUMMYFUNCTION("IFERROR(TO_DATE(H5133), """")"),"NA")</f>
        <v>NA</v>
      </c>
      <c r="J5133" s="19" t="s">
        <v>15</v>
      </c>
      <c r="K5133" s="22">
        <f t="shared" si="2"/>
        <v>0</v>
      </c>
    </row>
    <row r="5134">
      <c r="A5134" s="18">
        <v>2722.0</v>
      </c>
      <c r="B5134" s="18" t="s">
        <v>30</v>
      </c>
      <c r="C5134" s="18" t="s">
        <v>34</v>
      </c>
      <c r="D5134" s="18" t="s">
        <v>35</v>
      </c>
      <c r="E5134" s="27">
        <v>42564.09488425926</v>
      </c>
      <c r="F5134" s="19">
        <f>IFERROR(__xludf.DUMMYFUNCTION("IFERROR(TO_DATE(E5134), """")"),42564.09488425926)</f>
        <v>42564.09488</v>
      </c>
      <c r="G5134" s="20">
        <f t="shared" si="1"/>
        <v>2</v>
      </c>
      <c r="H5134" s="18" t="s">
        <v>34</v>
      </c>
      <c r="I5134" s="19" t="str">
        <f>IFERROR(__xludf.DUMMYFUNCTION("IFERROR(TO_DATE(H5134), """")"),"NA")</f>
        <v>NA</v>
      </c>
      <c r="J5134" s="19" t="s">
        <v>15</v>
      </c>
      <c r="K5134" s="22">
        <f t="shared" si="2"/>
        <v>0</v>
      </c>
    </row>
    <row r="5135">
      <c r="A5135" s="18">
        <v>2721.0</v>
      </c>
      <c r="B5135" s="18" t="s">
        <v>30</v>
      </c>
      <c r="C5135" s="18" t="s">
        <v>34</v>
      </c>
      <c r="D5135" s="18" t="s">
        <v>35</v>
      </c>
      <c r="E5135" s="27">
        <v>42564.09861111111</v>
      </c>
      <c r="F5135" s="19">
        <f>IFERROR(__xludf.DUMMYFUNCTION("IFERROR(TO_DATE(E5135), """")"),42564.09861111111)</f>
        <v>42564.09861</v>
      </c>
      <c r="G5135" s="20">
        <f t="shared" si="1"/>
        <v>2</v>
      </c>
      <c r="H5135" s="18" t="s">
        <v>34</v>
      </c>
      <c r="I5135" s="19" t="str">
        <f>IFERROR(__xludf.DUMMYFUNCTION("IFERROR(TO_DATE(H5135), """")"),"NA")</f>
        <v>NA</v>
      </c>
      <c r="J5135" s="19" t="s">
        <v>15</v>
      </c>
      <c r="K5135" s="22">
        <f t="shared" si="2"/>
        <v>0</v>
      </c>
    </row>
    <row r="5136">
      <c r="A5136" s="18">
        <v>2725.0</v>
      </c>
      <c r="B5136" s="18" t="s">
        <v>30</v>
      </c>
      <c r="C5136" s="18" t="s">
        <v>34</v>
      </c>
      <c r="D5136" s="18" t="s">
        <v>35</v>
      </c>
      <c r="E5136" s="27">
        <v>42564.10173611111</v>
      </c>
      <c r="F5136" s="19">
        <f>IFERROR(__xludf.DUMMYFUNCTION("IFERROR(TO_DATE(E5136), """")"),42564.10173611111)</f>
        <v>42564.10174</v>
      </c>
      <c r="G5136" s="20">
        <f t="shared" si="1"/>
        <v>2</v>
      </c>
      <c r="H5136" s="18" t="s">
        <v>34</v>
      </c>
      <c r="I5136" s="19" t="str">
        <f>IFERROR(__xludf.DUMMYFUNCTION("IFERROR(TO_DATE(H5136), """")"),"NA")</f>
        <v>NA</v>
      </c>
      <c r="J5136" s="19" t="s">
        <v>15</v>
      </c>
      <c r="K5136" s="22">
        <f t="shared" si="2"/>
        <v>0</v>
      </c>
    </row>
    <row r="5137">
      <c r="A5137" s="18">
        <v>2726.0</v>
      </c>
      <c r="B5137" s="18" t="s">
        <v>32</v>
      </c>
      <c r="C5137" s="18" t="s">
        <v>34</v>
      </c>
      <c r="D5137" s="18" t="s">
        <v>35</v>
      </c>
      <c r="E5137" s="27">
        <v>42564.102638888886</v>
      </c>
      <c r="F5137" s="19">
        <f>IFERROR(__xludf.DUMMYFUNCTION("IFERROR(TO_DATE(E5137), """")"),42564.102638888886)</f>
        <v>42564.10264</v>
      </c>
      <c r="G5137" s="20">
        <f t="shared" si="1"/>
        <v>2</v>
      </c>
      <c r="H5137" s="18" t="s">
        <v>34</v>
      </c>
      <c r="I5137" s="19" t="str">
        <f>IFERROR(__xludf.DUMMYFUNCTION("IFERROR(TO_DATE(H5137), """")"),"NA")</f>
        <v>NA</v>
      </c>
      <c r="J5137" s="19" t="s">
        <v>15</v>
      </c>
      <c r="K5137" s="22">
        <f t="shared" si="2"/>
        <v>0</v>
      </c>
    </row>
    <row r="5138">
      <c r="A5138" s="18">
        <v>2724.0</v>
      </c>
      <c r="B5138" s="18" t="s">
        <v>32</v>
      </c>
      <c r="C5138" s="18" t="s">
        <v>34</v>
      </c>
      <c r="D5138" s="18" t="s">
        <v>35</v>
      </c>
      <c r="E5138" s="27">
        <v>42564.10517361111</v>
      </c>
      <c r="F5138" s="19">
        <f>IFERROR(__xludf.DUMMYFUNCTION("IFERROR(TO_DATE(E5138), """")"),42564.10517361111)</f>
        <v>42564.10517</v>
      </c>
      <c r="G5138" s="20">
        <f t="shared" si="1"/>
        <v>2</v>
      </c>
      <c r="H5138" s="18" t="s">
        <v>34</v>
      </c>
      <c r="I5138" s="19" t="str">
        <f>IFERROR(__xludf.DUMMYFUNCTION("IFERROR(TO_DATE(H5138), """")"),"NA")</f>
        <v>NA</v>
      </c>
      <c r="J5138" s="19" t="s">
        <v>15</v>
      </c>
      <c r="K5138" s="22">
        <f t="shared" si="2"/>
        <v>0</v>
      </c>
    </row>
    <row r="5139">
      <c r="A5139" s="18">
        <v>2734.0</v>
      </c>
      <c r="B5139" s="18" t="s">
        <v>32</v>
      </c>
      <c r="C5139" s="18" t="s">
        <v>34</v>
      </c>
      <c r="D5139" s="18" t="s">
        <v>35</v>
      </c>
      <c r="E5139" s="27">
        <v>42564.10818287037</v>
      </c>
      <c r="F5139" s="19">
        <f>IFERROR(__xludf.DUMMYFUNCTION("IFERROR(TO_DATE(E5139), """")"),42564.10818287037)</f>
        <v>42564.10818</v>
      </c>
      <c r="G5139" s="20">
        <f t="shared" si="1"/>
        <v>2</v>
      </c>
      <c r="H5139" s="18" t="s">
        <v>34</v>
      </c>
      <c r="I5139" s="19" t="str">
        <f>IFERROR(__xludf.DUMMYFUNCTION("IFERROR(TO_DATE(H5139), """")"),"NA")</f>
        <v>NA</v>
      </c>
      <c r="J5139" s="19" t="s">
        <v>15</v>
      </c>
      <c r="K5139" s="22">
        <f t="shared" si="2"/>
        <v>0</v>
      </c>
    </row>
    <row r="5140">
      <c r="A5140" s="18">
        <v>2728.0</v>
      </c>
      <c r="B5140" s="18" t="s">
        <v>32</v>
      </c>
      <c r="C5140" s="18" t="s">
        <v>34</v>
      </c>
      <c r="D5140" s="18" t="s">
        <v>35</v>
      </c>
      <c r="E5140" s="27">
        <v>42564.10824074074</v>
      </c>
      <c r="F5140" s="19">
        <f>IFERROR(__xludf.DUMMYFUNCTION("IFERROR(TO_DATE(E5140), """")"),42564.10824074074)</f>
        <v>42564.10824</v>
      </c>
      <c r="G5140" s="20">
        <f t="shared" si="1"/>
        <v>2</v>
      </c>
      <c r="H5140" s="18" t="s">
        <v>34</v>
      </c>
      <c r="I5140" s="19" t="str">
        <f>IFERROR(__xludf.DUMMYFUNCTION("IFERROR(TO_DATE(H5140), """")"),"NA")</f>
        <v>NA</v>
      </c>
      <c r="J5140" s="19" t="s">
        <v>15</v>
      </c>
      <c r="K5140" s="22">
        <f t="shared" si="2"/>
        <v>0</v>
      </c>
    </row>
    <row r="5141">
      <c r="A5141" s="18">
        <v>2730.0</v>
      </c>
      <c r="B5141" s="18" t="s">
        <v>32</v>
      </c>
      <c r="C5141" s="18" t="s">
        <v>34</v>
      </c>
      <c r="D5141" s="18" t="s">
        <v>35</v>
      </c>
      <c r="E5141" s="27">
        <v>42564.109085648146</v>
      </c>
      <c r="F5141" s="19">
        <f>IFERROR(__xludf.DUMMYFUNCTION("IFERROR(TO_DATE(E5141), """")"),42564.109085648146)</f>
        <v>42564.10909</v>
      </c>
      <c r="G5141" s="20">
        <f t="shared" si="1"/>
        <v>2</v>
      </c>
      <c r="H5141" s="18" t="s">
        <v>34</v>
      </c>
      <c r="I5141" s="19" t="str">
        <f>IFERROR(__xludf.DUMMYFUNCTION("IFERROR(TO_DATE(H5141), """")"),"NA")</f>
        <v>NA</v>
      </c>
      <c r="J5141" s="19" t="s">
        <v>15</v>
      </c>
      <c r="K5141" s="22">
        <f t="shared" si="2"/>
        <v>0</v>
      </c>
    </row>
    <row r="5142">
      <c r="A5142" s="18">
        <v>2727.0</v>
      </c>
      <c r="B5142" s="18" t="s">
        <v>32</v>
      </c>
      <c r="C5142" s="18" t="s">
        <v>34</v>
      </c>
      <c r="D5142" s="18" t="s">
        <v>35</v>
      </c>
      <c r="E5142" s="27">
        <v>42564.10979166667</v>
      </c>
      <c r="F5142" s="19">
        <f>IFERROR(__xludf.DUMMYFUNCTION("IFERROR(TO_DATE(E5142), """")"),42564.10979166667)</f>
        <v>42564.10979</v>
      </c>
      <c r="G5142" s="20">
        <f t="shared" si="1"/>
        <v>2</v>
      </c>
      <c r="H5142" s="18" t="s">
        <v>34</v>
      </c>
      <c r="I5142" s="19" t="str">
        <f>IFERROR(__xludf.DUMMYFUNCTION("IFERROR(TO_DATE(H5142), """")"),"NA")</f>
        <v>NA</v>
      </c>
      <c r="J5142" s="19" t="s">
        <v>15</v>
      </c>
      <c r="K5142" s="22">
        <f t="shared" si="2"/>
        <v>0</v>
      </c>
    </row>
    <row r="5143">
      <c r="A5143" s="18">
        <v>2735.0</v>
      </c>
      <c r="B5143" s="18" t="s">
        <v>30</v>
      </c>
      <c r="C5143" s="18" t="s">
        <v>34</v>
      </c>
      <c r="D5143" s="18" t="s">
        <v>35</v>
      </c>
      <c r="E5143" s="27">
        <v>42564.113703703704</v>
      </c>
      <c r="F5143" s="19">
        <f>IFERROR(__xludf.DUMMYFUNCTION("IFERROR(TO_DATE(E5143), """")"),42564.113703703704)</f>
        <v>42564.1137</v>
      </c>
      <c r="G5143" s="20">
        <f t="shared" si="1"/>
        <v>2</v>
      </c>
      <c r="H5143" s="18" t="s">
        <v>34</v>
      </c>
      <c r="I5143" s="19" t="str">
        <f>IFERROR(__xludf.DUMMYFUNCTION("IFERROR(TO_DATE(H5143), """")"),"NA")</f>
        <v>NA</v>
      </c>
      <c r="J5143" s="19" t="s">
        <v>15</v>
      </c>
      <c r="K5143" s="22">
        <f t="shared" si="2"/>
        <v>0</v>
      </c>
    </row>
    <row r="5144">
      <c r="A5144" s="18">
        <v>2738.0</v>
      </c>
      <c r="B5144" s="18" t="s">
        <v>32</v>
      </c>
      <c r="C5144" s="18" t="s">
        <v>34</v>
      </c>
      <c r="D5144" s="18" t="s">
        <v>35</v>
      </c>
      <c r="E5144" s="27">
        <v>42564.11724537037</v>
      </c>
      <c r="F5144" s="19">
        <f>IFERROR(__xludf.DUMMYFUNCTION("IFERROR(TO_DATE(E5144), """")"),42564.11724537037)</f>
        <v>42564.11725</v>
      </c>
      <c r="G5144" s="20">
        <f t="shared" si="1"/>
        <v>2</v>
      </c>
      <c r="H5144" s="18" t="s">
        <v>34</v>
      </c>
      <c r="I5144" s="19" t="str">
        <f>IFERROR(__xludf.DUMMYFUNCTION("IFERROR(TO_DATE(H5144), """")"),"NA")</f>
        <v>NA</v>
      </c>
      <c r="J5144" s="19" t="s">
        <v>15</v>
      </c>
      <c r="K5144" s="22">
        <f t="shared" si="2"/>
        <v>0</v>
      </c>
    </row>
    <row r="5145">
      <c r="A5145" s="18">
        <v>2739.0</v>
      </c>
      <c r="B5145" s="18" t="s">
        <v>30</v>
      </c>
      <c r="C5145" s="18" t="s">
        <v>34</v>
      </c>
      <c r="D5145" s="18" t="s">
        <v>35</v>
      </c>
      <c r="E5145" s="27">
        <v>42564.122199074074</v>
      </c>
      <c r="F5145" s="19">
        <f>IFERROR(__xludf.DUMMYFUNCTION("IFERROR(TO_DATE(E5145), """")"),42564.122199074074)</f>
        <v>42564.1222</v>
      </c>
      <c r="G5145" s="20">
        <f t="shared" si="1"/>
        <v>2</v>
      </c>
      <c r="H5145" s="18" t="s">
        <v>34</v>
      </c>
      <c r="I5145" s="19" t="str">
        <f>IFERROR(__xludf.DUMMYFUNCTION("IFERROR(TO_DATE(H5145), """")"),"NA")</f>
        <v>NA</v>
      </c>
      <c r="J5145" s="19" t="s">
        <v>15</v>
      </c>
      <c r="K5145" s="22">
        <f t="shared" si="2"/>
        <v>0</v>
      </c>
    </row>
    <row r="5146">
      <c r="A5146" s="18">
        <v>2737.0</v>
      </c>
      <c r="B5146" s="18" t="s">
        <v>30</v>
      </c>
      <c r="C5146" s="18" t="s">
        <v>34</v>
      </c>
      <c r="D5146" s="18" t="s">
        <v>35</v>
      </c>
      <c r="E5146" s="27">
        <v>42564.12260416667</v>
      </c>
      <c r="F5146" s="19">
        <f>IFERROR(__xludf.DUMMYFUNCTION("IFERROR(TO_DATE(E5146), """")"),42564.12260416667)</f>
        <v>42564.1226</v>
      </c>
      <c r="G5146" s="20">
        <f t="shared" si="1"/>
        <v>2</v>
      </c>
      <c r="H5146" s="18" t="s">
        <v>34</v>
      </c>
      <c r="I5146" s="19" t="str">
        <f>IFERROR(__xludf.DUMMYFUNCTION("IFERROR(TO_DATE(H5146), """")"),"NA")</f>
        <v>NA</v>
      </c>
      <c r="J5146" s="19" t="s">
        <v>15</v>
      </c>
      <c r="K5146" s="22">
        <f t="shared" si="2"/>
        <v>0</v>
      </c>
    </row>
    <row r="5147">
      <c r="A5147" s="18">
        <v>2741.0</v>
      </c>
      <c r="B5147" s="18" t="s">
        <v>30</v>
      </c>
      <c r="C5147" s="18" t="s">
        <v>34</v>
      </c>
      <c r="D5147" s="18" t="s">
        <v>35</v>
      </c>
      <c r="E5147" s="27">
        <v>42564.13196759259</v>
      </c>
      <c r="F5147" s="19">
        <f>IFERROR(__xludf.DUMMYFUNCTION("IFERROR(TO_DATE(E5147), """")"),42564.13196759259)</f>
        <v>42564.13197</v>
      </c>
      <c r="G5147" s="20">
        <f t="shared" si="1"/>
        <v>3</v>
      </c>
      <c r="H5147" s="18" t="s">
        <v>34</v>
      </c>
      <c r="I5147" s="19" t="str">
        <f>IFERROR(__xludf.DUMMYFUNCTION("IFERROR(TO_DATE(H5147), """")"),"NA")</f>
        <v>NA</v>
      </c>
      <c r="J5147" s="19" t="s">
        <v>15</v>
      </c>
      <c r="K5147" s="22">
        <f t="shared" si="2"/>
        <v>0</v>
      </c>
    </row>
    <row r="5148">
      <c r="A5148" s="18">
        <v>2743.0</v>
      </c>
      <c r="B5148" s="18" t="s">
        <v>30</v>
      </c>
      <c r="C5148" s="18" t="s">
        <v>34</v>
      </c>
      <c r="D5148" s="18" t="s">
        <v>35</v>
      </c>
      <c r="E5148" s="27">
        <v>42564.133518518516</v>
      </c>
      <c r="F5148" s="19">
        <f>IFERROR(__xludf.DUMMYFUNCTION("IFERROR(TO_DATE(E5148), """")"),42564.133518518516)</f>
        <v>42564.13352</v>
      </c>
      <c r="G5148" s="20">
        <f t="shared" si="1"/>
        <v>3</v>
      </c>
      <c r="H5148" s="18" t="s">
        <v>34</v>
      </c>
      <c r="I5148" s="19" t="str">
        <f>IFERROR(__xludf.DUMMYFUNCTION("IFERROR(TO_DATE(H5148), """")"),"NA")</f>
        <v>NA</v>
      </c>
      <c r="J5148" s="19" t="s">
        <v>15</v>
      </c>
      <c r="K5148" s="22">
        <f t="shared" si="2"/>
        <v>0</v>
      </c>
    </row>
    <row r="5149">
      <c r="A5149" s="18">
        <v>2744.0</v>
      </c>
      <c r="B5149" s="18" t="s">
        <v>32</v>
      </c>
      <c r="C5149" s="18" t="s">
        <v>34</v>
      </c>
      <c r="D5149" s="18" t="s">
        <v>35</v>
      </c>
      <c r="E5149" s="27">
        <v>42564.13458333333</v>
      </c>
      <c r="F5149" s="19">
        <f>IFERROR(__xludf.DUMMYFUNCTION("IFERROR(TO_DATE(E5149), """")"),42564.13458333333)</f>
        <v>42564.13458</v>
      </c>
      <c r="G5149" s="20">
        <f t="shared" si="1"/>
        <v>3</v>
      </c>
      <c r="H5149" s="18" t="s">
        <v>34</v>
      </c>
      <c r="I5149" s="19" t="str">
        <f>IFERROR(__xludf.DUMMYFUNCTION("IFERROR(TO_DATE(H5149), """")"),"NA")</f>
        <v>NA</v>
      </c>
      <c r="J5149" s="19" t="s">
        <v>15</v>
      </c>
      <c r="K5149" s="22">
        <f t="shared" si="2"/>
        <v>0</v>
      </c>
    </row>
    <row r="5150">
      <c r="A5150" s="18">
        <v>2745.0</v>
      </c>
      <c r="B5150" s="18" t="s">
        <v>32</v>
      </c>
      <c r="C5150" s="18" t="s">
        <v>34</v>
      </c>
      <c r="D5150" s="18" t="s">
        <v>35</v>
      </c>
      <c r="E5150" s="27">
        <v>42564.135243055556</v>
      </c>
      <c r="F5150" s="19">
        <f>IFERROR(__xludf.DUMMYFUNCTION("IFERROR(TO_DATE(E5150), """")"),42564.135243055556)</f>
        <v>42564.13524</v>
      </c>
      <c r="G5150" s="20">
        <f t="shared" si="1"/>
        <v>3</v>
      </c>
      <c r="H5150" s="18" t="s">
        <v>34</v>
      </c>
      <c r="I5150" s="19" t="str">
        <f>IFERROR(__xludf.DUMMYFUNCTION("IFERROR(TO_DATE(H5150), """")"),"NA")</f>
        <v>NA</v>
      </c>
      <c r="J5150" s="19" t="s">
        <v>15</v>
      </c>
      <c r="K5150" s="22">
        <f t="shared" si="2"/>
        <v>0</v>
      </c>
    </row>
    <row r="5151">
      <c r="A5151" s="18">
        <v>2748.0</v>
      </c>
      <c r="B5151" s="18" t="s">
        <v>30</v>
      </c>
      <c r="C5151" s="18" t="s">
        <v>34</v>
      </c>
      <c r="D5151" s="18" t="s">
        <v>35</v>
      </c>
      <c r="E5151" s="27">
        <v>42564.13821759259</v>
      </c>
      <c r="F5151" s="19">
        <f>IFERROR(__xludf.DUMMYFUNCTION("IFERROR(TO_DATE(E5151), """")"),42564.13821759259)</f>
        <v>42564.13822</v>
      </c>
      <c r="G5151" s="20">
        <f t="shared" si="1"/>
        <v>3</v>
      </c>
      <c r="H5151" s="18" t="s">
        <v>34</v>
      </c>
      <c r="I5151" s="19" t="str">
        <f>IFERROR(__xludf.DUMMYFUNCTION("IFERROR(TO_DATE(H5151), """")"),"NA")</f>
        <v>NA</v>
      </c>
      <c r="J5151" s="19" t="s">
        <v>15</v>
      </c>
      <c r="K5151" s="22">
        <f t="shared" si="2"/>
        <v>0</v>
      </c>
    </row>
    <row r="5152">
      <c r="A5152" s="18">
        <v>2749.0</v>
      </c>
      <c r="B5152" s="18" t="s">
        <v>30</v>
      </c>
      <c r="C5152" s="18" t="s">
        <v>34</v>
      </c>
      <c r="D5152" s="18" t="s">
        <v>35</v>
      </c>
      <c r="E5152" s="27">
        <v>42564.14628472222</v>
      </c>
      <c r="F5152" s="19">
        <f>IFERROR(__xludf.DUMMYFUNCTION("IFERROR(TO_DATE(E5152), """")"),42564.14628472222)</f>
        <v>42564.14628</v>
      </c>
      <c r="G5152" s="20">
        <f t="shared" si="1"/>
        <v>3</v>
      </c>
      <c r="H5152" s="18" t="s">
        <v>34</v>
      </c>
      <c r="I5152" s="19" t="str">
        <f>IFERROR(__xludf.DUMMYFUNCTION("IFERROR(TO_DATE(H5152), """")"),"NA")</f>
        <v>NA</v>
      </c>
      <c r="J5152" s="19" t="s">
        <v>15</v>
      </c>
      <c r="K5152" s="22">
        <f t="shared" si="2"/>
        <v>0</v>
      </c>
    </row>
    <row r="5153">
      <c r="A5153" s="18">
        <v>2753.0</v>
      </c>
      <c r="B5153" s="18" t="s">
        <v>32</v>
      </c>
      <c r="C5153" s="18" t="s">
        <v>34</v>
      </c>
      <c r="D5153" s="18" t="s">
        <v>35</v>
      </c>
      <c r="E5153" s="27">
        <v>42564.148206018515</v>
      </c>
      <c r="F5153" s="19">
        <f>IFERROR(__xludf.DUMMYFUNCTION("IFERROR(TO_DATE(E5153), """")"),42564.148206018515)</f>
        <v>42564.14821</v>
      </c>
      <c r="G5153" s="20">
        <f t="shared" si="1"/>
        <v>3</v>
      </c>
      <c r="H5153" s="18" t="s">
        <v>34</v>
      </c>
      <c r="I5153" s="19" t="str">
        <f>IFERROR(__xludf.DUMMYFUNCTION("IFERROR(TO_DATE(H5153), """")"),"NA")</f>
        <v>NA</v>
      </c>
      <c r="J5153" s="19" t="s">
        <v>15</v>
      </c>
      <c r="K5153" s="22">
        <f t="shared" si="2"/>
        <v>0</v>
      </c>
    </row>
    <row r="5154">
      <c r="A5154" s="18">
        <v>2751.0</v>
      </c>
      <c r="B5154" s="18" t="s">
        <v>30</v>
      </c>
      <c r="C5154" s="18" t="s">
        <v>34</v>
      </c>
      <c r="D5154" s="18" t="s">
        <v>35</v>
      </c>
      <c r="E5154" s="27">
        <v>42564.14857638889</v>
      </c>
      <c r="F5154" s="19">
        <f>IFERROR(__xludf.DUMMYFUNCTION("IFERROR(TO_DATE(E5154), """")"),42564.14857638889)</f>
        <v>42564.14858</v>
      </c>
      <c r="G5154" s="20">
        <f t="shared" si="1"/>
        <v>3</v>
      </c>
      <c r="H5154" s="18" t="s">
        <v>34</v>
      </c>
      <c r="I5154" s="19" t="str">
        <f>IFERROR(__xludf.DUMMYFUNCTION("IFERROR(TO_DATE(H5154), """")"),"NA")</f>
        <v>NA</v>
      </c>
      <c r="J5154" s="19" t="s">
        <v>15</v>
      </c>
      <c r="K5154" s="22">
        <f t="shared" si="2"/>
        <v>0</v>
      </c>
    </row>
    <row r="5155">
      <c r="A5155" s="18">
        <v>2754.0</v>
      </c>
      <c r="B5155" s="18" t="s">
        <v>30</v>
      </c>
      <c r="C5155" s="18" t="s">
        <v>34</v>
      </c>
      <c r="D5155" s="18" t="s">
        <v>35</v>
      </c>
      <c r="E5155" s="27">
        <v>42564.149560185186</v>
      </c>
      <c r="F5155" s="19">
        <f>IFERROR(__xludf.DUMMYFUNCTION("IFERROR(TO_DATE(E5155), """")"),42564.149560185186)</f>
        <v>42564.14956</v>
      </c>
      <c r="G5155" s="20">
        <f t="shared" si="1"/>
        <v>3</v>
      </c>
      <c r="H5155" s="18" t="s">
        <v>34</v>
      </c>
      <c r="I5155" s="19" t="str">
        <f>IFERROR(__xludf.DUMMYFUNCTION("IFERROR(TO_DATE(H5155), """")"),"NA")</f>
        <v>NA</v>
      </c>
      <c r="J5155" s="19" t="s">
        <v>15</v>
      </c>
      <c r="K5155" s="22">
        <f t="shared" si="2"/>
        <v>0</v>
      </c>
    </row>
    <row r="5156">
      <c r="A5156" s="18">
        <v>2755.0</v>
      </c>
      <c r="B5156" s="18" t="s">
        <v>30</v>
      </c>
      <c r="C5156" s="18" t="s">
        <v>34</v>
      </c>
      <c r="D5156" s="18" t="s">
        <v>35</v>
      </c>
      <c r="E5156" s="27">
        <v>42564.15081018519</v>
      </c>
      <c r="F5156" s="19">
        <f>IFERROR(__xludf.DUMMYFUNCTION("IFERROR(TO_DATE(E5156), """")"),42564.15081018519)</f>
        <v>42564.15081</v>
      </c>
      <c r="G5156" s="20">
        <f t="shared" si="1"/>
        <v>3</v>
      </c>
      <c r="H5156" s="18" t="s">
        <v>34</v>
      </c>
      <c r="I5156" s="19" t="str">
        <f>IFERROR(__xludf.DUMMYFUNCTION("IFERROR(TO_DATE(H5156), """")"),"NA")</f>
        <v>NA</v>
      </c>
      <c r="J5156" s="19" t="s">
        <v>15</v>
      </c>
      <c r="K5156" s="22">
        <f t="shared" si="2"/>
        <v>0</v>
      </c>
    </row>
    <row r="5157">
      <c r="A5157" s="18">
        <v>2756.0</v>
      </c>
      <c r="B5157" s="18" t="s">
        <v>30</v>
      </c>
      <c r="C5157" s="18" t="s">
        <v>34</v>
      </c>
      <c r="D5157" s="18" t="s">
        <v>35</v>
      </c>
      <c r="E5157" s="27">
        <v>42564.153958333336</v>
      </c>
      <c r="F5157" s="19">
        <f>IFERROR(__xludf.DUMMYFUNCTION("IFERROR(TO_DATE(E5157), """")"),42564.153958333336)</f>
        <v>42564.15396</v>
      </c>
      <c r="G5157" s="20">
        <f t="shared" si="1"/>
        <v>3</v>
      </c>
      <c r="H5157" s="18" t="s">
        <v>34</v>
      </c>
      <c r="I5157" s="19" t="str">
        <f>IFERROR(__xludf.DUMMYFUNCTION("IFERROR(TO_DATE(H5157), """")"),"NA")</f>
        <v>NA</v>
      </c>
      <c r="J5157" s="19" t="s">
        <v>15</v>
      </c>
      <c r="K5157" s="22">
        <f t="shared" si="2"/>
        <v>0</v>
      </c>
    </row>
    <row r="5158">
      <c r="A5158" s="18">
        <v>2757.0</v>
      </c>
      <c r="B5158" s="18" t="s">
        <v>30</v>
      </c>
      <c r="C5158" s="18" t="s">
        <v>34</v>
      </c>
      <c r="D5158" s="18" t="s">
        <v>35</v>
      </c>
      <c r="E5158" s="27">
        <v>42564.15584490741</v>
      </c>
      <c r="F5158" s="19">
        <f>IFERROR(__xludf.DUMMYFUNCTION("IFERROR(TO_DATE(E5158), """")"),42564.15584490741)</f>
        <v>42564.15584</v>
      </c>
      <c r="G5158" s="20">
        <f t="shared" si="1"/>
        <v>3</v>
      </c>
      <c r="H5158" s="18" t="s">
        <v>34</v>
      </c>
      <c r="I5158" s="19" t="str">
        <f>IFERROR(__xludf.DUMMYFUNCTION("IFERROR(TO_DATE(H5158), """")"),"NA")</f>
        <v>NA</v>
      </c>
      <c r="J5158" s="19" t="s">
        <v>15</v>
      </c>
      <c r="K5158" s="22">
        <f t="shared" si="2"/>
        <v>0</v>
      </c>
    </row>
    <row r="5159">
      <c r="A5159" s="18">
        <v>2760.0</v>
      </c>
      <c r="B5159" s="18" t="s">
        <v>32</v>
      </c>
      <c r="C5159" s="18" t="s">
        <v>34</v>
      </c>
      <c r="D5159" s="18" t="s">
        <v>35</v>
      </c>
      <c r="E5159" s="27">
        <v>42564.157372685186</v>
      </c>
      <c r="F5159" s="19">
        <f>IFERROR(__xludf.DUMMYFUNCTION("IFERROR(TO_DATE(E5159), """")"),42564.157372685186)</f>
        <v>42564.15737</v>
      </c>
      <c r="G5159" s="20">
        <f t="shared" si="1"/>
        <v>3</v>
      </c>
      <c r="H5159" s="18" t="s">
        <v>34</v>
      </c>
      <c r="I5159" s="19" t="str">
        <f>IFERROR(__xludf.DUMMYFUNCTION("IFERROR(TO_DATE(H5159), """")"),"NA")</f>
        <v>NA</v>
      </c>
      <c r="J5159" s="19" t="s">
        <v>15</v>
      </c>
      <c r="K5159" s="22">
        <f t="shared" si="2"/>
        <v>0</v>
      </c>
    </row>
    <row r="5160">
      <c r="A5160" s="18">
        <v>2763.0</v>
      </c>
      <c r="B5160" s="18" t="s">
        <v>32</v>
      </c>
      <c r="C5160" s="18" t="s">
        <v>34</v>
      </c>
      <c r="D5160" s="18" t="s">
        <v>35</v>
      </c>
      <c r="E5160" s="27">
        <v>42564.16527777778</v>
      </c>
      <c r="F5160" s="19">
        <f>IFERROR(__xludf.DUMMYFUNCTION("IFERROR(TO_DATE(E5160), """")"),42564.16527777778)</f>
        <v>42564.16528</v>
      </c>
      <c r="G5160" s="20">
        <f t="shared" si="1"/>
        <v>3</v>
      </c>
      <c r="H5160" s="18" t="s">
        <v>34</v>
      </c>
      <c r="I5160" s="19" t="str">
        <f>IFERROR(__xludf.DUMMYFUNCTION("IFERROR(TO_DATE(H5160), """")"),"NA")</f>
        <v>NA</v>
      </c>
      <c r="J5160" s="19" t="s">
        <v>15</v>
      </c>
      <c r="K5160" s="22">
        <f t="shared" si="2"/>
        <v>0</v>
      </c>
    </row>
    <row r="5161">
      <c r="A5161" s="18">
        <v>2765.0</v>
      </c>
      <c r="B5161" s="18" t="s">
        <v>30</v>
      </c>
      <c r="C5161" s="18" t="s">
        <v>34</v>
      </c>
      <c r="D5161" s="18" t="s">
        <v>35</v>
      </c>
      <c r="E5161" s="27">
        <v>42564.16894675926</v>
      </c>
      <c r="F5161" s="19">
        <f>IFERROR(__xludf.DUMMYFUNCTION("IFERROR(TO_DATE(E5161), """")"),42564.16894675926)</f>
        <v>42564.16895</v>
      </c>
      <c r="G5161" s="20">
        <f t="shared" si="1"/>
        <v>4</v>
      </c>
      <c r="H5161" s="18" t="s">
        <v>34</v>
      </c>
      <c r="I5161" s="19" t="str">
        <f>IFERROR(__xludf.DUMMYFUNCTION("IFERROR(TO_DATE(H5161), """")"),"NA")</f>
        <v>NA</v>
      </c>
      <c r="J5161" s="19" t="s">
        <v>11</v>
      </c>
      <c r="K5161" s="22">
        <f t="shared" si="2"/>
        <v>0</v>
      </c>
    </row>
    <row r="5162">
      <c r="A5162" s="18">
        <v>2766.0</v>
      </c>
      <c r="B5162" s="18" t="s">
        <v>32</v>
      </c>
      <c r="C5162" s="18" t="s">
        <v>34</v>
      </c>
      <c r="D5162" s="18" t="s">
        <v>35</v>
      </c>
      <c r="E5162" s="27">
        <v>42564.174375</v>
      </c>
      <c r="F5162" s="19">
        <f>IFERROR(__xludf.DUMMYFUNCTION("IFERROR(TO_DATE(E5162), """")"),42564.174375)</f>
        <v>42564.17438</v>
      </c>
      <c r="G5162" s="20">
        <f t="shared" si="1"/>
        <v>4</v>
      </c>
      <c r="H5162" s="18" t="s">
        <v>34</v>
      </c>
      <c r="I5162" s="19" t="str">
        <f>IFERROR(__xludf.DUMMYFUNCTION("IFERROR(TO_DATE(H5162), """")"),"NA")</f>
        <v>NA</v>
      </c>
      <c r="J5162" s="19" t="s">
        <v>11</v>
      </c>
      <c r="K5162" s="22">
        <f t="shared" si="2"/>
        <v>0</v>
      </c>
    </row>
    <row r="5163">
      <c r="A5163" s="18">
        <v>2770.0</v>
      </c>
      <c r="B5163" s="18" t="s">
        <v>30</v>
      </c>
      <c r="C5163" s="18" t="s">
        <v>34</v>
      </c>
      <c r="D5163" s="18" t="s">
        <v>35</v>
      </c>
      <c r="E5163" s="27">
        <v>42564.18212962963</v>
      </c>
      <c r="F5163" s="19">
        <f>IFERROR(__xludf.DUMMYFUNCTION("IFERROR(TO_DATE(E5163), """")"),42564.18212962963)</f>
        <v>42564.18213</v>
      </c>
      <c r="G5163" s="20">
        <f t="shared" si="1"/>
        <v>4</v>
      </c>
      <c r="H5163" s="18" t="s">
        <v>34</v>
      </c>
      <c r="I5163" s="19" t="str">
        <f>IFERROR(__xludf.DUMMYFUNCTION("IFERROR(TO_DATE(H5163), """")"),"NA")</f>
        <v>NA</v>
      </c>
      <c r="J5163" s="19" t="s">
        <v>11</v>
      </c>
      <c r="K5163" s="22">
        <f t="shared" si="2"/>
        <v>0</v>
      </c>
    </row>
    <row r="5164">
      <c r="A5164" s="18">
        <v>2773.0</v>
      </c>
      <c r="B5164" s="18" t="s">
        <v>30</v>
      </c>
      <c r="C5164" s="18" t="s">
        <v>34</v>
      </c>
      <c r="D5164" s="18" t="s">
        <v>35</v>
      </c>
      <c r="E5164" s="27">
        <v>42564.18945601852</v>
      </c>
      <c r="F5164" s="19">
        <f>IFERROR(__xludf.DUMMYFUNCTION("IFERROR(TO_DATE(E5164), """")"),42564.18945601852)</f>
        <v>42564.18946</v>
      </c>
      <c r="G5164" s="20">
        <f t="shared" si="1"/>
        <v>4</v>
      </c>
      <c r="H5164" s="18" t="s">
        <v>34</v>
      </c>
      <c r="I5164" s="19" t="str">
        <f>IFERROR(__xludf.DUMMYFUNCTION("IFERROR(TO_DATE(H5164), """")"),"NA")</f>
        <v>NA</v>
      </c>
      <c r="J5164" s="19" t="s">
        <v>11</v>
      </c>
      <c r="K5164" s="22">
        <f t="shared" si="2"/>
        <v>0</v>
      </c>
    </row>
    <row r="5165">
      <c r="A5165" s="18">
        <v>2776.0</v>
      </c>
      <c r="B5165" s="18" t="s">
        <v>32</v>
      </c>
      <c r="C5165" s="18" t="s">
        <v>34</v>
      </c>
      <c r="D5165" s="18" t="s">
        <v>35</v>
      </c>
      <c r="E5165" s="27">
        <v>42564.19361111111</v>
      </c>
      <c r="F5165" s="19">
        <f>IFERROR(__xludf.DUMMYFUNCTION("IFERROR(TO_DATE(E5165), """")"),42564.19361111111)</f>
        <v>42564.19361</v>
      </c>
      <c r="G5165" s="20">
        <f t="shared" si="1"/>
        <v>4</v>
      </c>
      <c r="H5165" s="18" t="s">
        <v>34</v>
      </c>
      <c r="I5165" s="19" t="str">
        <f>IFERROR(__xludf.DUMMYFUNCTION("IFERROR(TO_DATE(H5165), """")"),"NA")</f>
        <v>NA</v>
      </c>
      <c r="J5165" s="19" t="s">
        <v>11</v>
      </c>
      <c r="K5165" s="22">
        <f t="shared" si="2"/>
        <v>0</v>
      </c>
    </row>
    <row r="5166">
      <c r="A5166" s="18">
        <v>2772.0</v>
      </c>
      <c r="B5166" s="18" t="s">
        <v>30</v>
      </c>
      <c r="C5166" s="18" t="s">
        <v>34</v>
      </c>
      <c r="D5166" s="18" t="s">
        <v>35</v>
      </c>
      <c r="E5166" s="27">
        <v>42564.194872685184</v>
      </c>
      <c r="F5166" s="19">
        <f>IFERROR(__xludf.DUMMYFUNCTION("IFERROR(TO_DATE(E5166), """")"),42564.194872685184)</f>
        <v>42564.19487</v>
      </c>
      <c r="G5166" s="20">
        <f t="shared" si="1"/>
        <v>4</v>
      </c>
      <c r="H5166" s="18" t="s">
        <v>34</v>
      </c>
      <c r="I5166" s="19" t="str">
        <f>IFERROR(__xludf.DUMMYFUNCTION("IFERROR(TO_DATE(H5166), """")"),"NA")</f>
        <v>NA</v>
      </c>
      <c r="J5166" s="19" t="s">
        <v>11</v>
      </c>
      <c r="K5166" s="22">
        <f t="shared" si="2"/>
        <v>0</v>
      </c>
    </row>
    <row r="5167">
      <c r="A5167" s="18">
        <v>2775.0</v>
      </c>
      <c r="B5167" s="18" t="s">
        <v>30</v>
      </c>
      <c r="C5167" s="18" t="s">
        <v>34</v>
      </c>
      <c r="D5167" s="18" t="s">
        <v>35</v>
      </c>
      <c r="E5167" s="27">
        <v>42564.195856481485</v>
      </c>
      <c r="F5167" s="19">
        <f>IFERROR(__xludf.DUMMYFUNCTION("IFERROR(TO_DATE(E5167), """")"),42564.195856481485)</f>
        <v>42564.19586</v>
      </c>
      <c r="G5167" s="20">
        <f t="shared" si="1"/>
        <v>4</v>
      </c>
      <c r="H5167" s="18" t="s">
        <v>34</v>
      </c>
      <c r="I5167" s="19" t="str">
        <f>IFERROR(__xludf.DUMMYFUNCTION("IFERROR(TO_DATE(H5167), """")"),"NA")</f>
        <v>NA</v>
      </c>
      <c r="J5167" s="19" t="s">
        <v>11</v>
      </c>
      <c r="K5167" s="22">
        <f t="shared" si="2"/>
        <v>0</v>
      </c>
    </row>
    <row r="5168">
      <c r="A5168" s="18">
        <v>2783.0</v>
      </c>
      <c r="B5168" s="18" t="s">
        <v>30</v>
      </c>
      <c r="C5168" s="18" t="s">
        <v>34</v>
      </c>
      <c r="D5168" s="18" t="s">
        <v>35</v>
      </c>
      <c r="E5168" s="27">
        <v>42564.20190972222</v>
      </c>
      <c r="F5168" s="19">
        <f>IFERROR(__xludf.DUMMYFUNCTION("IFERROR(TO_DATE(E5168), """")"),42564.20190972222)</f>
        <v>42564.20191</v>
      </c>
      <c r="G5168" s="20">
        <f t="shared" si="1"/>
        <v>4</v>
      </c>
      <c r="H5168" s="18" t="s">
        <v>34</v>
      </c>
      <c r="I5168" s="19" t="str">
        <f>IFERROR(__xludf.DUMMYFUNCTION("IFERROR(TO_DATE(H5168), """")"),"NA")</f>
        <v>NA</v>
      </c>
      <c r="J5168" s="19" t="s">
        <v>11</v>
      </c>
      <c r="K5168" s="22">
        <f t="shared" si="2"/>
        <v>0</v>
      </c>
    </row>
    <row r="5169">
      <c r="A5169" s="18">
        <v>2790.0</v>
      </c>
      <c r="B5169" s="18" t="s">
        <v>32</v>
      </c>
      <c r="C5169" s="18" t="s">
        <v>34</v>
      </c>
      <c r="D5169" s="18" t="s">
        <v>35</v>
      </c>
      <c r="E5169" s="27">
        <v>42564.20354166667</v>
      </c>
      <c r="F5169" s="19">
        <f>IFERROR(__xludf.DUMMYFUNCTION("IFERROR(TO_DATE(E5169), """")"),42564.20354166667)</f>
        <v>42564.20354</v>
      </c>
      <c r="G5169" s="20">
        <f t="shared" si="1"/>
        <v>4</v>
      </c>
      <c r="H5169" s="18" t="s">
        <v>34</v>
      </c>
      <c r="I5169" s="19" t="str">
        <f>IFERROR(__xludf.DUMMYFUNCTION("IFERROR(TO_DATE(H5169), """")"),"NA")</f>
        <v>NA</v>
      </c>
      <c r="J5169" s="19" t="s">
        <v>11</v>
      </c>
      <c r="K5169" s="22">
        <f t="shared" si="2"/>
        <v>0</v>
      </c>
    </row>
    <row r="5170">
      <c r="A5170" s="18">
        <v>2804.0</v>
      </c>
      <c r="B5170" s="18" t="s">
        <v>32</v>
      </c>
      <c r="C5170" s="18" t="s">
        <v>34</v>
      </c>
      <c r="D5170" s="18" t="s">
        <v>35</v>
      </c>
      <c r="E5170" s="27">
        <v>42564.20706018519</v>
      </c>
      <c r="F5170" s="19">
        <f>IFERROR(__xludf.DUMMYFUNCTION("IFERROR(TO_DATE(E5170), """")"),42564.20706018519)</f>
        <v>42564.20706</v>
      </c>
      <c r="G5170" s="20">
        <f t="shared" si="1"/>
        <v>4</v>
      </c>
      <c r="H5170" s="18" t="s">
        <v>34</v>
      </c>
      <c r="I5170" s="19" t="str">
        <f>IFERROR(__xludf.DUMMYFUNCTION("IFERROR(TO_DATE(H5170), """")"),"NA")</f>
        <v>NA</v>
      </c>
      <c r="J5170" s="19" t="s">
        <v>11</v>
      </c>
      <c r="K5170" s="22">
        <f t="shared" si="2"/>
        <v>0</v>
      </c>
    </row>
    <row r="5171">
      <c r="A5171" s="18">
        <v>2807.0</v>
      </c>
      <c r="B5171" s="18" t="s">
        <v>32</v>
      </c>
      <c r="C5171" s="18" t="s">
        <v>34</v>
      </c>
      <c r="D5171" s="18" t="s">
        <v>35</v>
      </c>
      <c r="E5171" s="27">
        <v>42564.21123842592</v>
      </c>
      <c r="F5171" s="19">
        <f>IFERROR(__xludf.DUMMYFUNCTION("IFERROR(TO_DATE(E5171), """")"),42564.21123842592)</f>
        <v>42564.21124</v>
      </c>
      <c r="G5171" s="20">
        <f t="shared" si="1"/>
        <v>5</v>
      </c>
      <c r="H5171" s="18" t="s">
        <v>34</v>
      </c>
      <c r="I5171" s="19" t="str">
        <f>IFERROR(__xludf.DUMMYFUNCTION("IFERROR(TO_DATE(H5171), """")"),"NA")</f>
        <v>NA</v>
      </c>
      <c r="J5171" s="19" t="s">
        <v>11</v>
      </c>
      <c r="K5171" s="22">
        <f t="shared" si="2"/>
        <v>0</v>
      </c>
    </row>
    <row r="5172">
      <c r="A5172" s="18">
        <v>2817.0</v>
      </c>
      <c r="B5172" s="18" t="s">
        <v>32</v>
      </c>
      <c r="C5172" s="18" t="s">
        <v>34</v>
      </c>
      <c r="D5172" s="18" t="s">
        <v>35</v>
      </c>
      <c r="E5172" s="27">
        <v>42564.21125</v>
      </c>
      <c r="F5172" s="19">
        <f>IFERROR(__xludf.DUMMYFUNCTION("IFERROR(TO_DATE(E5172), """")"),42564.21125)</f>
        <v>42564.21125</v>
      </c>
      <c r="G5172" s="20">
        <f t="shared" si="1"/>
        <v>5</v>
      </c>
      <c r="H5172" s="18" t="s">
        <v>34</v>
      </c>
      <c r="I5172" s="19" t="str">
        <f>IFERROR(__xludf.DUMMYFUNCTION("IFERROR(TO_DATE(H5172), """")"),"NA")</f>
        <v>NA</v>
      </c>
      <c r="J5172" s="19" t="s">
        <v>11</v>
      </c>
      <c r="K5172" s="22">
        <f t="shared" si="2"/>
        <v>0</v>
      </c>
    </row>
    <row r="5173">
      <c r="A5173" s="18">
        <v>2812.0</v>
      </c>
      <c r="B5173" s="18" t="s">
        <v>32</v>
      </c>
      <c r="C5173" s="18" t="s">
        <v>34</v>
      </c>
      <c r="D5173" s="18" t="s">
        <v>35</v>
      </c>
      <c r="E5173" s="27">
        <v>42564.2156712963</v>
      </c>
      <c r="F5173" s="19">
        <f>IFERROR(__xludf.DUMMYFUNCTION("IFERROR(TO_DATE(E5173), """")"),42564.2156712963)</f>
        <v>42564.21567</v>
      </c>
      <c r="G5173" s="20">
        <f t="shared" si="1"/>
        <v>5</v>
      </c>
      <c r="H5173" s="18" t="s">
        <v>34</v>
      </c>
      <c r="I5173" s="19" t="str">
        <f>IFERROR(__xludf.DUMMYFUNCTION("IFERROR(TO_DATE(H5173), """")"),"NA")</f>
        <v>NA</v>
      </c>
      <c r="J5173" s="19" t="s">
        <v>11</v>
      </c>
      <c r="K5173" s="22">
        <f t="shared" si="2"/>
        <v>0</v>
      </c>
    </row>
    <row r="5174">
      <c r="A5174" s="18">
        <v>2821.0</v>
      </c>
      <c r="B5174" s="18" t="s">
        <v>32</v>
      </c>
      <c r="C5174" s="18" t="s">
        <v>34</v>
      </c>
      <c r="D5174" s="18" t="s">
        <v>35</v>
      </c>
      <c r="E5174" s="27">
        <v>42564.21790509259</v>
      </c>
      <c r="F5174" s="19">
        <f>IFERROR(__xludf.DUMMYFUNCTION("IFERROR(TO_DATE(E5174), """")"),42564.21790509259)</f>
        <v>42564.21791</v>
      </c>
      <c r="G5174" s="20">
        <f t="shared" si="1"/>
        <v>5</v>
      </c>
      <c r="H5174" s="18" t="s">
        <v>34</v>
      </c>
      <c r="I5174" s="19" t="str">
        <f>IFERROR(__xludf.DUMMYFUNCTION("IFERROR(TO_DATE(H5174), """")"),"NA")</f>
        <v>NA</v>
      </c>
      <c r="J5174" s="19" t="s">
        <v>11</v>
      </c>
      <c r="K5174" s="22">
        <f t="shared" si="2"/>
        <v>0</v>
      </c>
    </row>
    <row r="5175">
      <c r="A5175" s="18">
        <v>2843.0</v>
      </c>
      <c r="B5175" s="18" t="s">
        <v>32</v>
      </c>
      <c r="C5175" s="18" t="s">
        <v>34</v>
      </c>
      <c r="D5175" s="18" t="s">
        <v>35</v>
      </c>
      <c r="E5175" s="27">
        <v>42564.22759259259</v>
      </c>
      <c r="F5175" s="19">
        <f>IFERROR(__xludf.DUMMYFUNCTION("IFERROR(TO_DATE(E5175), """")"),42564.22759259259)</f>
        <v>42564.22759</v>
      </c>
      <c r="G5175" s="20">
        <f t="shared" si="1"/>
        <v>5</v>
      </c>
      <c r="H5175" s="18" t="s">
        <v>34</v>
      </c>
      <c r="I5175" s="19" t="str">
        <f>IFERROR(__xludf.DUMMYFUNCTION("IFERROR(TO_DATE(H5175), """")"),"NA")</f>
        <v>NA</v>
      </c>
      <c r="J5175" s="19" t="s">
        <v>11</v>
      </c>
      <c r="K5175" s="22">
        <f t="shared" si="2"/>
        <v>0</v>
      </c>
    </row>
    <row r="5176">
      <c r="A5176" s="18">
        <v>2838.0</v>
      </c>
      <c r="B5176" s="18" t="s">
        <v>32</v>
      </c>
      <c r="C5176" s="18" t="s">
        <v>34</v>
      </c>
      <c r="D5176" s="18" t="s">
        <v>35</v>
      </c>
      <c r="E5176" s="27">
        <v>42564.22949074074</v>
      </c>
      <c r="F5176" s="19">
        <f>IFERROR(__xludf.DUMMYFUNCTION("IFERROR(TO_DATE(E5176), """")"),42564.22949074074)</f>
        <v>42564.22949</v>
      </c>
      <c r="G5176" s="20">
        <f t="shared" si="1"/>
        <v>5</v>
      </c>
      <c r="H5176" s="18" t="s">
        <v>34</v>
      </c>
      <c r="I5176" s="19" t="str">
        <f>IFERROR(__xludf.DUMMYFUNCTION("IFERROR(TO_DATE(H5176), """")"),"NA")</f>
        <v>NA</v>
      </c>
      <c r="J5176" s="19" t="s">
        <v>11</v>
      </c>
      <c r="K5176" s="22">
        <f t="shared" si="2"/>
        <v>0</v>
      </c>
    </row>
    <row r="5177">
      <c r="A5177" s="18">
        <v>2850.0</v>
      </c>
      <c r="B5177" s="18" t="s">
        <v>30</v>
      </c>
      <c r="C5177" s="18" t="s">
        <v>34</v>
      </c>
      <c r="D5177" s="18" t="s">
        <v>35</v>
      </c>
      <c r="E5177" s="27">
        <v>42564.23457175926</v>
      </c>
      <c r="F5177" s="19">
        <f>IFERROR(__xludf.DUMMYFUNCTION("IFERROR(TO_DATE(E5177), """")"),42564.23457175926)</f>
        <v>42564.23457</v>
      </c>
      <c r="G5177" s="20">
        <f t="shared" si="1"/>
        <v>5</v>
      </c>
      <c r="H5177" s="18" t="s">
        <v>34</v>
      </c>
      <c r="I5177" s="19" t="str">
        <f>IFERROR(__xludf.DUMMYFUNCTION("IFERROR(TO_DATE(H5177), """")"),"NA")</f>
        <v>NA</v>
      </c>
      <c r="J5177" s="19" t="s">
        <v>11</v>
      </c>
      <c r="K5177" s="22">
        <f t="shared" si="2"/>
        <v>0</v>
      </c>
    </row>
    <row r="5178">
      <c r="A5178" s="18">
        <v>2870.0</v>
      </c>
      <c r="B5178" s="18" t="s">
        <v>32</v>
      </c>
      <c r="C5178" s="18" t="s">
        <v>34</v>
      </c>
      <c r="D5178" s="18" t="s">
        <v>35</v>
      </c>
      <c r="E5178" s="27">
        <v>42564.23695601852</v>
      </c>
      <c r="F5178" s="19">
        <f>IFERROR(__xludf.DUMMYFUNCTION("IFERROR(TO_DATE(E5178), """")"),42564.23695601852)</f>
        <v>42564.23696</v>
      </c>
      <c r="G5178" s="20">
        <f t="shared" si="1"/>
        <v>5</v>
      </c>
      <c r="H5178" s="18" t="s">
        <v>34</v>
      </c>
      <c r="I5178" s="19" t="str">
        <f>IFERROR(__xludf.DUMMYFUNCTION("IFERROR(TO_DATE(H5178), """")"),"NA")</f>
        <v>NA</v>
      </c>
      <c r="J5178" s="19" t="s">
        <v>11</v>
      </c>
      <c r="K5178" s="22">
        <f t="shared" si="2"/>
        <v>0</v>
      </c>
    </row>
    <row r="5179">
      <c r="A5179" s="18">
        <v>2868.0</v>
      </c>
      <c r="B5179" s="18" t="s">
        <v>32</v>
      </c>
      <c r="C5179" s="18" t="s">
        <v>34</v>
      </c>
      <c r="D5179" s="18" t="s">
        <v>35</v>
      </c>
      <c r="E5179" s="27">
        <v>42564.239166666666</v>
      </c>
      <c r="F5179" s="19">
        <f>IFERROR(__xludf.DUMMYFUNCTION("IFERROR(TO_DATE(E5179), """")"),42564.239166666666)</f>
        <v>42564.23917</v>
      </c>
      <c r="G5179" s="20">
        <f t="shared" si="1"/>
        <v>5</v>
      </c>
      <c r="H5179" s="18" t="s">
        <v>34</v>
      </c>
      <c r="I5179" s="19" t="str">
        <f>IFERROR(__xludf.DUMMYFUNCTION("IFERROR(TO_DATE(H5179), """")"),"NA")</f>
        <v>NA</v>
      </c>
      <c r="J5179" s="19" t="s">
        <v>11</v>
      </c>
      <c r="K5179" s="22">
        <f t="shared" si="2"/>
        <v>0</v>
      </c>
    </row>
    <row r="5180">
      <c r="A5180" s="18">
        <v>2852.0</v>
      </c>
      <c r="B5180" s="18" t="s">
        <v>32</v>
      </c>
      <c r="C5180" s="18" t="s">
        <v>34</v>
      </c>
      <c r="D5180" s="18" t="s">
        <v>35</v>
      </c>
      <c r="E5180" s="27">
        <v>42564.23939814815</v>
      </c>
      <c r="F5180" s="19">
        <f>IFERROR(__xludf.DUMMYFUNCTION("IFERROR(TO_DATE(E5180), """")"),42564.23939814815)</f>
        <v>42564.2394</v>
      </c>
      <c r="G5180" s="20">
        <f t="shared" si="1"/>
        <v>5</v>
      </c>
      <c r="H5180" s="18" t="s">
        <v>34</v>
      </c>
      <c r="I5180" s="19" t="str">
        <f>IFERROR(__xludf.DUMMYFUNCTION("IFERROR(TO_DATE(H5180), """")"),"NA")</f>
        <v>NA</v>
      </c>
      <c r="J5180" s="19" t="s">
        <v>11</v>
      </c>
      <c r="K5180" s="22">
        <f t="shared" si="2"/>
        <v>0</v>
      </c>
    </row>
    <row r="5181">
      <c r="A5181" s="18">
        <v>2874.0</v>
      </c>
      <c r="B5181" s="18" t="s">
        <v>32</v>
      </c>
      <c r="C5181" s="18" t="s">
        <v>34</v>
      </c>
      <c r="D5181" s="18" t="s">
        <v>35</v>
      </c>
      <c r="E5181" s="27">
        <v>42564.240266203706</v>
      </c>
      <c r="F5181" s="19">
        <f>IFERROR(__xludf.DUMMYFUNCTION("IFERROR(TO_DATE(E5181), """")"),42564.240266203706)</f>
        <v>42564.24027</v>
      </c>
      <c r="G5181" s="20">
        <f t="shared" si="1"/>
        <v>5</v>
      </c>
      <c r="H5181" s="18" t="s">
        <v>34</v>
      </c>
      <c r="I5181" s="19" t="str">
        <f>IFERROR(__xludf.DUMMYFUNCTION("IFERROR(TO_DATE(H5181), """")"),"NA")</f>
        <v>NA</v>
      </c>
      <c r="J5181" s="19" t="s">
        <v>11</v>
      </c>
      <c r="K5181" s="22">
        <f t="shared" si="2"/>
        <v>0</v>
      </c>
    </row>
    <row r="5182">
      <c r="A5182" s="18">
        <v>2878.0</v>
      </c>
      <c r="B5182" s="18" t="s">
        <v>32</v>
      </c>
      <c r="C5182" s="18" t="s">
        <v>34</v>
      </c>
      <c r="D5182" s="18" t="s">
        <v>35</v>
      </c>
      <c r="E5182" s="27">
        <v>42564.24685185185</v>
      </c>
      <c r="F5182" s="19">
        <f>IFERROR(__xludf.DUMMYFUNCTION("IFERROR(TO_DATE(E5182), """")"),42564.24685185185)</f>
        <v>42564.24685</v>
      </c>
      <c r="G5182" s="20">
        <f t="shared" si="1"/>
        <v>5</v>
      </c>
      <c r="H5182" s="18" t="s">
        <v>34</v>
      </c>
      <c r="I5182" s="19" t="str">
        <f>IFERROR(__xludf.DUMMYFUNCTION("IFERROR(TO_DATE(H5182), """")"),"NA")</f>
        <v>NA</v>
      </c>
      <c r="J5182" s="19" t="s">
        <v>11</v>
      </c>
      <c r="K5182" s="22">
        <f t="shared" si="2"/>
        <v>0</v>
      </c>
    </row>
    <row r="5183">
      <c r="A5183" s="18">
        <v>2892.0</v>
      </c>
      <c r="B5183" s="18" t="s">
        <v>32</v>
      </c>
      <c r="C5183" s="18" t="s">
        <v>34</v>
      </c>
      <c r="D5183" s="18" t="s">
        <v>35</v>
      </c>
      <c r="E5183" s="27">
        <v>42564.247152777774</v>
      </c>
      <c r="F5183" s="19">
        <f>IFERROR(__xludf.DUMMYFUNCTION("IFERROR(TO_DATE(E5183), """")"),42564.247152777774)</f>
        <v>42564.24715</v>
      </c>
      <c r="G5183" s="20">
        <f t="shared" si="1"/>
        <v>5</v>
      </c>
      <c r="H5183" s="18" t="s">
        <v>34</v>
      </c>
      <c r="I5183" s="19" t="str">
        <f>IFERROR(__xludf.DUMMYFUNCTION("IFERROR(TO_DATE(H5183), """")"),"NA")</f>
        <v>NA</v>
      </c>
      <c r="J5183" s="19" t="s">
        <v>11</v>
      </c>
      <c r="K5183" s="22">
        <f t="shared" si="2"/>
        <v>0</v>
      </c>
    </row>
    <row r="5184">
      <c r="A5184" s="18">
        <v>2882.0</v>
      </c>
      <c r="B5184" s="18" t="s">
        <v>32</v>
      </c>
      <c r="C5184" s="18" t="s">
        <v>34</v>
      </c>
      <c r="D5184" s="18" t="s">
        <v>35</v>
      </c>
      <c r="E5184" s="27">
        <v>42564.24899305555</v>
      </c>
      <c r="F5184" s="19">
        <f>IFERROR(__xludf.DUMMYFUNCTION("IFERROR(TO_DATE(E5184), """")"),42564.24899305555)</f>
        <v>42564.24899</v>
      </c>
      <c r="G5184" s="20">
        <f t="shared" si="1"/>
        <v>5</v>
      </c>
      <c r="H5184" s="18" t="s">
        <v>34</v>
      </c>
      <c r="I5184" s="19" t="str">
        <f>IFERROR(__xludf.DUMMYFUNCTION("IFERROR(TO_DATE(H5184), """")"),"NA")</f>
        <v>NA</v>
      </c>
      <c r="J5184" s="19" t="s">
        <v>11</v>
      </c>
      <c r="K5184" s="22">
        <f t="shared" si="2"/>
        <v>0</v>
      </c>
    </row>
    <row r="5185">
      <c r="A5185" s="18">
        <v>2893.0</v>
      </c>
      <c r="B5185" s="18" t="s">
        <v>32</v>
      </c>
      <c r="C5185" s="18" t="s">
        <v>34</v>
      </c>
      <c r="D5185" s="18" t="s">
        <v>35</v>
      </c>
      <c r="E5185" s="27">
        <v>42564.25300925926</v>
      </c>
      <c r="F5185" s="19">
        <f>IFERROR(__xludf.DUMMYFUNCTION("IFERROR(TO_DATE(E5185), """")"),42564.25300925926)</f>
        <v>42564.25301</v>
      </c>
      <c r="G5185" s="20">
        <f t="shared" si="1"/>
        <v>6</v>
      </c>
      <c r="H5185" s="18" t="s">
        <v>34</v>
      </c>
      <c r="I5185" s="19" t="str">
        <f>IFERROR(__xludf.DUMMYFUNCTION("IFERROR(TO_DATE(H5185), """")"),"NA")</f>
        <v>NA</v>
      </c>
      <c r="J5185" s="19" t="s">
        <v>11</v>
      </c>
      <c r="K5185" s="22">
        <f t="shared" si="2"/>
        <v>0</v>
      </c>
    </row>
    <row r="5186">
      <c r="A5186" s="18">
        <v>2904.0</v>
      </c>
      <c r="B5186" s="18" t="s">
        <v>32</v>
      </c>
      <c r="C5186" s="18" t="s">
        <v>34</v>
      </c>
      <c r="D5186" s="18" t="s">
        <v>35</v>
      </c>
      <c r="E5186" s="27">
        <v>42564.255</v>
      </c>
      <c r="F5186" s="19">
        <f>IFERROR(__xludf.DUMMYFUNCTION("IFERROR(TO_DATE(E5186), """")"),42564.255)</f>
        <v>42564.255</v>
      </c>
      <c r="G5186" s="20">
        <f t="shared" si="1"/>
        <v>6</v>
      </c>
      <c r="H5186" s="18" t="s">
        <v>34</v>
      </c>
      <c r="I5186" s="19" t="str">
        <f>IFERROR(__xludf.DUMMYFUNCTION("IFERROR(TO_DATE(H5186), """")"),"NA")</f>
        <v>NA</v>
      </c>
      <c r="J5186" s="19" t="s">
        <v>11</v>
      </c>
      <c r="K5186" s="22">
        <f t="shared" si="2"/>
        <v>0</v>
      </c>
    </row>
    <row r="5187">
      <c r="A5187" s="18">
        <v>2915.0</v>
      </c>
      <c r="B5187" s="18" t="s">
        <v>32</v>
      </c>
      <c r="C5187" s="18" t="s">
        <v>34</v>
      </c>
      <c r="D5187" s="18" t="s">
        <v>35</v>
      </c>
      <c r="E5187" s="27">
        <v>42564.264340277776</v>
      </c>
      <c r="F5187" s="19">
        <f>IFERROR(__xludf.DUMMYFUNCTION("IFERROR(TO_DATE(E5187), """")"),42564.264340277776)</f>
        <v>42564.26434</v>
      </c>
      <c r="G5187" s="20">
        <f t="shared" si="1"/>
        <v>6</v>
      </c>
      <c r="H5187" s="18" t="s">
        <v>34</v>
      </c>
      <c r="I5187" s="19" t="str">
        <f>IFERROR(__xludf.DUMMYFUNCTION("IFERROR(TO_DATE(H5187), """")"),"NA")</f>
        <v>NA</v>
      </c>
      <c r="J5187" s="19" t="s">
        <v>11</v>
      </c>
      <c r="K5187" s="22">
        <f t="shared" si="2"/>
        <v>0</v>
      </c>
    </row>
    <row r="5188">
      <c r="A5188" s="18">
        <v>2921.0</v>
      </c>
      <c r="B5188" s="18" t="s">
        <v>32</v>
      </c>
      <c r="C5188" s="18" t="s">
        <v>34</v>
      </c>
      <c r="D5188" s="18" t="s">
        <v>35</v>
      </c>
      <c r="E5188" s="27">
        <v>42564.264502314814</v>
      </c>
      <c r="F5188" s="19">
        <f>IFERROR(__xludf.DUMMYFUNCTION("IFERROR(TO_DATE(E5188), """")"),42564.264502314814)</f>
        <v>42564.2645</v>
      </c>
      <c r="G5188" s="20">
        <f t="shared" si="1"/>
        <v>6</v>
      </c>
      <c r="H5188" s="18" t="s">
        <v>34</v>
      </c>
      <c r="I5188" s="19" t="str">
        <f>IFERROR(__xludf.DUMMYFUNCTION("IFERROR(TO_DATE(H5188), """")"),"NA")</f>
        <v>NA</v>
      </c>
      <c r="J5188" s="19" t="s">
        <v>11</v>
      </c>
      <c r="K5188" s="22">
        <f t="shared" si="2"/>
        <v>0</v>
      </c>
    </row>
    <row r="5189">
      <c r="A5189" s="18">
        <v>2925.0</v>
      </c>
      <c r="B5189" s="18" t="s">
        <v>32</v>
      </c>
      <c r="C5189" s="18" t="s">
        <v>34</v>
      </c>
      <c r="D5189" s="18" t="s">
        <v>35</v>
      </c>
      <c r="E5189" s="27">
        <v>42564.265081018515</v>
      </c>
      <c r="F5189" s="19">
        <f>IFERROR(__xludf.DUMMYFUNCTION("IFERROR(TO_DATE(E5189), """")"),42564.265081018515)</f>
        <v>42564.26508</v>
      </c>
      <c r="G5189" s="20">
        <f t="shared" si="1"/>
        <v>6</v>
      </c>
      <c r="H5189" s="18" t="s">
        <v>34</v>
      </c>
      <c r="I5189" s="19" t="str">
        <f>IFERROR(__xludf.DUMMYFUNCTION("IFERROR(TO_DATE(H5189), """")"),"NA")</f>
        <v>NA</v>
      </c>
      <c r="J5189" s="19" t="s">
        <v>11</v>
      </c>
      <c r="K5189" s="22">
        <f t="shared" si="2"/>
        <v>0</v>
      </c>
    </row>
    <row r="5190">
      <c r="A5190" s="18">
        <v>2930.0</v>
      </c>
      <c r="B5190" s="18" t="s">
        <v>32</v>
      </c>
      <c r="C5190" s="18" t="s">
        <v>34</v>
      </c>
      <c r="D5190" s="18" t="s">
        <v>35</v>
      </c>
      <c r="E5190" s="27">
        <v>42564.26863425926</v>
      </c>
      <c r="F5190" s="19">
        <f>IFERROR(__xludf.DUMMYFUNCTION("IFERROR(TO_DATE(E5190), """")"),42564.26863425926)</f>
        <v>42564.26863</v>
      </c>
      <c r="G5190" s="20">
        <f t="shared" si="1"/>
        <v>6</v>
      </c>
      <c r="H5190" s="18" t="s">
        <v>34</v>
      </c>
      <c r="I5190" s="19" t="str">
        <f>IFERROR(__xludf.DUMMYFUNCTION("IFERROR(TO_DATE(H5190), """")"),"NA")</f>
        <v>NA</v>
      </c>
      <c r="J5190" s="19" t="s">
        <v>11</v>
      </c>
      <c r="K5190" s="22">
        <f t="shared" si="2"/>
        <v>0</v>
      </c>
    </row>
    <row r="5191">
      <c r="A5191" s="18">
        <v>2949.0</v>
      </c>
      <c r="B5191" s="18" t="s">
        <v>32</v>
      </c>
      <c r="C5191" s="18" t="s">
        <v>34</v>
      </c>
      <c r="D5191" s="18" t="s">
        <v>35</v>
      </c>
      <c r="E5191" s="27">
        <v>42564.27821759259</v>
      </c>
      <c r="F5191" s="19">
        <f>IFERROR(__xludf.DUMMYFUNCTION("IFERROR(TO_DATE(E5191), """")"),42564.27821759259)</f>
        <v>42564.27822</v>
      </c>
      <c r="G5191" s="20">
        <f t="shared" si="1"/>
        <v>6</v>
      </c>
      <c r="H5191" s="18" t="s">
        <v>34</v>
      </c>
      <c r="I5191" s="19" t="str">
        <f>IFERROR(__xludf.DUMMYFUNCTION("IFERROR(TO_DATE(H5191), """")"),"NA")</f>
        <v>NA</v>
      </c>
      <c r="J5191" s="19" t="s">
        <v>11</v>
      </c>
      <c r="K5191" s="22">
        <f t="shared" si="2"/>
        <v>0</v>
      </c>
    </row>
    <row r="5192">
      <c r="A5192" s="18">
        <v>2955.0</v>
      </c>
      <c r="B5192" s="18" t="s">
        <v>32</v>
      </c>
      <c r="C5192" s="18" t="s">
        <v>34</v>
      </c>
      <c r="D5192" s="18" t="s">
        <v>35</v>
      </c>
      <c r="E5192" s="27">
        <v>42564.27905092593</v>
      </c>
      <c r="F5192" s="19">
        <f>IFERROR(__xludf.DUMMYFUNCTION("IFERROR(TO_DATE(E5192), """")"),42564.27905092593)</f>
        <v>42564.27905</v>
      </c>
      <c r="G5192" s="20">
        <f t="shared" si="1"/>
        <v>6</v>
      </c>
      <c r="H5192" s="18" t="s">
        <v>34</v>
      </c>
      <c r="I5192" s="19" t="str">
        <f>IFERROR(__xludf.DUMMYFUNCTION("IFERROR(TO_DATE(H5192), """")"),"NA")</f>
        <v>NA</v>
      </c>
      <c r="J5192" s="19" t="s">
        <v>11</v>
      </c>
      <c r="K5192" s="22">
        <f t="shared" si="2"/>
        <v>0</v>
      </c>
    </row>
    <row r="5193">
      <c r="A5193" s="18">
        <v>2954.0</v>
      </c>
      <c r="B5193" s="18" t="s">
        <v>32</v>
      </c>
      <c r="C5193" s="18" t="s">
        <v>34</v>
      </c>
      <c r="D5193" s="18" t="s">
        <v>35</v>
      </c>
      <c r="E5193" s="27">
        <v>42564.280590277776</v>
      </c>
      <c r="F5193" s="19">
        <f>IFERROR(__xludf.DUMMYFUNCTION("IFERROR(TO_DATE(E5193), """")"),42564.280590277776)</f>
        <v>42564.28059</v>
      </c>
      <c r="G5193" s="20">
        <f t="shared" si="1"/>
        <v>6</v>
      </c>
      <c r="H5193" s="18" t="s">
        <v>34</v>
      </c>
      <c r="I5193" s="19" t="str">
        <f>IFERROR(__xludf.DUMMYFUNCTION("IFERROR(TO_DATE(H5193), """")"),"NA")</f>
        <v>NA</v>
      </c>
      <c r="J5193" s="19" t="s">
        <v>11</v>
      </c>
      <c r="K5193" s="22">
        <f t="shared" si="2"/>
        <v>0</v>
      </c>
    </row>
    <row r="5194">
      <c r="A5194" s="18">
        <v>2976.0</v>
      </c>
      <c r="B5194" s="18" t="s">
        <v>32</v>
      </c>
      <c r="C5194" s="18" t="s">
        <v>34</v>
      </c>
      <c r="D5194" s="18" t="s">
        <v>35</v>
      </c>
      <c r="E5194" s="27">
        <v>42564.28523148148</v>
      </c>
      <c r="F5194" s="19">
        <f>IFERROR(__xludf.DUMMYFUNCTION("IFERROR(TO_DATE(E5194), """")"),42564.28523148148)</f>
        <v>42564.28523</v>
      </c>
      <c r="G5194" s="20">
        <f t="shared" si="1"/>
        <v>6</v>
      </c>
      <c r="H5194" s="18" t="s">
        <v>34</v>
      </c>
      <c r="I5194" s="19" t="str">
        <f>IFERROR(__xludf.DUMMYFUNCTION("IFERROR(TO_DATE(H5194), """")"),"NA")</f>
        <v>NA</v>
      </c>
      <c r="J5194" s="19" t="s">
        <v>11</v>
      </c>
      <c r="K5194" s="22">
        <f t="shared" si="2"/>
        <v>0</v>
      </c>
    </row>
    <row r="5195">
      <c r="A5195" s="18">
        <v>2967.0</v>
      </c>
      <c r="B5195" s="18" t="s">
        <v>32</v>
      </c>
      <c r="C5195" s="18" t="s">
        <v>34</v>
      </c>
      <c r="D5195" s="18" t="s">
        <v>35</v>
      </c>
      <c r="E5195" s="27">
        <v>42564.28635416667</v>
      </c>
      <c r="F5195" s="19">
        <f>IFERROR(__xludf.DUMMYFUNCTION("IFERROR(TO_DATE(E5195), """")"),42564.28635416667)</f>
        <v>42564.28635</v>
      </c>
      <c r="G5195" s="20">
        <f t="shared" si="1"/>
        <v>6</v>
      </c>
      <c r="H5195" s="18" t="s">
        <v>34</v>
      </c>
      <c r="I5195" s="19" t="str">
        <f>IFERROR(__xludf.DUMMYFUNCTION("IFERROR(TO_DATE(H5195), """")"),"NA")</f>
        <v>NA</v>
      </c>
      <c r="J5195" s="19" t="s">
        <v>11</v>
      </c>
      <c r="K5195" s="22">
        <f t="shared" si="2"/>
        <v>0</v>
      </c>
    </row>
    <row r="5196">
      <c r="A5196" s="18">
        <v>2972.0</v>
      </c>
      <c r="B5196" s="18" t="s">
        <v>32</v>
      </c>
      <c r="C5196" s="18" t="s">
        <v>34</v>
      </c>
      <c r="D5196" s="18" t="s">
        <v>35</v>
      </c>
      <c r="E5196" s="27">
        <v>42564.28871527778</v>
      </c>
      <c r="F5196" s="19">
        <f>IFERROR(__xludf.DUMMYFUNCTION("IFERROR(TO_DATE(E5196), """")"),42564.28871527778)</f>
        <v>42564.28872</v>
      </c>
      <c r="G5196" s="20">
        <f t="shared" si="1"/>
        <v>6</v>
      </c>
      <c r="H5196" s="18" t="s">
        <v>34</v>
      </c>
      <c r="I5196" s="19" t="str">
        <f>IFERROR(__xludf.DUMMYFUNCTION("IFERROR(TO_DATE(H5196), """")"),"NA")</f>
        <v>NA</v>
      </c>
      <c r="J5196" s="19" t="s">
        <v>11</v>
      </c>
      <c r="K5196" s="22">
        <f t="shared" si="2"/>
        <v>0</v>
      </c>
    </row>
    <row r="5197">
      <c r="A5197" s="18">
        <v>2980.0</v>
      </c>
      <c r="B5197" s="18" t="s">
        <v>32</v>
      </c>
      <c r="C5197" s="18" t="s">
        <v>34</v>
      </c>
      <c r="D5197" s="18" t="s">
        <v>35</v>
      </c>
      <c r="E5197" s="27">
        <v>42564.28975694445</v>
      </c>
      <c r="F5197" s="19">
        <f>IFERROR(__xludf.DUMMYFUNCTION("IFERROR(TO_DATE(E5197), """")"),42564.28975694445)</f>
        <v>42564.28976</v>
      </c>
      <c r="G5197" s="20">
        <f t="shared" si="1"/>
        <v>6</v>
      </c>
      <c r="H5197" s="18" t="s">
        <v>34</v>
      </c>
      <c r="I5197" s="19" t="str">
        <f>IFERROR(__xludf.DUMMYFUNCTION("IFERROR(TO_DATE(H5197), """")"),"NA")</f>
        <v>NA</v>
      </c>
      <c r="J5197" s="19" t="s">
        <v>11</v>
      </c>
      <c r="K5197" s="22">
        <f t="shared" si="2"/>
        <v>0</v>
      </c>
    </row>
    <row r="5198">
      <c r="A5198" s="18">
        <v>2981.0</v>
      </c>
      <c r="B5198" s="18" t="s">
        <v>32</v>
      </c>
      <c r="C5198" s="18" t="s">
        <v>34</v>
      </c>
      <c r="D5198" s="18" t="s">
        <v>35</v>
      </c>
      <c r="E5198" s="27">
        <v>42564.2940625</v>
      </c>
      <c r="F5198" s="19">
        <f>IFERROR(__xludf.DUMMYFUNCTION("IFERROR(TO_DATE(E5198), """")"),42564.2940625)</f>
        <v>42564.29406</v>
      </c>
      <c r="G5198" s="20">
        <f t="shared" si="1"/>
        <v>7</v>
      </c>
      <c r="H5198" s="18" t="s">
        <v>34</v>
      </c>
      <c r="I5198" s="19" t="str">
        <f>IFERROR(__xludf.DUMMYFUNCTION("IFERROR(TO_DATE(H5198), """")"),"NA")</f>
        <v>NA</v>
      </c>
      <c r="J5198" s="19" t="s">
        <v>11</v>
      </c>
      <c r="K5198" s="22">
        <f t="shared" si="2"/>
        <v>0</v>
      </c>
    </row>
    <row r="5199">
      <c r="A5199" s="18">
        <v>2984.0</v>
      </c>
      <c r="B5199" s="18" t="s">
        <v>32</v>
      </c>
      <c r="C5199" s="18" t="s">
        <v>34</v>
      </c>
      <c r="D5199" s="18" t="s">
        <v>35</v>
      </c>
      <c r="E5199" s="27">
        <v>42564.29552083334</v>
      </c>
      <c r="F5199" s="19">
        <f>IFERROR(__xludf.DUMMYFUNCTION("IFERROR(TO_DATE(E5199), """")"),42564.29552083334)</f>
        <v>42564.29552</v>
      </c>
      <c r="G5199" s="20">
        <f t="shared" si="1"/>
        <v>7</v>
      </c>
      <c r="H5199" s="18" t="s">
        <v>34</v>
      </c>
      <c r="I5199" s="19" t="str">
        <f>IFERROR(__xludf.DUMMYFUNCTION("IFERROR(TO_DATE(H5199), """")"),"NA")</f>
        <v>NA</v>
      </c>
      <c r="J5199" s="19" t="s">
        <v>11</v>
      </c>
      <c r="K5199" s="22">
        <f t="shared" si="2"/>
        <v>0</v>
      </c>
    </row>
    <row r="5200">
      <c r="A5200" s="18">
        <v>2999.0</v>
      </c>
      <c r="B5200" s="18" t="s">
        <v>30</v>
      </c>
      <c r="C5200" s="18" t="s">
        <v>34</v>
      </c>
      <c r="D5200" s="18" t="s">
        <v>35</v>
      </c>
      <c r="E5200" s="27">
        <v>42564.29881944445</v>
      </c>
      <c r="F5200" s="19">
        <f>IFERROR(__xludf.DUMMYFUNCTION("IFERROR(TO_DATE(E5200), """")"),42564.29881944445)</f>
        <v>42564.29882</v>
      </c>
      <c r="G5200" s="20">
        <f t="shared" si="1"/>
        <v>7</v>
      </c>
      <c r="H5200" s="18" t="s">
        <v>34</v>
      </c>
      <c r="I5200" s="19" t="str">
        <f>IFERROR(__xludf.DUMMYFUNCTION("IFERROR(TO_DATE(H5200), """")"),"NA")</f>
        <v>NA</v>
      </c>
      <c r="J5200" s="19" t="s">
        <v>11</v>
      </c>
      <c r="K5200" s="22">
        <f t="shared" si="2"/>
        <v>0</v>
      </c>
    </row>
    <row r="5201">
      <c r="A5201" s="18">
        <v>3003.0</v>
      </c>
      <c r="B5201" s="18" t="s">
        <v>32</v>
      </c>
      <c r="C5201" s="18" t="s">
        <v>34</v>
      </c>
      <c r="D5201" s="18" t="s">
        <v>35</v>
      </c>
      <c r="E5201" s="27">
        <v>42564.301145833335</v>
      </c>
      <c r="F5201" s="19">
        <f>IFERROR(__xludf.DUMMYFUNCTION("IFERROR(TO_DATE(E5201), """")"),42564.301145833335)</f>
        <v>42564.30115</v>
      </c>
      <c r="G5201" s="20">
        <f t="shared" si="1"/>
        <v>7</v>
      </c>
      <c r="H5201" s="18" t="s">
        <v>34</v>
      </c>
      <c r="I5201" s="19" t="str">
        <f>IFERROR(__xludf.DUMMYFUNCTION("IFERROR(TO_DATE(H5201), """")"),"NA")</f>
        <v>NA</v>
      </c>
      <c r="J5201" s="19" t="s">
        <v>11</v>
      </c>
      <c r="K5201" s="22">
        <f t="shared" si="2"/>
        <v>0</v>
      </c>
    </row>
    <row r="5202">
      <c r="A5202" s="18">
        <v>3000.0</v>
      </c>
      <c r="B5202" s="18" t="s">
        <v>32</v>
      </c>
      <c r="C5202" s="18" t="s">
        <v>34</v>
      </c>
      <c r="D5202" s="18" t="s">
        <v>35</v>
      </c>
      <c r="E5202" s="27">
        <v>42564.30320601852</v>
      </c>
      <c r="F5202" s="19">
        <f>IFERROR(__xludf.DUMMYFUNCTION("IFERROR(TO_DATE(E5202), """")"),42564.30320601852)</f>
        <v>42564.30321</v>
      </c>
      <c r="G5202" s="20">
        <f t="shared" si="1"/>
        <v>7</v>
      </c>
      <c r="H5202" s="18" t="s">
        <v>34</v>
      </c>
      <c r="I5202" s="19" t="str">
        <f>IFERROR(__xludf.DUMMYFUNCTION("IFERROR(TO_DATE(H5202), """")"),"NA")</f>
        <v>NA</v>
      </c>
      <c r="J5202" s="19" t="s">
        <v>11</v>
      </c>
      <c r="K5202" s="22">
        <f t="shared" si="2"/>
        <v>0</v>
      </c>
    </row>
    <row r="5203">
      <c r="A5203" s="18">
        <v>3007.0</v>
      </c>
      <c r="B5203" s="18" t="s">
        <v>32</v>
      </c>
      <c r="C5203" s="18" t="s">
        <v>34</v>
      </c>
      <c r="D5203" s="18" t="s">
        <v>35</v>
      </c>
      <c r="E5203" s="27">
        <v>42564.30642361111</v>
      </c>
      <c r="F5203" s="19">
        <f>IFERROR(__xludf.DUMMYFUNCTION("IFERROR(TO_DATE(E5203), """")"),42564.30642361111)</f>
        <v>42564.30642</v>
      </c>
      <c r="G5203" s="20">
        <f t="shared" si="1"/>
        <v>7</v>
      </c>
      <c r="H5203" s="18" t="s">
        <v>34</v>
      </c>
      <c r="I5203" s="19" t="str">
        <f>IFERROR(__xludf.DUMMYFUNCTION("IFERROR(TO_DATE(H5203), """")"),"NA")</f>
        <v>NA</v>
      </c>
      <c r="J5203" s="19" t="s">
        <v>11</v>
      </c>
      <c r="K5203" s="22">
        <f t="shared" si="2"/>
        <v>0</v>
      </c>
    </row>
    <row r="5204">
      <c r="A5204" s="18">
        <v>3002.0</v>
      </c>
      <c r="B5204" s="18" t="s">
        <v>32</v>
      </c>
      <c r="C5204" s="18" t="s">
        <v>34</v>
      </c>
      <c r="D5204" s="18" t="s">
        <v>35</v>
      </c>
      <c r="E5204" s="27">
        <v>42564.30677083333</v>
      </c>
      <c r="F5204" s="19">
        <f>IFERROR(__xludf.DUMMYFUNCTION("IFERROR(TO_DATE(E5204), """")"),42564.30677083333)</f>
        <v>42564.30677</v>
      </c>
      <c r="G5204" s="20">
        <f t="shared" si="1"/>
        <v>7</v>
      </c>
      <c r="H5204" s="18" t="s">
        <v>34</v>
      </c>
      <c r="I5204" s="19" t="str">
        <f>IFERROR(__xludf.DUMMYFUNCTION("IFERROR(TO_DATE(H5204), """")"),"NA")</f>
        <v>NA</v>
      </c>
      <c r="J5204" s="19" t="s">
        <v>11</v>
      </c>
      <c r="K5204" s="22">
        <f t="shared" si="2"/>
        <v>0</v>
      </c>
    </row>
    <row r="5205">
      <c r="A5205" s="18">
        <v>3011.0</v>
      </c>
      <c r="B5205" s="18" t="s">
        <v>32</v>
      </c>
      <c r="C5205" s="18" t="s">
        <v>34</v>
      </c>
      <c r="D5205" s="18" t="s">
        <v>35</v>
      </c>
      <c r="E5205" s="27">
        <v>42564.30732638889</v>
      </c>
      <c r="F5205" s="19">
        <f>IFERROR(__xludf.DUMMYFUNCTION("IFERROR(TO_DATE(E5205), """")"),42564.30732638889)</f>
        <v>42564.30733</v>
      </c>
      <c r="G5205" s="20">
        <f t="shared" si="1"/>
        <v>7</v>
      </c>
      <c r="H5205" s="18" t="s">
        <v>34</v>
      </c>
      <c r="I5205" s="19" t="str">
        <f>IFERROR(__xludf.DUMMYFUNCTION("IFERROR(TO_DATE(H5205), """")"),"NA")</f>
        <v>NA</v>
      </c>
      <c r="J5205" s="19" t="s">
        <v>11</v>
      </c>
      <c r="K5205" s="22">
        <f t="shared" si="2"/>
        <v>0</v>
      </c>
    </row>
    <row r="5206">
      <c r="A5206" s="18">
        <v>3029.0</v>
      </c>
      <c r="B5206" s="18" t="s">
        <v>32</v>
      </c>
      <c r="C5206" s="18" t="s">
        <v>34</v>
      </c>
      <c r="D5206" s="18" t="s">
        <v>35</v>
      </c>
      <c r="E5206" s="27">
        <v>42564.3169212963</v>
      </c>
      <c r="F5206" s="19">
        <f>IFERROR(__xludf.DUMMYFUNCTION("IFERROR(TO_DATE(E5206), """")"),42564.3169212963)</f>
        <v>42564.31692</v>
      </c>
      <c r="G5206" s="20">
        <f t="shared" si="1"/>
        <v>7</v>
      </c>
      <c r="H5206" s="18" t="s">
        <v>34</v>
      </c>
      <c r="I5206" s="19" t="str">
        <f>IFERROR(__xludf.DUMMYFUNCTION("IFERROR(TO_DATE(H5206), """")"),"NA")</f>
        <v>NA</v>
      </c>
      <c r="J5206" s="19" t="s">
        <v>11</v>
      </c>
      <c r="K5206" s="22">
        <f t="shared" si="2"/>
        <v>0</v>
      </c>
    </row>
    <row r="5207">
      <c r="A5207" s="18">
        <v>3047.0</v>
      </c>
      <c r="B5207" s="18" t="s">
        <v>32</v>
      </c>
      <c r="C5207" s="18" t="s">
        <v>34</v>
      </c>
      <c r="D5207" s="18" t="s">
        <v>35</v>
      </c>
      <c r="E5207" s="27">
        <v>42564.32129629629</v>
      </c>
      <c r="F5207" s="19">
        <f>IFERROR(__xludf.DUMMYFUNCTION("IFERROR(TO_DATE(E5207), """")"),42564.32129629629)</f>
        <v>42564.3213</v>
      </c>
      <c r="G5207" s="20">
        <f t="shared" si="1"/>
        <v>7</v>
      </c>
      <c r="H5207" s="18" t="s">
        <v>34</v>
      </c>
      <c r="I5207" s="19" t="str">
        <f>IFERROR(__xludf.DUMMYFUNCTION("IFERROR(TO_DATE(H5207), """")"),"NA")</f>
        <v>NA</v>
      </c>
      <c r="J5207" s="19" t="s">
        <v>11</v>
      </c>
      <c r="K5207" s="22">
        <f t="shared" si="2"/>
        <v>0</v>
      </c>
    </row>
    <row r="5208">
      <c r="A5208" s="18">
        <v>3046.0</v>
      </c>
      <c r="B5208" s="18" t="s">
        <v>32</v>
      </c>
      <c r="C5208" s="18" t="s">
        <v>34</v>
      </c>
      <c r="D5208" s="18" t="s">
        <v>35</v>
      </c>
      <c r="E5208" s="27">
        <v>42564.32194444445</v>
      </c>
      <c r="F5208" s="19">
        <f>IFERROR(__xludf.DUMMYFUNCTION("IFERROR(TO_DATE(E5208), """")"),42564.32194444445)</f>
        <v>42564.32194</v>
      </c>
      <c r="G5208" s="20">
        <f t="shared" si="1"/>
        <v>7</v>
      </c>
      <c r="H5208" s="18" t="s">
        <v>34</v>
      </c>
      <c r="I5208" s="19" t="str">
        <f>IFERROR(__xludf.DUMMYFUNCTION("IFERROR(TO_DATE(H5208), """")"),"NA")</f>
        <v>NA</v>
      </c>
      <c r="J5208" s="19" t="s">
        <v>11</v>
      </c>
      <c r="K5208" s="22">
        <f t="shared" si="2"/>
        <v>0</v>
      </c>
    </row>
    <row r="5209">
      <c r="A5209" s="18">
        <v>3056.0</v>
      </c>
      <c r="B5209" s="18" t="s">
        <v>32</v>
      </c>
      <c r="C5209" s="18" t="s">
        <v>34</v>
      </c>
      <c r="D5209" s="18" t="s">
        <v>35</v>
      </c>
      <c r="E5209" s="27">
        <v>42564.32530092593</v>
      </c>
      <c r="F5209" s="19">
        <f>IFERROR(__xludf.DUMMYFUNCTION("IFERROR(TO_DATE(E5209), """")"),42564.32530092593)</f>
        <v>42564.3253</v>
      </c>
      <c r="G5209" s="20">
        <f t="shared" si="1"/>
        <v>7</v>
      </c>
      <c r="H5209" s="18" t="s">
        <v>34</v>
      </c>
      <c r="I5209" s="19" t="str">
        <f>IFERROR(__xludf.DUMMYFUNCTION("IFERROR(TO_DATE(H5209), """")"),"NA")</f>
        <v>NA</v>
      </c>
      <c r="J5209" s="19" t="s">
        <v>11</v>
      </c>
      <c r="K5209" s="22">
        <f t="shared" si="2"/>
        <v>0</v>
      </c>
    </row>
    <row r="5210">
      <c r="A5210" s="18">
        <v>3058.0</v>
      </c>
      <c r="B5210" s="18" t="s">
        <v>32</v>
      </c>
      <c r="C5210" s="18" t="s">
        <v>34</v>
      </c>
      <c r="D5210" s="18" t="s">
        <v>35</v>
      </c>
      <c r="E5210" s="27">
        <v>42564.33025462963</v>
      </c>
      <c r="F5210" s="19">
        <f>IFERROR(__xludf.DUMMYFUNCTION("IFERROR(TO_DATE(E5210), """")"),42564.33025462963)</f>
        <v>42564.33025</v>
      </c>
      <c r="G5210" s="20">
        <f t="shared" si="1"/>
        <v>7</v>
      </c>
      <c r="H5210" s="18" t="s">
        <v>34</v>
      </c>
      <c r="I5210" s="19" t="str">
        <f>IFERROR(__xludf.DUMMYFUNCTION("IFERROR(TO_DATE(H5210), """")"),"NA")</f>
        <v>NA</v>
      </c>
      <c r="J5210" s="19" t="s">
        <v>11</v>
      </c>
      <c r="K5210" s="22">
        <f t="shared" si="2"/>
        <v>0</v>
      </c>
    </row>
    <row r="5211">
      <c r="A5211" s="18">
        <v>3071.0</v>
      </c>
      <c r="B5211" s="18" t="s">
        <v>32</v>
      </c>
      <c r="C5211" s="18" t="s">
        <v>34</v>
      </c>
      <c r="D5211" s="18" t="s">
        <v>35</v>
      </c>
      <c r="E5211" s="27">
        <v>42564.338229166664</v>
      </c>
      <c r="F5211" s="19">
        <f>IFERROR(__xludf.DUMMYFUNCTION("IFERROR(TO_DATE(E5211), """")"),42564.338229166664)</f>
        <v>42564.33823</v>
      </c>
      <c r="G5211" s="20">
        <f t="shared" si="1"/>
        <v>8</v>
      </c>
      <c r="H5211" s="18" t="s">
        <v>34</v>
      </c>
      <c r="I5211" s="19" t="str">
        <f>IFERROR(__xludf.DUMMYFUNCTION("IFERROR(TO_DATE(H5211), """")"),"NA")</f>
        <v>NA</v>
      </c>
      <c r="J5211" s="19" t="s">
        <v>14</v>
      </c>
      <c r="K5211" s="22">
        <f t="shared" si="2"/>
        <v>0</v>
      </c>
    </row>
    <row r="5212">
      <c r="A5212" s="18">
        <v>3077.0</v>
      </c>
      <c r="B5212" s="18" t="s">
        <v>32</v>
      </c>
      <c r="C5212" s="18" t="s">
        <v>34</v>
      </c>
      <c r="D5212" s="18" t="s">
        <v>35</v>
      </c>
      <c r="E5212" s="27">
        <v>42564.34168981481</v>
      </c>
      <c r="F5212" s="19">
        <f>IFERROR(__xludf.DUMMYFUNCTION("IFERROR(TO_DATE(E5212), """")"),42564.34168981481)</f>
        <v>42564.34169</v>
      </c>
      <c r="G5212" s="20">
        <f t="shared" si="1"/>
        <v>8</v>
      </c>
      <c r="H5212" s="18" t="s">
        <v>34</v>
      </c>
      <c r="I5212" s="19" t="str">
        <f>IFERROR(__xludf.DUMMYFUNCTION("IFERROR(TO_DATE(H5212), """")"),"NA")</f>
        <v>NA</v>
      </c>
      <c r="J5212" s="19" t="s">
        <v>14</v>
      </c>
      <c r="K5212" s="22">
        <f t="shared" si="2"/>
        <v>0</v>
      </c>
    </row>
    <row r="5213">
      <c r="A5213" s="18">
        <v>3078.0</v>
      </c>
      <c r="B5213" s="18" t="s">
        <v>32</v>
      </c>
      <c r="C5213" s="18" t="s">
        <v>34</v>
      </c>
      <c r="D5213" s="18" t="s">
        <v>35</v>
      </c>
      <c r="E5213" s="27">
        <v>42564.34340277778</v>
      </c>
      <c r="F5213" s="19">
        <f>IFERROR(__xludf.DUMMYFUNCTION("IFERROR(TO_DATE(E5213), """")"),42564.34340277778)</f>
        <v>42564.3434</v>
      </c>
      <c r="G5213" s="20">
        <f t="shared" si="1"/>
        <v>8</v>
      </c>
      <c r="H5213" s="18" t="s">
        <v>34</v>
      </c>
      <c r="I5213" s="19" t="str">
        <f>IFERROR(__xludf.DUMMYFUNCTION("IFERROR(TO_DATE(H5213), """")"),"NA")</f>
        <v>NA</v>
      </c>
      <c r="J5213" s="19" t="s">
        <v>14</v>
      </c>
      <c r="K5213" s="22">
        <f t="shared" si="2"/>
        <v>0</v>
      </c>
    </row>
    <row r="5214">
      <c r="A5214" s="18">
        <v>3095.0</v>
      </c>
      <c r="B5214" s="18" t="s">
        <v>32</v>
      </c>
      <c r="C5214" s="18" t="s">
        <v>34</v>
      </c>
      <c r="D5214" s="18" t="s">
        <v>35</v>
      </c>
      <c r="E5214" s="27">
        <v>42564.34384259259</v>
      </c>
      <c r="F5214" s="19">
        <f>IFERROR(__xludf.DUMMYFUNCTION("IFERROR(TO_DATE(E5214), """")"),42564.34384259259)</f>
        <v>42564.34384</v>
      </c>
      <c r="G5214" s="20">
        <f t="shared" si="1"/>
        <v>8</v>
      </c>
      <c r="H5214" s="18" t="s">
        <v>34</v>
      </c>
      <c r="I5214" s="19" t="str">
        <f>IFERROR(__xludf.DUMMYFUNCTION("IFERROR(TO_DATE(H5214), """")"),"NA")</f>
        <v>NA</v>
      </c>
      <c r="J5214" s="19" t="s">
        <v>14</v>
      </c>
      <c r="K5214" s="22">
        <f t="shared" si="2"/>
        <v>0</v>
      </c>
    </row>
    <row r="5215">
      <c r="A5215" s="18">
        <v>3091.0</v>
      </c>
      <c r="B5215" s="18" t="s">
        <v>32</v>
      </c>
      <c r="C5215" s="18" t="s">
        <v>34</v>
      </c>
      <c r="D5215" s="18" t="s">
        <v>35</v>
      </c>
      <c r="E5215" s="27">
        <v>42564.344502314816</v>
      </c>
      <c r="F5215" s="19">
        <f>IFERROR(__xludf.DUMMYFUNCTION("IFERROR(TO_DATE(E5215), """")"),42564.344502314816)</f>
        <v>42564.3445</v>
      </c>
      <c r="G5215" s="20">
        <f t="shared" si="1"/>
        <v>8</v>
      </c>
      <c r="H5215" s="18" t="s">
        <v>34</v>
      </c>
      <c r="I5215" s="19" t="str">
        <f>IFERROR(__xludf.DUMMYFUNCTION("IFERROR(TO_DATE(H5215), """")"),"NA")</f>
        <v>NA</v>
      </c>
      <c r="J5215" s="19" t="s">
        <v>14</v>
      </c>
      <c r="K5215" s="22">
        <f t="shared" si="2"/>
        <v>0</v>
      </c>
    </row>
    <row r="5216">
      <c r="A5216" s="18">
        <v>3087.0</v>
      </c>
      <c r="B5216" s="18" t="s">
        <v>32</v>
      </c>
      <c r="C5216" s="18" t="s">
        <v>34</v>
      </c>
      <c r="D5216" s="18" t="s">
        <v>35</v>
      </c>
      <c r="E5216" s="27">
        <v>42564.34652777778</v>
      </c>
      <c r="F5216" s="19">
        <f>IFERROR(__xludf.DUMMYFUNCTION("IFERROR(TO_DATE(E5216), """")"),42564.34652777778)</f>
        <v>42564.34653</v>
      </c>
      <c r="G5216" s="20">
        <f t="shared" si="1"/>
        <v>8</v>
      </c>
      <c r="H5216" s="18" t="s">
        <v>34</v>
      </c>
      <c r="I5216" s="19" t="str">
        <f>IFERROR(__xludf.DUMMYFUNCTION("IFERROR(TO_DATE(H5216), """")"),"NA")</f>
        <v>NA</v>
      </c>
      <c r="J5216" s="19" t="s">
        <v>14</v>
      </c>
      <c r="K5216" s="22">
        <f t="shared" si="2"/>
        <v>0</v>
      </c>
    </row>
    <row r="5217">
      <c r="A5217" s="18">
        <v>3093.0</v>
      </c>
      <c r="B5217" s="18" t="s">
        <v>32</v>
      </c>
      <c r="C5217" s="18" t="s">
        <v>34</v>
      </c>
      <c r="D5217" s="18" t="s">
        <v>35</v>
      </c>
      <c r="E5217" s="27">
        <v>42564.3496875</v>
      </c>
      <c r="F5217" s="19">
        <f>IFERROR(__xludf.DUMMYFUNCTION("IFERROR(TO_DATE(E5217), """")"),42564.3496875)</f>
        <v>42564.34969</v>
      </c>
      <c r="G5217" s="20">
        <f t="shared" si="1"/>
        <v>8</v>
      </c>
      <c r="H5217" s="18" t="s">
        <v>34</v>
      </c>
      <c r="I5217" s="19" t="str">
        <f>IFERROR(__xludf.DUMMYFUNCTION("IFERROR(TO_DATE(H5217), """")"),"NA")</f>
        <v>NA</v>
      </c>
      <c r="J5217" s="19" t="s">
        <v>14</v>
      </c>
      <c r="K5217" s="22">
        <f t="shared" si="2"/>
        <v>0</v>
      </c>
    </row>
    <row r="5218">
      <c r="A5218" s="18">
        <v>3103.0</v>
      </c>
      <c r="B5218" s="18" t="s">
        <v>32</v>
      </c>
      <c r="C5218" s="18" t="s">
        <v>34</v>
      </c>
      <c r="D5218" s="18" t="s">
        <v>35</v>
      </c>
      <c r="E5218" s="27">
        <v>42564.349907407406</v>
      </c>
      <c r="F5218" s="19">
        <f>IFERROR(__xludf.DUMMYFUNCTION("IFERROR(TO_DATE(E5218), """")"),42564.349907407406)</f>
        <v>42564.34991</v>
      </c>
      <c r="G5218" s="20">
        <f t="shared" si="1"/>
        <v>8</v>
      </c>
      <c r="H5218" s="18" t="s">
        <v>34</v>
      </c>
      <c r="I5218" s="19" t="str">
        <f>IFERROR(__xludf.DUMMYFUNCTION("IFERROR(TO_DATE(H5218), """")"),"NA")</f>
        <v>NA</v>
      </c>
      <c r="J5218" s="19" t="s">
        <v>14</v>
      </c>
      <c r="K5218" s="22">
        <f t="shared" si="2"/>
        <v>0</v>
      </c>
    </row>
    <row r="5219">
      <c r="A5219" s="18">
        <v>3102.0</v>
      </c>
      <c r="B5219" s="18" t="s">
        <v>32</v>
      </c>
      <c r="C5219" s="18" t="s">
        <v>34</v>
      </c>
      <c r="D5219" s="18" t="s">
        <v>35</v>
      </c>
      <c r="E5219" s="27">
        <v>42564.35224537037</v>
      </c>
      <c r="F5219" s="19">
        <f>IFERROR(__xludf.DUMMYFUNCTION("IFERROR(TO_DATE(E5219), """")"),42564.35224537037)</f>
        <v>42564.35225</v>
      </c>
      <c r="G5219" s="20">
        <f t="shared" si="1"/>
        <v>8</v>
      </c>
      <c r="H5219" s="18" t="s">
        <v>34</v>
      </c>
      <c r="I5219" s="19" t="str">
        <f>IFERROR(__xludf.DUMMYFUNCTION("IFERROR(TO_DATE(H5219), """")"),"NA")</f>
        <v>NA</v>
      </c>
      <c r="J5219" s="19" t="s">
        <v>14</v>
      </c>
      <c r="K5219" s="22">
        <f t="shared" si="2"/>
        <v>0</v>
      </c>
    </row>
    <row r="5220">
      <c r="A5220" s="18">
        <v>3106.0</v>
      </c>
      <c r="B5220" s="18" t="s">
        <v>32</v>
      </c>
      <c r="C5220" s="18" t="s">
        <v>34</v>
      </c>
      <c r="D5220" s="18" t="s">
        <v>35</v>
      </c>
      <c r="E5220" s="27">
        <v>42564.35255787037</v>
      </c>
      <c r="F5220" s="19">
        <f>IFERROR(__xludf.DUMMYFUNCTION("IFERROR(TO_DATE(E5220), """")"),42564.35255787037)</f>
        <v>42564.35256</v>
      </c>
      <c r="G5220" s="20">
        <f t="shared" si="1"/>
        <v>8</v>
      </c>
      <c r="H5220" s="18" t="s">
        <v>34</v>
      </c>
      <c r="I5220" s="19" t="str">
        <f>IFERROR(__xludf.DUMMYFUNCTION("IFERROR(TO_DATE(H5220), """")"),"NA")</f>
        <v>NA</v>
      </c>
      <c r="J5220" s="19" t="s">
        <v>14</v>
      </c>
      <c r="K5220" s="22">
        <f t="shared" si="2"/>
        <v>0</v>
      </c>
    </row>
    <row r="5221">
      <c r="A5221" s="18">
        <v>3105.0</v>
      </c>
      <c r="B5221" s="18" t="s">
        <v>32</v>
      </c>
      <c r="C5221" s="18" t="s">
        <v>34</v>
      </c>
      <c r="D5221" s="18" t="s">
        <v>35</v>
      </c>
      <c r="E5221" s="27">
        <v>42564.3537037037</v>
      </c>
      <c r="F5221" s="19">
        <f>IFERROR(__xludf.DUMMYFUNCTION("IFERROR(TO_DATE(E5221), """")"),42564.3537037037)</f>
        <v>42564.3537</v>
      </c>
      <c r="G5221" s="20">
        <f t="shared" si="1"/>
        <v>8</v>
      </c>
      <c r="H5221" s="18" t="s">
        <v>34</v>
      </c>
      <c r="I5221" s="19" t="str">
        <f>IFERROR(__xludf.DUMMYFUNCTION("IFERROR(TO_DATE(H5221), """")"),"NA")</f>
        <v>NA</v>
      </c>
      <c r="J5221" s="19" t="s">
        <v>14</v>
      </c>
      <c r="K5221" s="22">
        <f t="shared" si="2"/>
        <v>0</v>
      </c>
    </row>
    <row r="5222">
      <c r="A5222" s="18">
        <v>3128.0</v>
      </c>
      <c r="B5222" s="18" t="s">
        <v>32</v>
      </c>
      <c r="C5222" s="18" t="s">
        <v>34</v>
      </c>
      <c r="D5222" s="18" t="s">
        <v>35</v>
      </c>
      <c r="E5222" s="27">
        <v>42564.356261574074</v>
      </c>
      <c r="F5222" s="19">
        <f>IFERROR(__xludf.DUMMYFUNCTION("IFERROR(TO_DATE(E5222), """")"),42564.356261574074)</f>
        <v>42564.35626</v>
      </c>
      <c r="G5222" s="20">
        <f t="shared" si="1"/>
        <v>8</v>
      </c>
      <c r="H5222" s="18" t="s">
        <v>34</v>
      </c>
      <c r="I5222" s="19" t="str">
        <f>IFERROR(__xludf.DUMMYFUNCTION("IFERROR(TO_DATE(H5222), """")"),"NA")</f>
        <v>NA</v>
      </c>
      <c r="J5222" s="19" t="s">
        <v>14</v>
      </c>
      <c r="K5222" s="22">
        <f t="shared" si="2"/>
        <v>0</v>
      </c>
    </row>
    <row r="5223">
      <c r="A5223" s="18">
        <v>3116.0</v>
      </c>
      <c r="B5223" s="18" t="s">
        <v>32</v>
      </c>
      <c r="C5223" s="18" t="s">
        <v>34</v>
      </c>
      <c r="D5223" s="18" t="s">
        <v>35</v>
      </c>
      <c r="E5223" s="27">
        <v>42564.357303240744</v>
      </c>
      <c r="F5223" s="19">
        <f>IFERROR(__xludf.DUMMYFUNCTION("IFERROR(TO_DATE(E5223), """")"),42564.357303240744)</f>
        <v>42564.3573</v>
      </c>
      <c r="G5223" s="20">
        <f t="shared" si="1"/>
        <v>8</v>
      </c>
      <c r="H5223" s="18" t="s">
        <v>34</v>
      </c>
      <c r="I5223" s="19" t="str">
        <f>IFERROR(__xludf.DUMMYFUNCTION("IFERROR(TO_DATE(H5223), """")"),"NA")</f>
        <v>NA</v>
      </c>
      <c r="J5223" s="19" t="s">
        <v>14</v>
      </c>
      <c r="K5223" s="22">
        <f t="shared" si="2"/>
        <v>0</v>
      </c>
    </row>
    <row r="5224">
      <c r="A5224" s="18">
        <v>3115.0</v>
      </c>
      <c r="B5224" s="18" t="s">
        <v>32</v>
      </c>
      <c r="C5224" s="18" t="s">
        <v>34</v>
      </c>
      <c r="D5224" s="18" t="s">
        <v>35</v>
      </c>
      <c r="E5224" s="27">
        <v>42564.35951388889</v>
      </c>
      <c r="F5224" s="19">
        <f>IFERROR(__xludf.DUMMYFUNCTION("IFERROR(TO_DATE(E5224), """")"),42564.35951388889)</f>
        <v>42564.35951</v>
      </c>
      <c r="G5224" s="20">
        <f t="shared" si="1"/>
        <v>8</v>
      </c>
      <c r="H5224" s="18" t="s">
        <v>34</v>
      </c>
      <c r="I5224" s="19" t="str">
        <f>IFERROR(__xludf.DUMMYFUNCTION("IFERROR(TO_DATE(H5224), """")"),"NA")</f>
        <v>NA</v>
      </c>
      <c r="J5224" s="19" t="s">
        <v>14</v>
      </c>
      <c r="K5224" s="22">
        <f t="shared" si="2"/>
        <v>0</v>
      </c>
    </row>
    <row r="5225">
      <c r="A5225" s="18">
        <v>3121.0</v>
      </c>
      <c r="B5225" s="18" t="s">
        <v>32</v>
      </c>
      <c r="C5225" s="18" t="s">
        <v>34</v>
      </c>
      <c r="D5225" s="18" t="s">
        <v>35</v>
      </c>
      <c r="E5225" s="27">
        <v>42564.36100694445</v>
      </c>
      <c r="F5225" s="19">
        <f>IFERROR(__xludf.DUMMYFUNCTION("IFERROR(TO_DATE(E5225), """")"),42564.36100694445)</f>
        <v>42564.36101</v>
      </c>
      <c r="G5225" s="20">
        <f t="shared" si="1"/>
        <v>8</v>
      </c>
      <c r="H5225" s="18" t="s">
        <v>34</v>
      </c>
      <c r="I5225" s="19" t="str">
        <f>IFERROR(__xludf.DUMMYFUNCTION("IFERROR(TO_DATE(H5225), """")"),"NA")</f>
        <v>NA</v>
      </c>
      <c r="J5225" s="19" t="s">
        <v>14</v>
      </c>
      <c r="K5225" s="22">
        <f t="shared" si="2"/>
        <v>0</v>
      </c>
    </row>
    <row r="5226">
      <c r="A5226" s="18">
        <v>3124.0</v>
      </c>
      <c r="B5226" s="18" t="s">
        <v>32</v>
      </c>
      <c r="C5226" s="18" t="s">
        <v>34</v>
      </c>
      <c r="D5226" s="18" t="s">
        <v>35</v>
      </c>
      <c r="E5226" s="27">
        <v>42564.3615625</v>
      </c>
      <c r="F5226" s="19">
        <f>IFERROR(__xludf.DUMMYFUNCTION("IFERROR(TO_DATE(E5226), """")"),42564.3615625)</f>
        <v>42564.36156</v>
      </c>
      <c r="G5226" s="20">
        <f t="shared" si="1"/>
        <v>8</v>
      </c>
      <c r="H5226" s="18" t="s">
        <v>34</v>
      </c>
      <c r="I5226" s="19" t="str">
        <f>IFERROR(__xludf.DUMMYFUNCTION("IFERROR(TO_DATE(H5226), """")"),"NA")</f>
        <v>NA</v>
      </c>
      <c r="J5226" s="19" t="s">
        <v>14</v>
      </c>
      <c r="K5226" s="22">
        <f t="shared" si="2"/>
        <v>0</v>
      </c>
    </row>
    <row r="5227">
      <c r="A5227" s="18">
        <v>3127.0</v>
      </c>
      <c r="B5227" s="18" t="s">
        <v>32</v>
      </c>
      <c r="C5227" s="18" t="s">
        <v>34</v>
      </c>
      <c r="D5227" s="18" t="s">
        <v>35</v>
      </c>
      <c r="E5227" s="27">
        <v>42564.36185185185</v>
      </c>
      <c r="F5227" s="19">
        <f>IFERROR(__xludf.DUMMYFUNCTION("IFERROR(TO_DATE(E5227), """")"),42564.36185185185)</f>
        <v>42564.36185</v>
      </c>
      <c r="G5227" s="20">
        <f t="shared" si="1"/>
        <v>8</v>
      </c>
      <c r="H5227" s="18" t="s">
        <v>34</v>
      </c>
      <c r="I5227" s="19" t="str">
        <f>IFERROR(__xludf.DUMMYFUNCTION("IFERROR(TO_DATE(H5227), """")"),"NA")</f>
        <v>NA</v>
      </c>
      <c r="J5227" s="19" t="s">
        <v>14</v>
      </c>
      <c r="K5227" s="22">
        <f t="shared" si="2"/>
        <v>0</v>
      </c>
    </row>
    <row r="5228">
      <c r="A5228" s="18">
        <v>3133.0</v>
      </c>
      <c r="B5228" s="18" t="s">
        <v>32</v>
      </c>
      <c r="C5228" s="18" t="s">
        <v>34</v>
      </c>
      <c r="D5228" s="18" t="s">
        <v>35</v>
      </c>
      <c r="E5228" s="27">
        <v>42564.36284722222</v>
      </c>
      <c r="F5228" s="19">
        <f>IFERROR(__xludf.DUMMYFUNCTION("IFERROR(TO_DATE(E5228), """")"),42564.36284722222)</f>
        <v>42564.36285</v>
      </c>
      <c r="G5228" s="20">
        <f t="shared" si="1"/>
        <v>8</v>
      </c>
      <c r="H5228" s="18" t="s">
        <v>34</v>
      </c>
      <c r="I5228" s="19" t="str">
        <f>IFERROR(__xludf.DUMMYFUNCTION("IFERROR(TO_DATE(H5228), """")"),"NA")</f>
        <v>NA</v>
      </c>
      <c r="J5228" s="19" t="s">
        <v>14</v>
      </c>
      <c r="K5228" s="22">
        <f t="shared" si="2"/>
        <v>0</v>
      </c>
    </row>
    <row r="5229">
      <c r="A5229" s="18">
        <v>3136.0</v>
      </c>
      <c r="B5229" s="18" t="s">
        <v>32</v>
      </c>
      <c r="C5229" s="18" t="s">
        <v>34</v>
      </c>
      <c r="D5229" s="18" t="s">
        <v>35</v>
      </c>
      <c r="E5229" s="27">
        <v>42564.36907407407</v>
      </c>
      <c r="F5229" s="19">
        <f>IFERROR(__xludf.DUMMYFUNCTION("IFERROR(TO_DATE(E5229), """")"),42564.36907407407)</f>
        <v>42564.36907</v>
      </c>
      <c r="G5229" s="20">
        <f t="shared" si="1"/>
        <v>8</v>
      </c>
      <c r="H5229" s="18" t="s">
        <v>34</v>
      </c>
      <c r="I5229" s="19" t="str">
        <f>IFERROR(__xludf.DUMMYFUNCTION("IFERROR(TO_DATE(H5229), """")"),"NA")</f>
        <v>NA</v>
      </c>
      <c r="J5229" s="19" t="s">
        <v>14</v>
      </c>
      <c r="K5229" s="22">
        <f t="shared" si="2"/>
        <v>0</v>
      </c>
    </row>
    <row r="5230">
      <c r="A5230" s="18">
        <v>3164.0</v>
      </c>
      <c r="B5230" s="18" t="s">
        <v>32</v>
      </c>
      <c r="C5230" s="18" t="s">
        <v>34</v>
      </c>
      <c r="D5230" s="18" t="s">
        <v>35</v>
      </c>
      <c r="E5230" s="27">
        <v>42564.378796296296</v>
      </c>
      <c r="F5230" s="19">
        <f>IFERROR(__xludf.DUMMYFUNCTION("IFERROR(TO_DATE(E5230), """")"),42564.378796296296)</f>
        <v>42564.3788</v>
      </c>
      <c r="G5230" s="20">
        <f t="shared" si="1"/>
        <v>9</v>
      </c>
      <c r="H5230" s="18" t="s">
        <v>34</v>
      </c>
      <c r="I5230" s="19" t="str">
        <f>IFERROR(__xludf.DUMMYFUNCTION("IFERROR(TO_DATE(H5230), """")"),"NA")</f>
        <v>NA</v>
      </c>
      <c r="J5230" s="19" t="s">
        <v>14</v>
      </c>
      <c r="K5230" s="22">
        <f t="shared" si="2"/>
        <v>0</v>
      </c>
    </row>
    <row r="5231">
      <c r="A5231" s="18">
        <v>3165.0</v>
      </c>
      <c r="B5231" s="18" t="s">
        <v>32</v>
      </c>
      <c r="C5231" s="18" t="s">
        <v>34</v>
      </c>
      <c r="D5231" s="18" t="s">
        <v>35</v>
      </c>
      <c r="E5231" s="27">
        <v>42564.38148148148</v>
      </c>
      <c r="F5231" s="19">
        <f>IFERROR(__xludf.DUMMYFUNCTION("IFERROR(TO_DATE(E5231), """")"),42564.38148148148)</f>
        <v>42564.38148</v>
      </c>
      <c r="G5231" s="20">
        <f t="shared" si="1"/>
        <v>9</v>
      </c>
      <c r="H5231" s="18" t="s">
        <v>34</v>
      </c>
      <c r="I5231" s="19" t="str">
        <f>IFERROR(__xludf.DUMMYFUNCTION("IFERROR(TO_DATE(H5231), """")"),"NA")</f>
        <v>NA</v>
      </c>
      <c r="J5231" s="19" t="s">
        <v>14</v>
      </c>
      <c r="K5231" s="22">
        <f t="shared" si="2"/>
        <v>0</v>
      </c>
    </row>
    <row r="5232">
      <c r="A5232" s="18">
        <v>3167.0</v>
      </c>
      <c r="B5232" s="18" t="s">
        <v>32</v>
      </c>
      <c r="C5232" s="18" t="s">
        <v>34</v>
      </c>
      <c r="D5232" s="18" t="s">
        <v>35</v>
      </c>
      <c r="E5232" s="27">
        <v>42564.3821875</v>
      </c>
      <c r="F5232" s="19">
        <f>IFERROR(__xludf.DUMMYFUNCTION("IFERROR(TO_DATE(E5232), """")"),42564.3821875)</f>
        <v>42564.38219</v>
      </c>
      <c r="G5232" s="20">
        <f t="shared" si="1"/>
        <v>9</v>
      </c>
      <c r="H5232" s="18" t="s">
        <v>34</v>
      </c>
      <c r="I5232" s="19" t="str">
        <f>IFERROR(__xludf.DUMMYFUNCTION("IFERROR(TO_DATE(H5232), """")"),"NA")</f>
        <v>NA</v>
      </c>
      <c r="J5232" s="19" t="s">
        <v>14</v>
      </c>
      <c r="K5232" s="22">
        <f t="shared" si="2"/>
        <v>0</v>
      </c>
    </row>
    <row r="5233">
      <c r="A5233" s="18">
        <v>3178.0</v>
      </c>
      <c r="B5233" s="18" t="s">
        <v>32</v>
      </c>
      <c r="C5233" s="18" t="s">
        <v>34</v>
      </c>
      <c r="D5233" s="18" t="s">
        <v>35</v>
      </c>
      <c r="E5233" s="27">
        <v>42564.3890625</v>
      </c>
      <c r="F5233" s="19">
        <f>IFERROR(__xludf.DUMMYFUNCTION("IFERROR(TO_DATE(E5233), """")"),42564.3890625)</f>
        <v>42564.38906</v>
      </c>
      <c r="G5233" s="20">
        <f t="shared" si="1"/>
        <v>9</v>
      </c>
      <c r="H5233" s="18" t="s">
        <v>34</v>
      </c>
      <c r="I5233" s="19" t="str">
        <f>IFERROR(__xludf.DUMMYFUNCTION("IFERROR(TO_DATE(H5233), """")"),"NA")</f>
        <v>NA</v>
      </c>
      <c r="J5233" s="19" t="s">
        <v>14</v>
      </c>
      <c r="K5233" s="22">
        <f t="shared" si="2"/>
        <v>0</v>
      </c>
    </row>
    <row r="5234">
      <c r="A5234" s="18">
        <v>3195.0</v>
      </c>
      <c r="B5234" s="18" t="s">
        <v>32</v>
      </c>
      <c r="C5234" s="18" t="s">
        <v>34</v>
      </c>
      <c r="D5234" s="18" t="s">
        <v>35</v>
      </c>
      <c r="E5234" s="27">
        <v>42564.39915509259</v>
      </c>
      <c r="F5234" s="19">
        <f>IFERROR(__xludf.DUMMYFUNCTION("IFERROR(TO_DATE(E5234), """")"),42564.39915509259)</f>
        <v>42564.39916</v>
      </c>
      <c r="G5234" s="20">
        <f t="shared" si="1"/>
        <v>9</v>
      </c>
      <c r="H5234" s="18" t="s">
        <v>34</v>
      </c>
      <c r="I5234" s="19" t="str">
        <f>IFERROR(__xludf.DUMMYFUNCTION("IFERROR(TO_DATE(H5234), """")"),"NA")</f>
        <v>NA</v>
      </c>
      <c r="J5234" s="19" t="s">
        <v>14</v>
      </c>
      <c r="K5234" s="22">
        <f t="shared" si="2"/>
        <v>0</v>
      </c>
    </row>
    <row r="5235">
      <c r="A5235" s="18">
        <v>3204.0</v>
      </c>
      <c r="B5235" s="18" t="s">
        <v>32</v>
      </c>
      <c r="C5235" s="18" t="s">
        <v>34</v>
      </c>
      <c r="D5235" s="18" t="s">
        <v>35</v>
      </c>
      <c r="E5235" s="27">
        <v>42564.400868055556</v>
      </c>
      <c r="F5235" s="19">
        <f>IFERROR(__xludf.DUMMYFUNCTION("IFERROR(TO_DATE(E5235), """")"),42564.400868055556)</f>
        <v>42564.40087</v>
      </c>
      <c r="G5235" s="20">
        <f t="shared" si="1"/>
        <v>9</v>
      </c>
      <c r="H5235" s="18" t="s">
        <v>34</v>
      </c>
      <c r="I5235" s="19" t="str">
        <f>IFERROR(__xludf.DUMMYFUNCTION("IFERROR(TO_DATE(H5235), """")"),"NA")</f>
        <v>NA</v>
      </c>
      <c r="J5235" s="19" t="s">
        <v>14</v>
      </c>
      <c r="K5235" s="22">
        <f t="shared" si="2"/>
        <v>0</v>
      </c>
    </row>
    <row r="5236">
      <c r="A5236" s="18">
        <v>3199.0</v>
      </c>
      <c r="B5236" s="18" t="s">
        <v>32</v>
      </c>
      <c r="C5236" s="18" t="s">
        <v>34</v>
      </c>
      <c r="D5236" s="18" t="s">
        <v>35</v>
      </c>
      <c r="E5236" s="27">
        <v>42564.404131944444</v>
      </c>
      <c r="F5236" s="19">
        <f>IFERROR(__xludf.DUMMYFUNCTION("IFERROR(TO_DATE(E5236), """")"),42564.404131944444)</f>
        <v>42564.40413</v>
      </c>
      <c r="G5236" s="20">
        <f t="shared" si="1"/>
        <v>9</v>
      </c>
      <c r="H5236" s="18" t="s">
        <v>34</v>
      </c>
      <c r="I5236" s="19" t="str">
        <f>IFERROR(__xludf.DUMMYFUNCTION("IFERROR(TO_DATE(H5236), """")"),"NA")</f>
        <v>NA</v>
      </c>
      <c r="J5236" s="19" t="s">
        <v>14</v>
      </c>
      <c r="K5236" s="22">
        <f t="shared" si="2"/>
        <v>0</v>
      </c>
    </row>
    <row r="5237">
      <c r="A5237" s="18">
        <v>3219.0</v>
      </c>
      <c r="B5237" s="18" t="s">
        <v>32</v>
      </c>
      <c r="C5237" s="18" t="s">
        <v>34</v>
      </c>
      <c r="D5237" s="18" t="s">
        <v>35</v>
      </c>
      <c r="E5237" s="27">
        <v>42564.40638888889</v>
      </c>
      <c r="F5237" s="19">
        <f>IFERROR(__xludf.DUMMYFUNCTION("IFERROR(TO_DATE(E5237), """")"),42564.40638888889)</f>
        <v>42564.40639</v>
      </c>
      <c r="G5237" s="20">
        <f t="shared" si="1"/>
        <v>9</v>
      </c>
      <c r="H5237" s="18" t="s">
        <v>34</v>
      </c>
      <c r="I5237" s="19" t="str">
        <f>IFERROR(__xludf.DUMMYFUNCTION("IFERROR(TO_DATE(H5237), """")"),"NA")</f>
        <v>NA</v>
      </c>
      <c r="J5237" s="19" t="s">
        <v>14</v>
      </c>
      <c r="K5237" s="22">
        <f t="shared" si="2"/>
        <v>0</v>
      </c>
    </row>
    <row r="5238">
      <c r="A5238" s="18">
        <v>3209.0</v>
      </c>
      <c r="B5238" s="18" t="s">
        <v>32</v>
      </c>
      <c r="C5238" s="18" t="s">
        <v>34</v>
      </c>
      <c r="D5238" s="18" t="s">
        <v>35</v>
      </c>
      <c r="E5238" s="27">
        <v>42564.4112962963</v>
      </c>
      <c r="F5238" s="19">
        <f>IFERROR(__xludf.DUMMYFUNCTION("IFERROR(TO_DATE(E5238), """")"),42564.4112962963)</f>
        <v>42564.4113</v>
      </c>
      <c r="G5238" s="20">
        <f t="shared" si="1"/>
        <v>9</v>
      </c>
      <c r="H5238" s="18" t="s">
        <v>34</v>
      </c>
      <c r="I5238" s="19" t="str">
        <f>IFERROR(__xludf.DUMMYFUNCTION("IFERROR(TO_DATE(H5238), """")"),"NA")</f>
        <v>NA</v>
      </c>
      <c r="J5238" s="19" t="s">
        <v>14</v>
      </c>
      <c r="K5238" s="22">
        <f t="shared" si="2"/>
        <v>0</v>
      </c>
    </row>
    <row r="5239">
      <c r="A5239" s="18">
        <v>3225.0</v>
      </c>
      <c r="B5239" s="18" t="s">
        <v>32</v>
      </c>
      <c r="C5239" s="18" t="s">
        <v>34</v>
      </c>
      <c r="D5239" s="18" t="s">
        <v>35</v>
      </c>
      <c r="E5239" s="27">
        <v>42564.41650462963</v>
      </c>
      <c r="F5239" s="19">
        <f>IFERROR(__xludf.DUMMYFUNCTION("IFERROR(TO_DATE(E5239), """")"),42564.41650462963)</f>
        <v>42564.4165</v>
      </c>
      <c r="G5239" s="20">
        <f t="shared" si="1"/>
        <v>9</v>
      </c>
      <c r="H5239" s="18" t="s">
        <v>34</v>
      </c>
      <c r="I5239" s="19" t="str">
        <f>IFERROR(__xludf.DUMMYFUNCTION("IFERROR(TO_DATE(H5239), """")"),"NA")</f>
        <v>NA</v>
      </c>
      <c r="J5239" s="19" t="s">
        <v>14</v>
      </c>
      <c r="K5239" s="22">
        <f t="shared" si="2"/>
        <v>0</v>
      </c>
    </row>
    <row r="5240">
      <c r="A5240" s="18">
        <v>3241.0</v>
      </c>
      <c r="B5240" s="18" t="s">
        <v>32</v>
      </c>
      <c r="C5240" s="18" t="s">
        <v>34</v>
      </c>
      <c r="D5240" s="18" t="s">
        <v>35</v>
      </c>
      <c r="E5240" s="27">
        <v>42564.419965277775</v>
      </c>
      <c r="F5240" s="19">
        <f>IFERROR(__xludf.DUMMYFUNCTION("IFERROR(TO_DATE(E5240), """")"),42564.419965277775)</f>
        <v>42564.41997</v>
      </c>
      <c r="G5240" s="20">
        <f t="shared" si="1"/>
        <v>10</v>
      </c>
      <c r="H5240" s="18" t="s">
        <v>34</v>
      </c>
      <c r="I5240" s="19" t="str">
        <f>IFERROR(__xludf.DUMMYFUNCTION("IFERROR(TO_DATE(H5240), """")"),"NA")</f>
        <v>NA</v>
      </c>
      <c r="J5240" s="19" t="s">
        <v>14</v>
      </c>
      <c r="K5240" s="22">
        <f t="shared" si="2"/>
        <v>0</v>
      </c>
    </row>
    <row r="5241">
      <c r="A5241" s="18">
        <v>3234.0</v>
      </c>
      <c r="B5241" s="18" t="s">
        <v>32</v>
      </c>
      <c r="C5241" s="18" t="s">
        <v>34</v>
      </c>
      <c r="D5241" s="18" t="s">
        <v>35</v>
      </c>
      <c r="E5241" s="27">
        <v>42564.42045138889</v>
      </c>
      <c r="F5241" s="19">
        <f>IFERROR(__xludf.DUMMYFUNCTION("IFERROR(TO_DATE(E5241), """")"),42564.42045138889)</f>
        <v>42564.42045</v>
      </c>
      <c r="G5241" s="20">
        <f t="shared" si="1"/>
        <v>10</v>
      </c>
      <c r="H5241" s="18" t="s">
        <v>34</v>
      </c>
      <c r="I5241" s="19" t="str">
        <f>IFERROR(__xludf.DUMMYFUNCTION("IFERROR(TO_DATE(H5241), """")"),"NA")</f>
        <v>NA</v>
      </c>
      <c r="J5241" s="19" t="s">
        <v>14</v>
      </c>
      <c r="K5241" s="22">
        <f t="shared" si="2"/>
        <v>0</v>
      </c>
    </row>
    <row r="5242">
      <c r="A5242" s="18">
        <v>3239.0</v>
      </c>
      <c r="B5242" s="18" t="s">
        <v>32</v>
      </c>
      <c r="C5242" s="18" t="s">
        <v>34</v>
      </c>
      <c r="D5242" s="18" t="s">
        <v>35</v>
      </c>
      <c r="E5242" s="27">
        <v>42564.42068287037</v>
      </c>
      <c r="F5242" s="19">
        <f>IFERROR(__xludf.DUMMYFUNCTION("IFERROR(TO_DATE(E5242), """")"),42564.42068287037)</f>
        <v>42564.42068</v>
      </c>
      <c r="G5242" s="20">
        <f t="shared" si="1"/>
        <v>10</v>
      </c>
      <c r="H5242" s="18" t="s">
        <v>34</v>
      </c>
      <c r="I5242" s="19" t="str">
        <f>IFERROR(__xludf.DUMMYFUNCTION("IFERROR(TO_DATE(H5242), """")"),"NA")</f>
        <v>NA</v>
      </c>
      <c r="J5242" s="19" t="s">
        <v>14</v>
      </c>
      <c r="K5242" s="22">
        <f t="shared" si="2"/>
        <v>0</v>
      </c>
    </row>
    <row r="5243">
      <c r="A5243" s="18">
        <v>3252.0</v>
      </c>
      <c r="B5243" s="18" t="s">
        <v>32</v>
      </c>
      <c r="C5243" s="18" t="s">
        <v>34</v>
      </c>
      <c r="D5243" s="18" t="s">
        <v>35</v>
      </c>
      <c r="E5243" s="27">
        <v>42564.42219907408</v>
      </c>
      <c r="F5243" s="19">
        <f>IFERROR(__xludf.DUMMYFUNCTION("IFERROR(TO_DATE(E5243), """")"),42564.42219907408)</f>
        <v>42564.4222</v>
      </c>
      <c r="G5243" s="20">
        <f t="shared" si="1"/>
        <v>10</v>
      </c>
      <c r="H5243" s="18" t="s">
        <v>34</v>
      </c>
      <c r="I5243" s="19" t="str">
        <f>IFERROR(__xludf.DUMMYFUNCTION("IFERROR(TO_DATE(H5243), """")"),"NA")</f>
        <v>NA</v>
      </c>
      <c r="J5243" s="19" t="s">
        <v>14</v>
      </c>
      <c r="K5243" s="22">
        <f t="shared" si="2"/>
        <v>0</v>
      </c>
    </row>
    <row r="5244">
      <c r="A5244" s="18">
        <v>3244.0</v>
      </c>
      <c r="B5244" s="18" t="s">
        <v>32</v>
      </c>
      <c r="C5244" s="18" t="s">
        <v>34</v>
      </c>
      <c r="D5244" s="18" t="s">
        <v>35</v>
      </c>
      <c r="E5244" s="27">
        <v>42564.42302083333</v>
      </c>
      <c r="F5244" s="19">
        <f>IFERROR(__xludf.DUMMYFUNCTION("IFERROR(TO_DATE(E5244), """")"),42564.42302083333)</f>
        <v>42564.42302</v>
      </c>
      <c r="G5244" s="20">
        <f t="shared" si="1"/>
        <v>10</v>
      </c>
      <c r="H5244" s="18" t="s">
        <v>34</v>
      </c>
      <c r="I5244" s="19" t="str">
        <f>IFERROR(__xludf.DUMMYFUNCTION("IFERROR(TO_DATE(H5244), """")"),"NA")</f>
        <v>NA</v>
      </c>
      <c r="J5244" s="19" t="s">
        <v>14</v>
      </c>
      <c r="K5244" s="22">
        <f t="shared" si="2"/>
        <v>0</v>
      </c>
    </row>
    <row r="5245">
      <c r="A5245" s="18">
        <v>3246.0</v>
      </c>
      <c r="B5245" s="18" t="s">
        <v>32</v>
      </c>
      <c r="C5245" s="18" t="s">
        <v>34</v>
      </c>
      <c r="D5245" s="18" t="s">
        <v>35</v>
      </c>
      <c r="E5245" s="27">
        <v>42564.42457175926</v>
      </c>
      <c r="F5245" s="19">
        <f>IFERROR(__xludf.DUMMYFUNCTION("IFERROR(TO_DATE(E5245), """")"),42564.42457175926)</f>
        <v>42564.42457</v>
      </c>
      <c r="G5245" s="20">
        <f t="shared" si="1"/>
        <v>10</v>
      </c>
      <c r="H5245" s="18" t="s">
        <v>34</v>
      </c>
      <c r="I5245" s="19" t="str">
        <f>IFERROR(__xludf.DUMMYFUNCTION("IFERROR(TO_DATE(H5245), """")"),"NA")</f>
        <v>NA</v>
      </c>
      <c r="J5245" s="19" t="s">
        <v>14</v>
      </c>
      <c r="K5245" s="22">
        <f t="shared" si="2"/>
        <v>0</v>
      </c>
    </row>
    <row r="5246">
      <c r="A5246" s="18">
        <v>3257.0</v>
      </c>
      <c r="B5246" s="18" t="s">
        <v>32</v>
      </c>
      <c r="C5246" s="18" t="s">
        <v>34</v>
      </c>
      <c r="D5246" s="18" t="s">
        <v>35</v>
      </c>
      <c r="E5246" s="27">
        <v>42564.42508101852</v>
      </c>
      <c r="F5246" s="19">
        <f>IFERROR(__xludf.DUMMYFUNCTION("IFERROR(TO_DATE(E5246), """")"),42564.42508101852)</f>
        <v>42564.42508</v>
      </c>
      <c r="G5246" s="20">
        <f t="shared" si="1"/>
        <v>10</v>
      </c>
      <c r="H5246" s="18" t="s">
        <v>34</v>
      </c>
      <c r="I5246" s="19" t="str">
        <f>IFERROR(__xludf.DUMMYFUNCTION("IFERROR(TO_DATE(H5246), """")"),"NA")</f>
        <v>NA</v>
      </c>
      <c r="J5246" s="19" t="s">
        <v>14</v>
      </c>
      <c r="K5246" s="22">
        <f t="shared" si="2"/>
        <v>0</v>
      </c>
    </row>
    <row r="5247">
      <c r="A5247" s="18">
        <v>3251.0</v>
      </c>
      <c r="B5247" s="18" t="s">
        <v>32</v>
      </c>
      <c r="C5247" s="18" t="s">
        <v>34</v>
      </c>
      <c r="D5247" s="18" t="s">
        <v>35</v>
      </c>
      <c r="E5247" s="27">
        <v>42564.42560185185</v>
      </c>
      <c r="F5247" s="19">
        <f>IFERROR(__xludf.DUMMYFUNCTION("IFERROR(TO_DATE(E5247), """")"),42564.42560185185)</f>
        <v>42564.4256</v>
      </c>
      <c r="G5247" s="20">
        <f t="shared" si="1"/>
        <v>10</v>
      </c>
      <c r="H5247" s="18" t="s">
        <v>34</v>
      </c>
      <c r="I5247" s="19" t="str">
        <f>IFERROR(__xludf.DUMMYFUNCTION("IFERROR(TO_DATE(H5247), """")"),"NA")</f>
        <v>NA</v>
      </c>
      <c r="J5247" s="19" t="s">
        <v>14</v>
      </c>
      <c r="K5247" s="22">
        <f t="shared" si="2"/>
        <v>0</v>
      </c>
    </row>
    <row r="5248">
      <c r="A5248" s="18">
        <v>3247.0</v>
      </c>
      <c r="B5248" s="18" t="s">
        <v>32</v>
      </c>
      <c r="C5248" s="18" t="s">
        <v>34</v>
      </c>
      <c r="D5248" s="18" t="s">
        <v>35</v>
      </c>
      <c r="E5248" s="27">
        <v>42564.425787037035</v>
      </c>
      <c r="F5248" s="19">
        <f>IFERROR(__xludf.DUMMYFUNCTION("IFERROR(TO_DATE(E5248), """")"),42564.425787037035)</f>
        <v>42564.42579</v>
      </c>
      <c r="G5248" s="20">
        <f t="shared" si="1"/>
        <v>10</v>
      </c>
      <c r="H5248" s="18" t="s">
        <v>34</v>
      </c>
      <c r="I5248" s="19" t="str">
        <f>IFERROR(__xludf.DUMMYFUNCTION("IFERROR(TO_DATE(H5248), """")"),"NA")</f>
        <v>NA</v>
      </c>
      <c r="J5248" s="19" t="s">
        <v>14</v>
      </c>
      <c r="K5248" s="22">
        <f t="shared" si="2"/>
        <v>0</v>
      </c>
    </row>
    <row r="5249">
      <c r="A5249" s="18">
        <v>3259.0</v>
      </c>
      <c r="B5249" s="18" t="s">
        <v>32</v>
      </c>
      <c r="C5249" s="18" t="s">
        <v>34</v>
      </c>
      <c r="D5249" s="18" t="s">
        <v>35</v>
      </c>
      <c r="E5249" s="27">
        <v>42564.428391203706</v>
      </c>
      <c r="F5249" s="19">
        <f>IFERROR(__xludf.DUMMYFUNCTION("IFERROR(TO_DATE(E5249), """")"),42564.428391203706)</f>
        <v>42564.42839</v>
      </c>
      <c r="G5249" s="20">
        <f t="shared" si="1"/>
        <v>10</v>
      </c>
      <c r="H5249" s="18" t="s">
        <v>34</v>
      </c>
      <c r="I5249" s="19" t="str">
        <f>IFERROR(__xludf.DUMMYFUNCTION("IFERROR(TO_DATE(H5249), """")"),"NA")</f>
        <v>NA</v>
      </c>
      <c r="J5249" s="19" t="s">
        <v>14</v>
      </c>
      <c r="K5249" s="22">
        <f t="shared" si="2"/>
        <v>0</v>
      </c>
    </row>
    <row r="5250">
      <c r="A5250" s="18">
        <v>3267.0</v>
      </c>
      <c r="B5250" s="18" t="s">
        <v>32</v>
      </c>
      <c r="C5250" s="18" t="s">
        <v>34</v>
      </c>
      <c r="D5250" s="18" t="s">
        <v>35</v>
      </c>
      <c r="E5250" s="27">
        <v>42564.434537037036</v>
      </c>
      <c r="F5250" s="19">
        <f>IFERROR(__xludf.DUMMYFUNCTION("IFERROR(TO_DATE(E5250), """")"),42564.434537037036)</f>
        <v>42564.43454</v>
      </c>
      <c r="G5250" s="20">
        <f t="shared" si="1"/>
        <v>10</v>
      </c>
      <c r="H5250" s="18" t="s">
        <v>34</v>
      </c>
      <c r="I5250" s="19" t="str">
        <f>IFERROR(__xludf.DUMMYFUNCTION("IFERROR(TO_DATE(H5250), """")"),"NA")</f>
        <v>NA</v>
      </c>
      <c r="J5250" s="19" t="s">
        <v>14</v>
      </c>
      <c r="K5250" s="22">
        <f t="shared" si="2"/>
        <v>0</v>
      </c>
    </row>
    <row r="5251">
      <c r="A5251" s="18">
        <v>3269.0</v>
      </c>
      <c r="B5251" s="18" t="s">
        <v>30</v>
      </c>
      <c r="C5251" s="18" t="s">
        <v>34</v>
      </c>
      <c r="D5251" s="18" t="s">
        <v>35</v>
      </c>
      <c r="E5251" s="27">
        <v>42564.438368055555</v>
      </c>
      <c r="F5251" s="19">
        <f>IFERROR(__xludf.DUMMYFUNCTION("IFERROR(TO_DATE(E5251), """")"),42564.438368055555)</f>
        <v>42564.43837</v>
      </c>
      <c r="G5251" s="20">
        <f t="shared" si="1"/>
        <v>10</v>
      </c>
      <c r="H5251" s="18" t="s">
        <v>34</v>
      </c>
      <c r="I5251" s="19" t="str">
        <f>IFERROR(__xludf.DUMMYFUNCTION("IFERROR(TO_DATE(H5251), """")"),"NA")</f>
        <v>NA</v>
      </c>
      <c r="J5251" s="19" t="s">
        <v>14</v>
      </c>
      <c r="K5251" s="22">
        <f t="shared" si="2"/>
        <v>0</v>
      </c>
    </row>
    <row r="5252">
      <c r="A5252" s="18">
        <v>3272.0</v>
      </c>
      <c r="B5252" s="18" t="s">
        <v>32</v>
      </c>
      <c r="C5252" s="18" t="s">
        <v>34</v>
      </c>
      <c r="D5252" s="18" t="s">
        <v>35</v>
      </c>
      <c r="E5252" s="27">
        <v>42564.44315972222</v>
      </c>
      <c r="F5252" s="19">
        <f>IFERROR(__xludf.DUMMYFUNCTION("IFERROR(TO_DATE(E5252), """")"),42564.44315972222)</f>
        <v>42564.44316</v>
      </c>
      <c r="G5252" s="20">
        <f t="shared" si="1"/>
        <v>10</v>
      </c>
      <c r="H5252" s="18" t="s">
        <v>34</v>
      </c>
      <c r="I5252" s="19" t="str">
        <f>IFERROR(__xludf.DUMMYFUNCTION("IFERROR(TO_DATE(H5252), """")"),"NA")</f>
        <v>NA</v>
      </c>
      <c r="J5252" s="19" t="s">
        <v>14</v>
      </c>
      <c r="K5252" s="22">
        <f t="shared" si="2"/>
        <v>0</v>
      </c>
    </row>
    <row r="5253">
      <c r="A5253" s="18">
        <v>3278.0</v>
      </c>
      <c r="B5253" s="18" t="s">
        <v>32</v>
      </c>
      <c r="C5253" s="18" t="s">
        <v>34</v>
      </c>
      <c r="D5253" s="18" t="s">
        <v>35</v>
      </c>
      <c r="E5253" s="27">
        <v>42564.4446875</v>
      </c>
      <c r="F5253" s="19">
        <f>IFERROR(__xludf.DUMMYFUNCTION("IFERROR(TO_DATE(E5253), """")"),42564.4446875)</f>
        <v>42564.44469</v>
      </c>
      <c r="G5253" s="20">
        <f t="shared" si="1"/>
        <v>10</v>
      </c>
      <c r="H5253" s="18" t="s">
        <v>34</v>
      </c>
      <c r="I5253" s="19" t="str">
        <f>IFERROR(__xludf.DUMMYFUNCTION("IFERROR(TO_DATE(H5253), """")"),"NA")</f>
        <v>NA</v>
      </c>
      <c r="J5253" s="19" t="s">
        <v>14</v>
      </c>
      <c r="K5253" s="22">
        <f t="shared" si="2"/>
        <v>0</v>
      </c>
    </row>
    <row r="5254">
      <c r="A5254" s="18">
        <v>3279.0</v>
      </c>
      <c r="B5254" s="18" t="s">
        <v>30</v>
      </c>
      <c r="C5254" s="18" t="s">
        <v>34</v>
      </c>
      <c r="D5254" s="18" t="s">
        <v>35</v>
      </c>
      <c r="E5254" s="27">
        <v>42564.445810185185</v>
      </c>
      <c r="F5254" s="19">
        <f>IFERROR(__xludf.DUMMYFUNCTION("IFERROR(TO_DATE(E5254), """")"),42564.445810185185)</f>
        <v>42564.44581</v>
      </c>
      <c r="G5254" s="20">
        <f t="shared" si="1"/>
        <v>10</v>
      </c>
      <c r="H5254" s="18" t="s">
        <v>34</v>
      </c>
      <c r="I5254" s="19" t="str">
        <f>IFERROR(__xludf.DUMMYFUNCTION("IFERROR(TO_DATE(H5254), """")"),"NA")</f>
        <v>NA</v>
      </c>
      <c r="J5254" s="19" t="s">
        <v>14</v>
      </c>
      <c r="K5254" s="22">
        <f t="shared" si="2"/>
        <v>0</v>
      </c>
    </row>
    <row r="5255">
      <c r="A5255" s="18">
        <v>3284.0</v>
      </c>
      <c r="B5255" s="18" t="s">
        <v>30</v>
      </c>
      <c r="C5255" s="18" t="s">
        <v>34</v>
      </c>
      <c r="D5255" s="18" t="s">
        <v>35</v>
      </c>
      <c r="E5255" s="27">
        <v>42564.45104166667</v>
      </c>
      <c r="F5255" s="19">
        <f>IFERROR(__xludf.DUMMYFUNCTION("IFERROR(TO_DATE(E5255), """")"),42564.45104166667)</f>
        <v>42564.45104</v>
      </c>
      <c r="G5255" s="20">
        <f t="shared" si="1"/>
        <v>10</v>
      </c>
      <c r="H5255" s="18" t="s">
        <v>34</v>
      </c>
      <c r="I5255" s="19" t="str">
        <f>IFERROR(__xludf.DUMMYFUNCTION("IFERROR(TO_DATE(H5255), """")"),"NA")</f>
        <v>NA</v>
      </c>
      <c r="J5255" s="19" t="s">
        <v>14</v>
      </c>
      <c r="K5255" s="22">
        <f t="shared" si="2"/>
        <v>0</v>
      </c>
    </row>
    <row r="5256">
      <c r="A5256" s="18">
        <v>3288.0</v>
      </c>
      <c r="B5256" s="18" t="s">
        <v>32</v>
      </c>
      <c r="C5256" s="18" t="s">
        <v>34</v>
      </c>
      <c r="D5256" s="18" t="s">
        <v>35</v>
      </c>
      <c r="E5256" s="27">
        <v>42564.46107638889</v>
      </c>
      <c r="F5256" s="19">
        <f>IFERROR(__xludf.DUMMYFUNCTION("IFERROR(TO_DATE(E5256), """")"),42564.46107638889)</f>
        <v>42564.46108</v>
      </c>
      <c r="G5256" s="20">
        <f t="shared" si="1"/>
        <v>11</v>
      </c>
      <c r="H5256" s="18" t="s">
        <v>34</v>
      </c>
      <c r="I5256" s="19" t="str">
        <f>IFERROR(__xludf.DUMMYFUNCTION("IFERROR(TO_DATE(H5256), """")"),"NA")</f>
        <v>NA</v>
      </c>
      <c r="J5256" s="19" t="s">
        <v>14</v>
      </c>
      <c r="K5256" s="22">
        <f t="shared" si="2"/>
        <v>0</v>
      </c>
    </row>
    <row r="5257">
      <c r="A5257" s="18">
        <v>3290.0</v>
      </c>
      <c r="B5257" s="18" t="s">
        <v>32</v>
      </c>
      <c r="C5257" s="18" t="s">
        <v>34</v>
      </c>
      <c r="D5257" s="18" t="s">
        <v>35</v>
      </c>
      <c r="E5257" s="27">
        <v>42564.46842592592</v>
      </c>
      <c r="F5257" s="19">
        <f>IFERROR(__xludf.DUMMYFUNCTION("IFERROR(TO_DATE(E5257), """")"),42564.46842592592)</f>
        <v>42564.46843</v>
      </c>
      <c r="G5257" s="20">
        <f t="shared" si="1"/>
        <v>11</v>
      </c>
      <c r="H5257" s="18" t="s">
        <v>34</v>
      </c>
      <c r="I5257" s="19" t="str">
        <f>IFERROR(__xludf.DUMMYFUNCTION("IFERROR(TO_DATE(H5257), """")"),"NA")</f>
        <v>NA</v>
      </c>
      <c r="J5257" s="19" t="s">
        <v>14</v>
      </c>
      <c r="K5257" s="22">
        <f t="shared" si="2"/>
        <v>0</v>
      </c>
    </row>
    <row r="5258">
      <c r="A5258" s="18">
        <v>3296.0</v>
      </c>
      <c r="B5258" s="18" t="s">
        <v>32</v>
      </c>
      <c r="C5258" s="18" t="s">
        <v>34</v>
      </c>
      <c r="D5258" s="18" t="s">
        <v>35</v>
      </c>
      <c r="E5258" s="27">
        <v>42564.485613425924</v>
      </c>
      <c r="F5258" s="19">
        <f>IFERROR(__xludf.DUMMYFUNCTION("IFERROR(TO_DATE(E5258), """")"),42564.485613425924)</f>
        <v>42564.48561</v>
      </c>
      <c r="G5258" s="20">
        <f t="shared" si="1"/>
        <v>11</v>
      </c>
      <c r="H5258" s="18" t="s">
        <v>34</v>
      </c>
      <c r="I5258" s="19" t="str">
        <f>IFERROR(__xludf.DUMMYFUNCTION("IFERROR(TO_DATE(H5258), """")"),"NA")</f>
        <v>NA</v>
      </c>
      <c r="J5258" s="19" t="s">
        <v>14</v>
      </c>
      <c r="K5258" s="22">
        <f t="shared" si="2"/>
        <v>0</v>
      </c>
    </row>
    <row r="5259">
      <c r="A5259" s="18">
        <v>3308.0</v>
      </c>
      <c r="B5259" s="18" t="s">
        <v>32</v>
      </c>
      <c r="C5259" s="18" t="s">
        <v>34</v>
      </c>
      <c r="D5259" s="18" t="s">
        <v>35</v>
      </c>
      <c r="E5259" s="27">
        <v>42564.49894675926</v>
      </c>
      <c r="F5259" s="19">
        <f>IFERROR(__xludf.DUMMYFUNCTION("IFERROR(TO_DATE(E5259), """")"),42564.49894675926)</f>
        <v>42564.49895</v>
      </c>
      <c r="G5259" s="20">
        <f t="shared" si="1"/>
        <v>11</v>
      </c>
      <c r="H5259" s="18" t="s">
        <v>34</v>
      </c>
      <c r="I5259" s="19" t="str">
        <f>IFERROR(__xludf.DUMMYFUNCTION("IFERROR(TO_DATE(H5259), """")"),"NA")</f>
        <v>NA</v>
      </c>
      <c r="J5259" s="19" t="s">
        <v>14</v>
      </c>
      <c r="K5259" s="22">
        <f t="shared" si="2"/>
        <v>0</v>
      </c>
    </row>
    <row r="5260">
      <c r="A5260" s="18">
        <v>3322.0</v>
      </c>
      <c r="B5260" s="18" t="s">
        <v>32</v>
      </c>
      <c r="C5260" s="18" t="s">
        <v>34</v>
      </c>
      <c r="D5260" s="18" t="s">
        <v>35</v>
      </c>
      <c r="E5260" s="27">
        <v>42564.51489583333</v>
      </c>
      <c r="F5260" s="19">
        <f>IFERROR(__xludf.DUMMYFUNCTION("IFERROR(TO_DATE(E5260), """")"),42564.51489583333)</f>
        <v>42564.5149</v>
      </c>
      <c r="G5260" s="20">
        <f t="shared" si="1"/>
        <v>12</v>
      </c>
      <c r="H5260" s="18" t="s">
        <v>34</v>
      </c>
      <c r="I5260" s="19" t="str">
        <f>IFERROR(__xludf.DUMMYFUNCTION("IFERROR(TO_DATE(H5260), """")"),"NA")</f>
        <v>NA</v>
      </c>
      <c r="J5260" s="19" t="s">
        <v>10</v>
      </c>
      <c r="K5260" s="22">
        <f t="shared" si="2"/>
        <v>0</v>
      </c>
    </row>
    <row r="5261">
      <c r="A5261" s="18">
        <v>3325.0</v>
      </c>
      <c r="B5261" s="18" t="s">
        <v>30</v>
      </c>
      <c r="C5261" s="18" t="s">
        <v>34</v>
      </c>
      <c r="D5261" s="18" t="s">
        <v>35</v>
      </c>
      <c r="E5261" s="27">
        <v>42564.518587962964</v>
      </c>
      <c r="F5261" s="19">
        <f>IFERROR(__xludf.DUMMYFUNCTION("IFERROR(TO_DATE(E5261), """")"),42564.518587962964)</f>
        <v>42564.51859</v>
      </c>
      <c r="G5261" s="20">
        <f t="shared" si="1"/>
        <v>12</v>
      </c>
      <c r="H5261" s="18" t="s">
        <v>34</v>
      </c>
      <c r="I5261" s="19" t="str">
        <f>IFERROR(__xludf.DUMMYFUNCTION("IFERROR(TO_DATE(H5261), """")"),"NA")</f>
        <v>NA</v>
      </c>
      <c r="J5261" s="19" t="s">
        <v>10</v>
      </c>
      <c r="K5261" s="22">
        <f t="shared" si="2"/>
        <v>0</v>
      </c>
    </row>
    <row r="5262">
      <c r="A5262" s="18">
        <v>3332.0</v>
      </c>
      <c r="B5262" s="18" t="s">
        <v>32</v>
      </c>
      <c r="C5262" s="18" t="s">
        <v>34</v>
      </c>
      <c r="D5262" s="18" t="s">
        <v>35</v>
      </c>
      <c r="E5262" s="27">
        <v>42564.523680555554</v>
      </c>
      <c r="F5262" s="19">
        <f>IFERROR(__xludf.DUMMYFUNCTION("IFERROR(TO_DATE(E5262), """")"),42564.523680555554)</f>
        <v>42564.52368</v>
      </c>
      <c r="G5262" s="20">
        <f t="shared" si="1"/>
        <v>12</v>
      </c>
      <c r="H5262" s="18" t="s">
        <v>34</v>
      </c>
      <c r="I5262" s="19" t="str">
        <f>IFERROR(__xludf.DUMMYFUNCTION("IFERROR(TO_DATE(H5262), """")"),"NA")</f>
        <v>NA</v>
      </c>
      <c r="J5262" s="19" t="s">
        <v>10</v>
      </c>
      <c r="K5262" s="22">
        <f t="shared" si="2"/>
        <v>0</v>
      </c>
    </row>
    <row r="5263">
      <c r="A5263" s="18">
        <v>3331.0</v>
      </c>
      <c r="B5263" s="18" t="s">
        <v>32</v>
      </c>
      <c r="C5263" s="18" t="s">
        <v>34</v>
      </c>
      <c r="D5263" s="18" t="s">
        <v>35</v>
      </c>
      <c r="E5263" s="27">
        <v>42564.52609953703</v>
      </c>
      <c r="F5263" s="19">
        <f>IFERROR(__xludf.DUMMYFUNCTION("IFERROR(TO_DATE(E5263), """")"),42564.52609953703)</f>
        <v>42564.5261</v>
      </c>
      <c r="G5263" s="20">
        <f t="shared" si="1"/>
        <v>12</v>
      </c>
      <c r="H5263" s="18" t="s">
        <v>34</v>
      </c>
      <c r="I5263" s="19" t="str">
        <f>IFERROR(__xludf.DUMMYFUNCTION("IFERROR(TO_DATE(H5263), """")"),"NA")</f>
        <v>NA</v>
      </c>
      <c r="J5263" s="19" t="s">
        <v>10</v>
      </c>
      <c r="K5263" s="22">
        <f t="shared" si="2"/>
        <v>0</v>
      </c>
    </row>
    <row r="5264">
      <c r="A5264" s="18">
        <v>3335.0</v>
      </c>
      <c r="B5264" s="18" t="s">
        <v>32</v>
      </c>
      <c r="C5264" s="18" t="s">
        <v>34</v>
      </c>
      <c r="D5264" s="18" t="s">
        <v>35</v>
      </c>
      <c r="E5264" s="27">
        <v>42564.527094907404</v>
      </c>
      <c r="F5264" s="19">
        <f>IFERROR(__xludf.DUMMYFUNCTION("IFERROR(TO_DATE(E5264), """")"),42564.527094907404)</f>
        <v>42564.52709</v>
      </c>
      <c r="G5264" s="20">
        <f t="shared" si="1"/>
        <v>12</v>
      </c>
      <c r="H5264" s="18" t="s">
        <v>34</v>
      </c>
      <c r="I5264" s="19" t="str">
        <f>IFERROR(__xludf.DUMMYFUNCTION("IFERROR(TO_DATE(H5264), """")"),"NA")</f>
        <v>NA</v>
      </c>
      <c r="J5264" s="19" t="s">
        <v>10</v>
      </c>
      <c r="K5264" s="22">
        <f t="shared" si="2"/>
        <v>0</v>
      </c>
    </row>
    <row r="5265">
      <c r="A5265" s="18">
        <v>3345.0</v>
      </c>
      <c r="B5265" s="18" t="s">
        <v>30</v>
      </c>
      <c r="C5265" s="18" t="s">
        <v>34</v>
      </c>
      <c r="D5265" s="18" t="s">
        <v>35</v>
      </c>
      <c r="E5265" s="27">
        <v>42564.545115740744</v>
      </c>
      <c r="F5265" s="19">
        <f>IFERROR(__xludf.DUMMYFUNCTION("IFERROR(TO_DATE(E5265), """")"),42564.545115740744)</f>
        <v>42564.54512</v>
      </c>
      <c r="G5265" s="20">
        <f t="shared" si="1"/>
        <v>13</v>
      </c>
      <c r="H5265" s="18" t="s">
        <v>34</v>
      </c>
      <c r="I5265" s="19" t="str">
        <f>IFERROR(__xludf.DUMMYFUNCTION("IFERROR(TO_DATE(H5265), """")"),"NA")</f>
        <v>NA</v>
      </c>
      <c r="J5265" s="19" t="s">
        <v>10</v>
      </c>
      <c r="K5265" s="22">
        <f t="shared" si="2"/>
        <v>0</v>
      </c>
    </row>
    <row r="5266">
      <c r="A5266" s="18">
        <v>3350.0</v>
      </c>
      <c r="B5266" s="18" t="s">
        <v>32</v>
      </c>
      <c r="C5266" s="18" t="s">
        <v>34</v>
      </c>
      <c r="D5266" s="18" t="s">
        <v>35</v>
      </c>
      <c r="E5266" s="27">
        <v>42564.553564814814</v>
      </c>
      <c r="F5266" s="19">
        <f>IFERROR(__xludf.DUMMYFUNCTION("IFERROR(TO_DATE(E5266), """")"),42564.553564814814)</f>
        <v>42564.55356</v>
      </c>
      <c r="G5266" s="20">
        <f t="shared" si="1"/>
        <v>13</v>
      </c>
      <c r="H5266" s="18" t="s">
        <v>34</v>
      </c>
      <c r="I5266" s="19" t="str">
        <f>IFERROR(__xludf.DUMMYFUNCTION("IFERROR(TO_DATE(H5266), """")"),"NA")</f>
        <v>NA</v>
      </c>
      <c r="J5266" s="19" t="s">
        <v>10</v>
      </c>
      <c r="K5266" s="22">
        <f t="shared" si="2"/>
        <v>0</v>
      </c>
    </row>
    <row r="5267">
      <c r="A5267" s="18">
        <v>3349.0</v>
      </c>
      <c r="B5267" s="18" t="s">
        <v>30</v>
      </c>
      <c r="C5267" s="18" t="s">
        <v>34</v>
      </c>
      <c r="D5267" s="18" t="s">
        <v>35</v>
      </c>
      <c r="E5267" s="27">
        <v>42564.55440972222</v>
      </c>
      <c r="F5267" s="19">
        <f>IFERROR(__xludf.DUMMYFUNCTION("IFERROR(TO_DATE(E5267), """")"),42564.55440972222)</f>
        <v>42564.55441</v>
      </c>
      <c r="G5267" s="20">
        <f t="shared" si="1"/>
        <v>13</v>
      </c>
      <c r="H5267" s="18" t="s">
        <v>34</v>
      </c>
      <c r="I5267" s="19" t="str">
        <f>IFERROR(__xludf.DUMMYFUNCTION("IFERROR(TO_DATE(H5267), """")"),"NA")</f>
        <v>NA</v>
      </c>
      <c r="J5267" s="19" t="s">
        <v>10</v>
      </c>
      <c r="K5267" s="22">
        <f t="shared" si="2"/>
        <v>0</v>
      </c>
    </row>
    <row r="5268">
      <c r="A5268" s="18">
        <v>3361.0</v>
      </c>
      <c r="B5268" s="18" t="s">
        <v>32</v>
      </c>
      <c r="C5268" s="18" t="s">
        <v>34</v>
      </c>
      <c r="D5268" s="18" t="s">
        <v>35</v>
      </c>
      <c r="E5268" s="27">
        <v>42564.5640162037</v>
      </c>
      <c r="F5268" s="19">
        <f>IFERROR(__xludf.DUMMYFUNCTION("IFERROR(TO_DATE(E5268), """")"),42564.5640162037)</f>
        <v>42564.56402</v>
      </c>
      <c r="G5268" s="20">
        <f t="shared" si="1"/>
        <v>13</v>
      </c>
      <c r="H5268" s="18" t="s">
        <v>34</v>
      </c>
      <c r="I5268" s="19" t="str">
        <f>IFERROR(__xludf.DUMMYFUNCTION("IFERROR(TO_DATE(H5268), """")"),"NA")</f>
        <v>NA</v>
      </c>
      <c r="J5268" s="19" t="s">
        <v>10</v>
      </c>
      <c r="K5268" s="22">
        <f t="shared" si="2"/>
        <v>0</v>
      </c>
    </row>
    <row r="5269">
      <c r="A5269" s="18">
        <v>3356.0</v>
      </c>
      <c r="B5269" s="18" t="s">
        <v>30</v>
      </c>
      <c r="C5269" s="18" t="s">
        <v>34</v>
      </c>
      <c r="D5269" s="18" t="s">
        <v>35</v>
      </c>
      <c r="E5269" s="27">
        <v>42564.564421296294</v>
      </c>
      <c r="F5269" s="19">
        <f>IFERROR(__xludf.DUMMYFUNCTION("IFERROR(TO_DATE(E5269), """")"),42564.564421296294)</f>
        <v>42564.56442</v>
      </c>
      <c r="G5269" s="20">
        <f t="shared" si="1"/>
        <v>13</v>
      </c>
      <c r="H5269" s="18" t="s">
        <v>34</v>
      </c>
      <c r="I5269" s="19" t="str">
        <f>IFERROR(__xludf.DUMMYFUNCTION("IFERROR(TO_DATE(H5269), """")"),"NA")</f>
        <v>NA</v>
      </c>
      <c r="J5269" s="19" t="s">
        <v>10</v>
      </c>
      <c r="K5269" s="22">
        <f t="shared" si="2"/>
        <v>0</v>
      </c>
    </row>
    <row r="5270">
      <c r="A5270" s="18">
        <v>3364.0</v>
      </c>
      <c r="B5270" s="18" t="s">
        <v>30</v>
      </c>
      <c r="C5270" s="18" t="s">
        <v>34</v>
      </c>
      <c r="D5270" s="18" t="s">
        <v>35</v>
      </c>
      <c r="E5270" s="27">
        <v>42564.570381944446</v>
      </c>
      <c r="F5270" s="19">
        <f>IFERROR(__xludf.DUMMYFUNCTION("IFERROR(TO_DATE(E5270), """")"),42564.570381944446)</f>
        <v>42564.57038</v>
      </c>
      <c r="G5270" s="20">
        <f t="shared" si="1"/>
        <v>13</v>
      </c>
      <c r="H5270" s="18" t="s">
        <v>34</v>
      </c>
      <c r="I5270" s="19" t="str">
        <f>IFERROR(__xludf.DUMMYFUNCTION("IFERROR(TO_DATE(H5270), """")"),"NA")</f>
        <v>NA</v>
      </c>
      <c r="J5270" s="19" t="s">
        <v>10</v>
      </c>
      <c r="K5270" s="22">
        <f t="shared" si="2"/>
        <v>0</v>
      </c>
    </row>
    <row r="5271">
      <c r="A5271" s="18">
        <v>3368.0</v>
      </c>
      <c r="B5271" s="18" t="s">
        <v>32</v>
      </c>
      <c r="C5271" s="18" t="s">
        <v>34</v>
      </c>
      <c r="D5271" s="18" t="s">
        <v>35</v>
      </c>
      <c r="E5271" s="27">
        <v>42564.57886574074</v>
      </c>
      <c r="F5271" s="19">
        <f>IFERROR(__xludf.DUMMYFUNCTION("IFERROR(TO_DATE(E5271), """")"),42564.57886574074)</f>
        <v>42564.57887</v>
      </c>
      <c r="G5271" s="20">
        <f t="shared" si="1"/>
        <v>13</v>
      </c>
      <c r="H5271" s="18" t="s">
        <v>34</v>
      </c>
      <c r="I5271" s="19" t="str">
        <f>IFERROR(__xludf.DUMMYFUNCTION("IFERROR(TO_DATE(H5271), """")"),"NA")</f>
        <v>NA</v>
      </c>
      <c r="J5271" s="19" t="s">
        <v>10</v>
      </c>
      <c r="K5271" s="22">
        <f t="shared" si="2"/>
        <v>0</v>
      </c>
    </row>
    <row r="5272">
      <c r="A5272" s="18">
        <v>3371.0</v>
      </c>
      <c r="B5272" s="18" t="s">
        <v>32</v>
      </c>
      <c r="C5272" s="18" t="s">
        <v>34</v>
      </c>
      <c r="D5272" s="18" t="s">
        <v>35</v>
      </c>
      <c r="E5272" s="27">
        <v>42564.58516203704</v>
      </c>
      <c r="F5272" s="19">
        <f>IFERROR(__xludf.DUMMYFUNCTION("IFERROR(TO_DATE(E5272), """")"),42564.58516203704)</f>
        <v>42564.58516</v>
      </c>
      <c r="G5272" s="20">
        <f t="shared" si="1"/>
        <v>14</v>
      </c>
      <c r="H5272" s="18" t="s">
        <v>34</v>
      </c>
      <c r="I5272" s="19" t="str">
        <f>IFERROR(__xludf.DUMMYFUNCTION("IFERROR(TO_DATE(H5272), """")"),"NA")</f>
        <v>NA</v>
      </c>
      <c r="J5272" s="19" t="s">
        <v>10</v>
      </c>
      <c r="K5272" s="22">
        <f t="shared" si="2"/>
        <v>0</v>
      </c>
    </row>
    <row r="5273">
      <c r="A5273" s="18">
        <v>3373.0</v>
      </c>
      <c r="B5273" s="18" t="s">
        <v>32</v>
      </c>
      <c r="C5273" s="18" t="s">
        <v>34</v>
      </c>
      <c r="D5273" s="18" t="s">
        <v>35</v>
      </c>
      <c r="E5273" s="27">
        <v>42564.58813657407</v>
      </c>
      <c r="F5273" s="19">
        <f>IFERROR(__xludf.DUMMYFUNCTION("IFERROR(TO_DATE(E5273), """")"),42564.58813657407)</f>
        <v>42564.58814</v>
      </c>
      <c r="G5273" s="20">
        <f t="shared" si="1"/>
        <v>14</v>
      </c>
      <c r="H5273" s="18" t="s">
        <v>34</v>
      </c>
      <c r="I5273" s="19" t="str">
        <f>IFERROR(__xludf.DUMMYFUNCTION("IFERROR(TO_DATE(H5273), """")"),"NA")</f>
        <v>NA</v>
      </c>
      <c r="J5273" s="19" t="s">
        <v>10</v>
      </c>
      <c r="K5273" s="22">
        <f t="shared" si="2"/>
        <v>0</v>
      </c>
    </row>
    <row r="5274">
      <c r="A5274" s="18">
        <v>3374.0</v>
      </c>
      <c r="B5274" s="18" t="s">
        <v>32</v>
      </c>
      <c r="C5274" s="18" t="s">
        <v>34</v>
      </c>
      <c r="D5274" s="18" t="s">
        <v>35</v>
      </c>
      <c r="E5274" s="27">
        <v>42564.592881944445</v>
      </c>
      <c r="F5274" s="19">
        <f>IFERROR(__xludf.DUMMYFUNCTION("IFERROR(TO_DATE(E5274), """")"),42564.592881944445)</f>
        <v>42564.59288</v>
      </c>
      <c r="G5274" s="20">
        <f t="shared" si="1"/>
        <v>14</v>
      </c>
      <c r="H5274" s="18" t="s">
        <v>34</v>
      </c>
      <c r="I5274" s="19" t="str">
        <f>IFERROR(__xludf.DUMMYFUNCTION("IFERROR(TO_DATE(H5274), """")"),"NA")</f>
        <v>NA</v>
      </c>
      <c r="J5274" s="19" t="s">
        <v>10</v>
      </c>
      <c r="K5274" s="22">
        <f t="shared" si="2"/>
        <v>0</v>
      </c>
    </row>
    <row r="5275">
      <c r="A5275" s="18">
        <v>3376.0</v>
      </c>
      <c r="B5275" s="18" t="s">
        <v>30</v>
      </c>
      <c r="C5275" s="18" t="s">
        <v>34</v>
      </c>
      <c r="D5275" s="18" t="s">
        <v>35</v>
      </c>
      <c r="E5275" s="27">
        <v>42564.596296296295</v>
      </c>
      <c r="F5275" s="19">
        <f>IFERROR(__xludf.DUMMYFUNCTION("IFERROR(TO_DATE(E5275), """")"),42564.596296296295)</f>
        <v>42564.5963</v>
      </c>
      <c r="G5275" s="20">
        <f t="shared" si="1"/>
        <v>14</v>
      </c>
      <c r="H5275" s="18" t="s">
        <v>34</v>
      </c>
      <c r="I5275" s="19" t="str">
        <f>IFERROR(__xludf.DUMMYFUNCTION("IFERROR(TO_DATE(H5275), """")"),"NA")</f>
        <v>NA</v>
      </c>
      <c r="J5275" s="19" t="s">
        <v>10</v>
      </c>
      <c r="K5275" s="22">
        <f t="shared" si="2"/>
        <v>0</v>
      </c>
    </row>
    <row r="5276">
      <c r="A5276" s="18">
        <v>3386.0</v>
      </c>
      <c r="B5276" s="18" t="s">
        <v>30</v>
      </c>
      <c r="C5276" s="18" t="s">
        <v>34</v>
      </c>
      <c r="D5276" s="18" t="s">
        <v>35</v>
      </c>
      <c r="E5276" s="27">
        <v>42564.610914351855</v>
      </c>
      <c r="F5276" s="19">
        <f>IFERROR(__xludf.DUMMYFUNCTION("IFERROR(TO_DATE(E5276), """")"),42564.610914351855)</f>
        <v>42564.61091</v>
      </c>
      <c r="G5276" s="20">
        <f t="shared" si="1"/>
        <v>14</v>
      </c>
      <c r="H5276" s="18" t="s">
        <v>34</v>
      </c>
      <c r="I5276" s="19" t="str">
        <f>IFERROR(__xludf.DUMMYFUNCTION("IFERROR(TO_DATE(H5276), """")"),"NA")</f>
        <v>NA</v>
      </c>
      <c r="J5276" s="19" t="s">
        <v>10</v>
      </c>
      <c r="K5276" s="22">
        <f t="shared" si="2"/>
        <v>0</v>
      </c>
    </row>
    <row r="5277">
      <c r="A5277" s="18">
        <v>3389.0</v>
      </c>
      <c r="B5277" s="18" t="s">
        <v>32</v>
      </c>
      <c r="C5277" s="18" t="s">
        <v>34</v>
      </c>
      <c r="D5277" s="18" t="s">
        <v>35</v>
      </c>
      <c r="E5277" s="27">
        <v>42564.61101851852</v>
      </c>
      <c r="F5277" s="19">
        <f>IFERROR(__xludf.DUMMYFUNCTION("IFERROR(TO_DATE(E5277), """")"),42564.61101851852)</f>
        <v>42564.61102</v>
      </c>
      <c r="G5277" s="20">
        <f t="shared" si="1"/>
        <v>14</v>
      </c>
      <c r="H5277" s="18" t="s">
        <v>34</v>
      </c>
      <c r="I5277" s="19" t="str">
        <f>IFERROR(__xludf.DUMMYFUNCTION("IFERROR(TO_DATE(H5277), """")"),"NA")</f>
        <v>NA</v>
      </c>
      <c r="J5277" s="19" t="s">
        <v>10</v>
      </c>
      <c r="K5277" s="22">
        <f t="shared" si="2"/>
        <v>0</v>
      </c>
    </row>
    <row r="5278">
      <c r="A5278" s="18">
        <v>3390.0</v>
      </c>
      <c r="B5278" s="18" t="s">
        <v>30</v>
      </c>
      <c r="C5278" s="18" t="s">
        <v>34</v>
      </c>
      <c r="D5278" s="18" t="s">
        <v>35</v>
      </c>
      <c r="E5278" s="27">
        <v>42564.61177083333</v>
      </c>
      <c r="F5278" s="19">
        <f>IFERROR(__xludf.DUMMYFUNCTION("IFERROR(TO_DATE(E5278), """")"),42564.61177083333)</f>
        <v>42564.61177</v>
      </c>
      <c r="G5278" s="20">
        <f t="shared" si="1"/>
        <v>14</v>
      </c>
      <c r="H5278" s="18" t="s">
        <v>34</v>
      </c>
      <c r="I5278" s="19" t="str">
        <f>IFERROR(__xludf.DUMMYFUNCTION("IFERROR(TO_DATE(H5278), """")"),"NA")</f>
        <v>NA</v>
      </c>
      <c r="J5278" s="19" t="s">
        <v>10</v>
      </c>
      <c r="K5278" s="22">
        <f t="shared" si="2"/>
        <v>0</v>
      </c>
    </row>
    <row r="5279">
      <c r="A5279" s="18">
        <v>3401.0</v>
      </c>
      <c r="B5279" s="18" t="s">
        <v>32</v>
      </c>
      <c r="C5279" s="18" t="s">
        <v>34</v>
      </c>
      <c r="D5279" s="18" t="s">
        <v>35</v>
      </c>
      <c r="E5279" s="27">
        <v>42564.633055555554</v>
      </c>
      <c r="F5279" s="19">
        <f>IFERROR(__xludf.DUMMYFUNCTION("IFERROR(TO_DATE(E5279), """")"),42564.633055555554)</f>
        <v>42564.63306</v>
      </c>
      <c r="G5279" s="20">
        <f t="shared" si="1"/>
        <v>15</v>
      </c>
      <c r="H5279" s="18" t="s">
        <v>34</v>
      </c>
      <c r="I5279" s="19" t="str">
        <f>IFERROR(__xludf.DUMMYFUNCTION("IFERROR(TO_DATE(H5279), """")"),"NA")</f>
        <v>NA</v>
      </c>
      <c r="J5279" s="19" t="s">
        <v>10</v>
      </c>
      <c r="K5279" s="22">
        <f t="shared" si="2"/>
        <v>0</v>
      </c>
    </row>
    <row r="5280">
      <c r="A5280" s="18">
        <v>3402.0</v>
      </c>
      <c r="B5280" s="18" t="s">
        <v>30</v>
      </c>
      <c r="C5280" s="18" t="s">
        <v>34</v>
      </c>
      <c r="D5280" s="18" t="s">
        <v>35</v>
      </c>
      <c r="E5280" s="27">
        <v>42564.63340277778</v>
      </c>
      <c r="F5280" s="19">
        <f>IFERROR(__xludf.DUMMYFUNCTION("IFERROR(TO_DATE(E5280), """")"),42564.63340277778)</f>
        <v>42564.6334</v>
      </c>
      <c r="G5280" s="20">
        <f t="shared" si="1"/>
        <v>15</v>
      </c>
      <c r="H5280" s="18" t="s">
        <v>34</v>
      </c>
      <c r="I5280" s="19" t="str">
        <f>IFERROR(__xludf.DUMMYFUNCTION("IFERROR(TO_DATE(H5280), """")"),"NA")</f>
        <v>NA</v>
      </c>
      <c r="J5280" s="19" t="s">
        <v>10</v>
      </c>
      <c r="K5280" s="22">
        <f t="shared" si="2"/>
        <v>0</v>
      </c>
    </row>
    <row r="5281">
      <c r="A5281" s="18">
        <v>3398.0</v>
      </c>
      <c r="B5281" s="18" t="s">
        <v>32</v>
      </c>
      <c r="C5281" s="18" t="s">
        <v>34</v>
      </c>
      <c r="D5281" s="18" t="s">
        <v>35</v>
      </c>
      <c r="E5281" s="27">
        <v>42564.63344907408</v>
      </c>
      <c r="F5281" s="19">
        <f>IFERROR(__xludf.DUMMYFUNCTION("IFERROR(TO_DATE(E5281), """")"),42564.63344907408)</f>
        <v>42564.63345</v>
      </c>
      <c r="G5281" s="20">
        <f t="shared" si="1"/>
        <v>15</v>
      </c>
      <c r="H5281" s="18" t="s">
        <v>34</v>
      </c>
      <c r="I5281" s="19" t="str">
        <f>IFERROR(__xludf.DUMMYFUNCTION("IFERROR(TO_DATE(H5281), """")"),"NA")</f>
        <v>NA</v>
      </c>
      <c r="J5281" s="19" t="s">
        <v>10</v>
      </c>
      <c r="K5281" s="22">
        <f t="shared" si="2"/>
        <v>0</v>
      </c>
    </row>
    <row r="5282">
      <c r="A5282" s="18">
        <v>3406.0</v>
      </c>
      <c r="B5282" s="18" t="s">
        <v>30</v>
      </c>
      <c r="C5282" s="18" t="s">
        <v>34</v>
      </c>
      <c r="D5282" s="18" t="s">
        <v>35</v>
      </c>
      <c r="E5282" s="27">
        <v>42564.63909722222</v>
      </c>
      <c r="F5282" s="19">
        <f>IFERROR(__xludf.DUMMYFUNCTION("IFERROR(TO_DATE(E5282), """")"),42564.63909722222)</f>
        <v>42564.6391</v>
      </c>
      <c r="G5282" s="20">
        <f t="shared" si="1"/>
        <v>15</v>
      </c>
      <c r="H5282" s="18" t="s">
        <v>34</v>
      </c>
      <c r="I5282" s="19" t="str">
        <f>IFERROR(__xludf.DUMMYFUNCTION("IFERROR(TO_DATE(H5282), """")"),"NA")</f>
        <v>NA</v>
      </c>
      <c r="J5282" s="19" t="s">
        <v>10</v>
      </c>
      <c r="K5282" s="22">
        <f t="shared" si="2"/>
        <v>0</v>
      </c>
    </row>
    <row r="5283">
      <c r="A5283" s="18">
        <v>3410.0</v>
      </c>
      <c r="B5283" s="18" t="s">
        <v>30</v>
      </c>
      <c r="C5283" s="18" t="s">
        <v>34</v>
      </c>
      <c r="D5283" s="18" t="s">
        <v>35</v>
      </c>
      <c r="E5283" s="27">
        <v>42564.641909722224</v>
      </c>
      <c r="F5283" s="19">
        <f>IFERROR(__xludf.DUMMYFUNCTION("IFERROR(TO_DATE(E5283), """")"),42564.641909722224)</f>
        <v>42564.64191</v>
      </c>
      <c r="G5283" s="20">
        <f t="shared" si="1"/>
        <v>15</v>
      </c>
      <c r="H5283" s="18" t="s">
        <v>34</v>
      </c>
      <c r="I5283" s="19" t="str">
        <f>IFERROR(__xludf.DUMMYFUNCTION("IFERROR(TO_DATE(H5283), """")"),"NA")</f>
        <v>NA</v>
      </c>
      <c r="J5283" s="19" t="s">
        <v>10</v>
      </c>
      <c r="K5283" s="22">
        <f t="shared" si="2"/>
        <v>0</v>
      </c>
    </row>
    <row r="5284">
      <c r="A5284" s="18">
        <v>3409.0</v>
      </c>
      <c r="B5284" s="18" t="s">
        <v>32</v>
      </c>
      <c r="C5284" s="18" t="s">
        <v>34</v>
      </c>
      <c r="D5284" s="18" t="s">
        <v>35</v>
      </c>
      <c r="E5284" s="27">
        <v>42564.64278935185</v>
      </c>
      <c r="F5284" s="19">
        <f>IFERROR(__xludf.DUMMYFUNCTION("IFERROR(TO_DATE(E5284), """")"),42564.64278935185)</f>
        <v>42564.64279</v>
      </c>
      <c r="G5284" s="20">
        <f t="shared" si="1"/>
        <v>15</v>
      </c>
      <c r="H5284" s="18" t="s">
        <v>34</v>
      </c>
      <c r="I5284" s="19" t="str">
        <f>IFERROR(__xludf.DUMMYFUNCTION("IFERROR(TO_DATE(H5284), """")"),"NA")</f>
        <v>NA</v>
      </c>
      <c r="J5284" s="19" t="s">
        <v>10</v>
      </c>
      <c r="K5284" s="22">
        <f t="shared" si="2"/>
        <v>0</v>
      </c>
    </row>
    <row r="5285">
      <c r="A5285" s="18">
        <v>3417.0</v>
      </c>
      <c r="B5285" s="18" t="s">
        <v>32</v>
      </c>
      <c r="C5285" s="18" t="s">
        <v>34</v>
      </c>
      <c r="D5285" s="18" t="s">
        <v>35</v>
      </c>
      <c r="E5285" s="27">
        <v>42564.65369212963</v>
      </c>
      <c r="F5285" s="19">
        <f>IFERROR(__xludf.DUMMYFUNCTION("IFERROR(TO_DATE(E5285), """")"),42564.65369212963)</f>
        <v>42564.65369</v>
      </c>
      <c r="G5285" s="20">
        <f t="shared" si="1"/>
        <v>15</v>
      </c>
      <c r="H5285" s="18" t="s">
        <v>34</v>
      </c>
      <c r="I5285" s="19" t="str">
        <f>IFERROR(__xludf.DUMMYFUNCTION("IFERROR(TO_DATE(H5285), """")"),"NA")</f>
        <v>NA</v>
      </c>
      <c r="J5285" s="19" t="s">
        <v>10</v>
      </c>
      <c r="K5285" s="22">
        <f t="shared" si="2"/>
        <v>0</v>
      </c>
    </row>
    <row r="5286">
      <c r="A5286" s="18">
        <v>3426.0</v>
      </c>
      <c r="B5286" s="18" t="s">
        <v>32</v>
      </c>
      <c r="C5286" s="18" t="s">
        <v>34</v>
      </c>
      <c r="D5286" s="18" t="s">
        <v>35</v>
      </c>
      <c r="E5286" s="27">
        <v>42564.663981481484</v>
      </c>
      <c r="F5286" s="19">
        <f>IFERROR(__xludf.DUMMYFUNCTION("IFERROR(TO_DATE(E5286), """")"),42564.663981481484)</f>
        <v>42564.66398</v>
      </c>
      <c r="G5286" s="20">
        <f t="shared" si="1"/>
        <v>15</v>
      </c>
      <c r="H5286" s="18" t="s">
        <v>34</v>
      </c>
      <c r="I5286" s="19" t="str">
        <f>IFERROR(__xludf.DUMMYFUNCTION("IFERROR(TO_DATE(H5286), """")"),"NA")</f>
        <v>NA</v>
      </c>
      <c r="J5286" s="19" t="s">
        <v>10</v>
      </c>
      <c r="K5286" s="22">
        <f t="shared" si="2"/>
        <v>0</v>
      </c>
    </row>
    <row r="5287">
      <c r="A5287" s="18">
        <v>3435.0</v>
      </c>
      <c r="B5287" s="18" t="s">
        <v>32</v>
      </c>
      <c r="C5287" s="18" t="s">
        <v>34</v>
      </c>
      <c r="D5287" s="18" t="s">
        <v>35</v>
      </c>
      <c r="E5287" s="27">
        <v>42564.671747685185</v>
      </c>
      <c r="F5287" s="19">
        <f>IFERROR(__xludf.DUMMYFUNCTION("IFERROR(TO_DATE(E5287), """")"),42564.671747685185)</f>
        <v>42564.67175</v>
      </c>
      <c r="G5287" s="20">
        <f t="shared" si="1"/>
        <v>16</v>
      </c>
      <c r="H5287" s="18" t="s">
        <v>34</v>
      </c>
      <c r="I5287" s="19" t="str">
        <f>IFERROR(__xludf.DUMMYFUNCTION("IFERROR(TO_DATE(H5287), """")"),"NA")</f>
        <v>NA</v>
      </c>
      <c r="J5287" s="19" t="s">
        <v>12</v>
      </c>
      <c r="K5287" s="22">
        <f t="shared" si="2"/>
        <v>0</v>
      </c>
    </row>
    <row r="5288">
      <c r="A5288" s="18">
        <v>3439.0</v>
      </c>
      <c r="B5288" s="18" t="s">
        <v>32</v>
      </c>
      <c r="C5288" s="18" t="s">
        <v>34</v>
      </c>
      <c r="D5288" s="18" t="s">
        <v>35</v>
      </c>
      <c r="E5288" s="27">
        <v>42564.68035879629</v>
      </c>
      <c r="F5288" s="19">
        <f>IFERROR(__xludf.DUMMYFUNCTION("IFERROR(TO_DATE(E5288), """")"),42564.68035879629)</f>
        <v>42564.68036</v>
      </c>
      <c r="G5288" s="20">
        <f t="shared" si="1"/>
        <v>16</v>
      </c>
      <c r="H5288" s="18" t="s">
        <v>34</v>
      </c>
      <c r="I5288" s="19" t="str">
        <f>IFERROR(__xludf.DUMMYFUNCTION("IFERROR(TO_DATE(H5288), """")"),"NA")</f>
        <v>NA</v>
      </c>
      <c r="J5288" s="19" t="s">
        <v>12</v>
      </c>
      <c r="K5288" s="22">
        <f t="shared" si="2"/>
        <v>0</v>
      </c>
    </row>
    <row r="5289">
      <c r="A5289" s="18">
        <v>3442.0</v>
      </c>
      <c r="B5289" s="18" t="s">
        <v>32</v>
      </c>
      <c r="C5289" s="18" t="s">
        <v>34</v>
      </c>
      <c r="D5289" s="18" t="s">
        <v>35</v>
      </c>
      <c r="E5289" s="27">
        <v>42564.68729166667</v>
      </c>
      <c r="F5289" s="19">
        <f>IFERROR(__xludf.DUMMYFUNCTION("IFERROR(TO_DATE(E5289), """")"),42564.68729166667)</f>
        <v>42564.68729</v>
      </c>
      <c r="G5289" s="20">
        <f t="shared" si="1"/>
        <v>16</v>
      </c>
      <c r="H5289" s="18" t="s">
        <v>34</v>
      </c>
      <c r="I5289" s="19" t="str">
        <f>IFERROR(__xludf.DUMMYFUNCTION("IFERROR(TO_DATE(H5289), """")"),"NA")</f>
        <v>NA</v>
      </c>
      <c r="J5289" s="19" t="s">
        <v>12</v>
      </c>
      <c r="K5289" s="22">
        <f t="shared" si="2"/>
        <v>0</v>
      </c>
    </row>
    <row r="5290">
      <c r="A5290" s="18">
        <v>3443.0</v>
      </c>
      <c r="B5290" s="18" t="s">
        <v>32</v>
      </c>
      <c r="C5290" s="18" t="s">
        <v>34</v>
      </c>
      <c r="D5290" s="18" t="s">
        <v>35</v>
      </c>
      <c r="E5290" s="27">
        <v>42564.69126157407</v>
      </c>
      <c r="F5290" s="19">
        <f>IFERROR(__xludf.DUMMYFUNCTION("IFERROR(TO_DATE(E5290), """")"),42564.69126157407)</f>
        <v>42564.69126</v>
      </c>
      <c r="G5290" s="20">
        <f t="shared" si="1"/>
        <v>16</v>
      </c>
      <c r="H5290" s="18" t="s">
        <v>34</v>
      </c>
      <c r="I5290" s="19" t="str">
        <f>IFERROR(__xludf.DUMMYFUNCTION("IFERROR(TO_DATE(H5290), """")"),"NA")</f>
        <v>NA</v>
      </c>
      <c r="J5290" s="19" t="s">
        <v>12</v>
      </c>
      <c r="K5290" s="22">
        <f t="shared" si="2"/>
        <v>0</v>
      </c>
    </row>
    <row r="5291">
      <c r="A5291" s="18">
        <v>3447.0</v>
      </c>
      <c r="B5291" s="18" t="s">
        <v>32</v>
      </c>
      <c r="C5291" s="18" t="s">
        <v>34</v>
      </c>
      <c r="D5291" s="18" t="s">
        <v>35</v>
      </c>
      <c r="E5291" s="27">
        <v>42564.6962037037</v>
      </c>
      <c r="F5291" s="19">
        <f>IFERROR(__xludf.DUMMYFUNCTION("IFERROR(TO_DATE(E5291), """")"),42564.6962037037)</f>
        <v>42564.6962</v>
      </c>
      <c r="G5291" s="20">
        <f t="shared" si="1"/>
        <v>16</v>
      </c>
      <c r="H5291" s="18" t="s">
        <v>34</v>
      </c>
      <c r="I5291" s="19" t="str">
        <f>IFERROR(__xludf.DUMMYFUNCTION("IFERROR(TO_DATE(H5291), """")"),"NA")</f>
        <v>NA</v>
      </c>
      <c r="J5291" s="19" t="s">
        <v>12</v>
      </c>
      <c r="K5291" s="22">
        <f t="shared" si="2"/>
        <v>0</v>
      </c>
    </row>
    <row r="5292">
      <c r="A5292" s="18">
        <v>3463.0</v>
      </c>
      <c r="B5292" s="18" t="s">
        <v>30</v>
      </c>
      <c r="C5292" s="18" t="s">
        <v>34</v>
      </c>
      <c r="D5292" s="18" t="s">
        <v>35</v>
      </c>
      <c r="E5292" s="27">
        <v>42564.71413194444</v>
      </c>
      <c r="F5292" s="19">
        <f>IFERROR(__xludf.DUMMYFUNCTION("IFERROR(TO_DATE(E5292), """")"),42564.71413194444)</f>
        <v>42564.71413</v>
      </c>
      <c r="G5292" s="20">
        <f t="shared" si="1"/>
        <v>17</v>
      </c>
      <c r="H5292" s="18" t="s">
        <v>34</v>
      </c>
      <c r="I5292" s="19" t="str">
        <f>IFERROR(__xludf.DUMMYFUNCTION("IFERROR(TO_DATE(H5292), """")"),"NA")</f>
        <v>NA</v>
      </c>
      <c r="J5292" s="19" t="s">
        <v>12</v>
      </c>
      <c r="K5292" s="22">
        <f t="shared" si="2"/>
        <v>0</v>
      </c>
    </row>
    <row r="5293">
      <c r="A5293" s="18">
        <v>3464.0</v>
      </c>
      <c r="B5293" s="18" t="s">
        <v>30</v>
      </c>
      <c r="C5293" s="18" t="s">
        <v>34</v>
      </c>
      <c r="D5293" s="18" t="s">
        <v>35</v>
      </c>
      <c r="E5293" s="27">
        <v>42564.71606481481</v>
      </c>
      <c r="F5293" s="19">
        <f>IFERROR(__xludf.DUMMYFUNCTION("IFERROR(TO_DATE(E5293), """")"),42564.71606481481)</f>
        <v>42564.71606</v>
      </c>
      <c r="G5293" s="20">
        <f t="shared" si="1"/>
        <v>17</v>
      </c>
      <c r="H5293" s="18" t="s">
        <v>34</v>
      </c>
      <c r="I5293" s="19" t="str">
        <f>IFERROR(__xludf.DUMMYFUNCTION("IFERROR(TO_DATE(H5293), """")"),"NA")</f>
        <v>NA</v>
      </c>
      <c r="J5293" s="19" t="s">
        <v>12</v>
      </c>
      <c r="K5293" s="22">
        <f t="shared" si="2"/>
        <v>0</v>
      </c>
    </row>
    <row r="5294">
      <c r="A5294" s="18">
        <v>3473.0</v>
      </c>
      <c r="B5294" s="18" t="s">
        <v>30</v>
      </c>
      <c r="C5294" s="18" t="s">
        <v>34</v>
      </c>
      <c r="D5294" s="18" t="s">
        <v>35</v>
      </c>
      <c r="E5294" s="27">
        <v>42564.717673611114</v>
      </c>
      <c r="F5294" s="19">
        <f>IFERROR(__xludf.DUMMYFUNCTION("IFERROR(TO_DATE(E5294), """")"),42564.717673611114)</f>
        <v>42564.71767</v>
      </c>
      <c r="G5294" s="20">
        <f t="shared" si="1"/>
        <v>17</v>
      </c>
      <c r="H5294" s="18" t="s">
        <v>34</v>
      </c>
      <c r="I5294" s="19" t="str">
        <f>IFERROR(__xludf.DUMMYFUNCTION("IFERROR(TO_DATE(H5294), """")"),"NA")</f>
        <v>NA</v>
      </c>
      <c r="J5294" s="19" t="s">
        <v>12</v>
      </c>
      <c r="K5294" s="22">
        <f t="shared" si="2"/>
        <v>0</v>
      </c>
    </row>
    <row r="5295">
      <c r="A5295" s="18">
        <v>3470.0</v>
      </c>
      <c r="B5295" s="18" t="s">
        <v>30</v>
      </c>
      <c r="C5295" s="18" t="s">
        <v>34</v>
      </c>
      <c r="D5295" s="18" t="s">
        <v>35</v>
      </c>
      <c r="E5295" s="27">
        <v>42564.719409722224</v>
      </c>
      <c r="F5295" s="19">
        <f>IFERROR(__xludf.DUMMYFUNCTION("IFERROR(TO_DATE(E5295), """")"),42564.719409722224)</f>
        <v>42564.71941</v>
      </c>
      <c r="G5295" s="20">
        <f t="shared" si="1"/>
        <v>17</v>
      </c>
      <c r="H5295" s="18" t="s">
        <v>34</v>
      </c>
      <c r="I5295" s="19" t="str">
        <f>IFERROR(__xludf.DUMMYFUNCTION("IFERROR(TO_DATE(H5295), """")"),"NA")</f>
        <v>NA</v>
      </c>
      <c r="J5295" s="19" t="s">
        <v>12</v>
      </c>
      <c r="K5295" s="22">
        <f t="shared" si="2"/>
        <v>0</v>
      </c>
    </row>
    <row r="5296">
      <c r="A5296" s="18">
        <v>3474.0</v>
      </c>
      <c r="B5296" s="18" t="s">
        <v>30</v>
      </c>
      <c r="C5296" s="18" t="s">
        <v>34</v>
      </c>
      <c r="D5296" s="18" t="s">
        <v>35</v>
      </c>
      <c r="E5296" s="27">
        <v>42564.721134259256</v>
      </c>
      <c r="F5296" s="19">
        <f>IFERROR(__xludf.DUMMYFUNCTION("IFERROR(TO_DATE(E5296), """")"),42564.721134259256)</f>
        <v>42564.72113</v>
      </c>
      <c r="G5296" s="20">
        <f t="shared" si="1"/>
        <v>17</v>
      </c>
      <c r="H5296" s="18" t="s">
        <v>34</v>
      </c>
      <c r="I5296" s="19" t="str">
        <f>IFERROR(__xludf.DUMMYFUNCTION("IFERROR(TO_DATE(H5296), """")"),"NA")</f>
        <v>NA</v>
      </c>
      <c r="J5296" s="19" t="s">
        <v>12</v>
      </c>
      <c r="K5296" s="22">
        <f t="shared" si="2"/>
        <v>0</v>
      </c>
    </row>
    <row r="5297">
      <c r="A5297" s="18">
        <v>3467.0</v>
      </c>
      <c r="B5297" s="18" t="s">
        <v>30</v>
      </c>
      <c r="C5297" s="18" t="s">
        <v>34</v>
      </c>
      <c r="D5297" s="18" t="s">
        <v>35</v>
      </c>
      <c r="E5297" s="27">
        <v>42564.722037037034</v>
      </c>
      <c r="F5297" s="19">
        <f>IFERROR(__xludf.DUMMYFUNCTION("IFERROR(TO_DATE(E5297), """")"),42564.722037037034)</f>
        <v>42564.72204</v>
      </c>
      <c r="G5297" s="20">
        <f t="shared" si="1"/>
        <v>17</v>
      </c>
      <c r="H5297" s="18" t="s">
        <v>34</v>
      </c>
      <c r="I5297" s="19" t="str">
        <f>IFERROR(__xludf.DUMMYFUNCTION("IFERROR(TO_DATE(H5297), """")"),"NA")</f>
        <v>NA</v>
      </c>
      <c r="J5297" s="19" t="s">
        <v>12</v>
      </c>
      <c r="K5297" s="22">
        <f t="shared" si="2"/>
        <v>0</v>
      </c>
    </row>
    <row r="5298">
      <c r="A5298" s="18">
        <v>3481.0</v>
      </c>
      <c r="B5298" s="18" t="s">
        <v>30</v>
      </c>
      <c r="C5298" s="18" t="s">
        <v>34</v>
      </c>
      <c r="D5298" s="18" t="s">
        <v>35</v>
      </c>
      <c r="E5298" s="27">
        <v>42564.72252314815</v>
      </c>
      <c r="F5298" s="19">
        <f>IFERROR(__xludf.DUMMYFUNCTION("IFERROR(TO_DATE(E5298), """")"),42564.72252314815)</f>
        <v>42564.72252</v>
      </c>
      <c r="G5298" s="20">
        <f t="shared" si="1"/>
        <v>17</v>
      </c>
      <c r="H5298" s="18" t="s">
        <v>34</v>
      </c>
      <c r="I5298" s="19" t="str">
        <f>IFERROR(__xludf.DUMMYFUNCTION("IFERROR(TO_DATE(H5298), """")"),"NA")</f>
        <v>NA</v>
      </c>
      <c r="J5298" s="19" t="s">
        <v>12</v>
      </c>
      <c r="K5298" s="22">
        <f t="shared" si="2"/>
        <v>0</v>
      </c>
    </row>
    <row r="5299">
      <c r="A5299" s="18">
        <v>3479.0</v>
      </c>
      <c r="B5299" s="18" t="s">
        <v>30</v>
      </c>
      <c r="C5299" s="18" t="s">
        <v>34</v>
      </c>
      <c r="D5299" s="18" t="s">
        <v>35</v>
      </c>
      <c r="E5299" s="27">
        <v>42564.722604166665</v>
      </c>
      <c r="F5299" s="19">
        <f>IFERROR(__xludf.DUMMYFUNCTION("IFERROR(TO_DATE(E5299), """")"),42564.722604166665)</f>
        <v>42564.7226</v>
      </c>
      <c r="G5299" s="20">
        <f t="shared" si="1"/>
        <v>17</v>
      </c>
      <c r="H5299" s="18" t="s">
        <v>34</v>
      </c>
      <c r="I5299" s="19" t="str">
        <f>IFERROR(__xludf.DUMMYFUNCTION("IFERROR(TO_DATE(H5299), """")"),"NA")</f>
        <v>NA</v>
      </c>
      <c r="J5299" s="19" t="s">
        <v>12</v>
      </c>
      <c r="K5299" s="22">
        <f t="shared" si="2"/>
        <v>0</v>
      </c>
    </row>
    <row r="5300">
      <c r="A5300" s="18">
        <v>3487.0</v>
      </c>
      <c r="B5300" s="18" t="s">
        <v>30</v>
      </c>
      <c r="C5300" s="18" t="s">
        <v>34</v>
      </c>
      <c r="D5300" s="18" t="s">
        <v>35</v>
      </c>
      <c r="E5300" s="27">
        <v>42564.72289351852</v>
      </c>
      <c r="F5300" s="19">
        <f>IFERROR(__xludf.DUMMYFUNCTION("IFERROR(TO_DATE(E5300), """")"),42564.72289351852)</f>
        <v>42564.72289</v>
      </c>
      <c r="G5300" s="20">
        <f t="shared" si="1"/>
        <v>17</v>
      </c>
      <c r="H5300" s="18" t="s">
        <v>34</v>
      </c>
      <c r="I5300" s="19" t="str">
        <f>IFERROR(__xludf.DUMMYFUNCTION("IFERROR(TO_DATE(H5300), """")"),"NA")</f>
        <v>NA</v>
      </c>
      <c r="J5300" s="19" t="s">
        <v>12</v>
      </c>
      <c r="K5300" s="22">
        <f t="shared" si="2"/>
        <v>0</v>
      </c>
    </row>
    <row r="5301">
      <c r="A5301" s="18">
        <v>3476.0</v>
      </c>
      <c r="B5301" s="18" t="s">
        <v>30</v>
      </c>
      <c r="C5301" s="18" t="s">
        <v>34</v>
      </c>
      <c r="D5301" s="18" t="s">
        <v>35</v>
      </c>
      <c r="E5301" s="27">
        <v>42564.72430555556</v>
      </c>
      <c r="F5301" s="19">
        <f>IFERROR(__xludf.DUMMYFUNCTION("IFERROR(TO_DATE(E5301), """")"),42564.72430555556)</f>
        <v>42564.72431</v>
      </c>
      <c r="G5301" s="20">
        <f t="shared" si="1"/>
        <v>17</v>
      </c>
      <c r="H5301" s="18" t="s">
        <v>34</v>
      </c>
      <c r="I5301" s="19" t="str">
        <f>IFERROR(__xludf.DUMMYFUNCTION("IFERROR(TO_DATE(H5301), """")"),"NA")</f>
        <v>NA</v>
      </c>
      <c r="J5301" s="19" t="s">
        <v>12</v>
      </c>
      <c r="K5301" s="22">
        <f t="shared" si="2"/>
        <v>0</v>
      </c>
    </row>
    <row r="5302">
      <c r="A5302" s="18">
        <v>3484.0</v>
      </c>
      <c r="B5302" s="18" t="s">
        <v>32</v>
      </c>
      <c r="C5302" s="18" t="s">
        <v>34</v>
      </c>
      <c r="D5302" s="18" t="s">
        <v>35</v>
      </c>
      <c r="E5302" s="27">
        <v>42564.72571759259</v>
      </c>
      <c r="F5302" s="19">
        <f>IFERROR(__xludf.DUMMYFUNCTION("IFERROR(TO_DATE(E5302), """")"),42564.72571759259)</f>
        <v>42564.72572</v>
      </c>
      <c r="G5302" s="20">
        <f t="shared" si="1"/>
        <v>17</v>
      </c>
      <c r="H5302" s="18" t="s">
        <v>34</v>
      </c>
      <c r="I5302" s="19" t="str">
        <f>IFERROR(__xludf.DUMMYFUNCTION("IFERROR(TO_DATE(H5302), """")"),"NA")</f>
        <v>NA</v>
      </c>
      <c r="J5302" s="19" t="s">
        <v>12</v>
      </c>
      <c r="K5302" s="22">
        <f t="shared" si="2"/>
        <v>0</v>
      </c>
    </row>
    <row r="5303">
      <c r="A5303" s="18">
        <v>3491.0</v>
      </c>
      <c r="B5303" s="18" t="s">
        <v>30</v>
      </c>
      <c r="C5303" s="18" t="s">
        <v>34</v>
      </c>
      <c r="D5303" s="18" t="s">
        <v>35</v>
      </c>
      <c r="E5303" s="27">
        <v>42564.72721064815</v>
      </c>
      <c r="F5303" s="19">
        <f>IFERROR(__xludf.DUMMYFUNCTION("IFERROR(TO_DATE(E5303), """")"),42564.72721064815)</f>
        <v>42564.72721</v>
      </c>
      <c r="G5303" s="20">
        <f t="shared" si="1"/>
        <v>17</v>
      </c>
      <c r="H5303" s="18" t="s">
        <v>34</v>
      </c>
      <c r="I5303" s="19" t="str">
        <f>IFERROR(__xludf.DUMMYFUNCTION("IFERROR(TO_DATE(H5303), """")"),"NA")</f>
        <v>NA</v>
      </c>
      <c r="J5303" s="19" t="s">
        <v>12</v>
      </c>
      <c r="K5303" s="22">
        <f t="shared" si="2"/>
        <v>0</v>
      </c>
    </row>
    <row r="5304">
      <c r="A5304" s="18">
        <v>3488.0</v>
      </c>
      <c r="B5304" s="18" t="s">
        <v>30</v>
      </c>
      <c r="C5304" s="18" t="s">
        <v>34</v>
      </c>
      <c r="D5304" s="18" t="s">
        <v>35</v>
      </c>
      <c r="E5304" s="27">
        <v>42564.72740740741</v>
      </c>
      <c r="F5304" s="19">
        <f>IFERROR(__xludf.DUMMYFUNCTION("IFERROR(TO_DATE(E5304), """")"),42564.72740740741)</f>
        <v>42564.72741</v>
      </c>
      <c r="G5304" s="20">
        <f t="shared" si="1"/>
        <v>17</v>
      </c>
      <c r="H5304" s="18" t="s">
        <v>34</v>
      </c>
      <c r="I5304" s="19" t="str">
        <f>IFERROR(__xludf.DUMMYFUNCTION("IFERROR(TO_DATE(H5304), """")"),"NA")</f>
        <v>NA</v>
      </c>
      <c r="J5304" s="19" t="s">
        <v>12</v>
      </c>
      <c r="K5304" s="22">
        <f t="shared" si="2"/>
        <v>0</v>
      </c>
    </row>
    <row r="5305">
      <c r="A5305" s="18">
        <v>3490.0</v>
      </c>
      <c r="B5305" s="18" t="s">
        <v>30</v>
      </c>
      <c r="C5305" s="18" t="s">
        <v>34</v>
      </c>
      <c r="D5305" s="18" t="s">
        <v>35</v>
      </c>
      <c r="E5305" s="27">
        <v>42564.72746527778</v>
      </c>
      <c r="F5305" s="19">
        <f>IFERROR(__xludf.DUMMYFUNCTION("IFERROR(TO_DATE(E5305), """")"),42564.72746527778)</f>
        <v>42564.72747</v>
      </c>
      <c r="G5305" s="20">
        <f t="shared" si="1"/>
        <v>17</v>
      </c>
      <c r="H5305" s="18" t="s">
        <v>34</v>
      </c>
      <c r="I5305" s="19" t="str">
        <f>IFERROR(__xludf.DUMMYFUNCTION("IFERROR(TO_DATE(H5305), """")"),"NA")</f>
        <v>NA</v>
      </c>
      <c r="J5305" s="19" t="s">
        <v>12</v>
      </c>
      <c r="K5305" s="22">
        <f t="shared" si="2"/>
        <v>0</v>
      </c>
    </row>
    <row r="5306">
      <c r="A5306" s="18">
        <v>3493.0</v>
      </c>
      <c r="B5306" s="18" t="s">
        <v>30</v>
      </c>
      <c r="C5306" s="18" t="s">
        <v>34</v>
      </c>
      <c r="D5306" s="18" t="s">
        <v>35</v>
      </c>
      <c r="E5306" s="27">
        <v>42564.72824074074</v>
      </c>
      <c r="F5306" s="19">
        <f>IFERROR(__xludf.DUMMYFUNCTION("IFERROR(TO_DATE(E5306), """")"),42564.72824074074)</f>
        <v>42564.72824</v>
      </c>
      <c r="G5306" s="20">
        <f t="shared" si="1"/>
        <v>17</v>
      </c>
      <c r="H5306" s="18" t="s">
        <v>34</v>
      </c>
      <c r="I5306" s="19" t="str">
        <f>IFERROR(__xludf.DUMMYFUNCTION("IFERROR(TO_DATE(H5306), """")"),"NA")</f>
        <v>NA</v>
      </c>
      <c r="J5306" s="19" t="s">
        <v>12</v>
      </c>
      <c r="K5306" s="22">
        <f t="shared" si="2"/>
        <v>0</v>
      </c>
    </row>
    <row r="5307">
      <c r="A5307" s="18">
        <v>3492.0</v>
      </c>
      <c r="B5307" s="18" t="s">
        <v>30</v>
      </c>
      <c r="C5307" s="18" t="s">
        <v>34</v>
      </c>
      <c r="D5307" s="18" t="s">
        <v>35</v>
      </c>
      <c r="E5307" s="27">
        <v>42564.728784722225</v>
      </c>
      <c r="F5307" s="19">
        <f>IFERROR(__xludf.DUMMYFUNCTION("IFERROR(TO_DATE(E5307), """")"),42564.728784722225)</f>
        <v>42564.72878</v>
      </c>
      <c r="G5307" s="20">
        <f t="shared" si="1"/>
        <v>17</v>
      </c>
      <c r="H5307" s="18" t="s">
        <v>34</v>
      </c>
      <c r="I5307" s="19" t="str">
        <f>IFERROR(__xludf.DUMMYFUNCTION("IFERROR(TO_DATE(H5307), """")"),"NA")</f>
        <v>NA</v>
      </c>
      <c r="J5307" s="19" t="s">
        <v>12</v>
      </c>
      <c r="K5307" s="22">
        <f t="shared" si="2"/>
        <v>0</v>
      </c>
    </row>
    <row r="5308">
      <c r="A5308" s="18">
        <v>3480.0</v>
      </c>
      <c r="B5308" s="18" t="s">
        <v>30</v>
      </c>
      <c r="C5308" s="18" t="s">
        <v>34</v>
      </c>
      <c r="D5308" s="18" t="s">
        <v>35</v>
      </c>
      <c r="E5308" s="27">
        <v>42564.729050925926</v>
      </c>
      <c r="F5308" s="19">
        <f>IFERROR(__xludf.DUMMYFUNCTION("IFERROR(TO_DATE(E5308), """")"),42564.729050925926)</f>
        <v>42564.72905</v>
      </c>
      <c r="G5308" s="20">
        <f t="shared" si="1"/>
        <v>17</v>
      </c>
      <c r="H5308" s="18" t="s">
        <v>34</v>
      </c>
      <c r="I5308" s="19" t="str">
        <f>IFERROR(__xludf.DUMMYFUNCTION("IFERROR(TO_DATE(H5308), """")"),"NA")</f>
        <v>NA</v>
      </c>
      <c r="J5308" s="19" t="s">
        <v>12</v>
      </c>
      <c r="K5308" s="22">
        <f t="shared" si="2"/>
        <v>0</v>
      </c>
    </row>
    <row r="5309">
      <c r="A5309" s="18">
        <v>3489.0</v>
      </c>
      <c r="B5309" s="18" t="s">
        <v>30</v>
      </c>
      <c r="C5309" s="18" t="s">
        <v>34</v>
      </c>
      <c r="D5309" s="18" t="s">
        <v>35</v>
      </c>
      <c r="E5309" s="27">
        <v>42564.73033564815</v>
      </c>
      <c r="F5309" s="19">
        <f>IFERROR(__xludf.DUMMYFUNCTION("IFERROR(TO_DATE(E5309), """")"),42564.73033564815)</f>
        <v>42564.73034</v>
      </c>
      <c r="G5309" s="20">
        <f t="shared" si="1"/>
        <v>17</v>
      </c>
      <c r="H5309" s="18" t="s">
        <v>34</v>
      </c>
      <c r="I5309" s="19" t="str">
        <f>IFERROR(__xludf.DUMMYFUNCTION("IFERROR(TO_DATE(H5309), """")"),"NA")</f>
        <v>NA</v>
      </c>
      <c r="J5309" s="19" t="s">
        <v>12</v>
      </c>
      <c r="K5309" s="22">
        <f t="shared" si="2"/>
        <v>0</v>
      </c>
    </row>
    <row r="5310">
      <c r="A5310" s="18">
        <v>3502.0</v>
      </c>
      <c r="B5310" s="18" t="s">
        <v>30</v>
      </c>
      <c r="C5310" s="18" t="s">
        <v>34</v>
      </c>
      <c r="D5310" s="18" t="s">
        <v>35</v>
      </c>
      <c r="E5310" s="27">
        <v>42564.730578703704</v>
      </c>
      <c r="F5310" s="19">
        <f>IFERROR(__xludf.DUMMYFUNCTION("IFERROR(TO_DATE(E5310), """")"),42564.730578703704)</f>
        <v>42564.73058</v>
      </c>
      <c r="G5310" s="20">
        <f t="shared" si="1"/>
        <v>17</v>
      </c>
      <c r="H5310" s="18" t="s">
        <v>34</v>
      </c>
      <c r="I5310" s="19" t="str">
        <f>IFERROR(__xludf.DUMMYFUNCTION("IFERROR(TO_DATE(H5310), """")"),"NA")</f>
        <v>NA</v>
      </c>
      <c r="J5310" s="19" t="s">
        <v>12</v>
      </c>
      <c r="K5310" s="22">
        <f t="shared" si="2"/>
        <v>0</v>
      </c>
    </row>
    <row r="5311">
      <c r="A5311" s="18">
        <v>3494.0</v>
      </c>
      <c r="B5311" s="18" t="s">
        <v>30</v>
      </c>
      <c r="C5311" s="18" t="s">
        <v>34</v>
      </c>
      <c r="D5311" s="18" t="s">
        <v>35</v>
      </c>
      <c r="E5311" s="27">
        <v>42564.73165509259</v>
      </c>
      <c r="F5311" s="19">
        <f>IFERROR(__xludf.DUMMYFUNCTION("IFERROR(TO_DATE(E5311), """")"),42564.73165509259)</f>
        <v>42564.73166</v>
      </c>
      <c r="G5311" s="20">
        <f t="shared" si="1"/>
        <v>17</v>
      </c>
      <c r="H5311" s="18" t="s">
        <v>34</v>
      </c>
      <c r="I5311" s="19" t="str">
        <f>IFERROR(__xludf.DUMMYFUNCTION("IFERROR(TO_DATE(H5311), """")"),"NA")</f>
        <v>NA</v>
      </c>
      <c r="J5311" s="19" t="s">
        <v>12</v>
      </c>
      <c r="K5311" s="22">
        <f t="shared" si="2"/>
        <v>0</v>
      </c>
    </row>
    <row r="5312">
      <c r="A5312" s="18">
        <v>3501.0</v>
      </c>
      <c r="B5312" s="18" t="s">
        <v>30</v>
      </c>
      <c r="C5312" s="18" t="s">
        <v>34</v>
      </c>
      <c r="D5312" s="18" t="s">
        <v>35</v>
      </c>
      <c r="E5312" s="27">
        <v>42564.73337962963</v>
      </c>
      <c r="F5312" s="19">
        <f>IFERROR(__xludf.DUMMYFUNCTION("IFERROR(TO_DATE(E5312), """")"),42564.73337962963)</f>
        <v>42564.73338</v>
      </c>
      <c r="G5312" s="20">
        <f t="shared" si="1"/>
        <v>17</v>
      </c>
      <c r="H5312" s="18" t="s">
        <v>34</v>
      </c>
      <c r="I5312" s="19" t="str">
        <f>IFERROR(__xludf.DUMMYFUNCTION("IFERROR(TO_DATE(H5312), """")"),"NA")</f>
        <v>NA</v>
      </c>
      <c r="J5312" s="19" t="s">
        <v>12</v>
      </c>
      <c r="K5312" s="22">
        <f t="shared" si="2"/>
        <v>0</v>
      </c>
    </row>
    <row r="5313">
      <c r="A5313" s="18">
        <v>3503.0</v>
      </c>
      <c r="B5313" s="18" t="s">
        <v>30</v>
      </c>
      <c r="C5313" s="18" t="s">
        <v>34</v>
      </c>
      <c r="D5313" s="18" t="s">
        <v>35</v>
      </c>
      <c r="E5313" s="27">
        <v>42564.73537037037</v>
      </c>
      <c r="F5313" s="19">
        <f>IFERROR(__xludf.DUMMYFUNCTION("IFERROR(TO_DATE(E5313), """")"),42564.73537037037)</f>
        <v>42564.73537</v>
      </c>
      <c r="G5313" s="20">
        <f t="shared" si="1"/>
        <v>17</v>
      </c>
      <c r="H5313" s="18" t="s">
        <v>34</v>
      </c>
      <c r="I5313" s="19" t="str">
        <f>IFERROR(__xludf.DUMMYFUNCTION("IFERROR(TO_DATE(H5313), """")"),"NA")</f>
        <v>NA</v>
      </c>
      <c r="J5313" s="19" t="s">
        <v>12</v>
      </c>
      <c r="K5313" s="22">
        <f t="shared" si="2"/>
        <v>0</v>
      </c>
    </row>
    <row r="5314">
      <c r="A5314" s="18">
        <v>3509.0</v>
      </c>
      <c r="B5314" s="18" t="s">
        <v>30</v>
      </c>
      <c r="C5314" s="18" t="s">
        <v>34</v>
      </c>
      <c r="D5314" s="18" t="s">
        <v>35</v>
      </c>
      <c r="E5314" s="27">
        <v>42564.73571759259</v>
      </c>
      <c r="F5314" s="19">
        <f>IFERROR(__xludf.DUMMYFUNCTION("IFERROR(TO_DATE(E5314), """")"),42564.73571759259)</f>
        <v>42564.73572</v>
      </c>
      <c r="G5314" s="20">
        <f t="shared" si="1"/>
        <v>17</v>
      </c>
      <c r="H5314" s="18" t="s">
        <v>34</v>
      </c>
      <c r="I5314" s="19" t="str">
        <f>IFERROR(__xludf.DUMMYFUNCTION("IFERROR(TO_DATE(H5314), """")"),"NA")</f>
        <v>NA</v>
      </c>
      <c r="J5314" s="19" t="s">
        <v>12</v>
      </c>
      <c r="K5314" s="22">
        <f t="shared" si="2"/>
        <v>0</v>
      </c>
    </row>
    <row r="5315">
      <c r="A5315" s="18">
        <v>3504.0</v>
      </c>
      <c r="B5315" s="18" t="s">
        <v>30</v>
      </c>
      <c r="C5315" s="18" t="s">
        <v>34</v>
      </c>
      <c r="D5315" s="18" t="s">
        <v>35</v>
      </c>
      <c r="E5315" s="27">
        <v>42564.73684027778</v>
      </c>
      <c r="F5315" s="19">
        <f>IFERROR(__xludf.DUMMYFUNCTION("IFERROR(TO_DATE(E5315), """")"),42564.73684027778)</f>
        <v>42564.73684</v>
      </c>
      <c r="G5315" s="20">
        <f t="shared" si="1"/>
        <v>17</v>
      </c>
      <c r="H5315" s="18" t="s">
        <v>34</v>
      </c>
      <c r="I5315" s="19" t="str">
        <f>IFERROR(__xludf.DUMMYFUNCTION("IFERROR(TO_DATE(H5315), """")"),"NA")</f>
        <v>NA</v>
      </c>
      <c r="J5315" s="19" t="s">
        <v>12</v>
      </c>
      <c r="K5315" s="22">
        <f t="shared" si="2"/>
        <v>0</v>
      </c>
    </row>
    <row r="5316">
      <c r="A5316" s="18">
        <v>3512.0</v>
      </c>
      <c r="B5316" s="18" t="s">
        <v>30</v>
      </c>
      <c r="C5316" s="18" t="s">
        <v>34</v>
      </c>
      <c r="D5316" s="18" t="s">
        <v>35</v>
      </c>
      <c r="E5316" s="27">
        <v>42564.736921296295</v>
      </c>
      <c r="F5316" s="19">
        <f>IFERROR(__xludf.DUMMYFUNCTION("IFERROR(TO_DATE(E5316), """")"),42564.736921296295)</f>
        <v>42564.73692</v>
      </c>
      <c r="G5316" s="20">
        <f t="shared" si="1"/>
        <v>17</v>
      </c>
      <c r="H5316" s="18" t="s">
        <v>34</v>
      </c>
      <c r="I5316" s="19" t="str">
        <f>IFERROR(__xludf.DUMMYFUNCTION("IFERROR(TO_DATE(H5316), """")"),"NA")</f>
        <v>NA</v>
      </c>
      <c r="J5316" s="19" t="s">
        <v>12</v>
      </c>
      <c r="K5316" s="22">
        <f t="shared" si="2"/>
        <v>0</v>
      </c>
    </row>
    <row r="5317">
      <c r="A5317" s="18">
        <v>3519.0</v>
      </c>
      <c r="B5317" s="18" t="s">
        <v>30</v>
      </c>
      <c r="C5317" s="18" t="s">
        <v>34</v>
      </c>
      <c r="D5317" s="18" t="s">
        <v>35</v>
      </c>
      <c r="E5317" s="27">
        <v>42564.73732638889</v>
      </c>
      <c r="F5317" s="19">
        <f>IFERROR(__xludf.DUMMYFUNCTION("IFERROR(TO_DATE(E5317), """")"),42564.73732638889)</f>
        <v>42564.73733</v>
      </c>
      <c r="G5317" s="20">
        <f t="shared" si="1"/>
        <v>17</v>
      </c>
      <c r="H5317" s="18" t="s">
        <v>34</v>
      </c>
      <c r="I5317" s="19" t="str">
        <f>IFERROR(__xludf.DUMMYFUNCTION("IFERROR(TO_DATE(H5317), """")"),"NA")</f>
        <v>NA</v>
      </c>
      <c r="J5317" s="19" t="s">
        <v>12</v>
      </c>
      <c r="K5317" s="22">
        <f t="shared" si="2"/>
        <v>0</v>
      </c>
    </row>
    <row r="5318">
      <c r="A5318" s="18">
        <v>3516.0</v>
      </c>
      <c r="B5318" s="18" t="s">
        <v>30</v>
      </c>
      <c r="C5318" s="18" t="s">
        <v>34</v>
      </c>
      <c r="D5318" s="18" t="s">
        <v>35</v>
      </c>
      <c r="E5318" s="27">
        <v>42564.73736111111</v>
      </c>
      <c r="F5318" s="19">
        <f>IFERROR(__xludf.DUMMYFUNCTION("IFERROR(TO_DATE(E5318), """")"),42564.73736111111)</f>
        <v>42564.73736</v>
      </c>
      <c r="G5318" s="20">
        <f t="shared" si="1"/>
        <v>17</v>
      </c>
      <c r="H5318" s="18" t="s">
        <v>34</v>
      </c>
      <c r="I5318" s="19" t="str">
        <f>IFERROR(__xludf.DUMMYFUNCTION("IFERROR(TO_DATE(H5318), """")"),"NA")</f>
        <v>NA</v>
      </c>
      <c r="J5318" s="19" t="s">
        <v>12</v>
      </c>
      <c r="K5318" s="22">
        <f t="shared" si="2"/>
        <v>0</v>
      </c>
    </row>
    <row r="5319">
      <c r="A5319" s="18">
        <v>3513.0</v>
      </c>
      <c r="B5319" s="18" t="s">
        <v>30</v>
      </c>
      <c r="C5319" s="18" t="s">
        <v>34</v>
      </c>
      <c r="D5319" s="18" t="s">
        <v>35</v>
      </c>
      <c r="E5319" s="27">
        <v>42564.737592592595</v>
      </c>
      <c r="F5319" s="19">
        <f>IFERROR(__xludf.DUMMYFUNCTION("IFERROR(TO_DATE(E5319), """")"),42564.737592592595)</f>
        <v>42564.73759</v>
      </c>
      <c r="G5319" s="20">
        <f t="shared" si="1"/>
        <v>17</v>
      </c>
      <c r="H5319" s="18" t="s">
        <v>34</v>
      </c>
      <c r="I5319" s="19" t="str">
        <f>IFERROR(__xludf.DUMMYFUNCTION("IFERROR(TO_DATE(H5319), """")"),"NA")</f>
        <v>NA</v>
      </c>
      <c r="J5319" s="19" t="s">
        <v>12</v>
      </c>
      <c r="K5319" s="22">
        <f t="shared" si="2"/>
        <v>0</v>
      </c>
    </row>
    <row r="5320">
      <c r="A5320" s="18">
        <v>3515.0</v>
      </c>
      <c r="B5320" s="18" t="s">
        <v>30</v>
      </c>
      <c r="C5320" s="18" t="s">
        <v>34</v>
      </c>
      <c r="D5320" s="18" t="s">
        <v>35</v>
      </c>
      <c r="E5320" s="27">
        <v>42564.73767361111</v>
      </c>
      <c r="F5320" s="19">
        <f>IFERROR(__xludf.DUMMYFUNCTION("IFERROR(TO_DATE(E5320), """")"),42564.73767361111)</f>
        <v>42564.73767</v>
      </c>
      <c r="G5320" s="20">
        <f t="shared" si="1"/>
        <v>17</v>
      </c>
      <c r="H5320" s="18" t="s">
        <v>34</v>
      </c>
      <c r="I5320" s="19" t="str">
        <f>IFERROR(__xludf.DUMMYFUNCTION("IFERROR(TO_DATE(H5320), """")"),"NA")</f>
        <v>NA</v>
      </c>
      <c r="J5320" s="19" t="s">
        <v>12</v>
      </c>
      <c r="K5320" s="22">
        <f t="shared" si="2"/>
        <v>0</v>
      </c>
    </row>
    <row r="5321">
      <c r="A5321" s="18">
        <v>3521.0</v>
      </c>
      <c r="B5321" s="18" t="s">
        <v>30</v>
      </c>
      <c r="C5321" s="18" t="s">
        <v>34</v>
      </c>
      <c r="D5321" s="18" t="s">
        <v>35</v>
      </c>
      <c r="E5321" s="27">
        <v>42564.740219907406</v>
      </c>
      <c r="F5321" s="19">
        <f>IFERROR(__xludf.DUMMYFUNCTION("IFERROR(TO_DATE(E5321), """")"),42564.740219907406)</f>
        <v>42564.74022</v>
      </c>
      <c r="G5321" s="20">
        <f t="shared" si="1"/>
        <v>17</v>
      </c>
      <c r="H5321" s="18" t="s">
        <v>34</v>
      </c>
      <c r="I5321" s="19" t="str">
        <f>IFERROR(__xludf.DUMMYFUNCTION("IFERROR(TO_DATE(H5321), """")"),"NA")</f>
        <v>NA</v>
      </c>
      <c r="J5321" s="19" t="s">
        <v>12</v>
      </c>
      <c r="K5321" s="22">
        <f t="shared" si="2"/>
        <v>0</v>
      </c>
    </row>
    <row r="5322">
      <c r="A5322" s="18">
        <v>3527.0</v>
      </c>
      <c r="B5322" s="18" t="s">
        <v>30</v>
      </c>
      <c r="C5322" s="18" t="s">
        <v>34</v>
      </c>
      <c r="D5322" s="18" t="s">
        <v>35</v>
      </c>
      <c r="E5322" s="27">
        <v>42564.740277777775</v>
      </c>
      <c r="F5322" s="19">
        <f>IFERROR(__xludf.DUMMYFUNCTION("IFERROR(TO_DATE(E5322), """")"),42564.740277777775)</f>
        <v>42564.74028</v>
      </c>
      <c r="G5322" s="20">
        <f t="shared" si="1"/>
        <v>17</v>
      </c>
      <c r="H5322" s="18" t="s">
        <v>34</v>
      </c>
      <c r="I5322" s="19" t="str">
        <f>IFERROR(__xludf.DUMMYFUNCTION("IFERROR(TO_DATE(H5322), """")"),"NA")</f>
        <v>NA</v>
      </c>
      <c r="J5322" s="19" t="s">
        <v>12</v>
      </c>
      <c r="K5322" s="22">
        <f t="shared" si="2"/>
        <v>0</v>
      </c>
    </row>
    <row r="5323">
      <c r="A5323" s="18">
        <v>3526.0</v>
      </c>
      <c r="B5323" s="18" t="s">
        <v>30</v>
      </c>
      <c r="C5323" s="18" t="s">
        <v>34</v>
      </c>
      <c r="D5323" s="18" t="s">
        <v>35</v>
      </c>
      <c r="E5323" s="27">
        <v>42564.74180555555</v>
      </c>
      <c r="F5323" s="19">
        <f>IFERROR(__xludf.DUMMYFUNCTION("IFERROR(TO_DATE(E5323), """")"),42564.74180555555)</f>
        <v>42564.74181</v>
      </c>
      <c r="G5323" s="20">
        <f t="shared" si="1"/>
        <v>17</v>
      </c>
      <c r="H5323" s="18" t="s">
        <v>34</v>
      </c>
      <c r="I5323" s="19" t="str">
        <f>IFERROR(__xludf.DUMMYFUNCTION("IFERROR(TO_DATE(H5323), """")"),"NA")</f>
        <v>NA</v>
      </c>
      <c r="J5323" s="19" t="s">
        <v>12</v>
      </c>
      <c r="K5323" s="22">
        <f t="shared" si="2"/>
        <v>0</v>
      </c>
    </row>
    <row r="5324">
      <c r="A5324" s="18">
        <v>3522.0</v>
      </c>
      <c r="B5324" s="18" t="s">
        <v>30</v>
      </c>
      <c r="C5324" s="18" t="s">
        <v>34</v>
      </c>
      <c r="D5324" s="18" t="s">
        <v>35</v>
      </c>
      <c r="E5324" s="27">
        <v>42564.742743055554</v>
      </c>
      <c r="F5324" s="19">
        <f>IFERROR(__xludf.DUMMYFUNCTION("IFERROR(TO_DATE(E5324), """")"),42564.742743055554)</f>
        <v>42564.74274</v>
      </c>
      <c r="G5324" s="20">
        <f t="shared" si="1"/>
        <v>17</v>
      </c>
      <c r="H5324" s="18" t="s">
        <v>34</v>
      </c>
      <c r="I5324" s="19" t="str">
        <f>IFERROR(__xludf.DUMMYFUNCTION("IFERROR(TO_DATE(H5324), """")"),"NA")</f>
        <v>NA</v>
      </c>
      <c r="J5324" s="19" t="s">
        <v>12</v>
      </c>
      <c r="K5324" s="22">
        <f t="shared" si="2"/>
        <v>0</v>
      </c>
    </row>
    <row r="5325">
      <c r="A5325" s="18">
        <v>3536.0</v>
      </c>
      <c r="B5325" s="18" t="s">
        <v>30</v>
      </c>
      <c r="C5325" s="18" t="s">
        <v>34</v>
      </c>
      <c r="D5325" s="18" t="s">
        <v>35</v>
      </c>
      <c r="E5325" s="27">
        <v>42564.74438657407</v>
      </c>
      <c r="F5325" s="19">
        <f>IFERROR(__xludf.DUMMYFUNCTION("IFERROR(TO_DATE(E5325), """")"),42564.74438657407)</f>
        <v>42564.74439</v>
      </c>
      <c r="G5325" s="20">
        <f t="shared" si="1"/>
        <v>17</v>
      </c>
      <c r="H5325" s="18" t="s">
        <v>34</v>
      </c>
      <c r="I5325" s="19" t="str">
        <f>IFERROR(__xludf.DUMMYFUNCTION("IFERROR(TO_DATE(H5325), """")"),"NA")</f>
        <v>NA</v>
      </c>
      <c r="J5325" s="19" t="s">
        <v>12</v>
      </c>
      <c r="K5325" s="22">
        <f t="shared" si="2"/>
        <v>0</v>
      </c>
    </row>
    <row r="5326">
      <c r="A5326" s="18">
        <v>3534.0</v>
      </c>
      <c r="B5326" s="18" t="s">
        <v>30</v>
      </c>
      <c r="C5326" s="18" t="s">
        <v>34</v>
      </c>
      <c r="D5326" s="18" t="s">
        <v>35</v>
      </c>
      <c r="E5326" s="27">
        <v>42564.744421296295</v>
      </c>
      <c r="F5326" s="19">
        <f>IFERROR(__xludf.DUMMYFUNCTION("IFERROR(TO_DATE(E5326), """")"),42564.744421296295)</f>
        <v>42564.74442</v>
      </c>
      <c r="G5326" s="20">
        <f t="shared" si="1"/>
        <v>17</v>
      </c>
      <c r="H5326" s="18" t="s">
        <v>34</v>
      </c>
      <c r="I5326" s="19" t="str">
        <f>IFERROR(__xludf.DUMMYFUNCTION("IFERROR(TO_DATE(H5326), """")"),"NA")</f>
        <v>NA</v>
      </c>
      <c r="J5326" s="19" t="s">
        <v>12</v>
      </c>
      <c r="K5326" s="22">
        <f t="shared" si="2"/>
        <v>0</v>
      </c>
    </row>
    <row r="5327">
      <c r="A5327" s="18">
        <v>3537.0</v>
      </c>
      <c r="B5327" s="18" t="s">
        <v>30</v>
      </c>
      <c r="C5327" s="18" t="s">
        <v>34</v>
      </c>
      <c r="D5327" s="18" t="s">
        <v>35</v>
      </c>
      <c r="E5327" s="27">
        <v>42564.74679398148</v>
      </c>
      <c r="F5327" s="19">
        <f>IFERROR(__xludf.DUMMYFUNCTION("IFERROR(TO_DATE(E5327), """")"),42564.74679398148)</f>
        <v>42564.74679</v>
      </c>
      <c r="G5327" s="20">
        <f t="shared" si="1"/>
        <v>17</v>
      </c>
      <c r="H5327" s="18" t="s">
        <v>34</v>
      </c>
      <c r="I5327" s="19" t="str">
        <f>IFERROR(__xludf.DUMMYFUNCTION("IFERROR(TO_DATE(H5327), """")"),"NA")</f>
        <v>NA</v>
      </c>
      <c r="J5327" s="19" t="s">
        <v>12</v>
      </c>
      <c r="K5327" s="22">
        <f t="shared" si="2"/>
        <v>0</v>
      </c>
    </row>
    <row r="5328">
      <c r="A5328" s="18">
        <v>3533.0</v>
      </c>
      <c r="B5328" s="18" t="s">
        <v>30</v>
      </c>
      <c r="C5328" s="18" t="s">
        <v>34</v>
      </c>
      <c r="D5328" s="18" t="s">
        <v>35</v>
      </c>
      <c r="E5328" s="27">
        <v>42564.74744212963</v>
      </c>
      <c r="F5328" s="19">
        <f>IFERROR(__xludf.DUMMYFUNCTION("IFERROR(TO_DATE(E5328), """")"),42564.74744212963)</f>
        <v>42564.74744</v>
      </c>
      <c r="G5328" s="20">
        <f t="shared" si="1"/>
        <v>17</v>
      </c>
      <c r="H5328" s="18" t="s">
        <v>34</v>
      </c>
      <c r="I5328" s="19" t="str">
        <f>IFERROR(__xludf.DUMMYFUNCTION("IFERROR(TO_DATE(H5328), """")"),"NA")</f>
        <v>NA</v>
      </c>
      <c r="J5328" s="19" t="s">
        <v>12</v>
      </c>
      <c r="K5328" s="22">
        <f t="shared" si="2"/>
        <v>0</v>
      </c>
    </row>
    <row r="5329">
      <c r="A5329" s="18">
        <v>3535.0</v>
      </c>
      <c r="B5329" s="18" t="s">
        <v>30</v>
      </c>
      <c r="C5329" s="18" t="s">
        <v>34</v>
      </c>
      <c r="D5329" s="18" t="s">
        <v>35</v>
      </c>
      <c r="E5329" s="27">
        <v>42564.74790509259</v>
      </c>
      <c r="F5329" s="19">
        <f>IFERROR(__xludf.DUMMYFUNCTION("IFERROR(TO_DATE(E5329), """")"),42564.74790509259)</f>
        <v>42564.74791</v>
      </c>
      <c r="G5329" s="20">
        <f t="shared" si="1"/>
        <v>17</v>
      </c>
      <c r="H5329" s="18" t="s">
        <v>34</v>
      </c>
      <c r="I5329" s="19" t="str">
        <f>IFERROR(__xludf.DUMMYFUNCTION("IFERROR(TO_DATE(H5329), """")"),"NA")</f>
        <v>NA</v>
      </c>
      <c r="J5329" s="19" t="s">
        <v>12</v>
      </c>
      <c r="K5329" s="22">
        <f t="shared" si="2"/>
        <v>0</v>
      </c>
    </row>
    <row r="5330">
      <c r="A5330" s="18">
        <v>3532.0</v>
      </c>
      <c r="B5330" s="18" t="s">
        <v>30</v>
      </c>
      <c r="C5330" s="18" t="s">
        <v>34</v>
      </c>
      <c r="D5330" s="18" t="s">
        <v>35</v>
      </c>
      <c r="E5330" s="27">
        <v>42564.748090277775</v>
      </c>
      <c r="F5330" s="19">
        <f>IFERROR(__xludf.DUMMYFUNCTION("IFERROR(TO_DATE(E5330), """")"),42564.748090277775)</f>
        <v>42564.74809</v>
      </c>
      <c r="G5330" s="20">
        <f t="shared" si="1"/>
        <v>17</v>
      </c>
      <c r="H5330" s="18" t="s">
        <v>34</v>
      </c>
      <c r="I5330" s="19" t="str">
        <f>IFERROR(__xludf.DUMMYFUNCTION("IFERROR(TO_DATE(H5330), """")"),"NA")</f>
        <v>NA</v>
      </c>
      <c r="J5330" s="19" t="s">
        <v>12</v>
      </c>
      <c r="K5330" s="22">
        <f t="shared" si="2"/>
        <v>0</v>
      </c>
    </row>
    <row r="5331">
      <c r="A5331" s="18">
        <v>3547.0</v>
      </c>
      <c r="B5331" s="18" t="s">
        <v>30</v>
      </c>
      <c r="C5331" s="18" t="s">
        <v>34</v>
      </c>
      <c r="D5331" s="18" t="s">
        <v>35</v>
      </c>
      <c r="E5331" s="27">
        <v>42564.74811342593</v>
      </c>
      <c r="F5331" s="19">
        <f>IFERROR(__xludf.DUMMYFUNCTION("IFERROR(TO_DATE(E5331), """")"),42564.74811342593)</f>
        <v>42564.74811</v>
      </c>
      <c r="G5331" s="20">
        <f t="shared" si="1"/>
        <v>17</v>
      </c>
      <c r="H5331" s="18" t="s">
        <v>34</v>
      </c>
      <c r="I5331" s="19" t="str">
        <f>IFERROR(__xludf.DUMMYFUNCTION("IFERROR(TO_DATE(H5331), """")"),"NA")</f>
        <v>NA</v>
      </c>
      <c r="J5331" s="19" t="s">
        <v>12</v>
      </c>
      <c r="K5331" s="22">
        <f t="shared" si="2"/>
        <v>0</v>
      </c>
    </row>
    <row r="5332">
      <c r="A5332" s="18">
        <v>3531.0</v>
      </c>
      <c r="B5332" s="18" t="s">
        <v>30</v>
      </c>
      <c r="C5332" s="18" t="s">
        <v>34</v>
      </c>
      <c r="D5332" s="18" t="s">
        <v>35</v>
      </c>
      <c r="E5332" s="27">
        <v>42564.748402777775</v>
      </c>
      <c r="F5332" s="19">
        <f>IFERROR(__xludf.DUMMYFUNCTION("IFERROR(TO_DATE(E5332), """")"),42564.748402777775)</f>
        <v>42564.7484</v>
      </c>
      <c r="G5332" s="20">
        <f t="shared" si="1"/>
        <v>17</v>
      </c>
      <c r="H5332" s="18" t="s">
        <v>34</v>
      </c>
      <c r="I5332" s="19" t="str">
        <f>IFERROR(__xludf.DUMMYFUNCTION("IFERROR(TO_DATE(H5332), """")"),"NA")</f>
        <v>NA</v>
      </c>
      <c r="J5332" s="19" t="s">
        <v>12</v>
      </c>
      <c r="K5332" s="22">
        <f t="shared" si="2"/>
        <v>0</v>
      </c>
    </row>
    <row r="5333">
      <c r="A5333" s="18">
        <v>3538.0</v>
      </c>
      <c r="B5333" s="18" t="s">
        <v>30</v>
      </c>
      <c r="C5333" s="18" t="s">
        <v>34</v>
      </c>
      <c r="D5333" s="18" t="s">
        <v>35</v>
      </c>
      <c r="E5333" s="27">
        <v>42564.7491087963</v>
      </c>
      <c r="F5333" s="19">
        <f>IFERROR(__xludf.DUMMYFUNCTION("IFERROR(TO_DATE(E5333), """")"),42564.7491087963)</f>
        <v>42564.74911</v>
      </c>
      <c r="G5333" s="20">
        <f t="shared" si="1"/>
        <v>17</v>
      </c>
      <c r="H5333" s="18" t="s">
        <v>34</v>
      </c>
      <c r="I5333" s="19" t="str">
        <f>IFERROR(__xludf.DUMMYFUNCTION("IFERROR(TO_DATE(H5333), """")"),"NA")</f>
        <v>NA</v>
      </c>
      <c r="J5333" s="19" t="s">
        <v>12</v>
      </c>
      <c r="K5333" s="22">
        <f t="shared" si="2"/>
        <v>0</v>
      </c>
    </row>
    <row r="5334">
      <c r="A5334" s="18">
        <v>3543.0</v>
      </c>
      <c r="B5334" s="18" t="s">
        <v>30</v>
      </c>
      <c r="C5334" s="18" t="s">
        <v>34</v>
      </c>
      <c r="D5334" s="18" t="s">
        <v>35</v>
      </c>
      <c r="E5334" s="27">
        <v>42564.749756944446</v>
      </c>
      <c r="F5334" s="19">
        <f>IFERROR(__xludf.DUMMYFUNCTION("IFERROR(TO_DATE(E5334), """")"),42564.749756944446)</f>
        <v>42564.74976</v>
      </c>
      <c r="G5334" s="20">
        <f t="shared" si="1"/>
        <v>17</v>
      </c>
      <c r="H5334" s="18" t="s">
        <v>34</v>
      </c>
      <c r="I5334" s="19" t="str">
        <f>IFERROR(__xludf.DUMMYFUNCTION("IFERROR(TO_DATE(H5334), """")"),"NA")</f>
        <v>NA</v>
      </c>
      <c r="J5334" s="19" t="s">
        <v>12</v>
      </c>
      <c r="K5334" s="22">
        <f t="shared" si="2"/>
        <v>0</v>
      </c>
    </row>
    <row r="5335">
      <c r="A5335" s="18">
        <v>3539.0</v>
      </c>
      <c r="B5335" s="18" t="s">
        <v>30</v>
      </c>
      <c r="C5335" s="18" t="s">
        <v>34</v>
      </c>
      <c r="D5335" s="18" t="s">
        <v>35</v>
      </c>
      <c r="E5335" s="27">
        <v>42564.75184027778</v>
      </c>
      <c r="F5335" s="19">
        <f>IFERROR(__xludf.DUMMYFUNCTION("IFERROR(TO_DATE(E5335), """")"),42564.75184027778)</f>
        <v>42564.75184</v>
      </c>
      <c r="G5335" s="20">
        <f t="shared" si="1"/>
        <v>18</v>
      </c>
      <c r="H5335" s="18" t="s">
        <v>34</v>
      </c>
      <c r="I5335" s="19" t="str">
        <f>IFERROR(__xludf.DUMMYFUNCTION("IFERROR(TO_DATE(H5335), """")"),"NA")</f>
        <v>NA</v>
      </c>
      <c r="J5335" s="19" t="s">
        <v>12</v>
      </c>
      <c r="K5335" s="22">
        <f t="shared" si="2"/>
        <v>0</v>
      </c>
    </row>
    <row r="5336">
      <c r="A5336" s="18">
        <v>3542.0</v>
      </c>
      <c r="B5336" s="18" t="s">
        <v>30</v>
      </c>
      <c r="C5336" s="18" t="s">
        <v>34</v>
      </c>
      <c r="D5336" s="18" t="s">
        <v>35</v>
      </c>
      <c r="E5336" s="27">
        <v>42564.75355324074</v>
      </c>
      <c r="F5336" s="19">
        <f>IFERROR(__xludf.DUMMYFUNCTION("IFERROR(TO_DATE(E5336), """")"),42564.75355324074)</f>
        <v>42564.75355</v>
      </c>
      <c r="G5336" s="20">
        <f t="shared" si="1"/>
        <v>18</v>
      </c>
      <c r="H5336" s="18" t="s">
        <v>34</v>
      </c>
      <c r="I5336" s="19" t="str">
        <f>IFERROR(__xludf.DUMMYFUNCTION("IFERROR(TO_DATE(H5336), """")"),"NA")</f>
        <v>NA</v>
      </c>
      <c r="J5336" s="19" t="s">
        <v>12</v>
      </c>
      <c r="K5336" s="22">
        <f t="shared" si="2"/>
        <v>0</v>
      </c>
    </row>
    <row r="5337">
      <c r="A5337" s="18">
        <v>3553.0</v>
      </c>
      <c r="B5337" s="18" t="s">
        <v>30</v>
      </c>
      <c r="C5337" s="18" t="s">
        <v>34</v>
      </c>
      <c r="D5337" s="18" t="s">
        <v>35</v>
      </c>
      <c r="E5337" s="27">
        <v>42564.75623842593</v>
      </c>
      <c r="F5337" s="19">
        <f>IFERROR(__xludf.DUMMYFUNCTION("IFERROR(TO_DATE(E5337), """")"),42564.75623842593)</f>
        <v>42564.75624</v>
      </c>
      <c r="G5337" s="20">
        <f t="shared" si="1"/>
        <v>18</v>
      </c>
      <c r="H5337" s="18" t="s">
        <v>34</v>
      </c>
      <c r="I5337" s="19" t="str">
        <f>IFERROR(__xludf.DUMMYFUNCTION("IFERROR(TO_DATE(H5337), """")"),"NA")</f>
        <v>NA</v>
      </c>
      <c r="J5337" s="19" t="s">
        <v>12</v>
      </c>
      <c r="K5337" s="22">
        <f t="shared" si="2"/>
        <v>0</v>
      </c>
    </row>
    <row r="5338">
      <c r="A5338" s="18">
        <v>3562.0</v>
      </c>
      <c r="B5338" s="18" t="s">
        <v>30</v>
      </c>
      <c r="C5338" s="18" t="s">
        <v>34</v>
      </c>
      <c r="D5338" s="18" t="s">
        <v>35</v>
      </c>
      <c r="E5338" s="27">
        <v>42564.756377314814</v>
      </c>
      <c r="F5338" s="19">
        <f>IFERROR(__xludf.DUMMYFUNCTION("IFERROR(TO_DATE(E5338), """")"),42564.756377314814)</f>
        <v>42564.75638</v>
      </c>
      <c r="G5338" s="20">
        <f t="shared" si="1"/>
        <v>18</v>
      </c>
      <c r="H5338" s="18" t="s">
        <v>34</v>
      </c>
      <c r="I5338" s="19" t="str">
        <f>IFERROR(__xludf.DUMMYFUNCTION("IFERROR(TO_DATE(H5338), """")"),"NA")</f>
        <v>NA</v>
      </c>
      <c r="J5338" s="19" t="s">
        <v>12</v>
      </c>
      <c r="K5338" s="22">
        <f t="shared" si="2"/>
        <v>0</v>
      </c>
    </row>
    <row r="5339">
      <c r="A5339" s="18">
        <v>3550.0</v>
      </c>
      <c r="B5339" s="18" t="s">
        <v>30</v>
      </c>
      <c r="C5339" s="18" t="s">
        <v>34</v>
      </c>
      <c r="D5339" s="18" t="s">
        <v>35</v>
      </c>
      <c r="E5339" s="27">
        <v>42564.757002314815</v>
      </c>
      <c r="F5339" s="19">
        <f>IFERROR(__xludf.DUMMYFUNCTION("IFERROR(TO_DATE(E5339), """")"),42564.757002314815)</f>
        <v>42564.757</v>
      </c>
      <c r="G5339" s="20">
        <f t="shared" si="1"/>
        <v>18</v>
      </c>
      <c r="H5339" s="18" t="s">
        <v>34</v>
      </c>
      <c r="I5339" s="19" t="str">
        <f>IFERROR(__xludf.DUMMYFUNCTION("IFERROR(TO_DATE(H5339), """")"),"NA")</f>
        <v>NA</v>
      </c>
      <c r="J5339" s="19" t="s">
        <v>12</v>
      </c>
      <c r="K5339" s="22">
        <f t="shared" si="2"/>
        <v>0</v>
      </c>
    </row>
    <row r="5340">
      <c r="A5340" s="18">
        <v>3551.0</v>
      </c>
      <c r="B5340" s="18" t="s">
        <v>30</v>
      </c>
      <c r="C5340" s="18" t="s">
        <v>34</v>
      </c>
      <c r="D5340" s="18" t="s">
        <v>35</v>
      </c>
      <c r="E5340" s="27">
        <v>42564.75717592592</v>
      </c>
      <c r="F5340" s="19">
        <f>IFERROR(__xludf.DUMMYFUNCTION("IFERROR(TO_DATE(E5340), """")"),42564.75717592592)</f>
        <v>42564.75718</v>
      </c>
      <c r="G5340" s="20">
        <f t="shared" si="1"/>
        <v>18</v>
      </c>
      <c r="H5340" s="18" t="s">
        <v>34</v>
      </c>
      <c r="I5340" s="19" t="str">
        <f>IFERROR(__xludf.DUMMYFUNCTION("IFERROR(TO_DATE(H5340), """")"),"NA")</f>
        <v>NA</v>
      </c>
      <c r="J5340" s="19" t="s">
        <v>12</v>
      </c>
      <c r="K5340" s="22">
        <f t="shared" si="2"/>
        <v>0</v>
      </c>
    </row>
    <row r="5341">
      <c r="A5341" s="18">
        <v>3557.0</v>
      </c>
      <c r="B5341" s="18" t="s">
        <v>30</v>
      </c>
      <c r="C5341" s="18" t="s">
        <v>34</v>
      </c>
      <c r="D5341" s="18" t="s">
        <v>35</v>
      </c>
      <c r="E5341" s="27">
        <v>42564.757199074076</v>
      </c>
      <c r="F5341" s="19">
        <f>IFERROR(__xludf.DUMMYFUNCTION("IFERROR(TO_DATE(E5341), """")"),42564.757199074076)</f>
        <v>42564.7572</v>
      </c>
      <c r="G5341" s="20">
        <f t="shared" si="1"/>
        <v>18</v>
      </c>
      <c r="H5341" s="18" t="s">
        <v>34</v>
      </c>
      <c r="I5341" s="19" t="str">
        <f>IFERROR(__xludf.DUMMYFUNCTION("IFERROR(TO_DATE(H5341), """")"),"NA")</f>
        <v>NA</v>
      </c>
      <c r="J5341" s="19" t="s">
        <v>12</v>
      </c>
      <c r="K5341" s="22">
        <f t="shared" si="2"/>
        <v>0</v>
      </c>
    </row>
    <row r="5342">
      <c r="A5342" s="18">
        <v>3560.0</v>
      </c>
      <c r="B5342" s="18" t="s">
        <v>30</v>
      </c>
      <c r="C5342" s="18" t="s">
        <v>34</v>
      </c>
      <c r="D5342" s="18" t="s">
        <v>35</v>
      </c>
      <c r="E5342" s="27">
        <v>42564.75755787037</v>
      </c>
      <c r="F5342" s="19">
        <f>IFERROR(__xludf.DUMMYFUNCTION("IFERROR(TO_DATE(E5342), """")"),42564.75755787037)</f>
        <v>42564.75756</v>
      </c>
      <c r="G5342" s="20">
        <f t="shared" si="1"/>
        <v>18</v>
      </c>
      <c r="H5342" s="18" t="s">
        <v>34</v>
      </c>
      <c r="I5342" s="19" t="str">
        <f>IFERROR(__xludf.DUMMYFUNCTION("IFERROR(TO_DATE(H5342), """")"),"NA")</f>
        <v>NA</v>
      </c>
      <c r="J5342" s="19" t="s">
        <v>12</v>
      </c>
      <c r="K5342" s="22">
        <f t="shared" si="2"/>
        <v>0</v>
      </c>
    </row>
    <row r="5343">
      <c r="A5343" s="18">
        <v>3566.0</v>
      </c>
      <c r="B5343" s="18" t="s">
        <v>30</v>
      </c>
      <c r="C5343" s="18" t="s">
        <v>34</v>
      </c>
      <c r="D5343" s="18" t="s">
        <v>35</v>
      </c>
      <c r="E5343" s="27">
        <v>42564.75907407407</v>
      </c>
      <c r="F5343" s="19">
        <f>IFERROR(__xludf.DUMMYFUNCTION("IFERROR(TO_DATE(E5343), """")"),42564.75907407407)</f>
        <v>42564.75907</v>
      </c>
      <c r="G5343" s="20">
        <f t="shared" si="1"/>
        <v>18</v>
      </c>
      <c r="H5343" s="18" t="s">
        <v>34</v>
      </c>
      <c r="I5343" s="19" t="str">
        <f>IFERROR(__xludf.DUMMYFUNCTION("IFERROR(TO_DATE(H5343), """")"),"NA")</f>
        <v>NA</v>
      </c>
      <c r="J5343" s="19" t="s">
        <v>12</v>
      </c>
      <c r="K5343" s="22">
        <f t="shared" si="2"/>
        <v>0</v>
      </c>
    </row>
    <row r="5344">
      <c r="A5344" s="18">
        <v>3567.0</v>
      </c>
      <c r="B5344" s="18" t="s">
        <v>30</v>
      </c>
      <c r="C5344" s="18" t="s">
        <v>34</v>
      </c>
      <c r="D5344" s="18" t="s">
        <v>35</v>
      </c>
      <c r="E5344" s="27">
        <v>42564.75997685185</v>
      </c>
      <c r="F5344" s="19">
        <f>IFERROR(__xludf.DUMMYFUNCTION("IFERROR(TO_DATE(E5344), """")"),42564.75997685185)</f>
        <v>42564.75998</v>
      </c>
      <c r="G5344" s="20">
        <f t="shared" si="1"/>
        <v>18</v>
      </c>
      <c r="H5344" s="18" t="s">
        <v>34</v>
      </c>
      <c r="I5344" s="19" t="str">
        <f>IFERROR(__xludf.DUMMYFUNCTION("IFERROR(TO_DATE(H5344), """")"),"NA")</f>
        <v>NA</v>
      </c>
      <c r="J5344" s="19" t="s">
        <v>12</v>
      </c>
      <c r="K5344" s="22">
        <f t="shared" si="2"/>
        <v>0</v>
      </c>
    </row>
    <row r="5345">
      <c r="A5345" s="18">
        <v>3554.0</v>
      </c>
      <c r="B5345" s="18" t="s">
        <v>30</v>
      </c>
      <c r="C5345" s="18" t="s">
        <v>34</v>
      </c>
      <c r="D5345" s="18" t="s">
        <v>35</v>
      </c>
      <c r="E5345" s="27">
        <v>42564.76023148148</v>
      </c>
      <c r="F5345" s="19">
        <f>IFERROR(__xludf.DUMMYFUNCTION("IFERROR(TO_DATE(E5345), """")"),42564.76023148148)</f>
        <v>42564.76023</v>
      </c>
      <c r="G5345" s="20">
        <f t="shared" si="1"/>
        <v>18</v>
      </c>
      <c r="H5345" s="18" t="s">
        <v>34</v>
      </c>
      <c r="I5345" s="19" t="str">
        <f>IFERROR(__xludf.DUMMYFUNCTION("IFERROR(TO_DATE(H5345), """")"),"NA")</f>
        <v>NA</v>
      </c>
      <c r="J5345" s="19" t="s">
        <v>12</v>
      </c>
      <c r="K5345" s="22">
        <f t="shared" si="2"/>
        <v>0</v>
      </c>
    </row>
    <row r="5346">
      <c r="A5346" s="18">
        <v>3556.0</v>
      </c>
      <c r="B5346" s="18" t="s">
        <v>30</v>
      </c>
      <c r="C5346" s="18" t="s">
        <v>34</v>
      </c>
      <c r="D5346" s="18" t="s">
        <v>35</v>
      </c>
      <c r="E5346" s="27">
        <v>42564.76064814815</v>
      </c>
      <c r="F5346" s="19">
        <f>IFERROR(__xludf.DUMMYFUNCTION("IFERROR(TO_DATE(E5346), """")"),42564.76064814815)</f>
        <v>42564.76065</v>
      </c>
      <c r="G5346" s="20">
        <f t="shared" si="1"/>
        <v>18</v>
      </c>
      <c r="H5346" s="18" t="s">
        <v>34</v>
      </c>
      <c r="I5346" s="19" t="str">
        <f>IFERROR(__xludf.DUMMYFUNCTION("IFERROR(TO_DATE(H5346), """")"),"NA")</f>
        <v>NA</v>
      </c>
      <c r="J5346" s="19" t="s">
        <v>12</v>
      </c>
      <c r="K5346" s="22">
        <f t="shared" si="2"/>
        <v>0</v>
      </c>
    </row>
    <row r="5347">
      <c r="A5347" s="18">
        <v>3563.0</v>
      </c>
      <c r="B5347" s="18" t="s">
        <v>30</v>
      </c>
      <c r="C5347" s="18" t="s">
        <v>34</v>
      </c>
      <c r="D5347" s="18" t="s">
        <v>35</v>
      </c>
      <c r="E5347" s="27">
        <v>42564.76153935185</v>
      </c>
      <c r="F5347" s="19">
        <f>IFERROR(__xludf.DUMMYFUNCTION("IFERROR(TO_DATE(E5347), """")"),42564.76153935185)</f>
        <v>42564.76154</v>
      </c>
      <c r="G5347" s="20">
        <f t="shared" si="1"/>
        <v>18</v>
      </c>
      <c r="H5347" s="18" t="s">
        <v>34</v>
      </c>
      <c r="I5347" s="19" t="str">
        <f>IFERROR(__xludf.DUMMYFUNCTION("IFERROR(TO_DATE(H5347), """")"),"NA")</f>
        <v>NA</v>
      </c>
      <c r="J5347" s="19" t="s">
        <v>12</v>
      </c>
      <c r="K5347" s="22">
        <f t="shared" si="2"/>
        <v>0</v>
      </c>
    </row>
    <row r="5348">
      <c r="A5348" s="18">
        <v>3569.0</v>
      </c>
      <c r="B5348" s="18" t="s">
        <v>30</v>
      </c>
      <c r="C5348" s="18" t="s">
        <v>34</v>
      </c>
      <c r="D5348" s="18" t="s">
        <v>35</v>
      </c>
      <c r="E5348" s="27">
        <v>42564.7637962963</v>
      </c>
      <c r="F5348" s="19">
        <f>IFERROR(__xludf.DUMMYFUNCTION("IFERROR(TO_DATE(E5348), """")"),42564.7637962963)</f>
        <v>42564.7638</v>
      </c>
      <c r="G5348" s="20">
        <f t="shared" si="1"/>
        <v>18</v>
      </c>
      <c r="H5348" s="18" t="s">
        <v>34</v>
      </c>
      <c r="I5348" s="19" t="str">
        <f>IFERROR(__xludf.DUMMYFUNCTION("IFERROR(TO_DATE(H5348), """")"),"NA")</f>
        <v>NA</v>
      </c>
      <c r="J5348" s="19" t="s">
        <v>12</v>
      </c>
      <c r="K5348" s="22">
        <f t="shared" si="2"/>
        <v>0</v>
      </c>
    </row>
    <row r="5349">
      <c r="A5349" s="18">
        <v>3571.0</v>
      </c>
      <c r="B5349" s="18" t="s">
        <v>30</v>
      </c>
      <c r="C5349" s="18" t="s">
        <v>34</v>
      </c>
      <c r="D5349" s="18" t="s">
        <v>35</v>
      </c>
      <c r="E5349" s="27">
        <v>42564.765393518515</v>
      </c>
      <c r="F5349" s="19">
        <f>IFERROR(__xludf.DUMMYFUNCTION("IFERROR(TO_DATE(E5349), """")"),42564.765393518515)</f>
        <v>42564.76539</v>
      </c>
      <c r="G5349" s="20">
        <f t="shared" si="1"/>
        <v>18</v>
      </c>
      <c r="H5349" s="18" t="s">
        <v>34</v>
      </c>
      <c r="I5349" s="19" t="str">
        <f>IFERROR(__xludf.DUMMYFUNCTION("IFERROR(TO_DATE(H5349), """")"),"NA")</f>
        <v>NA</v>
      </c>
      <c r="J5349" s="19" t="s">
        <v>12</v>
      </c>
      <c r="K5349" s="22">
        <f t="shared" si="2"/>
        <v>0</v>
      </c>
    </row>
    <row r="5350">
      <c r="A5350" s="18">
        <v>3574.0</v>
      </c>
      <c r="B5350" s="18" t="s">
        <v>30</v>
      </c>
      <c r="C5350" s="18" t="s">
        <v>34</v>
      </c>
      <c r="D5350" s="18" t="s">
        <v>35</v>
      </c>
      <c r="E5350" s="27">
        <v>42564.765856481485</v>
      </c>
      <c r="F5350" s="19">
        <f>IFERROR(__xludf.DUMMYFUNCTION("IFERROR(TO_DATE(E5350), """")"),42564.765856481485)</f>
        <v>42564.76586</v>
      </c>
      <c r="G5350" s="20">
        <f t="shared" si="1"/>
        <v>18</v>
      </c>
      <c r="H5350" s="18" t="s">
        <v>34</v>
      </c>
      <c r="I5350" s="19" t="str">
        <f>IFERROR(__xludf.DUMMYFUNCTION("IFERROR(TO_DATE(H5350), """")"),"NA")</f>
        <v>NA</v>
      </c>
      <c r="J5350" s="19" t="s">
        <v>12</v>
      </c>
      <c r="K5350" s="22">
        <f t="shared" si="2"/>
        <v>0</v>
      </c>
    </row>
    <row r="5351">
      <c r="A5351" s="18">
        <v>3568.0</v>
      </c>
      <c r="B5351" s="18" t="s">
        <v>30</v>
      </c>
      <c r="C5351" s="18" t="s">
        <v>34</v>
      </c>
      <c r="D5351" s="18" t="s">
        <v>35</v>
      </c>
      <c r="E5351" s="27">
        <v>42564.76587962963</v>
      </c>
      <c r="F5351" s="19">
        <f>IFERROR(__xludf.DUMMYFUNCTION("IFERROR(TO_DATE(E5351), """")"),42564.76587962963)</f>
        <v>42564.76588</v>
      </c>
      <c r="G5351" s="20">
        <f t="shared" si="1"/>
        <v>18</v>
      </c>
      <c r="H5351" s="18" t="s">
        <v>34</v>
      </c>
      <c r="I5351" s="19" t="str">
        <f>IFERROR(__xludf.DUMMYFUNCTION("IFERROR(TO_DATE(H5351), """")"),"NA")</f>
        <v>NA</v>
      </c>
      <c r="J5351" s="19" t="s">
        <v>12</v>
      </c>
      <c r="K5351" s="22">
        <f t="shared" si="2"/>
        <v>0</v>
      </c>
    </row>
    <row r="5352">
      <c r="A5352" s="18">
        <v>3576.0</v>
      </c>
      <c r="B5352" s="18" t="s">
        <v>30</v>
      </c>
      <c r="C5352" s="18" t="s">
        <v>34</v>
      </c>
      <c r="D5352" s="18" t="s">
        <v>35</v>
      </c>
      <c r="E5352" s="27">
        <v>42564.76608796296</v>
      </c>
      <c r="F5352" s="19">
        <f>IFERROR(__xludf.DUMMYFUNCTION("IFERROR(TO_DATE(E5352), """")"),42564.76608796296)</f>
        <v>42564.76609</v>
      </c>
      <c r="G5352" s="20">
        <f t="shared" si="1"/>
        <v>18</v>
      </c>
      <c r="H5352" s="18" t="s">
        <v>34</v>
      </c>
      <c r="I5352" s="19" t="str">
        <f>IFERROR(__xludf.DUMMYFUNCTION("IFERROR(TO_DATE(H5352), """")"),"NA")</f>
        <v>NA</v>
      </c>
      <c r="J5352" s="19" t="s">
        <v>12</v>
      </c>
      <c r="K5352" s="22">
        <f t="shared" si="2"/>
        <v>0</v>
      </c>
    </row>
    <row r="5353">
      <c r="A5353" s="18">
        <v>3570.0</v>
      </c>
      <c r="B5353" s="18" t="s">
        <v>30</v>
      </c>
      <c r="C5353" s="18" t="s">
        <v>34</v>
      </c>
      <c r="D5353" s="18" t="s">
        <v>35</v>
      </c>
      <c r="E5353" s="27">
        <v>42564.76715277778</v>
      </c>
      <c r="F5353" s="19">
        <f>IFERROR(__xludf.DUMMYFUNCTION("IFERROR(TO_DATE(E5353), """")"),42564.76715277778)</f>
        <v>42564.76715</v>
      </c>
      <c r="G5353" s="20">
        <f t="shared" si="1"/>
        <v>18</v>
      </c>
      <c r="H5353" s="18" t="s">
        <v>34</v>
      </c>
      <c r="I5353" s="19" t="str">
        <f>IFERROR(__xludf.DUMMYFUNCTION("IFERROR(TO_DATE(H5353), """")"),"NA")</f>
        <v>NA</v>
      </c>
      <c r="J5353" s="19" t="s">
        <v>12</v>
      </c>
      <c r="K5353" s="22">
        <f t="shared" si="2"/>
        <v>0</v>
      </c>
    </row>
    <row r="5354">
      <c r="A5354" s="18">
        <v>3578.0</v>
      </c>
      <c r="B5354" s="18" t="s">
        <v>30</v>
      </c>
      <c r="C5354" s="18" t="s">
        <v>34</v>
      </c>
      <c r="D5354" s="18" t="s">
        <v>35</v>
      </c>
      <c r="E5354" s="27">
        <v>42564.76813657407</v>
      </c>
      <c r="F5354" s="19">
        <f>IFERROR(__xludf.DUMMYFUNCTION("IFERROR(TO_DATE(E5354), """")"),42564.76813657407)</f>
        <v>42564.76814</v>
      </c>
      <c r="G5354" s="20">
        <f t="shared" si="1"/>
        <v>18</v>
      </c>
      <c r="H5354" s="18" t="s">
        <v>34</v>
      </c>
      <c r="I5354" s="19" t="str">
        <f>IFERROR(__xludf.DUMMYFUNCTION("IFERROR(TO_DATE(H5354), """")"),"NA")</f>
        <v>NA</v>
      </c>
      <c r="J5354" s="19" t="s">
        <v>12</v>
      </c>
      <c r="K5354" s="22">
        <f t="shared" si="2"/>
        <v>0</v>
      </c>
    </row>
    <row r="5355">
      <c r="A5355" s="18">
        <v>3579.0</v>
      </c>
      <c r="B5355" s="18" t="s">
        <v>30</v>
      </c>
      <c r="C5355" s="18" t="s">
        <v>34</v>
      </c>
      <c r="D5355" s="18" t="s">
        <v>35</v>
      </c>
      <c r="E5355" s="27">
        <v>42564.76841435185</v>
      </c>
      <c r="F5355" s="19">
        <f>IFERROR(__xludf.DUMMYFUNCTION("IFERROR(TO_DATE(E5355), """")"),42564.76841435185)</f>
        <v>42564.76841</v>
      </c>
      <c r="G5355" s="20">
        <f t="shared" si="1"/>
        <v>18</v>
      </c>
      <c r="H5355" s="18" t="s">
        <v>34</v>
      </c>
      <c r="I5355" s="19" t="str">
        <f>IFERROR(__xludf.DUMMYFUNCTION("IFERROR(TO_DATE(H5355), """")"),"NA")</f>
        <v>NA</v>
      </c>
      <c r="J5355" s="19" t="s">
        <v>12</v>
      </c>
      <c r="K5355" s="22">
        <f t="shared" si="2"/>
        <v>0</v>
      </c>
    </row>
    <row r="5356">
      <c r="A5356" s="18">
        <v>3582.0</v>
      </c>
      <c r="B5356" s="18" t="s">
        <v>30</v>
      </c>
      <c r="C5356" s="18" t="s">
        <v>34</v>
      </c>
      <c r="D5356" s="18" t="s">
        <v>35</v>
      </c>
      <c r="E5356" s="27">
        <v>42564.76878472222</v>
      </c>
      <c r="F5356" s="19">
        <f>IFERROR(__xludf.DUMMYFUNCTION("IFERROR(TO_DATE(E5356), """")"),42564.76878472222)</f>
        <v>42564.76878</v>
      </c>
      <c r="G5356" s="20">
        <f t="shared" si="1"/>
        <v>18</v>
      </c>
      <c r="H5356" s="18" t="s">
        <v>34</v>
      </c>
      <c r="I5356" s="19" t="str">
        <f>IFERROR(__xludf.DUMMYFUNCTION("IFERROR(TO_DATE(H5356), """")"),"NA")</f>
        <v>NA</v>
      </c>
      <c r="J5356" s="19" t="s">
        <v>12</v>
      </c>
      <c r="K5356" s="22">
        <f t="shared" si="2"/>
        <v>0</v>
      </c>
    </row>
    <row r="5357">
      <c r="A5357" s="18">
        <v>3589.0</v>
      </c>
      <c r="B5357" s="18" t="s">
        <v>30</v>
      </c>
      <c r="C5357" s="18" t="s">
        <v>34</v>
      </c>
      <c r="D5357" s="18" t="s">
        <v>35</v>
      </c>
      <c r="E5357" s="27">
        <v>42564.76909722222</v>
      </c>
      <c r="F5357" s="19">
        <f>IFERROR(__xludf.DUMMYFUNCTION("IFERROR(TO_DATE(E5357), """")"),42564.76909722222)</f>
        <v>42564.7691</v>
      </c>
      <c r="G5357" s="20">
        <f t="shared" si="1"/>
        <v>18</v>
      </c>
      <c r="H5357" s="18" t="s">
        <v>34</v>
      </c>
      <c r="I5357" s="19" t="str">
        <f>IFERROR(__xludf.DUMMYFUNCTION("IFERROR(TO_DATE(H5357), """")"),"NA")</f>
        <v>NA</v>
      </c>
      <c r="J5357" s="19" t="s">
        <v>12</v>
      </c>
      <c r="K5357" s="22">
        <f t="shared" si="2"/>
        <v>0</v>
      </c>
    </row>
    <row r="5358">
      <c r="A5358" s="18">
        <v>3580.0</v>
      </c>
      <c r="B5358" s="18" t="s">
        <v>30</v>
      </c>
      <c r="C5358" s="18" t="s">
        <v>34</v>
      </c>
      <c r="D5358" s="18" t="s">
        <v>35</v>
      </c>
      <c r="E5358" s="27">
        <v>42564.76918981481</v>
      </c>
      <c r="F5358" s="19">
        <f>IFERROR(__xludf.DUMMYFUNCTION("IFERROR(TO_DATE(E5358), """")"),42564.76918981481)</f>
        <v>42564.76919</v>
      </c>
      <c r="G5358" s="20">
        <f t="shared" si="1"/>
        <v>18</v>
      </c>
      <c r="H5358" s="18" t="s">
        <v>34</v>
      </c>
      <c r="I5358" s="19" t="str">
        <f>IFERROR(__xludf.DUMMYFUNCTION("IFERROR(TO_DATE(H5358), """")"),"NA")</f>
        <v>NA</v>
      </c>
      <c r="J5358" s="19" t="s">
        <v>12</v>
      </c>
      <c r="K5358" s="22">
        <f t="shared" si="2"/>
        <v>0</v>
      </c>
    </row>
    <row r="5359">
      <c r="A5359" s="18">
        <v>3575.0</v>
      </c>
      <c r="B5359" s="18" t="s">
        <v>30</v>
      </c>
      <c r="C5359" s="18" t="s">
        <v>34</v>
      </c>
      <c r="D5359" s="18" t="s">
        <v>35</v>
      </c>
      <c r="E5359" s="27">
        <v>42564.769328703704</v>
      </c>
      <c r="F5359" s="19">
        <f>IFERROR(__xludf.DUMMYFUNCTION("IFERROR(TO_DATE(E5359), """")"),42564.769328703704)</f>
        <v>42564.76933</v>
      </c>
      <c r="G5359" s="20">
        <f t="shared" si="1"/>
        <v>18</v>
      </c>
      <c r="H5359" s="18" t="s">
        <v>34</v>
      </c>
      <c r="I5359" s="19" t="str">
        <f>IFERROR(__xludf.DUMMYFUNCTION("IFERROR(TO_DATE(H5359), """")"),"NA")</f>
        <v>NA</v>
      </c>
      <c r="J5359" s="19" t="s">
        <v>12</v>
      </c>
      <c r="K5359" s="22">
        <f t="shared" si="2"/>
        <v>0</v>
      </c>
    </row>
    <row r="5360">
      <c r="A5360" s="18">
        <v>3573.0</v>
      </c>
      <c r="B5360" s="18" t="s">
        <v>32</v>
      </c>
      <c r="C5360" s="18" t="s">
        <v>34</v>
      </c>
      <c r="D5360" s="18" t="s">
        <v>35</v>
      </c>
      <c r="E5360" s="27">
        <v>42564.770625</v>
      </c>
      <c r="F5360" s="19">
        <f>IFERROR(__xludf.DUMMYFUNCTION("IFERROR(TO_DATE(E5360), """")"),42564.770625)</f>
        <v>42564.77063</v>
      </c>
      <c r="G5360" s="20">
        <f t="shared" si="1"/>
        <v>18</v>
      </c>
      <c r="H5360" s="18" t="s">
        <v>34</v>
      </c>
      <c r="I5360" s="19" t="str">
        <f>IFERROR(__xludf.DUMMYFUNCTION("IFERROR(TO_DATE(H5360), """")"),"NA")</f>
        <v>NA</v>
      </c>
      <c r="J5360" s="19" t="s">
        <v>12</v>
      </c>
      <c r="K5360" s="22">
        <f t="shared" si="2"/>
        <v>0</v>
      </c>
    </row>
    <row r="5361">
      <c r="A5361" s="18">
        <v>3592.0</v>
      </c>
      <c r="B5361" s="18" t="s">
        <v>30</v>
      </c>
      <c r="C5361" s="18" t="s">
        <v>34</v>
      </c>
      <c r="D5361" s="18" t="s">
        <v>35</v>
      </c>
      <c r="E5361" s="27">
        <v>42564.77075231481</v>
      </c>
      <c r="F5361" s="19">
        <f>IFERROR(__xludf.DUMMYFUNCTION("IFERROR(TO_DATE(E5361), """")"),42564.77075231481)</f>
        <v>42564.77075</v>
      </c>
      <c r="G5361" s="20">
        <f t="shared" si="1"/>
        <v>18</v>
      </c>
      <c r="H5361" s="18" t="s">
        <v>34</v>
      </c>
      <c r="I5361" s="19" t="str">
        <f>IFERROR(__xludf.DUMMYFUNCTION("IFERROR(TO_DATE(H5361), """")"),"NA")</f>
        <v>NA</v>
      </c>
      <c r="J5361" s="19" t="s">
        <v>12</v>
      </c>
      <c r="K5361" s="22">
        <f t="shared" si="2"/>
        <v>0</v>
      </c>
    </row>
    <row r="5362">
      <c r="A5362" s="18">
        <v>3587.0</v>
      </c>
      <c r="B5362" s="18" t="s">
        <v>30</v>
      </c>
      <c r="C5362" s="18" t="s">
        <v>34</v>
      </c>
      <c r="D5362" s="18" t="s">
        <v>35</v>
      </c>
      <c r="E5362" s="27">
        <v>42564.77150462963</v>
      </c>
      <c r="F5362" s="19">
        <f>IFERROR(__xludf.DUMMYFUNCTION("IFERROR(TO_DATE(E5362), """")"),42564.77150462963)</f>
        <v>42564.7715</v>
      </c>
      <c r="G5362" s="20">
        <f t="shared" si="1"/>
        <v>18</v>
      </c>
      <c r="H5362" s="18" t="s">
        <v>34</v>
      </c>
      <c r="I5362" s="19" t="str">
        <f>IFERROR(__xludf.DUMMYFUNCTION("IFERROR(TO_DATE(H5362), """")"),"NA")</f>
        <v>NA</v>
      </c>
      <c r="J5362" s="19" t="s">
        <v>12</v>
      </c>
      <c r="K5362" s="22">
        <f t="shared" si="2"/>
        <v>0</v>
      </c>
    </row>
    <row r="5363">
      <c r="A5363" s="18">
        <v>3586.0</v>
      </c>
      <c r="B5363" s="18" t="s">
        <v>30</v>
      </c>
      <c r="C5363" s="18" t="s">
        <v>34</v>
      </c>
      <c r="D5363" s="18" t="s">
        <v>35</v>
      </c>
      <c r="E5363" s="27">
        <v>42564.77258101852</v>
      </c>
      <c r="F5363" s="19">
        <f>IFERROR(__xludf.DUMMYFUNCTION("IFERROR(TO_DATE(E5363), """")"),42564.77258101852)</f>
        <v>42564.77258</v>
      </c>
      <c r="G5363" s="20">
        <f t="shared" si="1"/>
        <v>18</v>
      </c>
      <c r="H5363" s="18" t="s">
        <v>34</v>
      </c>
      <c r="I5363" s="19" t="str">
        <f>IFERROR(__xludf.DUMMYFUNCTION("IFERROR(TO_DATE(H5363), """")"),"NA")</f>
        <v>NA</v>
      </c>
      <c r="J5363" s="19" t="s">
        <v>12</v>
      </c>
      <c r="K5363" s="22">
        <f t="shared" si="2"/>
        <v>0</v>
      </c>
    </row>
    <row r="5364">
      <c r="A5364" s="18">
        <v>3581.0</v>
      </c>
      <c r="B5364" s="18" t="s">
        <v>30</v>
      </c>
      <c r="C5364" s="18" t="s">
        <v>34</v>
      </c>
      <c r="D5364" s="18" t="s">
        <v>35</v>
      </c>
      <c r="E5364" s="27">
        <v>42564.772824074076</v>
      </c>
      <c r="F5364" s="19">
        <f>IFERROR(__xludf.DUMMYFUNCTION("IFERROR(TO_DATE(E5364), """")"),42564.772824074076)</f>
        <v>42564.77282</v>
      </c>
      <c r="G5364" s="20">
        <f t="shared" si="1"/>
        <v>18</v>
      </c>
      <c r="H5364" s="18" t="s">
        <v>34</v>
      </c>
      <c r="I5364" s="19" t="str">
        <f>IFERROR(__xludf.DUMMYFUNCTION("IFERROR(TO_DATE(H5364), """")"),"NA")</f>
        <v>NA</v>
      </c>
      <c r="J5364" s="19" t="s">
        <v>12</v>
      </c>
      <c r="K5364" s="22">
        <f t="shared" si="2"/>
        <v>0</v>
      </c>
    </row>
    <row r="5365">
      <c r="A5365" s="18">
        <v>3588.0</v>
      </c>
      <c r="B5365" s="18" t="s">
        <v>30</v>
      </c>
      <c r="C5365" s="18" t="s">
        <v>34</v>
      </c>
      <c r="D5365" s="18" t="s">
        <v>35</v>
      </c>
      <c r="E5365" s="27">
        <v>42564.77347222222</v>
      </c>
      <c r="F5365" s="19">
        <f>IFERROR(__xludf.DUMMYFUNCTION("IFERROR(TO_DATE(E5365), """")"),42564.77347222222)</f>
        <v>42564.77347</v>
      </c>
      <c r="G5365" s="20">
        <f t="shared" si="1"/>
        <v>18</v>
      </c>
      <c r="H5365" s="18" t="s">
        <v>34</v>
      </c>
      <c r="I5365" s="19" t="str">
        <f>IFERROR(__xludf.DUMMYFUNCTION("IFERROR(TO_DATE(H5365), """")"),"NA")</f>
        <v>NA</v>
      </c>
      <c r="J5365" s="19" t="s">
        <v>12</v>
      </c>
      <c r="K5365" s="22">
        <f t="shared" si="2"/>
        <v>0</v>
      </c>
    </row>
    <row r="5366">
      <c r="A5366" s="18">
        <v>3591.0</v>
      </c>
      <c r="B5366" s="18" t="s">
        <v>30</v>
      </c>
      <c r="C5366" s="18" t="s">
        <v>34</v>
      </c>
      <c r="D5366" s="18" t="s">
        <v>35</v>
      </c>
      <c r="E5366" s="27">
        <v>42564.77353009259</v>
      </c>
      <c r="F5366" s="19">
        <f>IFERROR(__xludf.DUMMYFUNCTION("IFERROR(TO_DATE(E5366), """")"),42564.77353009259)</f>
        <v>42564.77353</v>
      </c>
      <c r="G5366" s="20">
        <f t="shared" si="1"/>
        <v>18</v>
      </c>
      <c r="H5366" s="18" t="s">
        <v>34</v>
      </c>
      <c r="I5366" s="19" t="str">
        <f>IFERROR(__xludf.DUMMYFUNCTION("IFERROR(TO_DATE(H5366), """")"),"NA")</f>
        <v>NA</v>
      </c>
      <c r="J5366" s="19" t="s">
        <v>12</v>
      </c>
      <c r="K5366" s="22">
        <f t="shared" si="2"/>
        <v>0</v>
      </c>
    </row>
    <row r="5367">
      <c r="A5367" s="18">
        <v>3595.0</v>
      </c>
      <c r="B5367" s="18" t="s">
        <v>30</v>
      </c>
      <c r="C5367" s="18" t="s">
        <v>34</v>
      </c>
      <c r="D5367" s="18" t="s">
        <v>35</v>
      </c>
      <c r="E5367" s="27">
        <v>42564.77446759259</v>
      </c>
      <c r="F5367" s="19">
        <f>IFERROR(__xludf.DUMMYFUNCTION("IFERROR(TO_DATE(E5367), """")"),42564.77446759259)</f>
        <v>42564.77447</v>
      </c>
      <c r="G5367" s="20">
        <f t="shared" si="1"/>
        <v>18</v>
      </c>
      <c r="H5367" s="18" t="s">
        <v>34</v>
      </c>
      <c r="I5367" s="19" t="str">
        <f>IFERROR(__xludf.DUMMYFUNCTION("IFERROR(TO_DATE(H5367), """")"),"NA")</f>
        <v>NA</v>
      </c>
      <c r="J5367" s="19" t="s">
        <v>12</v>
      </c>
      <c r="K5367" s="22">
        <f t="shared" si="2"/>
        <v>0</v>
      </c>
    </row>
    <row r="5368">
      <c r="A5368" s="18">
        <v>3597.0</v>
      </c>
      <c r="B5368" s="18" t="s">
        <v>30</v>
      </c>
      <c r="C5368" s="18" t="s">
        <v>34</v>
      </c>
      <c r="D5368" s="18" t="s">
        <v>35</v>
      </c>
      <c r="E5368" s="27">
        <v>42564.775509259256</v>
      </c>
      <c r="F5368" s="19">
        <f>IFERROR(__xludf.DUMMYFUNCTION("IFERROR(TO_DATE(E5368), """")"),42564.775509259256)</f>
        <v>42564.77551</v>
      </c>
      <c r="G5368" s="20">
        <f t="shared" si="1"/>
        <v>18</v>
      </c>
      <c r="H5368" s="18" t="s">
        <v>34</v>
      </c>
      <c r="I5368" s="19" t="str">
        <f>IFERROR(__xludf.DUMMYFUNCTION("IFERROR(TO_DATE(H5368), """")"),"NA")</f>
        <v>NA</v>
      </c>
      <c r="J5368" s="19" t="s">
        <v>12</v>
      </c>
      <c r="K5368" s="22">
        <f t="shared" si="2"/>
        <v>0</v>
      </c>
    </row>
    <row r="5369">
      <c r="A5369" s="18">
        <v>3599.0</v>
      </c>
      <c r="B5369" s="18" t="s">
        <v>30</v>
      </c>
      <c r="C5369" s="18" t="s">
        <v>34</v>
      </c>
      <c r="D5369" s="18" t="s">
        <v>35</v>
      </c>
      <c r="E5369" s="27">
        <v>42564.77684027778</v>
      </c>
      <c r="F5369" s="19">
        <f>IFERROR(__xludf.DUMMYFUNCTION("IFERROR(TO_DATE(E5369), """")"),42564.77684027778)</f>
        <v>42564.77684</v>
      </c>
      <c r="G5369" s="20">
        <f t="shared" si="1"/>
        <v>18</v>
      </c>
      <c r="H5369" s="18" t="s">
        <v>34</v>
      </c>
      <c r="I5369" s="19" t="str">
        <f>IFERROR(__xludf.DUMMYFUNCTION("IFERROR(TO_DATE(H5369), """")"),"NA")</f>
        <v>NA</v>
      </c>
      <c r="J5369" s="19" t="s">
        <v>12</v>
      </c>
      <c r="K5369" s="22">
        <f t="shared" si="2"/>
        <v>0</v>
      </c>
    </row>
    <row r="5370">
      <c r="A5370" s="18">
        <v>3596.0</v>
      </c>
      <c r="B5370" s="18" t="s">
        <v>30</v>
      </c>
      <c r="C5370" s="18" t="s">
        <v>34</v>
      </c>
      <c r="D5370" s="18" t="s">
        <v>35</v>
      </c>
      <c r="E5370" s="27">
        <v>42564.77736111111</v>
      </c>
      <c r="F5370" s="19">
        <f>IFERROR(__xludf.DUMMYFUNCTION("IFERROR(TO_DATE(E5370), """")"),42564.77736111111)</f>
        <v>42564.77736</v>
      </c>
      <c r="G5370" s="20">
        <f t="shared" si="1"/>
        <v>18</v>
      </c>
      <c r="H5370" s="18" t="s">
        <v>34</v>
      </c>
      <c r="I5370" s="19" t="str">
        <f>IFERROR(__xludf.DUMMYFUNCTION("IFERROR(TO_DATE(H5370), """")"),"NA")</f>
        <v>NA</v>
      </c>
      <c r="J5370" s="19" t="s">
        <v>12</v>
      </c>
      <c r="K5370" s="22">
        <f t="shared" si="2"/>
        <v>0</v>
      </c>
    </row>
    <row r="5371">
      <c r="A5371" s="18">
        <v>3604.0</v>
      </c>
      <c r="B5371" s="18" t="s">
        <v>30</v>
      </c>
      <c r="C5371" s="18" t="s">
        <v>34</v>
      </c>
      <c r="D5371" s="18" t="s">
        <v>35</v>
      </c>
      <c r="E5371" s="27">
        <v>42564.77991898148</v>
      </c>
      <c r="F5371" s="19">
        <f>IFERROR(__xludf.DUMMYFUNCTION("IFERROR(TO_DATE(E5371), """")"),42564.77991898148)</f>
        <v>42564.77992</v>
      </c>
      <c r="G5371" s="20">
        <f t="shared" si="1"/>
        <v>18</v>
      </c>
      <c r="H5371" s="18" t="s">
        <v>34</v>
      </c>
      <c r="I5371" s="19" t="str">
        <f>IFERROR(__xludf.DUMMYFUNCTION("IFERROR(TO_DATE(H5371), """")"),"NA")</f>
        <v>NA</v>
      </c>
      <c r="J5371" s="19" t="s">
        <v>12</v>
      </c>
      <c r="K5371" s="22">
        <f t="shared" si="2"/>
        <v>0</v>
      </c>
    </row>
    <row r="5372">
      <c r="A5372" s="18">
        <v>3603.0</v>
      </c>
      <c r="B5372" s="18" t="s">
        <v>30</v>
      </c>
      <c r="C5372" s="18" t="s">
        <v>34</v>
      </c>
      <c r="D5372" s="18" t="s">
        <v>35</v>
      </c>
      <c r="E5372" s="27">
        <v>42564.78076388889</v>
      </c>
      <c r="F5372" s="19">
        <f>IFERROR(__xludf.DUMMYFUNCTION("IFERROR(TO_DATE(E5372), """")"),42564.78076388889)</f>
        <v>42564.78076</v>
      </c>
      <c r="G5372" s="20">
        <f t="shared" si="1"/>
        <v>18</v>
      </c>
      <c r="H5372" s="18" t="s">
        <v>34</v>
      </c>
      <c r="I5372" s="19" t="str">
        <f>IFERROR(__xludf.DUMMYFUNCTION("IFERROR(TO_DATE(H5372), """")"),"NA")</f>
        <v>NA</v>
      </c>
      <c r="J5372" s="19" t="s">
        <v>12</v>
      </c>
      <c r="K5372" s="22">
        <f t="shared" si="2"/>
        <v>0</v>
      </c>
    </row>
    <row r="5373">
      <c r="A5373" s="18">
        <v>3605.0</v>
      </c>
      <c r="B5373" s="18" t="s">
        <v>30</v>
      </c>
      <c r="C5373" s="18" t="s">
        <v>34</v>
      </c>
      <c r="D5373" s="18" t="s">
        <v>35</v>
      </c>
      <c r="E5373" s="27">
        <v>42564.780960648146</v>
      </c>
      <c r="F5373" s="19">
        <f>IFERROR(__xludf.DUMMYFUNCTION("IFERROR(TO_DATE(E5373), """")"),42564.780960648146)</f>
        <v>42564.78096</v>
      </c>
      <c r="G5373" s="20">
        <f t="shared" si="1"/>
        <v>18</v>
      </c>
      <c r="H5373" s="18" t="s">
        <v>34</v>
      </c>
      <c r="I5373" s="19" t="str">
        <f>IFERROR(__xludf.DUMMYFUNCTION("IFERROR(TO_DATE(H5373), """")"),"NA")</f>
        <v>NA</v>
      </c>
      <c r="J5373" s="19" t="s">
        <v>12</v>
      </c>
      <c r="K5373" s="22">
        <f t="shared" si="2"/>
        <v>0</v>
      </c>
    </row>
    <row r="5374">
      <c r="A5374" s="18">
        <v>3600.0</v>
      </c>
      <c r="B5374" s="18" t="s">
        <v>30</v>
      </c>
      <c r="C5374" s="18" t="s">
        <v>34</v>
      </c>
      <c r="D5374" s="18" t="s">
        <v>35</v>
      </c>
      <c r="E5374" s="27">
        <v>42564.78165509259</v>
      </c>
      <c r="F5374" s="19">
        <f>IFERROR(__xludf.DUMMYFUNCTION("IFERROR(TO_DATE(E5374), """")"),42564.78165509259)</f>
        <v>42564.78166</v>
      </c>
      <c r="G5374" s="20">
        <f t="shared" si="1"/>
        <v>18</v>
      </c>
      <c r="H5374" s="18" t="s">
        <v>34</v>
      </c>
      <c r="I5374" s="19" t="str">
        <f>IFERROR(__xludf.DUMMYFUNCTION("IFERROR(TO_DATE(H5374), """")"),"NA")</f>
        <v>NA</v>
      </c>
      <c r="J5374" s="19" t="s">
        <v>12</v>
      </c>
      <c r="K5374" s="22">
        <f t="shared" si="2"/>
        <v>0</v>
      </c>
    </row>
    <row r="5375">
      <c r="A5375" s="18">
        <v>3607.0</v>
      </c>
      <c r="B5375" s="18" t="s">
        <v>30</v>
      </c>
      <c r="C5375" s="18" t="s">
        <v>34</v>
      </c>
      <c r="D5375" s="18" t="s">
        <v>35</v>
      </c>
      <c r="E5375" s="27">
        <v>42564.78165509259</v>
      </c>
      <c r="F5375" s="19">
        <f>IFERROR(__xludf.DUMMYFUNCTION("IFERROR(TO_DATE(E5375), """")"),42564.78165509259)</f>
        <v>42564.78166</v>
      </c>
      <c r="G5375" s="20">
        <f t="shared" si="1"/>
        <v>18</v>
      </c>
      <c r="H5375" s="18" t="s">
        <v>34</v>
      </c>
      <c r="I5375" s="19" t="str">
        <f>IFERROR(__xludf.DUMMYFUNCTION("IFERROR(TO_DATE(H5375), """")"),"NA")</f>
        <v>NA</v>
      </c>
      <c r="J5375" s="19" t="s">
        <v>12</v>
      </c>
      <c r="K5375" s="22">
        <f t="shared" si="2"/>
        <v>0</v>
      </c>
    </row>
    <row r="5376">
      <c r="A5376" s="18">
        <v>3608.0</v>
      </c>
      <c r="B5376" s="18" t="s">
        <v>30</v>
      </c>
      <c r="C5376" s="18" t="s">
        <v>34</v>
      </c>
      <c r="D5376" s="18" t="s">
        <v>35</v>
      </c>
      <c r="E5376" s="27">
        <v>42564.783159722225</v>
      </c>
      <c r="F5376" s="19">
        <f>IFERROR(__xludf.DUMMYFUNCTION("IFERROR(TO_DATE(E5376), """")"),42564.783159722225)</f>
        <v>42564.78316</v>
      </c>
      <c r="G5376" s="20">
        <f t="shared" si="1"/>
        <v>18</v>
      </c>
      <c r="H5376" s="18" t="s">
        <v>34</v>
      </c>
      <c r="I5376" s="19" t="str">
        <f>IFERROR(__xludf.DUMMYFUNCTION("IFERROR(TO_DATE(H5376), """")"),"NA")</f>
        <v>NA</v>
      </c>
      <c r="J5376" s="19" t="s">
        <v>12</v>
      </c>
      <c r="K5376" s="22">
        <f t="shared" si="2"/>
        <v>0</v>
      </c>
    </row>
    <row r="5377">
      <c r="A5377" s="18">
        <v>3611.0</v>
      </c>
      <c r="B5377" s="18" t="s">
        <v>30</v>
      </c>
      <c r="C5377" s="18" t="s">
        <v>34</v>
      </c>
      <c r="D5377" s="18" t="s">
        <v>35</v>
      </c>
      <c r="E5377" s="27">
        <v>42564.78376157407</v>
      </c>
      <c r="F5377" s="19">
        <f>IFERROR(__xludf.DUMMYFUNCTION("IFERROR(TO_DATE(E5377), """")"),42564.78376157407)</f>
        <v>42564.78376</v>
      </c>
      <c r="G5377" s="20">
        <f t="shared" si="1"/>
        <v>18</v>
      </c>
      <c r="H5377" s="18" t="s">
        <v>34</v>
      </c>
      <c r="I5377" s="19" t="str">
        <f>IFERROR(__xludf.DUMMYFUNCTION("IFERROR(TO_DATE(H5377), """")"),"NA")</f>
        <v>NA</v>
      </c>
      <c r="J5377" s="19" t="s">
        <v>12</v>
      </c>
      <c r="K5377" s="22">
        <f t="shared" si="2"/>
        <v>0</v>
      </c>
    </row>
    <row r="5378">
      <c r="A5378" s="18">
        <v>3609.0</v>
      </c>
      <c r="B5378" s="18" t="s">
        <v>32</v>
      </c>
      <c r="C5378" s="18" t="s">
        <v>34</v>
      </c>
      <c r="D5378" s="18" t="s">
        <v>35</v>
      </c>
      <c r="E5378" s="27">
        <v>42564.78428240741</v>
      </c>
      <c r="F5378" s="19">
        <f>IFERROR(__xludf.DUMMYFUNCTION("IFERROR(TO_DATE(E5378), """")"),42564.78428240741)</f>
        <v>42564.78428</v>
      </c>
      <c r="G5378" s="20">
        <f t="shared" si="1"/>
        <v>18</v>
      </c>
      <c r="H5378" s="18" t="s">
        <v>34</v>
      </c>
      <c r="I5378" s="19" t="str">
        <f>IFERROR(__xludf.DUMMYFUNCTION("IFERROR(TO_DATE(H5378), """")"),"NA")</f>
        <v>NA</v>
      </c>
      <c r="J5378" s="19" t="s">
        <v>12</v>
      </c>
      <c r="K5378" s="22">
        <f t="shared" si="2"/>
        <v>0</v>
      </c>
    </row>
    <row r="5379">
      <c r="A5379" s="18">
        <v>3610.0</v>
      </c>
      <c r="B5379" s="18" t="s">
        <v>30</v>
      </c>
      <c r="C5379" s="18" t="s">
        <v>34</v>
      </c>
      <c r="D5379" s="18" t="s">
        <v>35</v>
      </c>
      <c r="E5379" s="27">
        <v>42564.78445601852</v>
      </c>
      <c r="F5379" s="19">
        <f>IFERROR(__xludf.DUMMYFUNCTION("IFERROR(TO_DATE(E5379), """")"),42564.78445601852)</f>
        <v>42564.78446</v>
      </c>
      <c r="G5379" s="20">
        <f t="shared" si="1"/>
        <v>18</v>
      </c>
      <c r="H5379" s="18" t="s">
        <v>34</v>
      </c>
      <c r="I5379" s="19" t="str">
        <f>IFERROR(__xludf.DUMMYFUNCTION("IFERROR(TO_DATE(H5379), """")"),"NA")</f>
        <v>NA</v>
      </c>
      <c r="J5379" s="19" t="s">
        <v>12</v>
      </c>
      <c r="K5379" s="22">
        <f t="shared" si="2"/>
        <v>0</v>
      </c>
    </row>
    <row r="5380">
      <c r="A5380" s="18">
        <v>3616.0</v>
      </c>
      <c r="B5380" s="18" t="s">
        <v>30</v>
      </c>
      <c r="C5380" s="18" t="s">
        <v>34</v>
      </c>
      <c r="D5380" s="18" t="s">
        <v>35</v>
      </c>
      <c r="E5380" s="27">
        <v>42564.784479166665</v>
      </c>
      <c r="F5380" s="19">
        <f>IFERROR(__xludf.DUMMYFUNCTION("IFERROR(TO_DATE(E5380), """")"),42564.784479166665)</f>
        <v>42564.78448</v>
      </c>
      <c r="G5380" s="20">
        <f t="shared" si="1"/>
        <v>18</v>
      </c>
      <c r="H5380" s="18" t="s">
        <v>34</v>
      </c>
      <c r="I5380" s="19" t="str">
        <f>IFERROR(__xludf.DUMMYFUNCTION("IFERROR(TO_DATE(H5380), """")"),"NA")</f>
        <v>NA</v>
      </c>
      <c r="J5380" s="19" t="s">
        <v>12</v>
      </c>
      <c r="K5380" s="22">
        <f t="shared" si="2"/>
        <v>0</v>
      </c>
    </row>
    <row r="5381">
      <c r="A5381" s="18">
        <v>3606.0</v>
      </c>
      <c r="B5381" s="18" t="s">
        <v>30</v>
      </c>
      <c r="C5381" s="18" t="s">
        <v>34</v>
      </c>
      <c r="D5381" s="18" t="s">
        <v>35</v>
      </c>
      <c r="E5381" s="27">
        <v>42564.785266203704</v>
      </c>
      <c r="F5381" s="19">
        <f>IFERROR(__xludf.DUMMYFUNCTION("IFERROR(TO_DATE(E5381), """")"),42564.785266203704)</f>
        <v>42564.78527</v>
      </c>
      <c r="G5381" s="20">
        <f t="shared" si="1"/>
        <v>18</v>
      </c>
      <c r="H5381" s="18" t="s">
        <v>34</v>
      </c>
      <c r="I5381" s="19" t="str">
        <f>IFERROR(__xludf.DUMMYFUNCTION("IFERROR(TO_DATE(H5381), """")"),"NA")</f>
        <v>NA</v>
      </c>
      <c r="J5381" s="19" t="s">
        <v>12</v>
      </c>
      <c r="K5381" s="22">
        <f t="shared" si="2"/>
        <v>0</v>
      </c>
    </row>
    <row r="5382">
      <c r="A5382" s="18">
        <v>3614.0</v>
      </c>
      <c r="B5382" s="18" t="s">
        <v>32</v>
      </c>
      <c r="C5382" s="18" t="s">
        <v>34</v>
      </c>
      <c r="D5382" s="18" t="s">
        <v>35</v>
      </c>
      <c r="E5382" s="27">
        <v>42564.78570601852</v>
      </c>
      <c r="F5382" s="19">
        <f>IFERROR(__xludf.DUMMYFUNCTION("IFERROR(TO_DATE(E5382), """")"),42564.78570601852)</f>
        <v>42564.78571</v>
      </c>
      <c r="G5382" s="20">
        <f t="shared" si="1"/>
        <v>18</v>
      </c>
      <c r="H5382" s="18" t="s">
        <v>34</v>
      </c>
      <c r="I5382" s="19" t="str">
        <f>IFERROR(__xludf.DUMMYFUNCTION("IFERROR(TO_DATE(H5382), """")"),"NA")</f>
        <v>NA</v>
      </c>
      <c r="J5382" s="19" t="s">
        <v>12</v>
      </c>
      <c r="K5382" s="22">
        <f t="shared" si="2"/>
        <v>0</v>
      </c>
    </row>
    <row r="5383">
      <c r="A5383" s="18">
        <v>3618.0</v>
      </c>
      <c r="B5383" s="18" t="s">
        <v>30</v>
      </c>
      <c r="C5383" s="18" t="s">
        <v>34</v>
      </c>
      <c r="D5383" s="18" t="s">
        <v>35</v>
      </c>
      <c r="E5383" s="27">
        <v>42564.78665509259</v>
      </c>
      <c r="F5383" s="19">
        <f>IFERROR(__xludf.DUMMYFUNCTION("IFERROR(TO_DATE(E5383), """")"),42564.78665509259)</f>
        <v>42564.78666</v>
      </c>
      <c r="G5383" s="20">
        <f t="shared" si="1"/>
        <v>18</v>
      </c>
      <c r="H5383" s="18" t="s">
        <v>34</v>
      </c>
      <c r="I5383" s="19" t="str">
        <f>IFERROR(__xludf.DUMMYFUNCTION("IFERROR(TO_DATE(H5383), """")"),"NA")</f>
        <v>NA</v>
      </c>
      <c r="J5383" s="19" t="s">
        <v>12</v>
      </c>
      <c r="K5383" s="22">
        <f t="shared" si="2"/>
        <v>0</v>
      </c>
    </row>
    <row r="5384">
      <c r="A5384" s="18">
        <v>3612.0</v>
      </c>
      <c r="B5384" s="18" t="s">
        <v>30</v>
      </c>
      <c r="C5384" s="18" t="s">
        <v>34</v>
      </c>
      <c r="D5384" s="18" t="s">
        <v>35</v>
      </c>
      <c r="E5384" s="27">
        <v>42564.78734953704</v>
      </c>
      <c r="F5384" s="19">
        <f>IFERROR(__xludf.DUMMYFUNCTION("IFERROR(TO_DATE(E5384), """")"),42564.78734953704)</f>
        <v>42564.78735</v>
      </c>
      <c r="G5384" s="20">
        <f t="shared" si="1"/>
        <v>18</v>
      </c>
      <c r="H5384" s="18" t="s">
        <v>34</v>
      </c>
      <c r="I5384" s="19" t="str">
        <f>IFERROR(__xludf.DUMMYFUNCTION("IFERROR(TO_DATE(H5384), """")"),"NA")</f>
        <v>NA</v>
      </c>
      <c r="J5384" s="19" t="s">
        <v>12</v>
      </c>
      <c r="K5384" s="22">
        <f t="shared" si="2"/>
        <v>0</v>
      </c>
    </row>
    <row r="5385">
      <c r="A5385" s="18">
        <v>3623.0</v>
      </c>
      <c r="B5385" s="18" t="s">
        <v>30</v>
      </c>
      <c r="C5385" s="18" t="s">
        <v>34</v>
      </c>
      <c r="D5385" s="18" t="s">
        <v>35</v>
      </c>
      <c r="E5385" s="27">
        <v>42564.78778935185</v>
      </c>
      <c r="F5385" s="19">
        <f>IFERROR(__xludf.DUMMYFUNCTION("IFERROR(TO_DATE(E5385), """")"),42564.78778935185)</f>
        <v>42564.78779</v>
      </c>
      <c r="G5385" s="20">
        <f t="shared" si="1"/>
        <v>18</v>
      </c>
      <c r="H5385" s="18" t="s">
        <v>34</v>
      </c>
      <c r="I5385" s="19" t="str">
        <f>IFERROR(__xludf.DUMMYFUNCTION("IFERROR(TO_DATE(H5385), """")"),"NA")</f>
        <v>NA</v>
      </c>
      <c r="J5385" s="19" t="s">
        <v>12</v>
      </c>
      <c r="K5385" s="22">
        <f t="shared" si="2"/>
        <v>0</v>
      </c>
    </row>
    <row r="5386">
      <c r="A5386" s="18">
        <v>3619.0</v>
      </c>
      <c r="B5386" s="18" t="s">
        <v>30</v>
      </c>
      <c r="C5386" s="18" t="s">
        <v>34</v>
      </c>
      <c r="D5386" s="18" t="s">
        <v>35</v>
      </c>
      <c r="E5386" s="27">
        <v>42564.78872685185</v>
      </c>
      <c r="F5386" s="19">
        <f>IFERROR(__xludf.DUMMYFUNCTION("IFERROR(TO_DATE(E5386), """")"),42564.78872685185)</f>
        <v>42564.78873</v>
      </c>
      <c r="G5386" s="20">
        <f t="shared" si="1"/>
        <v>18</v>
      </c>
      <c r="H5386" s="18" t="s">
        <v>34</v>
      </c>
      <c r="I5386" s="19" t="str">
        <f>IFERROR(__xludf.DUMMYFUNCTION("IFERROR(TO_DATE(H5386), """")"),"NA")</f>
        <v>NA</v>
      </c>
      <c r="J5386" s="19" t="s">
        <v>12</v>
      </c>
      <c r="K5386" s="22">
        <f t="shared" si="2"/>
        <v>0</v>
      </c>
    </row>
    <row r="5387">
      <c r="A5387" s="18">
        <v>3627.0</v>
      </c>
      <c r="B5387" s="18" t="s">
        <v>30</v>
      </c>
      <c r="C5387" s="18" t="s">
        <v>34</v>
      </c>
      <c r="D5387" s="18" t="s">
        <v>35</v>
      </c>
      <c r="E5387" s="27">
        <v>42564.78969907408</v>
      </c>
      <c r="F5387" s="19">
        <f>IFERROR(__xludf.DUMMYFUNCTION("IFERROR(TO_DATE(E5387), """")"),42564.78969907408)</f>
        <v>42564.7897</v>
      </c>
      <c r="G5387" s="20">
        <f t="shared" si="1"/>
        <v>18</v>
      </c>
      <c r="H5387" s="18" t="s">
        <v>34</v>
      </c>
      <c r="I5387" s="19" t="str">
        <f>IFERROR(__xludf.DUMMYFUNCTION("IFERROR(TO_DATE(H5387), """")"),"NA")</f>
        <v>NA</v>
      </c>
      <c r="J5387" s="19" t="s">
        <v>12</v>
      </c>
      <c r="K5387" s="22">
        <f t="shared" si="2"/>
        <v>0</v>
      </c>
    </row>
    <row r="5388">
      <c r="A5388" s="18">
        <v>3635.0</v>
      </c>
      <c r="B5388" s="18" t="s">
        <v>30</v>
      </c>
      <c r="C5388" s="18" t="s">
        <v>34</v>
      </c>
      <c r="D5388" s="18" t="s">
        <v>35</v>
      </c>
      <c r="E5388" s="27">
        <v>42564.79048611111</v>
      </c>
      <c r="F5388" s="19">
        <f>IFERROR(__xludf.DUMMYFUNCTION("IFERROR(TO_DATE(E5388), """")"),42564.79048611111)</f>
        <v>42564.79049</v>
      </c>
      <c r="G5388" s="20">
        <f t="shared" si="1"/>
        <v>18</v>
      </c>
      <c r="H5388" s="18" t="s">
        <v>34</v>
      </c>
      <c r="I5388" s="19" t="str">
        <f>IFERROR(__xludf.DUMMYFUNCTION("IFERROR(TO_DATE(H5388), """")"),"NA")</f>
        <v>NA</v>
      </c>
      <c r="J5388" s="19" t="s">
        <v>12</v>
      </c>
      <c r="K5388" s="22">
        <f t="shared" si="2"/>
        <v>0</v>
      </c>
    </row>
    <row r="5389">
      <c r="A5389" s="18">
        <v>3629.0</v>
      </c>
      <c r="B5389" s="18" t="s">
        <v>30</v>
      </c>
      <c r="C5389" s="18" t="s">
        <v>34</v>
      </c>
      <c r="D5389" s="18" t="s">
        <v>35</v>
      </c>
      <c r="E5389" s="27">
        <v>42564.7905787037</v>
      </c>
      <c r="F5389" s="19">
        <f>IFERROR(__xludf.DUMMYFUNCTION("IFERROR(TO_DATE(E5389), """")"),42564.7905787037)</f>
        <v>42564.79058</v>
      </c>
      <c r="G5389" s="20">
        <f t="shared" si="1"/>
        <v>18</v>
      </c>
      <c r="H5389" s="18" t="s">
        <v>34</v>
      </c>
      <c r="I5389" s="19" t="str">
        <f>IFERROR(__xludf.DUMMYFUNCTION("IFERROR(TO_DATE(H5389), """")"),"NA")</f>
        <v>NA</v>
      </c>
      <c r="J5389" s="19" t="s">
        <v>12</v>
      </c>
      <c r="K5389" s="22">
        <f t="shared" si="2"/>
        <v>0</v>
      </c>
    </row>
    <row r="5390">
      <c r="A5390" s="18">
        <v>3626.0</v>
      </c>
      <c r="B5390" s="18" t="s">
        <v>30</v>
      </c>
      <c r="C5390" s="18" t="s">
        <v>34</v>
      </c>
      <c r="D5390" s="18" t="s">
        <v>35</v>
      </c>
      <c r="E5390" s="27">
        <v>42564.79201388889</v>
      </c>
      <c r="F5390" s="19">
        <f>IFERROR(__xludf.DUMMYFUNCTION("IFERROR(TO_DATE(E5390), """")"),42564.79201388889)</f>
        <v>42564.79201</v>
      </c>
      <c r="G5390" s="20">
        <f t="shared" si="1"/>
        <v>19</v>
      </c>
      <c r="H5390" s="18" t="s">
        <v>34</v>
      </c>
      <c r="I5390" s="19" t="str">
        <f>IFERROR(__xludf.DUMMYFUNCTION("IFERROR(TO_DATE(H5390), """")"),"NA")</f>
        <v>NA</v>
      </c>
      <c r="J5390" s="19" t="s">
        <v>12</v>
      </c>
      <c r="K5390" s="22">
        <f t="shared" si="2"/>
        <v>0</v>
      </c>
    </row>
    <row r="5391">
      <c r="A5391" s="18">
        <v>3633.0</v>
      </c>
      <c r="B5391" s="18" t="s">
        <v>32</v>
      </c>
      <c r="C5391" s="18" t="s">
        <v>34</v>
      </c>
      <c r="D5391" s="18" t="s">
        <v>35</v>
      </c>
      <c r="E5391" s="27">
        <v>42564.79204861111</v>
      </c>
      <c r="F5391" s="19">
        <f>IFERROR(__xludf.DUMMYFUNCTION("IFERROR(TO_DATE(E5391), """")"),42564.79204861111)</f>
        <v>42564.79205</v>
      </c>
      <c r="G5391" s="20">
        <f t="shared" si="1"/>
        <v>19</v>
      </c>
      <c r="H5391" s="18" t="s">
        <v>34</v>
      </c>
      <c r="I5391" s="19" t="str">
        <f>IFERROR(__xludf.DUMMYFUNCTION("IFERROR(TO_DATE(H5391), """")"),"NA")</f>
        <v>NA</v>
      </c>
      <c r="J5391" s="19" t="s">
        <v>12</v>
      </c>
      <c r="K5391" s="22">
        <f t="shared" si="2"/>
        <v>0</v>
      </c>
    </row>
    <row r="5392">
      <c r="A5392" s="18">
        <v>3637.0</v>
      </c>
      <c r="B5392" s="18" t="s">
        <v>30</v>
      </c>
      <c r="C5392" s="18" t="s">
        <v>34</v>
      </c>
      <c r="D5392" s="18" t="s">
        <v>35</v>
      </c>
      <c r="E5392" s="27">
        <v>42564.79552083334</v>
      </c>
      <c r="F5392" s="19">
        <f>IFERROR(__xludf.DUMMYFUNCTION("IFERROR(TO_DATE(E5392), """")"),42564.79552083334)</f>
        <v>42564.79552</v>
      </c>
      <c r="G5392" s="20">
        <f t="shared" si="1"/>
        <v>19</v>
      </c>
      <c r="H5392" s="18" t="s">
        <v>34</v>
      </c>
      <c r="I5392" s="19" t="str">
        <f>IFERROR(__xludf.DUMMYFUNCTION("IFERROR(TO_DATE(H5392), """")"),"NA")</f>
        <v>NA</v>
      </c>
      <c r="J5392" s="19" t="s">
        <v>12</v>
      </c>
      <c r="K5392" s="22">
        <f t="shared" si="2"/>
        <v>0</v>
      </c>
    </row>
    <row r="5393">
      <c r="A5393" s="18">
        <v>3639.0</v>
      </c>
      <c r="B5393" s="18" t="s">
        <v>30</v>
      </c>
      <c r="C5393" s="18" t="s">
        <v>34</v>
      </c>
      <c r="D5393" s="18" t="s">
        <v>35</v>
      </c>
      <c r="E5393" s="27">
        <v>42564.79568287037</v>
      </c>
      <c r="F5393" s="19">
        <f>IFERROR(__xludf.DUMMYFUNCTION("IFERROR(TO_DATE(E5393), """")"),42564.79568287037)</f>
        <v>42564.79568</v>
      </c>
      <c r="G5393" s="20">
        <f t="shared" si="1"/>
        <v>19</v>
      </c>
      <c r="H5393" s="18" t="s">
        <v>34</v>
      </c>
      <c r="I5393" s="19" t="str">
        <f>IFERROR(__xludf.DUMMYFUNCTION("IFERROR(TO_DATE(H5393), """")"),"NA")</f>
        <v>NA</v>
      </c>
      <c r="J5393" s="19" t="s">
        <v>12</v>
      </c>
      <c r="K5393" s="22">
        <f t="shared" si="2"/>
        <v>0</v>
      </c>
    </row>
    <row r="5394">
      <c r="A5394" s="18">
        <v>3628.0</v>
      </c>
      <c r="B5394" s="18" t="s">
        <v>30</v>
      </c>
      <c r="C5394" s="18" t="s">
        <v>34</v>
      </c>
      <c r="D5394" s="18" t="s">
        <v>35</v>
      </c>
      <c r="E5394" s="27">
        <v>42564.79599537037</v>
      </c>
      <c r="F5394" s="19">
        <f>IFERROR(__xludf.DUMMYFUNCTION("IFERROR(TO_DATE(E5394), """")"),42564.79599537037)</f>
        <v>42564.796</v>
      </c>
      <c r="G5394" s="20">
        <f t="shared" si="1"/>
        <v>19</v>
      </c>
      <c r="H5394" s="18" t="s">
        <v>34</v>
      </c>
      <c r="I5394" s="19" t="str">
        <f>IFERROR(__xludf.DUMMYFUNCTION("IFERROR(TO_DATE(H5394), """")"),"NA")</f>
        <v>NA</v>
      </c>
      <c r="J5394" s="19" t="s">
        <v>12</v>
      </c>
      <c r="K5394" s="22">
        <f t="shared" si="2"/>
        <v>0</v>
      </c>
    </row>
    <row r="5395">
      <c r="A5395" s="18">
        <v>3642.0</v>
      </c>
      <c r="B5395" s="18" t="s">
        <v>30</v>
      </c>
      <c r="C5395" s="18" t="s">
        <v>34</v>
      </c>
      <c r="D5395" s="18" t="s">
        <v>35</v>
      </c>
      <c r="E5395" s="27">
        <v>42564.79678240741</v>
      </c>
      <c r="F5395" s="19">
        <f>IFERROR(__xludf.DUMMYFUNCTION("IFERROR(TO_DATE(E5395), """")"),42564.79678240741)</f>
        <v>42564.79678</v>
      </c>
      <c r="G5395" s="20">
        <f t="shared" si="1"/>
        <v>19</v>
      </c>
      <c r="H5395" s="18" t="s">
        <v>34</v>
      </c>
      <c r="I5395" s="19" t="str">
        <f>IFERROR(__xludf.DUMMYFUNCTION("IFERROR(TO_DATE(H5395), """")"),"NA")</f>
        <v>NA</v>
      </c>
      <c r="J5395" s="19" t="s">
        <v>12</v>
      </c>
      <c r="K5395" s="22">
        <f t="shared" si="2"/>
        <v>0</v>
      </c>
    </row>
    <row r="5396">
      <c r="A5396" s="18">
        <v>3636.0</v>
      </c>
      <c r="B5396" s="18" t="s">
        <v>30</v>
      </c>
      <c r="C5396" s="18" t="s">
        <v>34</v>
      </c>
      <c r="D5396" s="18" t="s">
        <v>35</v>
      </c>
      <c r="E5396" s="27">
        <v>42564.796875</v>
      </c>
      <c r="F5396" s="19">
        <f>IFERROR(__xludf.DUMMYFUNCTION("IFERROR(TO_DATE(E5396), """")"),42564.796875)</f>
        <v>42564.79688</v>
      </c>
      <c r="G5396" s="20">
        <f t="shared" si="1"/>
        <v>19</v>
      </c>
      <c r="H5396" s="18" t="s">
        <v>34</v>
      </c>
      <c r="I5396" s="19" t="str">
        <f>IFERROR(__xludf.DUMMYFUNCTION("IFERROR(TO_DATE(H5396), """")"),"NA")</f>
        <v>NA</v>
      </c>
      <c r="J5396" s="19" t="s">
        <v>12</v>
      </c>
      <c r="K5396" s="22">
        <f t="shared" si="2"/>
        <v>0</v>
      </c>
    </row>
    <row r="5397">
      <c r="A5397" s="18">
        <v>3647.0</v>
      </c>
      <c r="B5397" s="18" t="s">
        <v>30</v>
      </c>
      <c r="C5397" s="18" t="s">
        <v>34</v>
      </c>
      <c r="D5397" s="18" t="s">
        <v>35</v>
      </c>
      <c r="E5397" s="27">
        <v>42564.79834490741</v>
      </c>
      <c r="F5397" s="19">
        <f>IFERROR(__xludf.DUMMYFUNCTION("IFERROR(TO_DATE(E5397), """")"),42564.79834490741)</f>
        <v>42564.79834</v>
      </c>
      <c r="G5397" s="20">
        <f t="shared" si="1"/>
        <v>19</v>
      </c>
      <c r="H5397" s="18" t="s">
        <v>34</v>
      </c>
      <c r="I5397" s="19" t="str">
        <f>IFERROR(__xludf.DUMMYFUNCTION("IFERROR(TO_DATE(H5397), """")"),"NA")</f>
        <v>NA</v>
      </c>
      <c r="J5397" s="19" t="s">
        <v>12</v>
      </c>
      <c r="K5397" s="22">
        <f t="shared" si="2"/>
        <v>0</v>
      </c>
    </row>
    <row r="5398">
      <c r="A5398" s="18">
        <v>3655.0</v>
      </c>
      <c r="B5398" s="18" t="s">
        <v>30</v>
      </c>
      <c r="C5398" s="18" t="s">
        <v>34</v>
      </c>
      <c r="D5398" s="18" t="s">
        <v>35</v>
      </c>
      <c r="E5398" s="27">
        <v>42564.79958333333</v>
      </c>
      <c r="F5398" s="19">
        <f>IFERROR(__xludf.DUMMYFUNCTION("IFERROR(TO_DATE(E5398), """")"),42564.79958333333)</f>
        <v>42564.79958</v>
      </c>
      <c r="G5398" s="20">
        <f t="shared" si="1"/>
        <v>19</v>
      </c>
      <c r="H5398" s="18" t="s">
        <v>34</v>
      </c>
      <c r="I5398" s="19" t="str">
        <f>IFERROR(__xludf.DUMMYFUNCTION("IFERROR(TO_DATE(H5398), """")"),"NA")</f>
        <v>NA</v>
      </c>
      <c r="J5398" s="19" t="s">
        <v>12</v>
      </c>
      <c r="K5398" s="22">
        <f t="shared" si="2"/>
        <v>0</v>
      </c>
    </row>
    <row r="5399">
      <c r="A5399" s="18">
        <v>3643.0</v>
      </c>
      <c r="B5399" s="18" t="s">
        <v>30</v>
      </c>
      <c r="C5399" s="18" t="s">
        <v>34</v>
      </c>
      <c r="D5399" s="18" t="s">
        <v>35</v>
      </c>
      <c r="E5399" s="27">
        <v>42564.800358796296</v>
      </c>
      <c r="F5399" s="19">
        <f>IFERROR(__xludf.DUMMYFUNCTION("IFERROR(TO_DATE(E5399), """")"),42564.800358796296)</f>
        <v>42564.80036</v>
      </c>
      <c r="G5399" s="20">
        <f t="shared" si="1"/>
        <v>19</v>
      </c>
      <c r="H5399" s="18" t="s">
        <v>34</v>
      </c>
      <c r="I5399" s="19" t="str">
        <f>IFERROR(__xludf.DUMMYFUNCTION("IFERROR(TO_DATE(H5399), """")"),"NA")</f>
        <v>NA</v>
      </c>
      <c r="J5399" s="19" t="s">
        <v>12</v>
      </c>
      <c r="K5399" s="22">
        <f t="shared" si="2"/>
        <v>0</v>
      </c>
    </row>
    <row r="5400">
      <c r="A5400" s="18">
        <v>3654.0</v>
      </c>
      <c r="B5400" s="18" t="s">
        <v>30</v>
      </c>
      <c r="C5400" s="18" t="s">
        <v>34</v>
      </c>
      <c r="D5400" s="18" t="s">
        <v>35</v>
      </c>
      <c r="E5400" s="27">
        <v>42564.80221064815</v>
      </c>
      <c r="F5400" s="19">
        <f>IFERROR(__xludf.DUMMYFUNCTION("IFERROR(TO_DATE(E5400), """")"),42564.80221064815)</f>
        <v>42564.80221</v>
      </c>
      <c r="G5400" s="20">
        <f t="shared" si="1"/>
        <v>19</v>
      </c>
      <c r="H5400" s="18" t="s">
        <v>34</v>
      </c>
      <c r="I5400" s="19" t="str">
        <f>IFERROR(__xludf.DUMMYFUNCTION("IFERROR(TO_DATE(H5400), """")"),"NA")</f>
        <v>NA</v>
      </c>
      <c r="J5400" s="19" t="s">
        <v>12</v>
      </c>
      <c r="K5400" s="22">
        <f t="shared" si="2"/>
        <v>0</v>
      </c>
    </row>
    <row r="5401">
      <c r="A5401" s="18">
        <v>3652.0</v>
      </c>
      <c r="B5401" s="18" t="s">
        <v>30</v>
      </c>
      <c r="C5401" s="18" t="s">
        <v>34</v>
      </c>
      <c r="D5401" s="18" t="s">
        <v>35</v>
      </c>
      <c r="E5401" s="27">
        <v>42564.802881944444</v>
      </c>
      <c r="F5401" s="19">
        <f>IFERROR(__xludf.DUMMYFUNCTION("IFERROR(TO_DATE(E5401), """")"),42564.802881944444)</f>
        <v>42564.80288</v>
      </c>
      <c r="G5401" s="20">
        <f t="shared" si="1"/>
        <v>19</v>
      </c>
      <c r="H5401" s="18" t="s">
        <v>34</v>
      </c>
      <c r="I5401" s="19" t="str">
        <f>IFERROR(__xludf.DUMMYFUNCTION("IFERROR(TO_DATE(H5401), """")"),"NA")</f>
        <v>NA</v>
      </c>
      <c r="J5401" s="19" t="s">
        <v>12</v>
      </c>
      <c r="K5401" s="22">
        <f t="shared" si="2"/>
        <v>0</v>
      </c>
    </row>
    <row r="5402">
      <c r="A5402" s="18">
        <v>3650.0</v>
      </c>
      <c r="B5402" s="18" t="s">
        <v>30</v>
      </c>
      <c r="C5402" s="18" t="s">
        <v>34</v>
      </c>
      <c r="D5402" s="18" t="s">
        <v>35</v>
      </c>
      <c r="E5402" s="27">
        <v>42564.803622685184</v>
      </c>
      <c r="F5402" s="19">
        <f>IFERROR(__xludf.DUMMYFUNCTION("IFERROR(TO_DATE(E5402), """")"),42564.803622685184)</f>
        <v>42564.80362</v>
      </c>
      <c r="G5402" s="20">
        <f t="shared" si="1"/>
        <v>19</v>
      </c>
      <c r="H5402" s="18" t="s">
        <v>34</v>
      </c>
      <c r="I5402" s="19" t="str">
        <f>IFERROR(__xludf.DUMMYFUNCTION("IFERROR(TO_DATE(H5402), """")"),"NA")</f>
        <v>NA</v>
      </c>
      <c r="J5402" s="19" t="s">
        <v>12</v>
      </c>
      <c r="K5402" s="22">
        <f t="shared" si="2"/>
        <v>0</v>
      </c>
    </row>
    <row r="5403">
      <c r="A5403" s="18">
        <v>3665.0</v>
      </c>
      <c r="B5403" s="18" t="s">
        <v>30</v>
      </c>
      <c r="C5403" s="18" t="s">
        <v>34</v>
      </c>
      <c r="D5403" s="18" t="s">
        <v>35</v>
      </c>
      <c r="E5403" s="27">
        <v>42564.806875</v>
      </c>
      <c r="F5403" s="19">
        <f>IFERROR(__xludf.DUMMYFUNCTION("IFERROR(TO_DATE(E5403), """")"),42564.806875)</f>
        <v>42564.80688</v>
      </c>
      <c r="G5403" s="20">
        <f t="shared" si="1"/>
        <v>19</v>
      </c>
      <c r="H5403" s="18" t="s">
        <v>34</v>
      </c>
      <c r="I5403" s="19" t="str">
        <f>IFERROR(__xludf.DUMMYFUNCTION("IFERROR(TO_DATE(H5403), """")"),"NA")</f>
        <v>NA</v>
      </c>
      <c r="J5403" s="19" t="s">
        <v>12</v>
      </c>
      <c r="K5403" s="22">
        <f t="shared" si="2"/>
        <v>0</v>
      </c>
    </row>
    <row r="5404">
      <c r="A5404" s="18">
        <v>3663.0</v>
      </c>
      <c r="B5404" s="18" t="s">
        <v>30</v>
      </c>
      <c r="C5404" s="18" t="s">
        <v>34</v>
      </c>
      <c r="D5404" s="18" t="s">
        <v>35</v>
      </c>
      <c r="E5404" s="27">
        <v>42564.807175925926</v>
      </c>
      <c r="F5404" s="19">
        <f>IFERROR(__xludf.DUMMYFUNCTION("IFERROR(TO_DATE(E5404), """")"),42564.807175925926)</f>
        <v>42564.80718</v>
      </c>
      <c r="G5404" s="20">
        <f t="shared" si="1"/>
        <v>19</v>
      </c>
      <c r="H5404" s="18" t="s">
        <v>34</v>
      </c>
      <c r="I5404" s="19" t="str">
        <f>IFERROR(__xludf.DUMMYFUNCTION("IFERROR(TO_DATE(H5404), """")"),"NA")</f>
        <v>NA</v>
      </c>
      <c r="J5404" s="19" t="s">
        <v>12</v>
      </c>
      <c r="K5404" s="22">
        <f t="shared" si="2"/>
        <v>0</v>
      </c>
    </row>
    <row r="5405">
      <c r="A5405" s="18">
        <v>3664.0</v>
      </c>
      <c r="B5405" s="18" t="s">
        <v>30</v>
      </c>
      <c r="C5405" s="18" t="s">
        <v>34</v>
      </c>
      <c r="D5405" s="18" t="s">
        <v>35</v>
      </c>
      <c r="E5405" s="27">
        <v>42564.80743055556</v>
      </c>
      <c r="F5405" s="19">
        <f>IFERROR(__xludf.DUMMYFUNCTION("IFERROR(TO_DATE(E5405), """")"),42564.80743055556)</f>
        <v>42564.80743</v>
      </c>
      <c r="G5405" s="20">
        <f t="shared" si="1"/>
        <v>19</v>
      </c>
      <c r="H5405" s="18" t="s">
        <v>34</v>
      </c>
      <c r="I5405" s="19" t="str">
        <f>IFERROR(__xludf.DUMMYFUNCTION("IFERROR(TO_DATE(H5405), """")"),"NA")</f>
        <v>NA</v>
      </c>
      <c r="J5405" s="19" t="s">
        <v>12</v>
      </c>
      <c r="K5405" s="22">
        <f t="shared" si="2"/>
        <v>0</v>
      </c>
    </row>
    <row r="5406">
      <c r="A5406" s="18">
        <v>3659.0</v>
      </c>
      <c r="B5406" s="18" t="s">
        <v>30</v>
      </c>
      <c r="C5406" s="18" t="s">
        <v>34</v>
      </c>
      <c r="D5406" s="18" t="s">
        <v>35</v>
      </c>
      <c r="E5406" s="27">
        <v>42564.80862268519</v>
      </c>
      <c r="F5406" s="19">
        <f>IFERROR(__xludf.DUMMYFUNCTION("IFERROR(TO_DATE(E5406), """")"),42564.80862268519)</f>
        <v>42564.80862</v>
      </c>
      <c r="G5406" s="20">
        <f t="shared" si="1"/>
        <v>19</v>
      </c>
      <c r="H5406" s="18" t="s">
        <v>34</v>
      </c>
      <c r="I5406" s="19" t="str">
        <f>IFERROR(__xludf.DUMMYFUNCTION("IFERROR(TO_DATE(H5406), """")"),"NA")</f>
        <v>NA</v>
      </c>
      <c r="J5406" s="19" t="s">
        <v>12</v>
      </c>
      <c r="K5406" s="22">
        <f t="shared" si="2"/>
        <v>0</v>
      </c>
    </row>
    <row r="5407">
      <c r="A5407" s="18">
        <v>3677.0</v>
      </c>
      <c r="B5407" s="18" t="s">
        <v>30</v>
      </c>
      <c r="C5407" s="18" t="s">
        <v>34</v>
      </c>
      <c r="D5407" s="18" t="s">
        <v>35</v>
      </c>
      <c r="E5407" s="27">
        <v>42564.809016203704</v>
      </c>
      <c r="F5407" s="19">
        <f>IFERROR(__xludf.DUMMYFUNCTION("IFERROR(TO_DATE(E5407), """")"),42564.809016203704)</f>
        <v>42564.80902</v>
      </c>
      <c r="G5407" s="20">
        <f t="shared" si="1"/>
        <v>19</v>
      </c>
      <c r="H5407" s="18" t="s">
        <v>34</v>
      </c>
      <c r="I5407" s="19" t="str">
        <f>IFERROR(__xludf.DUMMYFUNCTION("IFERROR(TO_DATE(H5407), """")"),"NA")</f>
        <v>NA</v>
      </c>
      <c r="J5407" s="19" t="s">
        <v>12</v>
      </c>
      <c r="K5407" s="22">
        <f t="shared" si="2"/>
        <v>0</v>
      </c>
    </row>
    <row r="5408">
      <c r="A5408" s="18">
        <v>3670.0</v>
      </c>
      <c r="B5408" s="18" t="s">
        <v>30</v>
      </c>
      <c r="C5408" s="18" t="s">
        <v>34</v>
      </c>
      <c r="D5408" s="18" t="s">
        <v>35</v>
      </c>
      <c r="E5408" s="27">
        <v>42564.80920138889</v>
      </c>
      <c r="F5408" s="19">
        <f>IFERROR(__xludf.DUMMYFUNCTION("IFERROR(TO_DATE(E5408), """")"),42564.80920138889)</f>
        <v>42564.8092</v>
      </c>
      <c r="G5408" s="20">
        <f t="shared" si="1"/>
        <v>19</v>
      </c>
      <c r="H5408" s="18" t="s">
        <v>34</v>
      </c>
      <c r="I5408" s="19" t="str">
        <f>IFERROR(__xludf.DUMMYFUNCTION("IFERROR(TO_DATE(H5408), """")"),"NA")</f>
        <v>NA</v>
      </c>
      <c r="J5408" s="19" t="s">
        <v>12</v>
      </c>
      <c r="K5408" s="22">
        <f t="shared" si="2"/>
        <v>0</v>
      </c>
    </row>
    <row r="5409">
      <c r="A5409" s="18">
        <v>3669.0</v>
      </c>
      <c r="B5409" s="18" t="s">
        <v>30</v>
      </c>
      <c r="C5409" s="18" t="s">
        <v>34</v>
      </c>
      <c r="D5409" s="18" t="s">
        <v>35</v>
      </c>
      <c r="E5409" s="27">
        <v>42564.80954861111</v>
      </c>
      <c r="F5409" s="19">
        <f>IFERROR(__xludf.DUMMYFUNCTION("IFERROR(TO_DATE(E5409), """")"),42564.80954861111)</f>
        <v>42564.80955</v>
      </c>
      <c r="G5409" s="20">
        <f t="shared" si="1"/>
        <v>19</v>
      </c>
      <c r="H5409" s="18" t="s">
        <v>34</v>
      </c>
      <c r="I5409" s="19" t="str">
        <f>IFERROR(__xludf.DUMMYFUNCTION("IFERROR(TO_DATE(H5409), """")"),"NA")</f>
        <v>NA</v>
      </c>
      <c r="J5409" s="19" t="s">
        <v>12</v>
      </c>
      <c r="K5409" s="22">
        <f t="shared" si="2"/>
        <v>0</v>
      </c>
    </row>
    <row r="5410">
      <c r="A5410" s="18">
        <v>3675.0</v>
      </c>
      <c r="B5410" s="18" t="s">
        <v>30</v>
      </c>
      <c r="C5410" s="18" t="s">
        <v>34</v>
      </c>
      <c r="D5410" s="18" t="s">
        <v>35</v>
      </c>
      <c r="E5410" s="27">
        <v>42564.80967592593</v>
      </c>
      <c r="F5410" s="19">
        <f>IFERROR(__xludf.DUMMYFUNCTION("IFERROR(TO_DATE(E5410), """")"),42564.80967592593)</f>
        <v>42564.80968</v>
      </c>
      <c r="G5410" s="20">
        <f t="shared" si="1"/>
        <v>19</v>
      </c>
      <c r="H5410" s="18" t="s">
        <v>34</v>
      </c>
      <c r="I5410" s="19" t="str">
        <f>IFERROR(__xludf.DUMMYFUNCTION("IFERROR(TO_DATE(H5410), """")"),"NA")</f>
        <v>NA</v>
      </c>
      <c r="J5410" s="19" t="s">
        <v>12</v>
      </c>
      <c r="K5410" s="22">
        <f t="shared" si="2"/>
        <v>0</v>
      </c>
    </row>
    <row r="5411">
      <c r="A5411" s="18">
        <v>3682.0</v>
      </c>
      <c r="B5411" s="18" t="s">
        <v>30</v>
      </c>
      <c r="C5411" s="18" t="s">
        <v>34</v>
      </c>
      <c r="D5411" s="18" t="s">
        <v>35</v>
      </c>
      <c r="E5411" s="27">
        <v>42564.81340277778</v>
      </c>
      <c r="F5411" s="19">
        <f>IFERROR(__xludf.DUMMYFUNCTION("IFERROR(TO_DATE(E5411), """")"),42564.81340277778)</f>
        <v>42564.8134</v>
      </c>
      <c r="G5411" s="20">
        <f t="shared" si="1"/>
        <v>19</v>
      </c>
      <c r="H5411" s="18" t="s">
        <v>34</v>
      </c>
      <c r="I5411" s="19" t="str">
        <f>IFERROR(__xludf.DUMMYFUNCTION("IFERROR(TO_DATE(H5411), """")"),"NA")</f>
        <v>NA</v>
      </c>
      <c r="J5411" s="19" t="s">
        <v>12</v>
      </c>
      <c r="K5411" s="22">
        <f t="shared" si="2"/>
        <v>0</v>
      </c>
    </row>
    <row r="5412">
      <c r="A5412" s="18">
        <v>3674.0</v>
      </c>
      <c r="B5412" s="18" t="s">
        <v>30</v>
      </c>
      <c r="C5412" s="18" t="s">
        <v>34</v>
      </c>
      <c r="D5412" s="18" t="s">
        <v>35</v>
      </c>
      <c r="E5412" s="27">
        <v>42564.81346064815</v>
      </c>
      <c r="F5412" s="19">
        <f>IFERROR(__xludf.DUMMYFUNCTION("IFERROR(TO_DATE(E5412), """")"),42564.81346064815)</f>
        <v>42564.81346</v>
      </c>
      <c r="G5412" s="20">
        <f t="shared" si="1"/>
        <v>19</v>
      </c>
      <c r="H5412" s="18" t="s">
        <v>34</v>
      </c>
      <c r="I5412" s="19" t="str">
        <f>IFERROR(__xludf.DUMMYFUNCTION("IFERROR(TO_DATE(H5412), """")"),"NA")</f>
        <v>NA</v>
      </c>
      <c r="J5412" s="19" t="s">
        <v>12</v>
      </c>
      <c r="K5412" s="22">
        <f t="shared" si="2"/>
        <v>0</v>
      </c>
    </row>
    <row r="5413">
      <c r="A5413" s="18">
        <v>3678.0</v>
      </c>
      <c r="B5413" s="18" t="s">
        <v>30</v>
      </c>
      <c r="C5413" s="18" t="s">
        <v>34</v>
      </c>
      <c r="D5413" s="18" t="s">
        <v>35</v>
      </c>
      <c r="E5413" s="27">
        <v>42564.81465277778</v>
      </c>
      <c r="F5413" s="19">
        <f>IFERROR(__xludf.DUMMYFUNCTION("IFERROR(TO_DATE(E5413), """")"),42564.81465277778)</f>
        <v>42564.81465</v>
      </c>
      <c r="G5413" s="20">
        <f t="shared" si="1"/>
        <v>19</v>
      </c>
      <c r="H5413" s="18" t="s">
        <v>34</v>
      </c>
      <c r="I5413" s="19" t="str">
        <f>IFERROR(__xludf.DUMMYFUNCTION("IFERROR(TO_DATE(H5413), """")"),"NA")</f>
        <v>NA</v>
      </c>
      <c r="J5413" s="19" t="s">
        <v>12</v>
      </c>
      <c r="K5413" s="22">
        <f t="shared" si="2"/>
        <v>0</v>
      </c>
    </row>
    <row r="5414">
      <c r="A5414" s="18">
        <v>3673.0</v>
      </c>
      <c r="B5414" s="18" t="s">
        <v>30</v>
      </c>
      <c r="C5414" s="18" t="s">
        <v>34</v>
      </c>
      <c r="D5414" s="18" t="s">
        <v>35</v>
      </c>
      <c r="E5414" s="27">
        <v>42564.816041666665</v>
      </c>
      <c r="F5414" s="19">
        <f>IFERROR(__xludf.DUMMYFUNCTION("IFERROR(TO_DATE(E5414), """")"),42564.816041666665)</f>
        <v>42564.81604</v>
      </c>
      <c r="G5414" s="20">
        <f t="shared" si="1"/>
        <v>19</v>
      </c>
      <c r="H5414" s="18" t="s">
        <v>34</v>
      </c>
      <c r="I5414" s="19" t="str">
        <f>IFERROR(__xludf.DUMMYFUNCTION("IFERROR(TO_DATE(H5414), """")"),"NA")</f>
        <v>NA</v>
      </c>
      <c r="J5414" s="19" t="s">
        <v>12</v>
      </c>
      <c r="K5414" s="22">
        <f t="shared" si="2"/>
        <v>0</v>
      </c>
    </row>
    <row r="5415">
      <c r="A5415" s="18">
        <v>3687.0</v>
      </c>
      <c r="B5415" s="18" t="s">
        <v>30</v>
      </c>
      <c r="C5415" s="18" t="s">
        <v>34</v>
      </c>
      <c r="D5415" s="18" t="s">
        <v>35</v>
      </c>
      <c r="E5415" s="27">
        <v>42564.81606481481</v>
      </c>
      <c r="F5415" s="19">
        <f>IFERROR(__xludf.DUMMYFUNCTION("IFERROR(TO_DATE(E5415), """")"),42564.81606481481)</f>
        <v>42564.81606</v>
      </c>
      <c r="G5415" s="20">
        <f t="shared" si="1"/>
        <v>19</v>
      </c>
      <c r="H5415" s="18" t="s">
        <v>34</v>
      </c>
      <c r="I5415" s="19" t="str">
        <f>IFERROR(__xludf.DUMMYFUNCTION("IFERROR(TO_DATE(H5415), """")"),"NA")</f>
        <v>NA</v>
      </c>
      <c r="J5415" s="19" t="s">
        <v>12</v>
      </c>
      <c r="K5415" s="22">
        <f t="shared" si="2"/>
        <v>0</v>
      </c>
    </row>
    <row r="5416">
      <c r="A5416" s="18">
        <v>3683.0</v>
      </c>
      <c r="B5416" s="18" t="s">
        <v>30</v>
      </c>
      <c r="C5416" s="18" t="s">
        <v>34</v>
      </c>
      <c r="D5416" s="18" t="s">
        <v>35</v>
      </c>
      <c r="E5416" s="27">
        <v>42564.817037037035</v>
      </c>
      <c r="F5416" s="19">
        <f>IFERROR(__xludf.DUMMYFUNCTION("IFERROR(TO_DATE(E5416), """")"),42564.817037037035)</f>
        <v>42564.81704</v>
      </c>
      <c r="G5416" s="20">
        <f t="shared" si="1"/>
        <v>19</v>
      </c>
      <c r="H5416" s="18" t="s">
        <v>34</v>
      </c>
      <c r="I5416" s="19" t="str">
        <f>IFERROR(__xludf.DUMMYFUNCTION("IFERROR(TO_DATE(H5416), """")"),"NA")</f>
        <v>NA</v>
      </c>
      <c r="J5416" s="19" t="s">
        <v>12</v>
      </c>
      <c r="K5416" s="22">
        <f t="shared" si="2"/>
        <v>0</v>
      </c>
    </row>
    <row r="5417">
      <c r="A5417" s="18">
        <v>3685.0</v>
      </c>
      <c r="B5417" s="18" t="s">
        <v>30</v>
      </c>
      <c r="C5417" s="18" t="s">
        <v>34</v>
      </c>
      <c r="D5417" s="18" t="s">
        <v>35</v>
      </c>
      <c r="E5417" s="27">
        <v>42564.81748842593</v>
      </c>
      <c r="F5417" s="19">
        <f>IFERROR(__xludf.DUMMYFUNCTION("IFERROR(TO_DATE(E5417), """")"),42564.81748842593)</f>
        <v>42564.81749</v>
      </c>
      <c r="G5417" s="20">
        <f t="shared" si="1"/>
        <v>19</v>
      </c>
      <c r="H5417" s="18" t="s">
        <v>34</v>
      </c>
      <c r="I5417" s="19" t="str">
        <f>IFERROR(__xludf.DUMMYFUNCTION("IFERROR(TO_DATE(H5417), """")"),"NA")</f>
        <v>NA</v>
      </c>
      <c r="J5417" s="19" t="s">
        <v>12</v>
      </c>
      <c r="K5417" s="22">
        <f t="shared" si="2"/>
        <v>0</v>
      </c>
    </row>
    <row r="5418">
      <c r="A5418" s="18">
        <v>3684.0</v>
      </c>
      <c r="B5418" s="18" t="s">
        <v>30</v>
      </c>
      <c r="C5418" s="18" t="s">
        <v>34</v>
      </c>
      <c r="D5418" s="18" t="s">
        <v>35</v>
      </c>
      <c r="E5418" s="27">
        <v>42564.81806712963</v>
      </c>
      <c r="F5418" s="19">
        <f>IFERROR(__xludf.DUMMYFUNCTION("IFERROR(TO_DATE(E5418), """")"),42564.81806712963)</f>
        <v>42564.81807</v>
      </c>
      <c r="G5418" s="20">
        <f t="shared" si="1"/>
        <v>19</v>
      </c>
      <c r="H5418" s="18" t="s">
        <v>34</v>
      </c>
      <c r="I5418" s="19" t="str">
        <f>IFERROR(__xludf.DUMMYFUNCTION("IFERROR(TO_DATE(H5418), """")"),"NA")</f>
        <v>NA</v>
      </c>
      <c r="J5418" s="19" t="s">
        <v>12</v>
      </c>
      <c r="K5418" s="22">
        <f t="shared" si="2"/>
        <v>0</v>
      </c>
    </row>
    <row r="5419">
      <c r="A5419" s="18">
        <v>3692.0</v>
      </c>
      <c r="B5419" s="18" t="s">
        <v>30</v>
      </c>
      <c r="C5419" s="18" t="s">
        <v>34</v>
      </c>
      <c r="D5419" s="18" t="s">
        <v>35</v>
      </c>
      <c r="E5419" s="27">
        <v>42564.81964120371</v>
      </c>
      <c r="F5419" s="19">
        <f>IFERROR(__xludf.DUMMYFUNCTION("IFERROR(TO_DATE(E5419), """")"),42564.81964120371)</f>
        <v>42564.81964</v>
      </c>
      <c r="G5419" s="20">
        <f t="shared" si="1"/>
        <v>19</v>
      </c>
      <c r="H5419" s="18" t="s">
        <v>34</v>
      </c>
      <c r="I5419" s="19" t="str">
        <f>IFERROR(__xludf.DUMMYFUNCTION("IFERROR(TO_DATE(H5419), """")"),"NA")</f>
        <v>NA</v>
      </c>
      <c r="J5419" s="19" t="s">
        <v>12</v>
      </c>
      <c r="K5419" s="22">
        <f t="shared" si="2"/>
        <v>0</v>
      </c>
    </row>
    <row r="5420">
      <c r="A5420" s="18">
        <v>3680.0</v>
      </c>
      <c r="B5420" s="18" t="s">
        <v>30</v>
      </c>
      <c r="C5420" s="18" t="s">
        <v>34</v>
      </c>
      <c r="D5420" s="18" t="s">
        <v>35</v>
      </c>
      <c r="E5420" s="27">
        <v>42564.819710648146</v>
      </c>
      <c r="F5420" s="19">
        <f>IFERROR(__xludf.DUMMYFUNCTION("IFERROR(TO_DATE(E5420), """")"),42564.819710648146)</f>
        <v>42564.81971</v>
      </c>
      <c r="G5420" s="20">
        <f t="shared" si="1"/>
        <v>19</v>
      </c>
      <c r="H5420" s="18" t="s">
        <v>34</v>
      </c>
      <c r="I5420" s="19" t="str">
        <f>IFERROR(__xludf.DUMMYFUNCTION("IFERROR(TO_DATE(H5420), """")"),"NA")</f>
        <v>NA</v>
      </c>
      <c r="J5420" s="19" t="s">
        <v>12</v>
      </c>
      <c r="K5420" s="22">
        <f t="shared" si="2"/>
        <v>0</v>
      </c>
    </row>
    <row r="5421">
      <c r="A5421" s="18">
        <v>3689.0</v>
      </c>
      <c r="B5421" s="18" t="s">
        <v>30</v>
      </c>
      <c r="C5421" s="18" t="s">
        <v>34</v>
      </c>
      <c r="D5421" s="18" t="s">
        <v>35</v>
      </c>
      <c r="E5421" s="27">
        <v>42564.82025462963</v>
      </c>
      <c r="F5421" s="19">
        <f>IFERROR(__xludf.DUMMYFUNCTION("IFERROR(TO_DATE(E5421), """")"),42564.82025462963)</f>
        <v>42564.82025</v>
      </c>
      <c r="G5421" s="20">
        <f t="shared" si="1"/>
        <v>19</v>
      </c>
      <c r="H5421" s="18" t="s">
        <v>34</v>
      </c>
      <c r="I5421" s="19" t="str">
        <f>IFERROR(__xludf.DUMMYFUNCTION("IFERROR(TO_DATE(H5421), """")"),"NA")</f>
        <v>NA</v>
      </c>
      <c r="J5421" s="19" t="s">
        <v>12</v>
      </c>
      <c r="K5421" s="22">
        <f t="shared" si="2"/>
        <v>0</v>
      </c>
    </row>
    <row r="5422">
      <c r="A5422" s="18">
        <v>3696.0</v>
      </c>
      <c r="B5422" s="18" t="s">
        <v>30</v>
      </c>
      <c r="C5422" s="18" t="s">
        <v>34</v>
      </c>
      <c r="D5422" s="18" t="s">
        <v>35</v>
      </c>
      <c r="E5422" s="27">
        <v>42564.82157407407</v>
      </c>
      <c r="F5422" s="19">
        <f>IFERROR(__xludf.DUMMYFUNCTION("IFERROR(TO_DATE(E5422), """")"),42564.82157407407)</f>
        <v>42564.82157</v>
      </c>
      <c r="G5422" s="20">
        <f t="shared" si="1"/>
        <v>19</v>
      </c>
      <c r="H5422" s="18" t="s">
        <v>34</v>
      </c>
      <c r="I5422" s="19" t="str">
        <f>IFERROR(__xludf.DUMMYFUNCTION("IFERROR(TO_DATE(H5422), """")"),"NA")</f>
        <v>NA</v>
      </c>
      <c r="J5422" s="19" t="s">
        <v>12</v>
      </c>
      <c r="K5422" s="22">
        <f t="shared" si="2"/>
        <v>0</v>
      </c>
    </row>
    <row r="5423">
      <c r="A5423" s="18">
        <v>3693.0</v>
      </c>
      <c r="B5423" s="18" t="s">
        <v>30</v>
      </c>
      <c r="C5423" s="18" t="s">
        <v>34</v>
      </c>
      <c r="D5423" s="18" t="s">
        <v>35</v>
      </c>
      <c r="E5423" s="27">
        <v>42564.82164351852</v>
      </c>
      <c r="F5423" s="19">
        <f>IFERROR(__xludf.DUMMYFUNCTION("IFERROR(TO_DATE(E5423), """")"),42564.82164351852)</f>
        <v>42564.82164</v>
      </c>
      <c r="G5423" s="20">
        <f t="shared" si="1"/>
        <v>19</v>
      </c>
      <c r="H5423" s="18" t="s">
        <v>34</v>
      </c>
      <c r="I5423" s="19" t="str">
        <f>IFERROR(__xludf.DUMMYFUNCTION("IFERROR(TO_DATE(H5423), """")"),"NA")</f>
        <v>NA</v>
      </c>
      <c r="J5423" s="19" t="s">
        <v>12</v>
      </c>
      <c r="K5423" s="22">
        <f t="shared" si="2"/>
        <v>0</v>
      </c>
    </row>
    <row r="5424">
      <c r="A5424" s="18">
        <v>3695.0</v>
      </c>
      <c r="B5424" s="18" t="s">
        <v>30</v>
      </c>
      <c r="C5424" s="18" t="s">
        <v>34</v>
      </c>
      <c r="D5424" s="18" t="s">
        <v>35</v>
      </c>
      <c r="E5424" s="27">
        <v>42564.822164351855</v>
      </c>
      <c r="F5424" s="19">
        <f>IFERROR(__xludf.DUMMYFUNCTION("IFERROR(TO_DATE(E5424), """")"),42564.822164351855)</f>
        <v>42564.82216</v>
      </c>
      <c r="G5424" s="20">
        <f t="shared" si="1"/>
        <v>19</v>
      </c>
      <c r="H5424" s="18" t="s">
        <v>34</v>
      </c>
      <c r="I5424" s="19" t="str">
        <f>IFERROR(__xludf.DUMMYFUNCTION("IFERROR(TO_DATE(H5424), """")"),"NA")</f>
        <v>NA</v>
      </c>
      <c r="J5424" s="19" t="s">
        <v>12</v>
      </c>
      <c r="K5424" s="22">
        <f t="shared" si="2"/>
        <v>0</v>
      </c>
    </row>
    <row r="5425">
      <c r="A5425" s="18">
        <v>3709.0</v>
      </c>
      <c r="B5425" s="18" t="s">
        <v>30</v>
      </c>
      <c r="C5425" s="18" t="s">
        <v>34</v>
      </c>
      <c r="D5425" s="18" t="s">
        <v>35</v>
      </c>
      <c r="E5425" s="27">
        <v>42564.822291666664</v>
      </c>
      <c r="F5425" s="19">
        <f>IFERROR(__xludf.DUMMYFUNCTION("IFERROR(TO_DATE(E5425), """")"),42564.822291666664)</f>
        <v>42564.82229</v>
      </c>
      <c r="G5425" s="20">
        <f t="shared" si="1"/>
        <v>19</v>
      </c>
      <c r="H5425" s="18" t="s">
        <v>34</v>
      </c>
      <c r="I5425" s="19" t="str">
        <f>IFERROR(__xludf.DUMMYFUNCTION("IFERROR(TO_DATE(H5425), """")"),"NA")</f>
        <v>NA</v>
      </c>
      <c r="J5425" s="19" t="s">
        <v>12</v>
      </c>
      <c r="K5425" s="22">
        <f t="shared" si="2"/>
        <v>0</v>
      </c>
    </row>
    <row r="5426">
      <c r="A5426" s="18">
        <v>3708.0</v>
      </c>
      <c r="B5426" s="18" t="s">
        <v>30</v>
      </c>
      <c r="C5426" s="18" t="s">
        <v>34</v>
      </c>
      <c r="D5426" s="18" t="s">
        <v>35</v>
      </c>
      <c r="E5426" s="27">
        <v>42564.82324074074</v>
      </c>
      <c r="F5426" s="19">
        <f>IFERROR(__xludf.DUMMYFUNCTION("IFERROR(TO_DATE(E5426), """")"),42564.82324074074)</f>
        <v>42564.82324</v>
      </c>
      <c r="G5426" s="20">
        <f t="shared" si="1"/>
        <v>19</v>
      </c>
      <c r="H5426" s="18" t="s">
        <v>34</v>
      </c>
      <c r="I5426" s="19" t="str">
        <f>IFERROR(__xludf.DUMMYFUNCTION("IFERROR(TO_DATE(H5426), """")"),"NA")</f>
        <v>NA</v>
      </c>
      <c r="J5426" s="19" t="s">
        <v>12</v>
      </c>
      <c r="K5426" s="22">
        <f t="shared" si="2"/>
        <v>0</v>
      </c>
    </row>
    <row r="5427">
      <c r="A5427" s="18">
        <v>3699.0</v>
      </c>
      <c r="B5427" s="18" t="s">
        <v>30</v>
      </c>
      <c r="C5427" s="18" t="s">
        <v>34</v>
      </c>
      <c r="D5427" s="18" t="s">
        <v>35</v>
      </c>
      <c r="E5427" s="27">
        <v>42564.82334490741</v>
      </c>
      <c r="F5427" s="19">
        <f>IFERROR(__xludf.DUMMYFUNCTION("IFERROR(TO_DATE(E5427), """")"),42564.82334490741)</f>
        <v>42564.82334</v>
      </c>
      <c r="G5427" s="20">
        <f t="shared" si="1"/>
        <v>19</v>
      </c>
      <c r="H5427" s="18" t="s">
        <v>34</v>
      </c>
      <c r="I5427" s="19" t="str">
        <f>IFERROR(__xludf.DUMMYFUNCTION("IFERROR(TO_DATE(H5427), """")"),"NA")</f>
        <v>NA</v>
      </c>
      <c r="J5427" s="19" t="s">
        <v>12</v>
      </c>
      <c r="K5427" s="22">
        <f t="shared" si="2"/>
        <v>0</v>
      </c>
    </row>
    <row r="5428">
      <c r="A5428" s="18">
        <v>3691.0</v>
      </c>
      <c r="B5428" s="18" t="s">
        <v>30</v>
      </c>
      <c r="C5428" s="18" t="s">
        <v>34</v>
      </c>
      <c r="D5428" s="18" t="s">
        <v>35</v>
      </c>
      <c r="E5428" s="27">
        <v>42564.823900462965</v>
      </c>
      <c r="F5428" s="19">
        <f>IFERROR(__xludf.DUMMYFUNCTION("IFERROR(TO_DATE(E5428), """")"),42564.823900462965)</f>
        <v>42564.8239</v>
      </c>
      <c r="G5428" s="20">
        <f t="shared" si="1"/>
        <v>19</v>
      </c>
      <c r="H5428" s="18" t="s">
        <v>34</v>
      </c>
      <c r="I5428" s="19" t="str">
        <f>IFERROR(__xludf.DUMMYFUNCTION("IFERROR(TO_DATE(H5428), """")"),"NA")</f>
        <v>NA</v>
      </c>
      <c r="J5428" s="19" t="s">
        <v>12</v>
      </c>
      <c r="K5428" s="22">
        <f t="shared" si="2"/>
        <v>0</v>
      </c>
    </row>
    <row r="5429">
      <c r="A5429" s="18">
        <v>3705.0</v>
      </c>
      <c r="B5429" s="18" t="s">
        <v>30</v>
      </c>
      <c r="C5429" s="18" t="s">
        <v>34</v>
      </c>
      <c r="D5429" s="18" t="s">
        <v>35</v>
      </c>
      <c r="E5429" s="27">
        <v>42564.82475694444</v>
      </c>
      <c r="F5429" s="19">
        <f>IFERROR(__xludf.DUMMYFUNCTION("IFERROR(TO_DATE(E5429), """")"),42564.82475694444)</f>
        <v>42564.82476</v>
      </c>
      <c r="G5429" s="20">
        <f t="shared" si="1"/>
        <v>19</v>
      </c>
      <c r="H5429" s="18" t="s">
        <v>34</v>
      </c>
      <c r="I5429" s="19" t="str">
        <f>IFERROR(__xludf.DUMMYFUNCTION("IFERROR(TO_DATE(H5429), """")"),"NA")</f>
        <v>NA</v>
      </c>
      <c r="J5429" s="19" t="s">
        <v>12</v>
      </c>
      <c r="K5429" s="22">
        <f t="shared" si="2"/>
        <v>0</v>
      </c>
    </row>
    <row r="5430">
      <c r="A5430" s="18">
        <v>3707.0</v>
      </c>
      <c r="B5430" s="18" t="s">
        <v>30</v>
      </c>
      <c r="C5430" s="18" t="s">
        <v>34</v>
      </c>
      <c r="D5430" s="18" t="s">
        <v>35</v>
      </c>
      <c r="E5430" s="27">
        <v>42564.8253125</v>
      </c>
      <c r="F5430" s="19">
        <f>IFERROR(__xludf.DUMMYFUNCTION("IFERROR(TO_DATE(E5430), """")"),42564.8253125)</f>
        <v>42564.82531</v>
      </c>
      <c r="G5430" s="20">
        <f t="shared" si="1"/>
        <v>19</v>
      </c>
      <c r="H5430" s="18" t="s">
        <v>34</v>
      </c>
      <c r="I5430" s="19" t="str">
        <f>IFERROR(__xludf.DUMMYFUNCTION("IFERROR(TO_DATE(H5430), """")"),"NA")</f>
        <v>NA</v>
      </c>
      <c r="J5430" s="19" t="s">
        <v>12</v>
      </c>
      <c r="K5430" s="22">
        <f t="shared" si="2"/>
        <v>0</v>
      </c>
    </row>
    <row r="5431">
      <c r="A5431" s="18">
        <v>3706.0</v>
      </c>
      <c r="B5431" s="18" t="s">
        <v>30</v>
      </c>
      <c r="C5431" s="18" t="s">
        <v>34</v>
      </c>
      <c r="D5431" s="18" t="s">
        <v>35</v>
      </c>
      <c r="E5431" s="27">
        <v>42564.82575231481</v>
      </c>
      <c r="F5431" s="19">
        <f>IFERROR(__xludf.DUMMYFUNCTION("IFERROR(TO_DATE(E5431), """")"),42564.82575231481)</f>
        <v>42564.82575</v>
      </c>
      <c r="G5431" s="20">
        <f t="shared" si="1"/>
        <v>19</v>
      </c>
      <c r="H5431" s="18" t="s">
        <v>34</v>
      </c>
      <c r="I5431" s="19" t="str">
        <f>IFERROR(__xludf.DUMMYFUNCTION("IFERROR(TO_DATE(H5431), """")"),"NA")</f>
        <v>NA</v>
      </c>
      <c r="J5431" s="19" t="s">
        <v>12</v>
      </c>
      <c r="K5431" s="22">
        <f t="shared" si="2"/>
        <v>0</v>
      </c>
    </row>
    <row r="5432">
      <c r="A5432" s="18">
        <v>3702.0</v>
      </c>
      <c r="B5432" s="18" t="s">
        <v>30</v>
      </c>
      <c r="C5432" s="18" t="s">
        <v>34</v>
      </c>
      <c r="D5432" s="18" t="s">
        <v>35</v>
      </c>
      <c r="E5432" s="27">
        <v>42564.82653935185</v>
      </c>
      <c r="F5432" s="19">
        <f>IFERROR(__xludf.DUMMYFUNCTION("IFERROR(TO_DATE(E5432), """")"),42564.82653935185)</f>
        <v>42564.82654</v>
      </c>
      <c r="G5432" s="20">
        <f t="shared" si="1"/>
        <v>19</v>
      </c>
      <c r="H5432" s="18" t="s">
        <v>34</v>
      </c>
      <c r="I5432" s="19" t="str">
        <f>IFERROR(__xludf.DUMMYFUNCTION("IFERROR(TO_DATE(H5432), """")"),"NA")</f>
        <v>NA</v>
      </c>
      <c r="J5432" s="19" t="s">
        <v>12</v>
      </c>
      <c r="K5432" s="22">
        <f t="shared" si="2"/>
        <v>0</v>
      </c>
    </row>
    <row r="5433">
      <c r="A5433" s="18">
        <v>3700.0</v>
      </c>
      <c r="B5433" s="18" t="s">
        <v>30</v>
      </c>
      <c r="C5433" s="18" t="s">
        <v>34</v>
      </c>
      <c r="D5433" s="18" t="s">
        <v>35</v>
      </c>
      <c r="E5433" s="27">
        <v>42564.8266087963</v>
      </c>
      <c r="F5433" s="19">
        <f>IFERROR(__xludf.DUMMYFUNCTION("IFERROR(TO_DATE(E5433), """")"),42564.8266087963)</f>
        <v>42564.82661</v>
      </c>
      <c r="G5433" s="20">
        <f t="shared" si="1"/>
        <v>19</v>
      </c>
      <c r="H5433" s="18" t="s">
        <v>34</v>
      </c>
      <c r="I5433" s="19" t="str">
        <f>IFERROR(__xludf.DUMMYFUNCTION("IFERROR(TO_DATE(H5433), """")"),"NA")</f>
        <v>NA</v>
      </c>
      <c r="J5433" s="19" t="s">
        <v>12</v>
      </c>
      <c r="K5433" s="22">
        <f t="shared" si="2"/>
        <v>0</v>
      </c>
    </row>
    <row r="5434">
      <c r="A5434" s="18">
        <v>3712.0</v>
      </c>
      <c r="B5434" s="18" t="s">
        <v>30</v>
      </c>
      <c r="C5434" s="18" t="s">
        <v>34</v>
      </c>
      <c r="D5434" s="18" t="s">
        <v>35</v>
      </c>
      <c r="E5434" s="27">
        <v>42564.82744212963</v>
      </c>
      <c r="F5434" s="19">
        <f>IFERROR(__xludf.DUMMYFUNCTION("IFERROR(TO_DATE(E5434), """")"),42564.82744212963)</f>
        <v>42564.82744</v>
      </c>
      <c r="G5434" s="20">
        <f t="shared" si="1"/>
        <v>19</v>
      </c>
      <c r="H5434" s="18" t="s">
        <v>34</v>
      </c>
      <c r="I5434" s="19" t="str">
        <f>IFERROR(__xludf.DUMMYFUNCTION("IFERROR(TO_DATE(H5434), """")"),"NA")</f>
        <v>NA</v>
      </c>
      <c r="J5434" s="19" t="s">
        <v>12</v>
      </c>
      <c r="K5434" s="22">
        <f t="shared" si="2"/>
        <v>0</v>
      </c>
    </row>
    <row r="5435">
      <c r="A5435" s="18">
        <v>3698.0</v>
      </c>
      <c r="B5435" s="18" t="s">
        <v>30</v>
      </c>
      <c r="C5435" s="18" t="s">
        <v>34</v>
      </c>
      <c r="D5435" s="18" t="s">
        <v>35</v>
      </c>
      <c r="E5435" s="27">
        <v>42564.82763888889</v>
      </c>
      <c r="F5435" s="19">
        <f>IFERROR(__xludf.DUMMYFUNCTION("IFERROR(TO_DATE(E5435), """")"),42564.82763888889)</f>
        <v>42564.82764</v>
      </c>
      <c r="G5435" s="20">
        <f t="shared" si="1"/>
        <v>19</v>
      </c>
      <c r="H5435" s="18" t="s">
        <v>34</v>
      </c>
      <c r="I5435" s="19" t="str">
        <f>IFERROR(__xludf.DUMMYFUNCTION("IFERROR(TO_DATE(H5435), """")"),"NA")</f>
        <v>NA</v>
      </c>
      <c r="J5435" s="19" t="s">
        <v>12</v>
      </c>
      <c r="K5435" s="22">
        <f t="shared" si="2"/>
        <v>0</v>
      </c>
    </row>
    <row r="5436">
      <c r="A5436" s="18">
        <v>3710.0</v>
      </c>
      <c r="B5436" s="18" t="s">
        <v>30</v>
      </c>
      <c r="C5436" s="18" t="s">
        <v>34</v>
      </c>
      <c r="D5436" s="18" t="s">
        <v>35</v>
      </c>
      <c r="E5436" s="27">
        <v>42564.82776620371</v>
      </c>
      <c r="F5436" s="19">
        <f>IFERROR(__xludf.DUMMYFUNCTION("IFERROR(TO_DATE(E5436), """")"),42564.82776620371)</f>
        <v>42564.82777</v>
      </c>
      <c r="G5436" s="20">
        <f t="shared" si="1"/>
        <v>19</v>
      </c>
      <c r="H5436" s="18" t="s">
        <v>34</v>
      </c>
      <c r="I5436" s="19" t="str">
        <f>IFERROR(__xludf.DUMMYFUNCTION("IFERROR(TO_DATE(H5436), """")"),"NA")</f>
        <v>NA</v>
      </c>
      <c r="J5436" s="19" t="s">
        <v>12</v>
      </c>
      <c r="K5436" s="22">
        <f t="shared" si="2"/>
        <v>0</v>
      </c>
    </row>
    <row r="5437">
      <c r="A5437" s="18">
        <v>3714.0</v>
      </c>
      <c r="B5437" s="18" t="s">
        <v>30</v>
      </c>
      <c r="C5437" s="18" t="s">
        <v>34</v>
      </c>
      <c r="D5437" s="18" t="s">
        <v>35</v>
      </c>
      <c r="E5437" s="27">
        <v>42564.82894675926</v>
      </c>
      <c r="F5437" s="19">
        <f>IFERROR(__xludf.DUMMYFUNCTION("IFERROR(TO_DATE(E5437), """")"),42564.82894675926)</f>
        <v>42564.82895</v>
      </c>
      <c r="G5437" s="20">
        <f t="shared" si="1"/>
        <v>19</v>
      </c>
      <c r="H5437" s="18" t="s">
        <v>34</v>
      </c>
      <c r="I5437" s="19" t="str">
        <f>IFERROR(__xludf.DUMMYFUNCTION("IFERROR(TO_DATE(H5437), """")"),"NA")</f>
        <v>NA</v>
      </c>
      <c r="J5437" s="19" t="s">
        <v>12</v>
      </c>
      <c r="K5437" s="22">
        <f t="shared" si="2"/>
        <v>0</v>
      </c>
    </row>
    <row r="5438">
      <c r="A5438" s="18">
        <v>3720.0</v>
      </c>
      <c r="B5438" s="18" t="s">
        <v>30</v>
      </c>
      <c r="C5438" s="18" t="s">
        <v>34</v>
      </c>
      <c r="D5438" s="18" t="s">
        <v>35</v>
      </c>
      <c r="E5438" s="27">
        <v>42564.83045138889</v>
      </c>
      <c r="F5438" s="19">
        <f>IFERROR(__xludf.DUMMYFUNCTION("IFERROR(TO_DATE(E5438), """")"),42564.83045138889)</f>
        <v>42564.83045</v>
      </c>
      <c r="G5438" s="20">
        <f t="shared" si="1"/>
        <v>19</v>
      </c>
      <c r="H5438" s="18" t="s">
        <v>34</v>
      </c>
      <c r="I5438" s="19" t="str">
        <f>IFERROR(__xludf.DUMMYFUNCTION("IFERROR(TO_DATE(H5438), """")"),"NA")</f>
        <v>NA</v>
      </c>
      <c r="J5438" s="19" t="s">
        <v>12</v>
      </c>
      <c r="K5438" s="22">
        <f t="shared" si="2"/>
        <v>0</v>
      </c>
    </row>
    <row r="5439">
      <c r="A5439" s="18">
        <v>3719.0</v>
      </c>
      <c r="B5439" s="18" t="s">
        <v>30</v>
      </c>
      <c r="C5439" s="18" t="s">
        <v>34</v>
      </c>
      <c r="D5439" s="18" t="s">
        <v>35</v>
      </c>
      <c r="E5439" s="27">
        <v>42564.832233796296</v>
      </c>
      <c r="F5439" s="19">
        <f>IFERROR(__xludf.DUMMYFUNCTION("IFERROR(TO_DATE(E5439), """")"),42564.832233796296)</f>
        <v>42564.83223</v>
      </c>
      <c r="G5439" s="20">
        <f t="shared" si="1"/>
        <v>19</v>
      </c>
      <c r="H5439" s="18" t="s">
        <v>34</v>
      </c>
      <c r="I5439" s="19" t="str">
        <f>IFERROR(__xludf.DUMMYFUNCTION("IFERROR(TO_DATE(H5439), """")"),"NA")</f>
        <v>NA</v>
      </c>
      <c r="J5439" s="19" t="s">
        <v>12</v>
      </c>
      <c r="K5439" s="22">
        <f t="shared" si="2"/>
        <v>0</v>
      </c>
    </row>
    <row r="5440">
      <c r="A5440" s="18">
        <v>3717.0</v>
      </c>
      <c r="B5440" s="18" t="s">
        <v>30</v>
      </c>
      <c r="C5440" s="18" t="s">
        <v>34</v>
      </c>
      <c r="D5440" s="18" t="s">
        <v>35</v>
      </c>
      <c r="E5440" s="27">
        <v>42564.83247685185</v>
      </c>
      <c r="F5440" s="19">
        <f>IFERROR(__xludf.DUMMYFUNCTION("IFERROR(TO_DATE(E5440), """")"),42564.83247685185)</f>
        <v>42564.83248</v>
      </c>
      <c r="G5440" s="20">
        <f t="shared" si="1"/>
        <v>19</v>
      </c>
      <c r="H5440" s="18" t="s">
        <v>34</v>
      </c>
      <c r="I5440" s="19" t="str">
        <f>IFERROR(__xludf.DUMMYFUNCTION("IFERROR(TO_DATE(H5440), """")"),"NA")</f>
        <v>NA</v>
      </c>
      <c r="J5440" s="19" t="s">
        <v>12</v>
      </c>
      <c r="K5440" s="22">
        <f t="shared" si="2"/>
        <v>0</v>
      </c>
    </row>
    <row r="5441">
      <c r="A5441" s="18">
        <v>3715.0</v>
      </c>
      <c r="B5441" s="18" t="s">
        <v>30</v>
      </c>
      <c r="C5441" s="18" t="s">
        <v>34</v>
      </c>
      <c r="D5441" s="18" t="s">
        <v>35</v>
      </c>
      <c r="E5441" s="27">
        <v>42564.832870370374</v>
      </c>
      <c r="F5441" s="19">
        <f>IFERROR(__xludf.DUMMYFUNCTION("IFERROR(TO_DATE(E5441), """")"),42564.832870370374)</f>
        <v>42564.83287</v>
      </c>
      <c r="G5441" s="20">
        <f t="shared" si="1"/>
        <v>19</v>
      </c>
      <c r="H5441" s="18" t="s">
        <v>34</v>
      </c>
      <c r="I5441" s="19" t="str">
        <f>IFERROR(__xludf.DUMMYFUNCTION("IFERROR(TO_DATE(H5441), """")"),"NA")</f>
        <v>NA</v>
      </c>
      <c r="J5441" s="19" t="s">
        <v>12</v>
      </c>
      <c r="K5441" s="22">
        <f t="shared" si="2"/>
        <v>0</v>
      </c>
    </row>
    <row r="5442">
      <c r="A5442" s="18">
        <v>3713.0</v>
      </c>
      <c r="B5442" s="18" t="s">
        <v>30</v>
      </c>
      <c r="C5442" s="18" t="s">
        <v>34</v>
      </c>
      <c r="D5442" s="18" t="s">
        <v>35</v>
      </c>
      <c r="E5442" s="27">
        <v>42564.83306712963</v>
      </c>
      <c r="F5442" s="19">
        <f>IFERROR(__xludf.DUMMYFUNCTION("IFERROR(TO_DATE(E5442), """")"),42564.83306712963)</f>
        <v>42564.83307</v>
      </c>
      <c r="G5442" s="20">
        <f t="shared" si="1"/>
        <v>19</v>
      </c>
      <c r="H5442" s="18" t="s">
        <v>34</v>
      </c>
      <c r="I5442" s="19" t="str">
        <f>IFERROR(__xludf.DUMMYFUNCTION("IFERROR(TO_DATE(H5442), """")"),"NA")</f>
        <v>NA</v>
      </c>
      <c r="J5442" s="19" t="s">
        <v>12</v>
      </c>
      <c r="K5442" s="22">
        <f t="shared" si="2"/>
        <v>0</v>
      </c>
    </row>
    <row r="5443">
      <c r="A5443" s="18">
        <v>3716.0</v>
      </c>
      <c r="B5443" s="18" t="s">
        <v>30</v>
      </c>
      <c r="C5443" s="18" t="s">
        <v>34</v>
      </c>
      <c r="D5443" s="18" t="s">
        <v>35</v>
      </c>
      <c r="E5443" s="27">
        <v>42564.83403935185</v>
      </c>
      <c r="F5443" s="19">
        <f>IFERROR(__xludf.DUMMYFUNCTION("IFERROR(TO_DATE(E5443), """")"),42564.83403935185)</f>
        <v>42564.83404</v>
      </c>
      <c r="G5443" s="20">
        <f t="shared" si="1"/>
        <v>20</v>
      </c>
      <c r="H5443" s="18" t="s">
        <v>34</v>
      </c>
      <c r="I5443" s="19" t="str">
        <f>IFERROR(__xludf.DUMMYFUNCTION("IFERROR(TO_DATE(H5443), """")"),"NA")</f>
        <v>NA</v>
      </c>
      <c r="J5443" s="19" t="s">
        <v>13</v>
      </c>
      <c r="K5443" s="22">
        <f t="shared" si="2"/>
        <v>0</v>
      </c>
    </row>
    <row r="5444">
      <c r="A5444" s="18">
        <v>3726.0</v>
      </c>
      <c r="B5444" s="18" t="s">
        <v>30</v>
      </c>
      <c r="C5444" s="18" t="s">
        <v>34</v>
      </c>
      <c r="D5444" s="18" t="s">
        <v>35</v>
      </c>
      <c r="E5444" s="27">
        <v>42564.83657407408</v>
      </c>
      <c r="F5444" s="19">
        <f>IFERROR(__xludf.DUMMYFUNCTION("IFERROR(TO_DATE(E5444), """")"),42564.83657407408)</f>
        <v>42564.83657</v>
      </c>
      <c r="G5444" s="20">
        <f t="shared" si="1"/>
        <v>20</v>
      </c>
      <c r="H5444" s="18" t="s">
        <v>34</v>
      </c>
      <c r="I5444" s="19" t="str">
        <f>IFERROR(__xludf.DUMMYFUNCTION("IFERROR(TO_DATE(H5444), """")"),"NA")</f>
        <v>NA</v>
      </c>
      <c r="J5444" s="19" t="s">
        <v>13</v>
      </c>
      <c r="K5444" s="22">
        <f t="shared" si="2"/>
        <v>0</v>
      </c>
    </row>
    <row r="5445">
      <c r="A5445" s="18">
        <v>3724.0</v>
      </c>
      <c r="B5445" s="18" t="s">
        <v>30</v>
      </c>
      <c r="C5445" s="18" t="s">
        <v>34</v>
      </c>
      <c r="D5445" s="18" t="s">
        <v>35</v>
      </c>
      <c r="E5445" s="27">
        <v>42564.83662037037</v>
      </c>
      <c r="F5445" s="19">
        <f>IFERROR(__xludf.DUMMYFUNCTION("IFERROR(TO_DATE(E5445), """")"),42564.83662037037)</f>
        <v>42564.83662</v>
      </c>
      <c r="G5445" s="20">
        <f t="shared" si="1"/>
        <v>20</v>
      </c>
      <c r="H5445" s="18" t="s">
        <v>34</v>
      </c>
      <c r="I5445" s="19" t="str">
        <f>IFERROR(__xludf.DUMMYFUNCTION("IFERROR(TO_DATE(H5445), """")"),"NA")</f>
        <v>NA</v>
      </c>
      <c r="J5445" s="19" t="s">
        <v>13</v>
      </c>
      <c r="K5445" s="22">
        <f t="shared" si="2"/>
        <v>0</v>
      </c>
    </row>
    <row r="5446">
      <c r="A5446" s="18">
        <v>3721.0</v>
      </c>
      <c r="B5446" s="18" t="s">
        <v>30</v>
      </c>
      <c r="C5446" s="18" t="s">
        <v>34</v>
      </c>
      <c r="D5446" s="18" t="s">
        <v>35</v>
      </c>
      <c r="E5446" s="27">
        <v>42564.83665509259</v>
      </c>
      <c r="F5446" s="19">
        <f>IFERROR(__xludf.DUMMYFUNCTION("IFERROR(TO_DATE(E5446), """")"),42564.83665509259)</f>
        <v>42564.83666</v>
      </c>
      <c r="G5446" s="20">
        <f t="shared" si="1"/>
        <v>20</v>
      </c>
      <c r="H5446" s="18" t="s">
        <v>34</v>
      </c>
      <c r="I5446" s="19" t="str">
        <f>IFERROR(__xludf.DUMMYFUNCTION("IFERROR(TO_DATE(H5446), """")"),"NA")</f>
        <v>NA</v>
      </c>
      <c r="J5446" s="19" t="s">
        <v>13</v>
      </c>
      <c r="K5446" s="22">
        <f t="shared" si="2"/>
        <v>0</v>
      </c>
    </row>
    <row r="5447">
      <c r="A5447" s="18">
        <v>3729.0</v>
      </c>
      <c r="B5447" s="18" t="s">
        <v>30</v>
      </c>
      <c r="C5447" s="18" t="s">
        <v>34</v>
      </c>
      <c r="D5447" s="18" t="s">
        <v>35</v>
      </c>
      <c r="E5447" s="27">
        <v>42564.83699074074</v>
      </c>
      <c r="F5447" s="19">
        <f>IFERROR(__xludf.DUMMYFUNCTION("IFERROR(TO_DATE(E5447), """")"),42564.83699074074)</f>
        <v>42564.83699</v>
      </c>
      <c r="G5447" s="20">
        <f t="shared" si="1"/>
        <v>20</v>
      </c>
      <c r="H5447" s="18" t="s">
        <v>34</v>
      </c>
      <c r="I5447" s="19" t="str">
        <f>IFERROR(__xludf.DUMMYFUNCTION("IFERROR(TO_DATE(H5447), """")"),"NA")</f>
        <v>NA</v>
      </c>
      <c r="J5447" s="19" t="s">
        <v>13</v>
      </c>
      <c r="K5447" s="22">
        <f t="shared" si="2"/>
        <v>0</v>
      </c>
    </row>
    <row r="5448">
      <c r="A5448" s="18">
        <v>3731.0</v>
      </c>
      <c r="B5448" s="18" t="s">
        <v>30</v>
      </c>
      <c r="C5448" s="18" t="s">
        <v>34</v>
      </c>
      <c r="D5448" s="18" t="s">
        <v>35</v>
      </c>
      <c r="E5448" s="27">
        <v>42564.83770833333</v>
      </c>
      <c r="F5448" s="19">
        <f>IFERROR(__xludf.DUMMYFUNCTION("IFERROR(TO_DATE(E5448), """")"),42564.83770833333)</f>
        <v>42564.83771</v>
      </c>
      <c r="G5448" s="20">
        <f t="shared" si="1"/>
        <v>20</v>
      </c>
      <c r="H5448" s="18" t="s">
        <v>34</v>
      </c>
      <c r="I5448" s="19" t="str">
        <f>IFERROR(__xludf.DUMMYFUNCTION("IFERROR(TO_DATE(H5448), """")"),"NA")</f>
        <v>NA</v>
      </c>
      <c r="J5448" s="19" t="s">
        <v>13</v>
      </c>
      <c r="K5448" s="22">
        <f t="shared" si="2"/>
        <v>0</v>
      </c>
    </row>
    <row r="5449">
      <c r="A5449" s="18">
        <v>3733.0</v>
      </c>
      <c r="B5449" s="18" t="s">
        <v>30</v>
      </c>
      <c r="C5449" s="18" t="s">
        <v>34</v>
      </c>
      <c r="D5449" s="18" t="s">
        <v>35</v>
      </c>
      <c r="E5449" s="27">
        <v>42564.84048611111</v>
      </c>
      <c r="F5449" s="19">
        <f>IFERROR(__xludf.DUMMYFUNCTION("IFERROR(TO_DATE(E5449), """")"),42564.84048611111)</f>
        <v>42564.84049</v>
      </c>
      <c r="G5449" s="20">
        <f t="shared" si="1"/>
        <v>20</v>
      </c>
      <c r="H5449" s="18" t="s">
        <v>34</v>
      </c>
      <c r="I5449" s="19" t="str">
        <f>IFERROR(__xludf.DUMMYFUNCTION("IFERROR(TO_DATE(H5449), """")"),"NA")</f>
        <v>NA</v>
      </c>
      <c r="J5449" s="19" t="s">
        <v>13</v>
      </c>
      <c r="K5449" s="22">
        <f t="shared" si="2"/>
        <v>0</v>
      </c>
    </row>
    <row r="5450">
      <c r="A5450" s="18">
        <v>3730.0</v>
      </c>
      <c r="B5450" s="18" t="s">
        <v>30</v>
      </c>
      <c r="C5450" s="18" t="s">
        <v>34</v>
      </c>
      <c r="D5450" s="18" t="s">
        <v>35</v>
      </c>
      <c r="E5450" s="27">
        <v>42564.8409837963</v>
      </c>
      <c r="F5450" s="19">
        <f>IFERROR(__xludf.DUMMYFUNCTION("IFERROR(TO_DATE(E5450), """")"),42564.8409837963)</f>
        <v>42564.84098</v>
      </c>
      <c r="G5450" s="20">
        <f t="shared" si="1"/>
        <v>20</v>
      </c>
      <c r="H5450" s="18" t="s">
        <v>34</v>
      </c>
      <c r="I5450" s="19" t="str">
        <f>IFERROR(__xludf.DUMMYFUNCTION("IFERROR(TO_DATE(H5450), """")"),"NA")</f>
        <v>NA</v>
      </c>
      <c r="J5450" s="19" t="s">
        <v>13</v>
      </c>
      <c r="K5450" s="22">
        <f t="shared" si="2"/>
        <v>0</v>
      </c>
    </row>
    <row r="5451">
      <c r="A5451" s="18">
        <v>3735.0</v>
      </c>
      <c r="B5451" s="18" t="s">
        <v>30</v>
      </c>
      <c r="C5451" s="18" t="s">
        <v>34</v>
      </c>
      <c r="D5451" s="18" t="s">
        <v>35</v>
      </c>
      <c r="E5451" s="27">
        <v>42564.84130787037</v>
      </c>
      <c r="F5451" s="19">
        <f>IFERROR(__xludf.DUMMYFUNCTION("IFERROR(TO_DATE(E5451), """")"),42564.84130787037)</f>
        <v>42564.84131</v>
      </c>
      <c r="G5451" s="20">
        <f t="shared" si="1"/>
        <v>20</v>
      </c>
      <c r="H5451" s="18" t="s">
        <v>34</v>
      </c>
      <c r="I5451" s="19" t="str">
        <f>IFERROR(__xludf.DUMMYFUNCTION("IFERROR(TO_DATE(H5451), """")"),"NA")</f>
        <v>NA</v>
      </c>
      <c r="J5451" s="19" t="s">
        <v>13</v>
      </c>
      <c r="K5451" s="22">
        <f t="shared" si="2"/>
        <v>0</v>
      </c>
    </row>
    <row r="5452">
      <c r="A5452" s="18">
        <v>3734.0</v>
      </c>
      <c r="B5452" s="18" t="s">
        <v>30</v>
      </c>
      <c r="C5452" s="18" t="s">
        <v>34</v>
      </c>
      <c r="D5452" s="18" t="s">
        <v>35</v>
      </c>
      <c r="E5452" s="27">
        <v>42564.842094907406</v>
      </c>
      <c r="F5452" s="19">
        <f>IFERROR(__xludf.DUMMYFUNCTION("IFERROR(TO_DATE(E5452), """")"),42564.842094907406)</f>
        <v>42564.84209</v>
      </c>
      <c r="G5452" s="20">
        <f t="shared" si="1"/>
        <v>20</v>
      </c>
      <c r="H5452" s="18" t="s">
        <v>34</v>
      </c>
      <c r="I5452" s="19" t="str">
        <f>IFERROR(__xludf.DUMMYFUNCTION("IFERROR(TO_DATE(H5452), """")"),"NA")</f>
        <v>NA</v>
      </c>
      <c r="J5452" s="19" t="s">
        <v>13</v>
      </c>
      <c r="K5452" s="22">
        <f t="shared" si="2"/>
        <v>0</v>
      </c>
    </row>
    <row r="5453">
      <c r="A5453" s="18">
        <v>3737.0</v>
      </c>
      <c r="B5453" s="18" t="s">
        <v>30</v>
      </c>
      <c r="C5453" s="18" t="s">
        <v>34</v>
      </c>
      <c r="D5453" s="18" t="s">
        <v>35</v>
      </c>
      <c r="E5453" s="27">
        <v>42564.84699074074</v>
      </c>
      <c r="F5453" s="19">
        <f>IFERROR(__xludf.DUMMYFUNCTION("IFERROR(TO_DATE(E5453), """")"),42564.84699074074)</f>
        <v>42564.84699</v>
      </c>
      <c r="G5453" s="20">
        <f t="shared" si="1"/>
        <v>20</v>
      </c>
      <c r="H5453" s="18" t="s">
        <v>34</v>
      </c>
      <c r="I5453" s="19" t="str">
        <f>IFERROR(__xludf.DUMMYFUNCTION("IFERROR(TO_DATE(H5453), """")"),"NA")</f>
        <v>NA</v>
      </c>
      <c r="J5453" s="19" t="s">
        <v>13</v>
      </c>
      <c r="K5453" s="22">
        <f t="shared" si="2"/>
        <v>0</v>
      </c>
    </row>
    <row r="5454">
      <c r="A5454" s="18">
        <v>3736.0</v>
      </c>
      <c r="B5454" s="18" t="s">
        <v>30</v>
      </c>
      <c r="C5454" s="18" t="s">
        <v>34</v>
      </c>
      <c r="D5454" s="18" t="s">
        <v>35</v>
      </c>
      <c r="E5454" s="27">
        <v>42564.847546296296</v>
      </c>
      <c r="F5454" s="19">
        <f>IFERROR(__xludf.DUMMYFUNCTION("IFERROR(TO_DATE(E5454), """")"),42564.847546296296)</f>
        <v>42564.84755</v>
      </c>
      <c r="G5454" s="20">
        <f t="shared" si="1"/>
        <v>20</v>
      </c>
      <c r="H5454" s="18" t="s">
        <v>34</v>
      </c>
      <c r="I5454" s="19" t="str">
        <f>IFERROR(__xludf.DUMMYFUNCTION("IFERROR(TO_DATE(H5454), """")"),"NA")</f>
        <v>NA</v>
      </c>
      <c r="J5454" s="19" t="s">
        <v>13</v>
      </c>
      <c r="K5454" s="22">
        <f t="shared" si="2"/>
        <v>0</v>
      </c>
    </row>
    <row r="5455">
      <c r="A5455" s="18">
        <v>3746.0</v>
      </c>
      <c r="B5455" s="18" t="s">
        <v>30</v>
      </c>
      <c r="C5455" s="18" t="s">
        <v>34</v>
      </c>
      <c r="D5455" s="18" t="s">
        <v>35</v>
      </c>
      <c r="E5455" s="27">
        <v>42564.84898148148</v>
      </c>
      <c r="F5455" s="19">
        <f>IFERROR(__xludf.DUMMYFUNCTION("IFERROR(TO_DATE(E5455), """")"),42564.84898148148)</f>
        <v>42564.84898</v>
      </c>
      <c r="G5455" s="20">
        <f t="shared" si="1"/>
        <v>20</v>
      </c>
      <c r="H5455" s="18" t="s">
        <v>34</v>
      </c>
      <c r="I5455" s="19" t="str">
        <f>IFERROR(__xludf.DUMMYFUNCTION("IFERROR(TO_DATE(H5455), """")"),"NA")</f>
        <v>NA</v>
      </c>
      <c r="J5455" s="19" t="s">
        <v>13</v>
      </c>
      <c r="K5455" s="22">
        <f t="shared" si="2"/>
        <v>0</v>
      </c>
    </row>
    <row r="5456">
      <c r="A5456" s="18">
        <v>3747.0</v>
      </c>
      <c r="B5456" s="18" t="s">
        <v>30</v>
      </c>
      <c r="C5456" s="18" t="s">
        <v>34</v>
      </c>
      <c r="D5456" s="18" t="s">
        <v>35</v>
      </c>
      <c r="E5456" s="27">
        <v>42564.85114583333</v>
      </c>
      <c r="F5456" s="19">
        <f>IFERROR(__xludf.DUMMYFUNCTION("IFERROR(TO_DATE(E5456), """")"),42564.85114583333)</f>
        <v>42564.85115</v>
      </c>
      <c r="G5456" s="20">
        <f t="shared" si="1"/>
        <v>20</v>
      </c>
      <c r="H5456" s="18" t="s">
        <v>34</v>
      </c>
      <c r="I5456" s="19" t="str">
        <f>IFERROR(__xludf.DUMMYFUNCTION("IFERROR(TO_DATE(H5456), """")"),"NA")</f>
        <v>NA</v>
      </c>
      <c r="J5456" s="19" t="s">
        <v>13</v>
      </c>
      <c r="K5456" s="22">
        <f t="shared" si="2"/>
        <v>0</v>
      </c>
    </row>
    <row r="5457">
      <c r="A5457" s="18">
        <v>3751.0</v>
      </c>
      <c r="B5457" s="18" t="s">
        <v>30</v>
      </c>
      <c r="C5457" s="18" t="s">
        <v>34</v>
      </c>
      <c r="D5457" s="18" t="s">
        <v>35</v>
      </c>
      <c r="E5457" s="27">
        <v>42564.85398148148</v>
      </c>
      <c r="F5457" s="19">
        <f>IFERROR(__xludf.DUMMYFUNCTION("IFERROR(TO_DATE(E5457), """")"),42564.85398148148)</f>
        <v>42564.85398</v>
      </c>
      <c r="G5457" s="20">
        <f t="shared" si="1"/>
        <v>20</v>
      </c>
      <c r="H5457" s="18" t="s">
        <v>34</v>
      </c>
      <c r="I5457" s="19" t="str">
        <f>IFERROR(__xludf.DUMMYFUNCTION("IFERROR(TO_DATE(H5457), """")"),"NA")</f>
        <v>NA</v>
      </c>
      <c r="J5457" s="19" t="s">
        <v>13</v>
      </c>
      <c r="K5457" s="22">
        <f t="shared" si="2"/>
        <v>0</v>
      </c>
    </row>
    <row r="5458">
      <c r="A5458" s="18">
        <v>3750.0</v>
      </c>
      <c r="B5458" s="18" t="s">
        <v>30</v>
      </c>
      <c r="C5458" s="18" t="s">
        <v>34</v>
      </c>
      <c r="D5458" s="18" t="s">
        <v>35</v>
      </c>
      <c r="E5458" s="27">
        <v>42564.85472222222</v>
      </c>
      <c r="F5458" s="19">
        <f>IFERROR(__xludf.DUMMYFUNCTION("IFERROR(TO_DATE(E5458), """")"),42564.85472222222)</f>
        <v>42564.85472</v>
      </c>
      <c r="G5458" s="20">
        <f t="shared" si="1"/>
        <v>20</v>
      </c>
      <c r="H5458" s="18" t="s">
        <v>34</v>
      </c>
      <c r="I5458" s="19" t="str">
        <f>IFERROR(__xludf.DUMMYFUNCTION("IFERROR(TO_DATE(H5458), """")"),"NA")</f>
        <v>NA</v>
      </c>
      <c r="J5458" s="19" t="s">
        <v>13</v>
      </c>
      <c r="K5458" s="22">
        <f t="shared" si="2"/>
        <v>0</v>
      </c>
    </row>
    <row r="5459">
      <c r="A5459" s="18">
        <v>3752.0</v>
      </c>
      <c r="B5459" s="18" t="s">
        <v>30</v>
      </c>
      <c r="C5459" s="18" t="s">
        <v>34</v>
      </c>
      <c r="D5459" s="18" t="s">
        <v>35</v>
      </c>
      <c r="E5459" s="27">
        <v>42564.85496527778</v>
      </c>
      <c r="F5459" s="19">
        <f>IFERROR(__xludf.DUMMYFUNCTION("IFERROR(TO_DATE(E5459), """")"),42564.85496527778)</f>
        <v>42564.85497</v>
      </c>
      <c r="G5459" s="20">
        <f t="shared" si="1"/>
        <v>20</v>
      </c>
      <c r="H5459" s="18" t="s">
        <v>34</v>
      </c>
      <c r="I5459" s="19" t="str">
        <f>IFERROR(__xludf.DUMMYFUNCTION("IFERROR(TO_DATE(H5459), """")"),"NA")</f>
        <v>NA</v>
      </c>
      <c r="J5459" s="19" t="s">
        <v>13</v>
      </c>
      <c r="K5459" s="22">
        <f t="shared" si="2"/>
        <v>0</v>
      </c>
    </row>
    <row r="5460">
      <c r="A5460" s="18">
        <v>3754.0</v>
      </c>
      <c r="B5460" s="18" t="s">
        <v>30</v>
      </c>
      <c r="C5460" s="18" t="s">
        <v>34</v>
      </c>
      <c r="D5460" s="18" t="s">
        <v>35</v>
      </c>
      <c r="E5460" s="27">
        <v>42564.855787037035</v>
      </c>
      <c r="F5460" s="19">
        <f>IFERROR(__xludf.DUMMYFUNCTION("IFERROR(TO_DATE(E5460), """")"),42564.855787037035)</f>
        <v>42564.85579</v>
      </c>
      <c r="G5460" s="20">
        <f t="shared" si="1"/>
        <v>20</v>
      </c>
      <c r="H5460" s="18" t="s">
        <v>34</v>
      </c>
      <c r="I5460" s="19" t="str">
        <f>IFERROR(__xludf.DUMMYFUNCTION("IFERROR(TO_DATE(H5460), """")"),"NA")</f>
        <v>NA</v>
      </c>
      <c r="J5460" s="19" t="s">
        <v>13</v>
      </c>
      <c r="K5460" s="22">
        <f t="shared" si="2"/>
        <v>0</v>
      </c>
    </row>
    <row r="5461">
      <c r="A5461" s="18">
        <v>3749.0</v>
      </c>
      <c r="B5461" s="18" t="s">
        <v>30</v>
      </c>
      <c r="C5461" s="18" t="s">
        <v>34</v>
      </c>
      <c r="D5461" s="18" t="s">
        <v>35</v>
      </c>
      <c r="E5461" s="27">
        <v>42564.856099537035</v>
      </c>
      <c r="F5461" s="19">
        <f>IFERROR(__xludf.DUMMYFUNCTION("IFERROR(TO_DATE(E5461), """")"),42564.856099537035)</f>
        <v>42564.8561</v>
      </c>
      <c r="G5461" s="20">
        <f t="shared" si="1"/>
        <v>20</v>
      </c>
      <c r="H5461" s="18" t="s">
        <v>34</v>
      </c>
      <c r="I5461" s="19" t="str">
        <f>IFERROR(__xludf.DUMMYFUNCTION("IFERROR(TO_DATE(H5461), """")"),"NA")</f>
        <v>NA</v>
      </c>
      <c r="J5461" s="19" t="s">
        <v>13</v>
      </c>
      <c r="K5461" s="22">
        <f t="shared" si="2"/>
        <v>0</v>
      </c>
    </row>
    <row r="5462">
      <c r="A5462" s="18">
        <v>3757.0</v>
      </c>
      <c r="B5462" s="18" t="s">
        <v>30</v>
      </c>
      <c r="C5462" s="18" t="s">
        <v>34</v>
      </c>
      <c r="D5462" s="18" t="s">
        <v>35</v>
      </c>
      <c r="E5462" s="27">
        <v>42564.85633101852</v>
      </c>
      <c r="F5462" s="19">
        <f>IFERROR(__xludf.DUMMYFUNCTION("IFERROR(TO_DATE(E5462), """")"),42564.85633101852)</f>
        <v>42564.85633</v>
      </c>
      <c r="G5462" s="20">
        <f t="shared" si="1"/>
        <v>20</v>
      </c>
      <c r="H5462" s="18" t="s">
        <v>34</v>
      </c>
      <c r="I5462" s="19" t="str">
        <f>IFERROR(__xludf.DUMMYFUNCTION("IFERROR(TO_DATE(H5462), """")"),"NA")</f>
        <v>NA</v>
      </c>
      <c r="J5462" s="19" t="s">
        <v>13</v>
      </c>
      <c r="K5462" s="22">
        <f t="shared" si="2"/>
        <v>0</v>
      </c>
    </row>
    <row r="5463">
      <c r="A5463" s="18">
        <v>3765.0</v>
      </c>
      <c r="B5463" s="18" t="s">
        <v>30</v>
      </c>
      <c r="C5463" s="18" t="s">
        <v>34</v>
      </c>
      <c r="D5463" s="18" t="s">
        <v>35</v>
      </c>
      <c r="E5463" s="27">
        <v>42564.85769675926</v>
      </c>
      <c r="F5463" s="19">
        <f>IFERROR(__xludf.DUMMYFUNCTION("IFERROR(TO_DATE(E5463), """")"),42564.85769675926)</f>
        <v>42564.8577</v>
      </c>
      <c r="G5463" s="20">
        <f t="shared" si="1"/>
        <v>20</v>
      </c>
      <c r="H5463" s="18" t="s">
        <v>34</v>
      </c>
      <c r="I5463" s="19" t="str">
        <f>IFERROR(__xludf.DUMMYFUNCTION("IFERROR(TO_DATE(H5463), """")"),"NA")</f>
        <v>NA</v>
      </c>
      <c r="J5463" s="19" t="s">
        <v>13</v>
      </c>
      <c r="K5463" s="22">
        <f t="shared" si="2"/>
        <v>0</v>
      </c>
    </row>
    <row r="5464">
      <c r="A5464" s="18">
        <v>3756.0</v>
      </c>
      <c r="B5464" s="18" t="s">
        <v>30</v>
      </c>
      <c r="C5464" s="18" t="s">
        <v>34</v>
      </c>
      <c r="D5464" s="18" t="s">
        <v>35</v>
      </c>
      <c r="E5464" s="27">
        <v>42564.85790509259</v>
      </c>
      <c r="F5464" s="19">
        <f>IFERROR(__xludf.DUMMYFUNCTION("IFERROR(TO_DATE(E5464), """")"),42564.85790509259)</f>
        <v>42564.85791</v>
      </c>
      <c r="G5464" s="20">
        <f t="shared" si="1"/>
        <v>20</v>
      </c>
      <c r="H5464" s="18" t="s">
        <v>34</v>
      </c>
      <c r="I5464" s="19" t="str">
        <f>IFERROR(__xludf.DUMMYFUNCTION("IFERROR(TO_DATE(H5464), """")"),"NA")</f>
        <v>NA</v>
      </c>
      <c r="J5464" s="19" t="s">
        <v>13</v>
      </c>
      <c r="K5464" s="22">
        <f t="shared" si="2"/>
        <v>0</v>
      </c>
    </row>
    <row r="5465">
      <c r="A5465" s="18">
        <v>3764.0</v>
      </c>
      <c r="B5465" s="18" t="s">
        <v>30</v>
      </c>
      <c r="C5465" s="18" t="s">
        <v>34</v>
      </c>
      <c r="D5465" s="18" t="s">
        <v>35</v>
      </c>
      <c r="E5465" s="27">
        <v>42564.85805555555</v>
      </c>
      <c r="F5465" s="19">
        <f>IFERROR(__xludf.DUMMYFUNCTION("IFERROR(TO_DATE(E5465), """")"),42564.85805555555)</f>
        <v>42564.85806</v>
      </c>
      <c r="G5465" s="20">
        <f t="shared" si="1"/>
        <v>20</v>
      </c>
      <c r="H5465" s="18" t="s">
        <v>34</v>
      </c>
      <c r="I5465" s="19" t="str">
        <f>IFERROR(__xludf.DUMMYFUNCTION("IFERROR(TO_DATE(H5465), """")"),"NA")</f>
        <v>NA</v>
      </c>
      <c r="J5465" s="19" t="s">
        <v>13</v>
      </c>
      <c r="K5465" s="22">
        <f t="shared" si="2"/>
        <v>0</v>
      </c>
    </row>
    <row r="5466">
      <c r="A5466" s="18">
        <v>3770.0</v>
      </c>
      <c r="B5466" s="18" t="s">
        <v>30</v>
      </c>
      <c r="C5466" s="18" t="s">
        <v>34</v>
      </c>
      <c r="D5466" s="18" t="s">
        <v>35</v>
      </c>
      <c r="E5466" s="27">
        <v>42564.86063657407</v>
      </c>
      <c r="F5466" s="19">
        <f>IFERROR(__xludf.DUMMYFUNCTION("IFERROR(TO_DATE(E5466), """")"),42564.86063657407)</f>
        <v>42564.86064</v>
      </c>
      <c r="G5466" s="20">
        <f t="shared" si="1"/>
        <v>20</v>
      </c>
      <c r="H5466" s="18" t="s">
        <v>34</v>
      </c>
      <c r="I5466" s="19" t="str">
        <f>IFERROR(__xludf.DUMMYFUNCTION("IFERROR(TO_DATE(H5466), """")"),"NA")</f>
        <v>NA</v>
      </c>
      <c r="J5466" s="19" t="s">
        <v>13</v>
      </c>
      <c r="K5466" s="22">
        <f t="shared" si="2"/>
        <v>0</v>
      </c>
    </row>
    <row r="5467">
      <c r="A5467" s="18">
        <v>3778.0</v>
      </c>
      <c r="B5467" s="18" t="s">
        <v>30</v>
      </c>
      <c r="C5467" s="18" t="s">
        <v>34</v>
      </c>
      <c r="D5467" s="18" t="s">
        <v>35</v>
      </c>
      <c r="E5467" s="27">
        <v>42564.86141203704</v>
      </c>
      <c r="F5467" s="19">
        <f>IFERROR(__xludf.DUMMYFUNCTION("IFERROR(TO_DATE(E5467), """")"),42564.86141203704)</f>
        <v>42564.86141</v>
      </c>
      <c r="G5467" s="20">
        <f t="shared" si="1"/>
        <v>20</v>
      </c>
      <c r="H5467" s="18" t="s">
        <v>34</v>
      </c>
      <c r="I5467" s="19" t="str">
        <f>IFERROR(__xludf.DUMMYFUNCTION("IFERROR(TO_DATE(H5467), """")"),"NA")</f>
        <v>NA</v>
      </c>
      <c r="J5467" s="19" t="s">
        <v>13</v>
      </c>
      <c r="K5467" s="22">
        <f t="shared" si="2"/>
        <v>0</v>
      </c>
    </row>
    <row r="5468">
      <c r="A5468" s="18">
        <v>3772.0</v>
      </c>
      <c r="B5468" s="18" t="s">
        <v>30</v>
      </c>
      <c r="C5468" s="18" t="s">
        <v>34</v>
      </c>
      <c r="D5468" s="18" t="s">
        <v>35</v>
      </c>
      <c r="E5468" s="27">
        <v>42564.86153935185</v>
      </c>
      <c r="F5468" s="19">
        <f>IFERROR(__xludf.DUMMYFUNCTION("IFERROR(TO_DATE(E5468), """")"),42564.86153935185)</f>
        <v>42564.86154</v>
      </c>
      <c r="G5468" s="20">
        <f t="shared" si="1"/>
        <v>20</v>
      </c>
      <c r="H5468" s="18" t="s">
        <v>34</v>
      </c>
      <c r="I5468" s="19" t="str">
        <f>IFERROR(__xludf.DUMMYFUNCTION("IFERROR(TO_DATE(H5468), """")"),"NA")</f>
        <v>NA</v>
      </c>
      <c r="J5468" s="19" t="s">
        <v>13</v>
      </c>
      <c r="K5468" s="22">
        <f t="shared" si="2"/>
        <v>0</v>
      </c>
    </row>
    <row r="5469">
      <c r="A5469" s="18">
        <v>3760.0</v>
      </c>
      <c r="B5469" s="18" t="s">
        <v>30</v>
      </c>
      <c r="C5469" s="18" t="s">
        <v>34</v>
      </c>
      <c r="D5469" s="18" t="s">
        <v>35</v>
      </c>
      <c r="E5469" s="27">
        <v>42564.86172453704</v>
      </c>
      <c r="F5469" s="19">
        <f>IFERROR(__xludf.DUMMYFUNCTION("IFERROR(TO_DATE(E5469), """")"),42564.86172453704)</f>
        <v>42564.86172</v>
      </c>
      <c r="G5469" s="20">
        <f t="shared" si="1"/>
        <v>20</v>
      </c>
      <c r="H5469" s="18" t="s">
        <v>34</v>
      </c>
      <c r="I5469" s="19" t="str">
        <f>IFERROR(__xludf.DUMMYFUNCTION("IFERROR(TO_DATE(H5469), """")"),"NA")</f>
        <v>NA</v>
      </c>
      <c r="J5469" s="19" t="s">
        <v>13</v>
      </c>
      <c r="K5469" s="22">
        <f t="shared" si="2"/>
        <v>0</v>
      </c>
    </row>
    <row r="5470">
      <c r="A5470" s="18">
        <v>3779.0</v>
      </c>
      <c r="B5470" s="18" t="s">
        <v>30</v>
      </c>
      <c r="C5470" s="18" t="s">
        <v>34</v>
      </c>
      <c r="D5470" s="18" t="s">
        <v>35</v>
      </c>
      <c r="E5470" s="27">
        <v>42564.862858796296</v>
      </c>
      <c r="F5470" s="19">
        <f>IFERROR(__xludf.DUMMYFUNCTION("IFERROR(TO_DATE(E5470), """")"),42564.862858796296)</f>
        <v>42564.86286</v>
      </c>
      <c r="G5470" s="20">
        <f t="shared" si="1"/>
        <v>20</v>
      </c>
      <c r="H5470" s="18" t="s">
        <v>34</v>
      </c>
      <c r="I5470" s="19" t="str">
        <f>IFERROR(__xludf.DUMMYFUNCTION("IFERROR(TO_DATE(H5470), """")"),"NA")</f>
        <v>NA</v>
      </c>
      <c r="J5470" s="19" t="s">
        <v>13</v>
      </c>
      <c r="K5470" s="22">
        <f t="shared" si="2"/>
        <v>0</v>
      </c>
    </row>
    <row r="5471">
      <c r="A5471" s="18">
        <v>3773.0</v>
      </c>
      <c r="B5471" s="18" t="s">
        <v>30</v>
      </c>
      <c r="C5471" s="18" t="s">
        <v>34</v>
      </c>
      <c r="D5471" s="18" t="s">
        <v>35</v>
      </c>
      <c r="E5471" s="27">
        <v>42564.86381944444</v>
      </c>
      <c r="F5471" s="19">
        <f>IFERROR(__xludf.DUMMYFUNCTION("IFERROR(TO_DATE(E5471), """")"),42564.86381944444)</f>
        <v>42564.86382</v>
      </c>
      <c r="G5471" s="20">
        <f t="shared" si="1"/>
        <v>20</v>
      </c>
      <c r="H5471" s="18" t="s">
        <v>34</v>
      </c>
      <c r="I5471" s="19" t="str">
        <f>IFERROR(__xludf.DUMMYFUNCTION("IFERROR(TO_DATE(H5471), """")"),"NA")</f>
        <v>NA</v>
      </c>
      <c r="J5471" s="19" t="s">
        <v>13</v>
      </c>
      <c r="K5471" s="22">
        <f t="shared" si="2"/>
        <v>0</v>
      </c>
    </row>
    <row r="5472">
      <c r="A5472" s="18">
        <v>3769.0</v>
      </c>
      <c r="B5472" s="18" t="s">
        <v>30</v>
      </c>
      <c r="C5472" s="18" t="s">
        <v>34</v>
      </c>
      <c r="D5472" s="18" t="s">
        <v>35</v>
      </c>
      <c r="E5472" s="27">
        <v>42564.864328703705</v>
      </c>
      <c r="F5472" s="19">
        <f>IFERROR(__xludf.DUMMYFUNCTION("IFERROR(TO_DATE(E5472), """")"),42564.864328703705)</f>
        <v>42564.86433</v>
      </c>
      <c r="G5472" s="20">
        <f t="shared" si="1"/>
        <v>20</v>
      </c>
      <c r="H5472" s="18" t="s">
        <v>34</v>
      </c>
      <c r="I5472" s="19" t="str">
        <f>IFERROR(__xludf.DUMMYFUNCTION("IFERROR(TO_DATE(H5472), """")"),"NA")</f>
        <v>NA</v>
      </c>
      <c r="J5472" s="19" t="s">
        <v>13</v>
      </c>
      <c r="K5472" s="22">
        <f t="shared" si="2"/>
        <v>0</v>
      </c>
    </row>
    <row r="5473">
      <c r="A5473" s="18">
        <v>3781.0</v>
      </c>
      <c r="B5473" s="18" t="s">
        <v>30</v>
      </c>
      <c r="C5473" s="18" t="s">
        <v>34</v>
      </c>
      <c r="D5473" s="18" t="s">
        <v>35</v>
      </c>
      <c r="E5473" s="27">
        <v>42564.86446759259</v>
      </c>
      <c r="F5473" s="19">
        <f>IFERROR(__xludf.DUMMYFUNCTION("IFERROR(TO_DATE(E5473), """")"),42564.86446759259)</f>
        <v>42564.86447</v>
      </c>
      <c r="G5473" s="20">
        <f t="shared" si="1"/>
        <v>20</v>
      </c>
      <c r="H5473" s="18" t="s">
        <v>34</v>
      </c>
      <c r="I5473" s="19" t="str">
        <f>IFERROR(__xludf.DUMMYFUNCTION("IFERROR(TO_DATE(H5473), """")"),"NA")</f>
        <v>NA</v>
      </c>
      <c r="J5473" s="19" t="s">
        <v>13</v>
      </c>
      <c r="K5473" s="22">
        <f t="shared" si="2"/>
        <v>0</v>
      </c>
    </row>
    <row r="5474">
      <c r="A5474" s="18">
        <v>3785.0</v>
      </c>
      <c r="B5474" s="18" t="s">
        <v>32</v>
      </c>
      <c r="C5474" s="18" t="s">
        <v>34</v>
      </c>
      <c r="D5474" s="18" t="s">
        <v>35</v>
      </c>
      <c r="E5474" s="27">
        <v>42564.864594907405</v>
      </c>
      <c r="F5474" s="19">
        <f>IFERROR(__xludf.DUMMYFUNCTION("IFERROR(TO_DATE(E5474), """")"),42564.864594907405)</f>
        <v>42564.86459</v>
      </c>
      <c r="G5474" s="20">
        <f t="shared" si="1"/>
        <v>20</v>
      </c>
      <c r="H5474" s="18" t="s">
        <v>34</v>
      </c>
      <c r="I5474" s="19" t="str">
        <f>IFERROR(__xludf.DUMMYFUNCTION("IFERROR(TO_DATE(H5474), """")"),"NA")</f>
        <v>NA</v>
      </c>
      <c r="J5474" s="19" t="s">
        <v>13</v>
      </c>
      <c r="K5474" s="22">
        <f t="shared" si="2"/>
        <v>0</v>
      </c>
    </row>
    <row r="5475">
      <c r="A5475" s="18">
        <v>3776.0</v>
      </c>
      <c r="B5475" s="18" t="s">
        <v>30</v>
      </c>
      <c r="C5475" s="18" t="s">
        <v>34</v>
      </c>
      <c r="D5475" s="18" t="s">
        <v>35</v>
      </c>
      <c r="E5475" s="27">
        <v>42564.86523148148</v>
      </c>
      <c r="F5475" s="19">
        <f>IFERROR(__xludf.DUMMYFUNCTION("IFERROR(TO_DATE(E5475), """")"),42564.86523148148)</f>
        <v>42564.86523</v>
      </c>
      <c r="G5475" s="20">
        <f t="shared" si="1"/>
        <v>20</v>
      </c>
      <c r="H5475" s="18" t="s">
        <v>34</v>
      </c>
      <c r="I5475" s="19" t="str">
        <f>IFERROR(__xludf.DUMMYFUNCTION("IFERROR(TO_DATE(H5475), """")"),"NA")</f>
        <v>NA</v>
      </c>
      <c r="J5475" s="19" t="s">
        <v>13</v>
      </c>
      <c r="K5475" s="22">
        <f t="shared" si="2"/>
        <v>0</v>
      </c>
    </row>
    <row r="5476">
      <c r="A5476" s="18">
        <v>3775.0</v>
      </c>
      <c r="B5476" s="18" t="s">
        <v>30</v>
      </c>
      <c r="C5476" s="18" t="s">
        <v>34</v>
      </c>
      <c r="D5476" s="18" t="s">
        <v>35</v>
      </c>
      <c r="E5476" s="27">
        <v>42564.86568287037</v>
      </c>
      <c r="F5476" s="19">
        <f>IFERROR(__xludf.DUMMYFUNCTION("IFERROR(TO_DATE(E5476), """")"),42564.86568287037)</f>
        <v>42564.86568</v>
      </c>
      <c r="G5476" s="20">
        <f t="shared" si="1"/>
        <v>20</v>
      </c>
      <c r="H5476" s="18" t="s">
        <v>34</v>
      </c>
      <c r="I5476" s="19" t="str">
        <f>IFERROR(__xludf.DUMMYFUNCTION("IFERROR(TO_DATE(H5476), """")"),"NA")</f>
        <v>NA</v>
      </c>
      <c r="J5476" s="19" t="s">
        <v>13</v>
      </c>
      <c r="K5476" s="22">
        <f t="shared" si="2"/>
        <v>0</v>
      </c>
    </row>
    <row r="5477">
      <c r="A5477" s="18">
        <v>3783.0</v>
      </c>
      <c r="B5477" s="18" t="s">
        <v>30</v>
      </c>
      <c r="C5477" s="18" t="s">
        <v>34</v>
      </c>
      <c r="D5477" s="18" t="s">
        <v>35</v>
      </c>
      <c r="E5477" s="27">
        <v>42564.86707175926</v>
      </c>
      <c r="F5477" s="19">
        <f>IFERROR(__xludf.DUMMYFUNCTION("IFERROR(TO_DATE(E5477), """")"),42564.86707175926)</f>
        <v>42564.86707</v>
      </c>
      <c r="G5477" s="20">
        <f t="shared" si="1"/>
        <v>20</v>
      </c>
      <c r="H5477" s="18" t="s">
        <v>34</v>
      </c>
      <c r="I5477" s="19" t="str">
        <f>IFERROR(__xludf.DUMMYFUNCTION("IFERROR(TO_DATE(H5477), """")"),"NA")</f>
        <v>NA</v>
      </c>
      <c r="J5477" s="19" t="s">
        <v>13</v>
      </c>
      <c r="K5477" s="22">
        <f t="shared" si="2"/>
        <v>0</v>
      </c>
    </row>
    <row r="5478">
      <c r="A5478" s="18">
        <v>3784.0</v>
      </c>
      <c r="B5478" s="18" t="s">
        <v>30</v>
      </c>
      <c r="C5478" s="18" t="s">
        <v>34</v>
      </c>
      <c r="D5478" s="18" t="s">
        <v>35</v>
      </c>
      <c r="E5478" s="27">
        <v>42564.867430555554</v>
      </c>
      <c r="F5478" s="19">
        <f>IFERROR(__xludf.DUMMYFUNCTION("IFERROR(TO_DATE(E5478), """")"),42564.867430555554)</f>
        <v>42564.86743</v>
      </c>
      <c r="G5478" s="20">
        <f t="shared" si="1"/>
        <v>20</v>
      </c>
      <c r="H5478" s="18" t="s">
        <v>34</v>
      </c>
      <c r="I5478" s="19" t="str">
        <f>IFERROR(__xludf.DUMMYFUNCTION("IFERROR(TO_DATE(H5478), """")"),"NA")</f>
        <v>NA</v>
      </c>
      <c r="J5478" s="19" t="s">
        <v>13</v>
      </c>
      <c r="K5478" s="22">
        <f t="shared" si="2"/>
        <v>0</v>
      </c>
    </row>
    <row r="5479">
      <c r="A5479" s="18">
        <v>3787.0</v>
      </c>
      <c r="B5479" s="18" t="s">
        <v>30</v>
      </c>
      <c r="C5479" s="18" t="s">
        <v>34</v>
      </c>
      <c r="D5479" s="18" t="s">
        <v>35</v>
      </c>
      <c r="E5479" s="27">
        <v>42564.867638888885</v>
      </c>
      <c r="F5479" s="19">
        <f>IFERROR(__xludf.DUMMYFUNCTION("IFERROR(TO_DATE(E5479), """")"),42564.867638888885)</f>
        <v>42564.86764</v>
      </c>
      <c r="G5479" s="20">
        <f t="shared" si="1"/>
        <v>20</v>
      </c>
      <c r="H5479" s="18" t="s">
        <v>34</v>
      </c>
      <c r="I5479" s="19" t="str">
        <f>IFERROR(__xludf.DUMMYFUNCTION("IFERROR(TO_DATE(H5479), """")"),"NA")</f>
        <v>NA</v>
      </c>
      <c r="J5479" s="19" t="s">
        <v>13</v>
      </c>
      <c r="K5479" s="22">
        <f t="shared" si="2"/>
        <v>0</v>
      </c>
    </row>
    <row r="5480">
      <c r="A5480" s="18">
        <v>3791.0</v>
      </c>
      <c r="B5480" s="18" t="s">
        <v>30</v>
      </c>
      <c r="C5480" s="18" t="s">
        <v>34</v>
      </c>
      <c r="D5480" s="18" t="s">
        <v>35</v>
      </c>
      <c r="E5480" s="27">
        <v>42564.86886574074</v>
      </c>
      <c r="F5480" s="19">
        <f>IFERROR(__xludf.DUMMYFUNCTION("IFERROR(TO_DATE(E5480), """")"),42564.86886574074)</f>
        <v>42564.86887</v>
      </c>
      <c r="G5480" s="20">
        <f t="shared" si="1"/>
        <v>20</v>
      </c>
      <c r="H5480" s="18" t="s">
        <v>34</v>
      </c>
      <c r="I5480" s="19" t="str">
        <f>IFERROR(__xludf.DUMMYFUNCTION("IFERROR(TO_DATE(H5480), """")"),"NA")</f>
        <v>NA</v>
      </c>
      <c r="J5480" s="19" t="s">
        <v>13</v>
      </c>
      <c r="K5480" s="22">
        <f t="shared" si="2"/>
        <v>0</v>
      </c>
    </row>
    <row r="5481">
      <c r="A5481" s="18">
        <v>3796.0</v>
      </c>
      <c r="B5481" s="18" t="s">
        <v>30</v>
      </c>
      <c r="C5481" s="18" t="s">
        <v>34</v>
      </c>
      <c r="D5481" s="18" t="s">
        <v>35</v>
      </c>
      <c r="E5481" s="27">
        <v>42564.86895833333</v>
      </c>
      <c r="F5481" s="19">
        <f>IFERROR(__xludf.DUMMYFUNCTION("IFERROR(TO_DATE(E5481), """")"),42564.86895833333)</f>
        <v>42564.86896</v>
      </c>
      <c r="G5481" s="20">
        <f t="shared" si="1"/>
        <v>20</v>
      </c>
      <c r="H5481" s="18" t="s">
        <v>34</v>
      </c>
      <c r="I5481" s="19" t="str">
        <f>IFERROR(__xludf.DUMMYFUNCTION("IFERROR(TO_DATE(H5481), """")"),"NA")</f>
        <v>NA</v>
      </c>
      <c r="J5481" s="19" t="s">
        <v>13</v>
      </c>
      <c r="K5481" s="22">
        <f t="shared" si="2"/>
        <v>0</v>
      </c>
    </row>
    <row r="5482">
      <c r="A5482" s="18">
        <v>3790.0</v>
      </c>
      <c r="B5482" s="18" t="s">
        <v>30</v>
      </c>
      <c r="C5482" s="18" t="s">
        <v>34</v>
      </c>
      <c r="D5482" s="18" t="s">
        <v>35</v>
      </c>
      <c r="E5482" s="27">
        <v>42564.86949074074</v>
      </c>
      <c r="F5482" s="19">
        <f>IFERROR(__xludf.DUMMYFUNCTION("IFERROR(TO_DATE(E5482), """")"),42564.86949074074)</f>
        <v>42564.86949</v>
      </c>
      <c r="G5482" s="20">
        <f t="shared" si="1"/>
        <v>20</v>
      </c>
      <c r="H5482" s="18" t="s">
        <v>34</v>
      </c>
      <c r="I5482" s="19" t="str">
        <f>IFERROR(__xludf.DUMMYFUNCTION("IFERROR(TO_DATE(H5482), """")"),"NA")</f>
        <v>NA</v>
      </c>
      <c r="J5482" s="19" t="s">
        <v>13</v>
      </c>
      <c r="K5482" s="22">
        <f t="shared" si="2"/>
        <v>0</v>
      </c>
    </row>
    <row r="5483">
      <c r="A5483" s="18">
        <v>3792.0</v>
      </c>
      <c r="B5483" s="18" t="s">
        <v>30</v>
      </c>
      <c r="C5483" s="18" t="s">
        <v>34</v>
      </c>
      <c r="D5483" s="18" t="s">
        <v>35</v>
      </c>
      <c r="E5483" s="27">
        <v>42564.8703125</v>
      </c>
      <c r="F5483" s="19">
        <f>IFERROR(__xludf.DUMMYFUNCTION("IFERROR(TO_DATE(E5483), """")"),42564.8703125)</f>
        <v>42564.87031</v>
      </c>
      <c r="G5483" s="20">
        <f t="shared" si="1"/>
        <v>20</v>
      </c>
      <c r="H5483" s="18" t="s">
        <v>34</v>
      </c>
      <c r="I5483" s="19" t="str">
        <f>IFERROR(__xludf.DUMMYFUNCTION("IFERROR(TO_DATE(H5483), """")"),"NA")</f>
        <v>NA</v>
      </c>
      <c r="J5483" s="19" t="s">
        <v>13</v>
      </c>
      <c r="K5483" s="22">
        <f t="shared" si="2"/>
        <v>0</v>
      </c>
    </row>
    <row r="5484">
      <c r="A5484" s="18">
        <v>3793.0</v>
      </c>
      <c r="B5484" s="18" t="s">
        <v>30</v>
      </c>
      <c r="C5484" s="18" t="s">
        <v>34</v>
      </c>
      <c r="D5484" s="18" t="s">
        <v>35</v>
      </c>
      <c r="E5484" s="27">
        <v>42564.87127314815</v>
      </c>
      <c r="F5484" s="19">
        <f>IFERROR(__xludf.DUMMYFUNCTION("IFERROR(TO_DATE(E5484), """")"),42564.87127314815)</f>
        <v>42564.87127</v>
      </c>
      <c r="G5484" s="20">
        <f t="shared" si="1"/>
        <v>20</v>
      </c>
      <c r="H5484" s="18" t="s">
        <v>34</v>
      </c>
      <c r="I5484" s="19" t="str">
        <f>IFERROR(__xludf.DUMMYFUNCTION("IFERROR(TO_DATE(H5484), """")"),"NA")</f>
        <v>NA</v>
      </c>
      <c r="J5484" s="19" t="s">
        <v>13</v>
      </c>
      <c r="K5484" s="22">
        <f t="shared" si="2"/>
        <v>0</v>
      </c>
    </row>
    <row r="5485">
      <c r="A5485" s="18">
        <v>3797.0</v>
      </c>
      <c r="B5485" s="18" t="s">
        <v>30</v>
      </c>
      <c r="C5485" s="18" t="s">
        <v>34</v>
      </c>
      <c r="D5485" s="18" t="s">
        <v>35</v>
      </c>
      <c r="E5485" s="27">
        <v>42564.87230324074</v>
      </c>
      <c r="F5485" s="19">
        <f>IFERROR(__xludf.DUMMYFUNCTION("IFERROR(TO_DATE(E5485), """")"),42564.87230324074)</f>
        <v>42564.8723</v>
      </c>
      <c r="G5485" s="20">
        <f t="shared" si="1"/>
        <v>20</v>
      </c>
      <c r="H5485" s="18" t="s">
        <v>34</v>
      </c>
      <c r="I5485" s="19" t="str">
        <f>IFERROR(__xludf.DUMMYFUNCTION("IFERROR(TO_DATE(H5485), """")"),"NA")</f>
        <v>NA</v>
      </c>
      <c r="J5485" s="19" t="s">
        <v>13</v>
      </c>
      <c r="K5485" s="22">
        <f t="shared" si="2"/>
        <v>0</v>
      </c>
    </row>
    <row r="5486">
      <c r="A5486" s="18">
        <v>3800.0</v>
      </c>
      <c r="B5486" s="18" t="s">
        <v>30</v>
      </c>
      <c r="C5486" s="18" t="s">
        <v>34</v>
      </c>
      <c r="D5486" s="18" t="s">
        <v>35</v>
      </c>
      <c r="E5486" s="27">
        <v>42564.87252314815</v>
      </c>
      <c r="F5486" s="19">
        <f>IFERROR(__xludf.DUMMYFUNCTION("IFERROR(TO_DATE(E5486), """")"),42564.87252314815)</f>
        <v>42564.87252</v>
      </c>
      <c r="G5486" s="20">
        <f t="shared" si="1"/>
        <v>20</v>
      </c>
      <c r="H5486" s="18" t="s">
        <v>34</v>
      </c>
      <c r="I5486" s="19" t="str">
        <f>IFERROR(__xludf.DUMMYFUNCTION("IFERROR(TO_DATE(H5486), """")"),"NA")</f>
        <v>NA</v>
      </c>
      <c r="J5486" s="19" t="s">
        <v>13</v>
      </c>
      <c r="K5486" s="22">
        <f t="shared" si="2"/>
        <v>0</v>
      </c>
    </row>
    <row r="5487">
      <c r="A5487" s="18">
        <v>3803.0</v>
      </c>
      <c r="B5487" s="18" t="s">
        <v>30</v>
      </c>
      <c r="C5487" s="18" t="s">
        <v>34</v>
      </c>
      <c r="D5487" s="18" t="s">
        <v>35</v>
      </c>
      <c r="E5487" s="27">
        <v>42564.87380787037</v>
      </c>
      <c r="F5487" s="19">
        <f>IFERROR(__xludf.DUMMYFUNCTION("IFERROR(TO_DATE(E5487), """")"),42564.87380787037)</f>
        <v>42564.87381</v>
      </c>
      <c r="G5487" s="20">
        <f t="shared" si="1"/>
        <v>20</v>
      </c>
      <c r="H5487" s="18" t="s">
        <v>34</v>
      </c>
      <c r="I5487" s="19" t="str">
        <f>IFERROR(__xludf.DUMMYFUNCTION("IFERROR(TO_DATE(H5487), """")"),"NA")</f>
        <v>NA</v>
      </c>
      <c r="J5487" s="19" t="s">
        <v>13</v>
      </c>
      <c r="K5487" s="22">
        <f t="shared" si="2"/>
        <v>0</v>
      </c>
    </row>
    <row r="5488">
      <c r="A5488" s="18">
        <v>3799.0</v>
      </c>
      <c r="B5488" s="18" t="s">
        <v>32</v>
      </c>
      <c r="C5488" s="18" t="s">
        <v>34</v>
      </c>
      <c r="D5488" s="18" t="s">
        <v>35</v>
      </c>
      <c r="E5488" s="27">
        <v>42564.874074074076</v>
      </c>
      <c r="F5488" s="19">
        <f>IFERROR(__xludf.DUMMYFUNCTION("IFERROR(TO_DATE(E5488), """")"),42564.874074074076)</f>
        <v>42564.87407</v>
      </c>
      <c r="G5488" s="20">
        <f t="shared" si="1"/>
        <v>20</v>
      </c>
      <c r="H5488" s="18" t="s">
        <v>34</v>
      </c>
      <c r="I5488" s="19" t="str">
        <f>IFERROR(__xludf.DUMMYFUNCTION("IFERROR(TO_DATE(H5488), """")"),"NA")</f>
        <v>NA</v>
      </c>
      <c r="J5488" s="19" t="s">
        <v>13</v>
      </c>
      <c r="K5488" s="22">
        <f t="shared" si="2"/>
        <v>0</v>
      </c>
    </row>
    <row r="5489">
      <c r="A5489" s="18">
        <v>3802.0</v>
      </c>
      <c r="B5489" s="18" t="s">
        <v>30</v>
      </c>
      <c r="C5489" s="18" t="s">
        <v>34</v>
      </c>
      <c r="D5489" s="18" t="s">
        <v>35</v>
      </c>
      <c r="E5489" s="27">
        <v>42564.875</v>
      </c>
      <c r="F5489" s="19">
        <f>IFERROR(__xludf.DUMMYFUNCTION("IFERROR(TO_DATE(E5489), """")"),42564.875)</f>
        <v>42564.875</v>
      </c>
      <c r="G5489" s="20">
        <f t="shared" si="1"/>
        <v>21</v>
      </c>
      <c r="H5489" s="18" t="s">
        <v>34</v>
      </c>
      <c r="I5489" s="19" t="str">
        <f>IFERROR(__xludf.DUMMYFUNCTION("IFERROR(TO_DATE(H5489), """")"),"NA")</f>
        <v>NA</v>
      </c>
      <c r="J5489" s="19" t="s">
        <v>13</v>
      </c>
      <c r="K5489" s="22">
        <f t="shared" si="2"/>
        <v>0</v>
      </c>
    </row>
    <row r="5490">
      <c r="A5490" s="18">
        <v>3811.0</v>
      </c>
      <c r="B5490" s="18" t="s">
        <v>30</v>
      </c>
      <c r="C5490" s="18" t="s">
        <v>34</v>
      </c>
      <c r="D5490" s="18" t="s">
        <v>35</v>
      </c>
      <c r="E5490" s="27">
        <v>42564.876851851855</v>
      </c>
      <c r="F5490" s="19">
        <f>IFERROR(__xludf.DUMMYFUNCTION("IFERROR(TO_DATE(E5490), """")"),42564.876851851855)</f>
        <v>42564.87685</v>
      </c>
      <c r="G5490" s="20">
        <f t="shared" si="1"/>
        <v>21</v>
      </c>
      <c r="H5490" s="18" t="s">
        <v>34</v>
      </c>
      <c r="I5490" s="19" t="str">
        <f>IFERROR(__xludf.DUMMYFUNCTION("IFERROR(TO_DATE(H5490), """")"),"NA")</f>
        <v>NA</v>
      </c>
      <c r="J5490" s="19" t="s">
        <v>13</v>
      </c>
      <c r="K5490" s="22">
        <f t="shared" si="2"/>
        <v>0</v>
      </c>
    </row>
    <row r="5491">
      <c r="A5491" s="18">
        <v>3805.0</v>
      </c>
      <c r="B5491" s="18" t="s">
        <v>30</v>
      </c>
      <c r="C5491" s="18" t="s">
        <v>34</v>
      </c>
      <c r="D5491" s="18" t="s">
        <v>35</v>
      </c>
      <c r="E5491" s="27">
        <v>42564.87730324074</v>
      </c>
      <c r="F5491" s="19">
        <f>IFERROR(__xludf.DUMMYFUNCTION("IFERROR(TO_DATE(E5491), """")"),42564.87730324074)</f>
        <v>42564.8773</v>
      </c>
      <c r="G5491" s="20">
        <f t="shared" si="1"/>
        <v>21</v>
      </c>
      <c r="H5491" s="18" t="s">
        <v>34</v>
      </c>
      <c r="I5491" s="19" t="str">
        <f>IFERROR(__xludf.DUMMYFUNCTION("IFERROR(TO_DATE(H5491), """")"),"NA")</f>
        <v>NA</v>
      </c>
      <c r="J5491" s="19" t="s">
        <v>13</v>
      </c>
      <c r="K5491" s="22">
        <f t="shared" si="2"/>
        <v>0</v>
      </c>
    </row>
    <row r="5492">
      <c r="A5492" s="18">
        <v>3815.0</v>
      </c>
      <c r="B5492" s="18" t="s">
        <v>30</v>
      </c>
      <c r="C5492" s="18" t="s">
        <v>34</v>
      </c>
      <c r="D5492" s="18" t="s">
        <v>35</v>
      </c>
      <c r="E5492" s="27">
        <v>42564.88024305556</v>
      </c>
      <c r="F5492" s="19">
        <f>IFERROR(__xludf.DUMMYFUNCTION("IFERROR(TO_DATE(E5492), """")"),42564.88024305556)</f>
        <v>42564.88024</v>
      </c>
      <c r="G5492" s="20">
        <f t="shared" si="1"/>
        <v>21</v>
      </c>
      <c r="H5492" s="18" t="s">
        <v>34</v>
      </c>
      <c r="I5492" s="19" t="str">
        <f>IFERROR(__xludf.DUMMYFUNCTION("IFERROR(TO_DATE(H5492), """")"),"NA")</f>
        <v>NA</v>
      </c>
      <c r="J5492" s="19" t="s">
        <v>13</v>
      </c>
      <c r="K5492" s="22">
        <f t="shared" si="2"/>
        <v>0</v>
      </c>
    </row>
    <row r="5493">
      <c r="A5493" s="18">
        <v>3812.0</v>
      </c>
      <c r="B5493" s="18" t="s">
        <v>32</v>
      </c>
      <c r="C5493" s="18" t="s">
        <v>34</v>
      </c>
      <c r="D5493" s="18" t="s">
        <v>35</v>
      </c>
      <c r="E5493" s="27">
        <v>42564.88148148148</v>
      </c>
      <c r="F5493" s="19">
        <f>IFERROR(__xludf.DUMMYFUNCTION("IFERROR(TO_DATE(E5493), """")"),42564.88148148148)</f>
        <v>42564.88148</v>
      </c>
      <c r="G5493" s="20">
        <f t="shared" si="1"/>
        <v>21</v>
      </c>
      <c r="H5493" s="18" t="s">
        <v>34</v>
      </c>
      <c r="I5493" s="19" t="str">
        <f>IFERROR(__xludf.DUMMYFUNCTION("IFERROR(TO_DATE(H5493), """")"),"NA")</f>
        <v>NA</v>
      </c>
      <c r="J5493" s="19" t="s">
        <v>13</v>
      </c>
      <c r="K5493" s="22">
        <f t="shared" si="2"/>
        <v>0</v>
      </c>
    </row>
    <row r="5494">
      <c r="A5494" s="18">
        <v>3816.0</v>
      </c>
      <c r="B5494" s="18" t="s">
        <v>30</v>
      </c>
      <c r="C5494" s="18" t="s">
        <v>34</v>
      </c>
      <c r="D5494" s="18" t="s">
        <v>35</v>
      </c>
      <c r="E5494" s="27">
        <v>42564.881574074076</v>
      </c>
      <c r="F5494" s="19">
        <f>IFERROR(__xludf.DUMMYFUNCTION("IFERROR(TO_DATE(E5494), """")"),42564.881574074076)</f>
        <v>42564.88157</v>
      </c>
      <c r="G5494" s="20">
        <f t="shared" si="1"/>
        <v>21</v>
      </c>
      <c r="H5494" s="18" t="s">
        <v>34</v>
      </c>
      <c r="I5494" s="19" t="str">
        <f>IFERROR(__xludf.DUMMYFUNCTION("IFERROR(TO_DATE(H5494), """")"),"NA")</f>
        <v>NA</v>
      </c>
      <c r="J5494" s="19" t="s">
        <v>13</v>
      </c>
      <c r="K5494" s="22">
        <f t="shared" si="2"/>
        <v>0</v>
      </c>
    </row>
    <row r="5495">
      <c r="A5495" s="18">
        <v>3821.0</v>
      </c>
      <c r="B5495" s="18" t="s">
        <v>30</v>
      </c>
      <c r="C5495" s="18" t="s">
        <v>34</v>
      </c>
      <c r="D5495" s="18" t="s">
        <v>35</v>
      </c>
      <c r="E5495" s="27">
        <v>42564.882627314815</v>
      </c>
      <c r="F5495" s="19">
        <f>IFERROR(__xludf.DUMMYFUNCTION("IFERROR(TO_DATE(E5495), """")"),42564.882627314815)</f>
        <v>42564.88263</v>
      </c>
      <c r="G5495" s="20">
        <f t="shared" si="1"/>
        <v>21</v>
      </c>
      <c r="H5495" s="18" t="s">
        <v>34</v>
      </c>
      <c r="I5495" s="19" t="str">
        <f>IFERROR(__xludf.DUMMYFUNCTION("IFERROR(TO_DATE(H5495), """")"),"NA")</f>
        <v>NA</v>
      </c>
      <c r="J5495" s="19" t="s">
        <v>13</v>
      </c>
      <c r="K5495" s="22">
        <f t="shared" si="2"/>
        <v>0</v>
      </c>
    </row>
    <row r="5496">
      <c r="A5496" s="18">
        <v>3814.0</v>
      </c>
      <c r="B5496" s="18" t="s">
        <v>30</v>
      </c>
      <c r="C5496" s="18" t="s">
        <v>34</v>
      </c>
      <c r="D5496" s="18" t="s">
        <v>35</v>
      </c>
      <c r="E5496" s="27">
        <v>42564.88297453704</v>
      </c>
      <c r="F5496" s="19">
        <f>IFERROR(__xludf.DUMMYFUNCTION("IFERROR(TO_DATE(E5496), """")"),42564.88297453704)</f>
        <v>42564.88297</v>
      </c>
      <c r="G5496" s="20">
        <f t="shared" si="1"/>
        <v>21</v>
      </c>
      <c r="H5496" s="18" t="s">
        <v>34</v>
      </c>
      <c r="I5496" s="19" t="str">
        <f>IFERROR(__xludf.DUMMYFUNCTION("IFERROR(TO_DATE(H5496), """")"),"NA")</f>
        <v>NA</v>
      </c>
      <c r="J5496" s="19" t="s">
        <v>13</v>
      </c>
      <c r="K5496" s="22">
        <f t="shared" si="2"/>
        <v>0</v>
      </c>
    </row>
    <row r="5497">
      <c r="A5497" s="18">
        <v>3829.0</v>
      </c>
      <c r="B5497" s="18" t="s">
        <v>30</v>
      </c>
      <c r="C5497" s="18" t="s">
        <v>34</v>
      </c>
      <c r="D5497" s="18" t="s">
        <v>35</v>
      </c>
      <c r="E5497" s="27">
        <v>42564.88425925926</v>
      </c>
      <c r="F5497" s="19">
        <f>IFERROR(__xludf.DUMMYFUNCTION("IFERROR(TO_DATE(E5497), """")"),42564.88425925926)</f>
        <v>42564.88426</v>
      </c>
      <c r="G5497" s="20">
        <f t="shared" si="1"/>
        <v>21</v>
      </c>
      <c r="H5497" s="18" t="s">
        <v>34</v>
      </c>
      <c r="I5497" s="19" t="str">
        <f>IFERROR(__xludf.DUMMYFUNCTION("IFERROR(TO_DATE(H5497), """")"),"NA")</f>
        <v>NA</v>
      </c>
      <c r="J5497" s="19" t="s">
        <v>13</v>
      </c>
      <c r="K5497" s="22">
        <f t="shared" si="2"/>
        <v>0</v>
      </c>
    </row>
    <row r="5498">
      <c r="A5498" s="18">
        <v>3825.0</v>
      </c>
      <c r="B5498" s="18" t="s">
        <v>30</v>
      </c>
      <c r="C5498" s="18" t="s">
        <v>34</v>
      </c>
      <c r="D5498" s="18" t="s">
        <v>35</v>
      </c>
      <c r="E5498" s="27">
        <v>42564.884733796294</v>
      </c>
      <c r="F5498" s="19">
        <f>IFERROR(__xludf.DUMMYFUNCTION("IFERROR(TO_DATE(E5498), """")"),42564.884733796294)</f>
        <v>42564.88473</v>
      </c>
      <c r="G5498" s="20">
        <f t="shared" si="1"/>
        <v>21</v>
      </c>
      <c r="H5498" s="18" t="s">
        <v>34</v>
      </c>
      <c r="I5498" s="19" t="str">
        <f>IFERROR(__xludf.DUMMYFUNCTION("IFERROR(TO_DATE(H5498), """")"),"NA")</f>
        <v>NA</v>
      </c>
      <c r="J5498" s="19" t="s">
        <v>13</v>
      </c>
      <c r="K5498" s="22">
        <f t="shared" si="2"/>
        <v>0</v>
      </c>
    </row>
    <row r="5499">
      <c r="A5499" s="18">
        <v>3833.0</v>
      </c>
      <c r="B5499" s="18" t="s">
        <v>30</v>
      </c>
      <c r="C5499" s="18" t="s">
        <v>34</v>
      </c>
      <c r="D5499" s="18" t="s">
        <v>35</v>
      </c>
      <c r="E5499" s="27">
        <v>42564.88806712963</v>
      </c>
      <c r="F5499" s="19">
        <f>IFERROR(__xludf.DUMMYFUNCTION("IFERROR(TO_DATE(E5499), """")"),42564.88806712963)</f>
        <v>42564.88807</v>
      </c>
      <c r="G5499" s="20">
        <f t="shared" si="1"/>
        <v>21</v>
      </c>
      <c r="H5499" s="18" t="s">
        <v>34</v>
      </c>
      <c r="I5499" s="19" t="str">
        <f>IFERROR(__xludf.DUMMYFUNCTION("IFERROR(TO_DATE(H5499), """")"),"NA")</f>
        <v>NA</v>
      </c>
      <c r="J5499" s="19" t="s">
        <v>13</v>
      </c>
      <c r="K5499" s="22">
        <f t="shared" si="2"/>
        <v>0</v>
      </c>
    </row>
    <row r="5500">
      <c r="A5500" s="18">
        <v>3823.0</v>
      </c>
      <c r="B5500" s="18" t="s">
        <v>30</v>
      </c>
      <c r="C5500" s="18" t="s">
        <v>34</v>
      </c>
      <c r="D5500" s="18" t="s">
        <v>35</v>
      </c>
      <c r="E5500" s="27">
        <v>42564.88888888889</v>
      </c>
      <c r="F5500" s="19">
        <f>IFERROR(__xludf.DUMMYFUNCTION("IFERROR(TO_DATE(E5500), """")"),42564.88888888889)</f>
        <v>42564.88889</v>
      </c>
      <c r="G5500" s="20">
        <f t="shared" si="1"/>
        <v>21</v>
      </c>
      <c r="H5500" s="18" t="s">
        <v>34</v>
      </c>
      <c r="I5500" s="19" t="str">
        <f>IFERROR(__xludf.DUMMYFUNCTION("IFERROR(TO_DATE(H5500), """")"),"NA")</f>
        <v>NA</v>
      </c>
      <c r="J5500" s="19" t="s">
        <v>13</v>
      </c>
      <c r="K5500" s="22">
        <f t="shared" si="2"/>
        <v>0</v>
      </c>
    </row>
    <row r="5501">
      <c r="A5501" s="18">
        <v>3828.0</v>
      </c>
      <c r="B5501" s="18" t="s">
        <v>32</v>
      </c>
      <c r="C5501" s="18" t="s">
        <v>34</v>
      </c>
      <c r="D5501" s="18" t="s">
        <v>35</v>
      </c>
      <c r="E5501" s="27">
        <v>42564.88957175926</v>
      </c>
      <c r="F5501" s="19">
        <f>IFERROR(__xludf.DUMMYFUNCTION("IFERROR(TO_DATE(E5501), """")"),42564.88957175926)</f>
        <v>42564.88957</v>
      </c>
      <c r="G5501" s="20">
        <f t="shared" si="1"/>
        <v>21</v>
      </c>
      <c r="H5501" s="18" t="s">
        <v>34</v>
      </c>
      <c r="I5501" s="19" t="str">
        <f>IFERROR(__xludf.DUMMYFUNCTION("IFERROR(TO_DATE(H5501), """")"),"NA")</f>
        <v>NA</v>
      </c>
      <c r="J5501" s="19" t="s">
        <v>13</v>
      </c>
      <c r="K5501" s="22">
        <f t="shared" si="2"/>
        <v>0</v>
      </c>
    </row>
    <row r="5502">
      <c r="A5502" s="18">
        <v>3836.0</v>
      </c>
      <c r="B5502" s="18" t="s">
        <v>30</v>
      </c>
      <c r="C5502" s="18" t="s">
        <v>34</v>
      </c>
      <c r="D5502" s="18" t="s">
        <v>35</v>
      </c>
      <c r="E5502" s="27">
        <v>42564.88988425926</v>
      </c>
      <c r="F5502" s="19">
        <f>IFERROR(__xludf.DUMMYFUNCTION("IFERROR(TO_DATE(E5502), """")"),42564.88988425926)</f>
        <v>42564.88988</v>
      </c>
      <c r="G5502" s="20">
        <f t="shared" si="1"/>
        <v>21</v>
      </c>
      <c r="H5502" s="18" t="s">
        <v>34</v>
      </c>
      <c r="I5502" s="19" t="str">
        <f>IFERROR(__xludf.DUMMYFUNCTION("IFERROR(TO_DATE(H5502), """")"),"NA")</f>
        <v>NA</v>
      </c>
      <c r="J5502" s="19" t="s">
        <v>13</v>
      </c>
      <c r="K5502" s="22">
        <f t="shared" si="2"/>
        <v>0</v>
      </c>
    </row>
    <row r="5503">
      <c r="A5503" s="18">
        <v>3824.0</v>
      </c>
      <c r="B5503" s="18" t="s">
        <v>30</v>
      </c>
      <c r="C5503" s="18" t="s">
        <v>34</v>
      </c>
      <c r="D5503" s="18" t="s">
        <v>35</v>
      </c>
      <c r="E5503" s="27">
        <v>42564.89040509259</v>
      </c>
      <c r="F5503" s="19">
        <f>IFERROR(__xludf.DUMMYFUNCTION("IFERROR(TO_DATE(E5503), """")"),42564.89040509259)</f>
        <v>42564.89041</v>
      </c>
      <c r="G5503" s="20">
        <f t="shared" si="1"/>
        <v>21</v>
      </c>
      <c r="H5503" s="18" t="s">
        <v>34</v>
      </c>
      <c r="I5503" s="19" t="str">
        <f>IFERROR(__xludf.DUMMYFUNCTION("IFERROR(TO_DATE(H5503), """")"),"NA")</f>
        <v>NA</v>
      </c>
      <c r="J5503" s="19" t="s">
        <v>13</v>
      </c>
      <c r="K5503" s="22">
        <f t="shared" si="2"/>
        <v>0</v>
      </c>
    </row>
    <row r="5504">
      <c r="A5504" s="18">
        <v>3832.0</v>
      </c>
      <c r="B5504" s="18" t="s">
        <v>30</v>
      </c>
      <c r="C5504" s="18" t="s">
        <v>34</v>
      </c>
      <c r="D5504" s="18" t="s">
        <v>35</v>
      </c>
      <c r="E5504" s="27">
        <v>42564.89165509259</v>
      </c>
      <c r="F5504" s="19">
        <f>IFERROR(__xludf.DUMMYFUNCTION("IFERROR(TO_DATE(E5504), """")"),42564.89165509259)</f>
        <v>42564.89166</v>
      </c>
      <c r="G5504" s="20">
        <f t="shared" si="1"/>
        <v>21</v>
      </c>
      <c r="H5504" s="18" t="s">
        <v>34</v>
      </c>
      <c r="I5504" s="19" t="str">
        <f>IFERROR(__xludf.DUMMYFUNCTION("IFERROR(TO_DATE(H5504), """")"),"NA")</f>
        <v>NA</v>
      </c>
      <c r="J5504" s="19" t="s">
        <v>13</v>
      </c>
      <c r="K5504" s="22">
        <f t="shared" si="2"/>
        <v>0</v>
      </c>
    </row>
    <row r="5505">
      <c r="A5505" s="18">
        <v>3846.0</v>
      </c>
      <c r="B5505" s="18" t="s">
        <v>30</v>
      </c>
      <c r="C5505" s="18" t="s">
        <v>34</v>
      </c>
      <c r="D5505" s="18" t="s">
        <v>35</v>
      </c>
      <c r="E5505" s="27">
        <v>42564.89289351852</v>
      </c>
      <c r="F5505" s="19">
        <f>IFERROR(__xludf.DUMMYFUNCTION("IFERROR(TO_DATE(E5505), """")"),42564.89289351852)</f>
        <v>42564.89289</v>
      </c>
      <c r="G5505" s="20">
        <f t="shared" si="1"/>
        <v>21</v>
      </c>
      <c r="H5505" s="18" t="s">
        <v>34</v>
      </c>
      <c r="I5505" s="19" t="str">
        <f>IFERROR(__xludf.DUMMYFUNCTION("IFERROR(TO_DATE(H5505), """")"),"NA")</f>
        <v>NA</v>
      </c>
      <c r="J5505" s="19" t="s">
        <v>13</v>
      </c>
      <c r="K5505" s="22">
        <f t="shared" si="2"/>
        <v>0</v>
      </c>
    </row>
    <row r="5506">
      <c r="A5506" s="18">
        <v>3837.0</v>
      </c>
      <c r="B5506" s="18" t="s">
        <v>30</v>
      </c>
      <c r="C5506" s="18" t="s">
        <v>34</v>
      </c>
      <c r="D5506" s="18" t="s">
        <v>35</v>
      </c>
      <c r="E5506" s="27">
        <v>42564.894224537034</v>
      </c>
      <c r="F5506" s="19">
        <f>IFERROR(__xludf.DUMMYFUNCTION("IFERROR(TO_DATE(E5506), """")"),42564.894224537034)</f>
        <v>42564.89422</v>
      </c>
      <c r="G5506" s="20">
        <f t="shared" si="1"/>
        <v>21</v>
      </c>
      <c r="H5506" s="18" t="s">
        <v>34</v>
      </c>
      <c r="I5506" s="19" t="str">
        <f>IFERROR(__xludf.DUMMYFUNCTION("IFERROR(TO_DATE(H5506), """")"),"NA")</f>
        <v>NA</v>
      </c>
      <c r="J5506" s="19" t="s">
        <v>13</v>
      </c>
      <c r="K5506" s="22">
        <f t="shared" si="2"/>
        <v>0</v>
      </c>
    </row>
    <row r="5507">
      <c r="A5507" s="18">
        <v>3835.0</v>
      </c>
      <c r="B5507" s="18" t="s">
        <v>30</v>
      </c>
      <c r="C5507" s="18" t="s">
        <v>34</v>
      </c>
      <c r="D5507" s="18" t="s">
        <v>35</v>
      </c>
      <c r="E5507" s="27">
        <v>42564.89423611111</v>
      </c>
      <c r="F5507" s="19">
        <f>IFERROR(__xludf.DUMMYFUNCTION("IFERROR(TO_DATE(E5507), """")"),42564.89423611111)</f>
        <v>42564.89424</v>
      </c>
      <c r="G5507" s="20">
        <f t="shared" si="1"/>
        <v>21</v>
      </c>
      <c r="H5507" s="18" t="s">
        <v>34</v>
      </c>
      <c r="I5507" s="19" t="str">
        <f>IFERROR(__xludf.DUMMYFUNCTION("IFERROR(TO_DATE(H5507), """")"),"NA")</f>
        <v>NA</v>
      </c>
      <c r="J5507" s="19" t="s">
        <v>13</v>
      </c>
      <c r="K5507" s="22">
        <f t="shared" si="2"/>
        <v>0</v>
      </c>
    </row>
    <row r="5508">
      <c r="A5508" s="18">
        <v>3838.0</v>
      </c>
      <c r="B5508" s="18" t="s">
        <v>30</v>
      </c>
      <c r="C5508" s="18" t="s">
        <v>34</v>
      </c>
      <c r="D5508" s="18" t="s">
        <v>35</v>
      </c>
      <c r="E5508" s="27">
        <v>42564.89467592593</v>
      </c>
      <c r="F5508" s="19">
        <f>IFERROR(__xludf.DUMMYFUNCTION("IFERROR(TO_DATE(E5508), """")"),42564.89467592593)</f>
        <v>42564.89468</v>
      </c>
      <c r="G5508" s="20">
        <f t="shared" si="1"/>
        <v>21</v>
      </c>
      <c r="H5508" s="18" t="s">
        <v>34</v>
      </c>
      <c r="I5508" s="19" t="str">
        <f>IFERROR(__xludf.DUMMYFUNCTION("IFERROR(TO_DATE(H5508), """")"),"NA")</f>
        <v>NA</v>
      </c>
      <c r="J5508" s="19" t="s">
        <v>13</v>
      </c>
      <c r="K5508" s="22">
        <f t="shared" si="2"/>
        <v>0</v>
      </c>
    </row>
    <row r="5509">
      <c r="A5509" s="18">
        <v>3844.0</v>
      </c>
      <c r="B5509" s="18" t="s">
        <v>30</v>
      </c>
      <c r="C5509" s="18" t="s">
        <v>34</v>
      </c>
      <c r="D5509" s="18" t="s">
        <v>35</v>
      </c>
      <c r="E5509" s="27">
        <v>42564.894780092596</v>
      </c>
      <c r="F5509" s="19">
        <f>IFERROR(__xludf.DUMMYFUNCTION("IFERROR(TO_DATE(E5509), """")"),42564.894780092596)</f>
        <v>42564.89478</v>
      </c>
      <c r="G5509" s="20">
        <f t="shared" si="1"/>
        <v>21</v>
      </c>
      <c r="H5509" s="18" t="s">
        <v>34</v>
      </c>
      <c r="I5509" s="19" t="str">
        <f>IFERROR(__xludf.DUMMYFUNCTION("IFERROR(TO_DATE(H5509), """")"),"NA")</f>
        <v>NA</v>
      </c>
      <c r="J5509" s="19" t="s">
        <v>13</v>
      </c>
      <c r="K5509" s="22">
        <f t="shared" si="2"/>
        <v>0</v>
      </c>
    </row>
    <row r="5510">
      <c r="A5510" s="18">
        <v>3845.0</v>
      </c>
      <c r="B5510" s="18" t="s">
        <v>30</v>
      </c>
      <c r="C5510" s="18" t="s">
        <v>34</v>
      </c>
      <c r="D5510" s="18" t="s">
        <v>35</v>
      </c>
      <c r="E5510" s="27">
        <v>42564.896053240744</v>
      </c>
      <c r="F5510" s="19">
        <f>IFERROR(__xludf.DUMMYFUNCTION("IFERROR(TO_DATE(E5510), """")"),42564.896053240744)</f>
        <v>42564.89605</v>
      </c>
      <c r="G5510" s="20">
        <f t="shared" si="1"/>
        <v>21</v>
      </c>
      <c r="H5510" s="18" t="s">
        <v>34</v>
      </c>
      <c r="I5510" s="19" t="str">
        <f>IFERROR(__xludf.DUMMYFUNCTION("IFERROR(TO_DATE(H5510), """")"),"NA")</f>
        <v>NA</v>
      </c>
      <c r="J5510" s="19" t="s">
        <v>13</v>
      </c>
      <c r="K5510" s="22">
        <f t="shared" si="2"/>
        <v>0</v>
      </c>
    </row>
    <row r="5511">
      <c r="A5511" s="18">
        <v>3842.0</v>
      </c>
      <c r="B5511" s="18" t="s">
        <v>30</v>
      </c>
      <c r="C5511" s="18" t="s">
        <v>34</v>
      </c>
      <c r="D5511" s="18" t="s">
        <v>35</v>
      </c>
      <c r="E5511" s="27">
        <v>42564.89842592592</v>
      </c>
      <c r="F5511" s="19">
        <f>IFERROR(__xludf.DUMMYFUNCTION("IFERROR(TO_DATE(E5511), """")"),42564.89842592592)</f>
        <v>42564.89843</v>
      </c>
      <c r="G5511" s="20">
        <f t="shared" si="1"/>
        <v>21</v>
      </c>
      <c r="H5511" s="18" t="s">
        <v>34</v>
      </c>
      <c r="I5511" s="19" t="str">
        <f>IFERROR(__xludf.DUMMYFUNCTION("IFERROR(TO_DATE(H5511), """")"),"NA")</f>
        <v>NA</v>
      </c>
      <c r="J5511" s="19" t="s">
        <v>13</v>
      </c>
      <c r="K5511" s="22">
        <f t="shared" si="2"/>
        <v>0</v>
      </c>
    </row>
    <row r="5512">
      <c r="A5512" s="18">
        <v>3853.0</v>
      </c>
      <c r="B5512" s="18" t="s">
        <v>30</v>
      </c>
      <c r="C5512" s="18" t="s">
        <v>34</v>
      </c>
      <c r="D5512" s="18" t="s">
        <v>35</v>
      </c>
      <c r="E5512" s="27">
        <v>42564.899143518516</v>
      </c>
      <c r="F5512" s="19">
        <f>IFERROR(__xludf.DUMMYFUNCTION("IFERROR(TO_DATE(E5512), """")"),42564.899143518516)</f>
        <v>42564.89914</v>
      </c>
      <c r="G5512" s="20">
        <f t="shared" si="1"/>
        <v>21</v>
      </c>
      <c r="H5512" s="18" t="s">
        <v>34</v>
      </c>
      <c r="I5512" s="19" t="str">
        <f>IFERROR(__xludf.DUMMYFUNCTION("IFERROR(TO_DATE(H5512), """")"),"NA")</f>
        <v>NA</v>
      </c>
      <c r="J5512" s="19" t="s">
        <v>13</v>
      </c>
      <c r="K5512" s="22">
        <f t="shared" si="2"/>
        <v>0</v>
      </c>
    </row>
    <row r="5513">
      <c r="A5513" s="18">
        <v>3848.0</v>
      </c>
      <c r="B5513" s="18" t="s">
        <v>30</v>
      </c>
      <c r="C5513" s="18" t="s">
        <v>34</v>
      </c>
      <c r="D5513" s="18" t="s">
        <v>35</v>
      </c>
      <c r="E5513" s="27">
        <v>42564.89915509259</v>
      </c>
      <c r="F5513" s="19">
        <f>IFERROR(__xludf.DUMMYFUNCTION("IFERROR(TO_DATE(E5513), """")"),42564.89915509259)</f>
        <v>42564.89916</v>
      </c>
      <c r="G5513" s="20">
        <f t="shared" si="1"/>
        <v>21</v>
      </c>
      <c r="H5513" s="18" t="s">
        <v>34</v>
      </c>
      <c r="I5513" s="19" t="str">
        <f>IFERROR(__xludf.DUMMYFUNCTION("IFERROR(TO_DATE(H5513), """")"),"NA")</f>
        <v>NA</v>
      </c>
      <c r="J5513" s="19" t="s">
        <v>13</v>
      </c>
      <c r="K5513" s="22">
        <f t="shared" si="2"/>
        <v>0</v>
      </c>
    </row>
    <row r="5514">
      <c r="A5514" s="18">
        <v>3860.0</v>
      </c>
      <c r="B5514" s="18" t="s">
        <v>30</v>
      </c>
      <c r="C5514" s="18" t="s">
        <v>34</v>
      </c>
      <c r="D5514" s="18" t="s">
        <v>35</v>
      </c>
      <c r="E5514" s="27">
        <v>42564.90001157407</v>
      </c>
      <c r="F5514" s="19">
        <f>IFERROR(__xludf.DUMMYFUNCTION("IFERROR(TO_DATE(E5514), """")"),42564.90001157407)</f>
        <v>42564.90001</v>
      </c>
      <c r="G5514" s="20">
        <f t="shared" si="1"/>
        <v>21</v>
      </c>
      <c r="H5514" s="18" t="s">
        <v>34</v>
      </c>
      <c r="I5514" s="19" t="str">
        <f>IFERROR(__xludf.DUMMYFUNCTION("IFERROR(TO_DATE(H5514), """")"),"NA")</f>
        <v>NA</v>
      </c>
      <c r="J5514" s="19" t="s">
        <v>13</v>
      </c>
      <c r="K5514" s="22">
        <f t="shared" si="2"/>
        <v>0</v>
      </c>
    </row>
    <row r="5515">
      <c r="A5515" s="18">
        <v>3855.0</v>
      </c>
      <c r="B5515" s="18" t="s">
        <v>30</v>
      </c>
      <c r="C5515" s="18" t="s">
        <v>34</v>
      </c>
      <c r="D5515" s="18" t="s">
        <v>35</v>
      </c>
      <c r="E5515" s="27">
        <v>42564.900289351855</v>
      </c>
      <c r="F5515" s="19">
        <f>IFERROR(__xludf.DUMMYFUNCTION("IFERROR(TO_DATE(E5515), """")"),42564.900289351855)</f>
        <v>42564.90029</v>
      </c>
      <c r="G5515" s="20">
        <f t="shared" si="1"/>
        <v>21</v>
      </c>
      <c r="H5515" s="18" t="s">
        <v>34</v>
      </c>
      <c r="I5515" s="19" t="str">
        <f>IFERROR(__xludf.DUMMYFUNCTION("IFERROR(TO_DATE(H5515), """")"),"NA")</f>
        <v>NA</v>
      </c>
      <c r="J5515" s="19" t="s">
        <v>13</v>
      </c>
      <c r="K5515" s="22">
        <f t="shared" si="2"/>
        <v>0</v>
      </c>
    </row>
    <row r="5516">
      <c r="A5516" s="18">
        <v>3862.0</v>
      </c>
      <c r="B5516" s="18" t="s">
        <v>32</v>
      </c>
      <c r="C5516" s="18" t="s">
        <v>34</v>
      </c>
      <c r="D5516" s="18" t="s">
        <v>35</v>
      </c>
      <c r="E5516" s="27">
        <v>42564.90069444444</v>
      </c>
      <c r="F5516" s="19">
        <f>IFERROR(__xludf.DUMMYFUNCTION("IFERROR(TO_DATE(E5516), """")"),42564.90069444444)</f>
        <v>42564.90069</v>
      </c>
      <c r="G5516" s="20">
        <f t="shared" si="1"/>
        <v>21</v>
      </c>
      <c r="H5516" s="18" t="s">
        <v>34</v>
      </c>
      <c r="I5516" s="19" t="str">
        <f>IFERROR(__xludf.DUMMYFUNCTION("IFERROR(TO_DATE(H5516), """")"),"NA")</f>
        <v>NA</v>
      </c>
      <c r="J5516" s="19" t="s">
        <v>13</v>
      </c>
      <c r="K5516" s="22">
        <f t="shared" si="2"/>
        <v>0</v>
      </c>
    </row>
    <row r="5517">
      <c r="A5517" s="18">
        <v>3854.0</v>
      </c>
      <c r="B5517" s="18" t="s">
        <v>30</v>
      </c>
      <c r="C5517" s="18" t="s">
        <v>34</v>
      </c>
      <c r="D5517" s="18" t="s">
        <v>35</v>
      </c>
      <c r="E5517" s="27">
        <v>42564.9008912037</v>
      </c>
      <c r="F5517" s="19">
        <f>IFERROR(__xludf.DUMMYFUNCTION("IFERROR(TO_DATE(E5517), """")"),42564.9008912037)</f>
        <v>42564.90089</v>
      </c>
      <c r="G5517" s="20">
        <f t="shared" si="1"/>
        <v>21</v>
      </c>
      <c r="H5517" s="18" t="s">
        <v>34</v>
      </c>
      <c r="I5517" s="19" t="str">
        <f>IFERROR(__xludf.DUMMYFUNCTION("IFERROR(TO_DATE(H5517), """")"),"NA")</f>
        <v>NA</v>
      </c>
      <c r="J5517" s="19" t="s">
        <v>13</v>
      </c>
      <c r="K5517" s="22">
        <f t="shared" si="2"/>
        <v>0</v>
      </c>
    </row>
    <row r="5518">
      <c r="A5518" s="18">
        <v>3851.0</v>
      </c>
      <c r="B5518" s="18" t="s">
        <v>30</v>
      </c>
      <c r="C5518" s="18" t="s">
        <v>34</v>
      </c>
      <c r="D5518" s="18" t="s">
        <v>35</v>
      </c>
      <c r="E5518" s="27">
        <v>42564.901458333334</v>
      </c>
      <c r="F5518" s="19">
        <f>IFERROR(__xludf.DUMMYFUNCTION("IFERROR(TO_DATE(E5518), """")"),42564.901458333334)</f>
        <v>42564.90146</v>
      </c>
      <c r="G5518" s="20">
        <f t="shared" si="1"/>
        <v>21</v>
      </c>
      <c r="H5518" s="18" t="s">
        <v>34</v>
      </c>
      <c r="I5518" s="19" t="str">
        <f>IFERROR(__xludf.DUMMYFUNCTION("IFERROR(TO_DATE(H5518), """")"),"NA")</f>
        <v>NA</v>
      </c>
      <c r="J5518" s="19" t="s">
        <v>13</v>
      </c>
      <c r="K5518" s="22">
        <f t="shared" si="2"/>
        <v>0</v>
      </c>
    </row>
    <row r="5519">
      <c r="A5519" s="18">
        <v>3858.0</v>
      </c>
      <c r="B5519" s="18" t="s">
        <v>30</v>
      </c>
      <c r="C5519" s="18" t="s">
        <v>34</v>
      </c>
      <c r="D5519" s="18" t="s">
        <v>35</v>
      </c>
      <c r="E5519" s="27">
        <v>42564.90194444444</v>
      </c>
      <c r="F5519" s="19">
        <f>IFERROR(__xludf.DUMMYFUNCTION("IFERROR(TO_DATE(E5519), """")"),42564.90194444444)</f>
        <v>42564.90194</v>
      </c>
      <c r="G5519" s="20">
        <f t="shared" si="1"/>
        <v>21</v>
      </c>
      <c r="H5519" s="18" t="s">
        <v>34</v>
      </c>
      <c r="I5519" s="19" t="str">
        <f>IFERROR(__xludf.DUMMYFUNCTION("IFERROR(TO_DATE(H5519), """")"),"NA")</f>
        <v>NA</v>
      </c>
      <c r="J5519" s="19" t="s">
        <v>13</v>
      </c>
      <c r="K5519" s="22">
        <f t="shared" si="2"/>
        <v>0</v>
      </c>
    </row>
    <row r="5520">
      <c r="A5520" s="18">
        <v>3869.0</v>
      </c>
      <c r="B5520" s="18" t="s">
        <v>30</v>
      </c>
      <c r="C5520" s="18" t="s">
        <v>34</v>
      </c>
      <c r="D5520" s="18" t="s">
        <v>35</v>
      </c>
      <c r="E5520" s="27">
        <v>42564.90540509259</v>
      </c>
      <c r="F5520" s="19">
        <f>IFERROR(__xludf.DUMMYFUNCTION("IFERROR(TO_DATE(E5520), """")"),42564.90540509259)</f>
        <v>42564.90541</v>
      </c>
      <c r="G5520" s="20">
        <f t="shared" si="1"/>
        <v>21</v>
      </c>
      <c r="H5520" s="18" t="s">
        <v>34</v>
      </c>
      <c r="I5520" s="19" t="str">
        <f>IFERROR(__xludf.DUMMYFUNCTION("IFERROR(TO_DATE(H5520), """")"),"NA")</f>
        <v>NA</v>
      </c>
      <c r="J5520" s="19" t="s">
        <v>13</v>
      </c>
      <c r="K5520" s="22">
        <f t="shared" si="2"/>
        <v>0</v>
      </c>
    </row>
    <row r="5521">
      <c r="A5521" s="18">
        <v>3864.0</v>
      </c>
      <c r="B5521" s="18" t="s">
        <v>30</v>
      </c>
      <c r="C5521" s="18" t="s">
        <v>34</v>
      </c>
      <c r="D5521" s="18" t="s">
        <v>35</v>
      </c>
      <c r="E5521" s="27">
        <v>42564.906319444446</v>
      </c>
      <c r="F5521" s="19">
        <f>IFERROR(__xludf.DUMMYFUNCTION("IFERROR(TO_DATE(E5521), """")"),42564.906319444446)</f>
        <v>42564.90632</v>
      </c>
      <c r="G5521" s="20">
        <f t="shared" si="1"/>
        <v>21</v>
      </c>
      <c r="H5521" s="18" t="s">
        <v>34</v>
      </c>
      <c r="I5521" s="19" t="str">
        <f>IFERROR(__xludf.DUMMYFUNCTION("IFERROR(TO_DATE(H5521), """")"),"NA")</f>
        <v>NA</v>
      </c>
      <c r="J5521" s="19" t="s">
        <v>13</v>
      </c>
      <c r="K5521" s="22">
        <f t="shared" si="2"/>
        <v>0</v>
      </c>
    </row>
    <row r="5522">
      <c r="A5522" s="18">
        <v>3861.0</v>
      </c>
      <c r="B5522" s="18" t="s">
        <v>30</v>
      </c>
      <c r="C5522" s="18" t="s">
        <v>34</v>
      </c>
      <c r="D5522" s="18" t="s">
        <v>35</v>
      </c>
      <c r="E5522" s="27">
        <v>42564.90792824074</v>
      </c>
      <c r="F5522" s="19">
        <f>IFERROR(__xludf.DUMMYFUNCTION("IFERROR(TO_DATE(E5522), """")"),42564.90792824074)</f>
        <v>42564.90793</v>
      </c>
      <c r="G5522" s="20">
        <f t="shared" si="1"/>
        <v>21</v>
      </c>
      <c r="H5522" s="18" t="s">
        <v>34</v>
      </c>
      <c r="I5522" s="19" t="str">
        <f>IFERROR(__xludf.DUMMYFUNCTION("IFERROR(TO_DATE(H5522), """")"),"NA")</f>
        <v>NA</v>
      </c>
      <c r="J5522" s="19" t="s">
        <v>13</v>
      </c>
      <c r="K5522" s="22">
        <f t="shared" si="2"/>
        <v>0</v>
      </c>
    </row>
    <row r="5523">
      <c r="A5523" s="18">
        <v>3873.0</v>
      </c>
      <c r="B5523" s="18" t="s">
        <v>30</v>
      </c>
      <c r="C5523" s="18" t="s">
        <v>34</v>
      </c>
      <c r="D5523" s="18" t="s">
        <v>35</v>
      </c>
      <c r="E5523" s="27">
        <v>42564.90831018519</v>
      </c>
      <c r="F5523" s="19">
        <f>IFERROR(__xludf.DUMMYFUNCTION("IFERROR(TO_DATE(E5523), """")"),42564.90831018519)</f>
        <v>42564.90831</v>
      </c>
      <c r="G5523" s="20">
        <f t="shared" si="1"/>
        <v>21</v>
      </c>
      <c r="H5523" s="18" t="s">
        <v>34</v>
      </c>
      <c r="I5523" s="19" t="str">
        <f>IFERROR(__xludf.DUMMYFUNCTION("IFERROR(TO_DATE(H5523), """")"),"NA")</f>
        <v>NA</v>
      </c>
      <c r="J5523" s="19" t="s">
        <v>13</v>
      </c>
      <c r="K5523" s="22">
        <f t="shared" si="2"/>
        <v>0</v>
      </c>
    </row>
    <row r="5524">
      <c r="A5524" s="18">
        <v>3868.0</v>
      </c>
      <c r="B5524" s="18" t="s">
        <v>30</v>
      </c>
      <c r="C5524" s="18" t="s">
        <v>34</v>
      </c>
      <c r="D5524" s="18" t="s">
        <v>35</v>
      </c>
      <c r="E5524" s="27">
        <v>42564.90856481482</v>
      </c>
      <c r="F5524" s="19">
        <f>IFERROR(__xludf.DUMMYFUNCTION("IFERROR(TO_DATE(E5524), """")"),42564.90856481482)</f>
        <v>42564.90856</v>
      </c>
      <c r="G5524" s="20">
        <f t="shared" si="1"/>
        <v>21</v>
      </c>
      <c r="H5524" s="18" t="s">
        <v>34</v>
      </c>
      <c r="I5524" s="19" t="str">
        <f>IFERROR(__xludf.DUMMYFUNCTION("IFERROR(TO_DATE(H5524), """")"),"NA")</f>
        <v>NA</v>
      </c>
      <c r="J5524" s="19" t="s">
        <v>13</v>
      </c>
      <c r="K5524" s="22">
        <f t="shared" si="2"/>
        <v>0</v>
      </c>
    </row>
    <row r="5525">
      <c r="A5525" s="18">
        <v>3870.0</v>
      </c>
      <c r="B5525" s="18" t="s">
        <v>30</v>
      </c>
      <c r="C5525" s="18" t="s">
        <v>34</v>
      </c>
      <c r="D5525" s="18" t="s">
        <v>35</v>
      </c>
      <c r="E5525" s="27">
        <v>42564.90899305556</v>
      </c>
      <c r="F5525" s="19">
        <f>IFERROR(__xludf.DUMMYFUNCTION("IFERROR(TO_DATE(E5525), """")"),42564.90899305556)</f>
        <v>42564.90899</v>
      </c>
      <c r="G5525" s="20">
        <f t="shared" si="1"/>
        <v>21</v>
      </c>
      <c r="H5525" s="18" t="s">
        <v>34</v>
      </c>
      <c r="I5525" s="19" t="str">
        <f>IFERROR(__xludf.DUMMYFUNCTION("IFERROR(TO_DATE(H5525), """")"),"NA")</f>
        <v>NA</v>
      </c>
      <c r="J5525" s="19" t="s">
        <v>13</v>
      </c>
      <c r="K5525" s="22">
        <f t="shared" si="2"/>
        <v>0</v>
      </c>
    </row>
    <row r="5526">
      <c r="A5526" s="18">
        <v>3871.0</v>
      </c>
      <c r="B5526" s="18" t="s">
        <v>30</v>
      </c>
      <c r="C5526" s="18" t="s">
        <v>34</v>
      </c>
      <c r="D5526" s="18" t="s">
        <v>35</v>
      </c>
      <c r="E5526" s="27">
        <v>42564.90923611111</v>
      </c>
      <c r="F5526" s="19">
        <f>IFERROR(__xludf.DUMMYFUNCTION("IFERROR(TO_DATE(E5526), """")"),42564.90923611111)</f>
        <v>42564.90924</v>
      </c>
      <c r="G5526" s="20">
        <f t="shared" si="1"/>
        <v>21</v>
      </c>
      <c r="H5526" s="18" t="s">
        <v>34</v>
      </c>
      <c r="I5526" s="19" t="str">
        <f>IFERROR(__xludf.DUMMYFUNCTION("IFERROR(TO_DATE(H5526), """")"),"NA")</f>
        <v>NA</v>
      </c>
      <c r="J5526" s="19" t="s">
        <v>13</v>
      </c>
      <c r="K5526" s="22">
        <f t="shared" si="2"/>
        <v>0</v>
      </c>
    </row>
    <row r="5527">
      <c r="A5527" s="18">
        <v>3884.0</v>
      </c>
      <c r="B5527" s="18" t="s">
        <v>30</v>
      </c>
      <c r="C5527" s="18" t="s">
        <v>34</v>
      </c>
      <c r="D5527" s="18" t="s">
        <v>35</v>
      </c>
      <c r="E5527" s="27">
        <v>42564.91096064815</v>
      </c>
      <c r="F5527" s="19">
        <f>IFERROR(__xludf.DUMMYFUNCTION("IFERROR(TO_DATE(E5527), """")"),42564.91096064815)</f>
        <v>42564.91096</v>
      </c>
      <c r="G5527" s="20">
        <f t="shared" si="1"/>
        <v>21</v>
      </c>
      <c r="H5527" s="18" t="s">
        <v>34</v>
      </c>
      <c r="I5527" s="19" t="str">
        <f>IFERROR(__xludf.DUMMYFUNCTION("IFERROR(TO_DATE(H5527), """")"),"NA")</f>
        <v>NA</v>
      </c>
      <c r="J5527" s="19" t="s">
        <v>13</v>
      </c>
      <c r="K5527" s="22">
        <f t="shared" si="2"/>
        <v>0</v>
      </c>
    </row>
    <row r="5528">
      <c r="A5528" s="18">
        <v>3878.0</v>
      </c>
      <c r="B5528" s="18" t="s">
        <v>30</v>
      </c>
      <c r="C5528" s="18" t="s">
        <v>34</v>
      </c>
      <c r="D5528" s="18" t="s">
        <v>35</v>
      </c>
      <c r="E5528" s="27">
        <v>42564.91105324074</v>
      </c>
      <c r="F5528" s="19">
        <f>IFERROR(__xludf.DUMMYFUNCTION("IFERROR(TO_DATE(E5528), """")"),42564.91105324074)</f>
        <v>42564.91105</v>
      </c>
      <c r="G5528" s="20">
        <f t="shared" si="1"/>
        <v>21</v>
      </c>
      <c r="H5528" s="18" t="s">
        <v>34</v>
      </c>
      <c r="I5528" s="19" t="str">
        <f>IFERROR(__xludf.DUMMYFUNCTION("IFERROR(TO_DATE(H5528), """")"),"NA")</f>
        <v>NA</v>
      </c>
      <c r="J5528" s="19" t="s">
        <v>13</v>
      </c>
      <c r="K5528" s="22">
        <f t="shared" si="2"/>
        <v>0</v>
      </c>
    </row>
    <row r="5529">
      <c r="A5529" s="18">
        <v>3894.0</v>
      </c>
      <c r="B5529" s="18" t="s">
        <v>30</v>
      </c>
      <c r="C5529" s="18" t="s">
        <v>34</v>
      </c>
      <c r="D5529" s="18" t="s">
        <v>35</v>
      </c>
      <c r="E5529" s="27">
        <v>42564.91138888889</v>
      </c>
      <c r="F5529" s="19">
        <f>IFERROR(__xludf.DUMMYFUNCTION("IFERROR(TO_DATE(E5529), """")"),42564.91138888889)</f>
        <v>42564.91139</v>
      </c>
      <c r="G5529" s="20">
        <f t="shared" si="1"/>
        <v>21</v>
      </c>
      <c r="H5529" s="18" t="s">
        <v>34</v>
      </c>
      <c r="I5529" s="19" t="str">
        <f>IFERROR(__xludf.DUMMYFUNCTION("IFERROR(TO_DATE(H5529), """")"),"NA")</f>
        <v>NA</v>
      </c>
      <c r="J5529" s="19" t="s">
        <v>13</v>
      </c>
      <c r="K5529" s="22">
        <f t="shared" si="2"/>
        <v>0</v>
      </c>
    </row>
    <row r="5530">
      <c r="A5530" s="18">
        <v>3885.0</v>
      </c>
      <c r="B5530" s="18" t="s">
        <v>30</v>
      </c>
      <c r="C5530" s="18" t="s">
        <v>34</v>
      </c>
      <c r="D5530" s="18" t="s">
        <v>35</v>
      </c>
      <c r="E5530" s="27">
        <v>42564.911886574075</v>
      </c>
      <c r="F5530" s="19">
        <f>IFERROR(__xludf.DUMMYFUNCTION("IFERROR(TO_DATE(E5530), """")"),42564.911886574075)</f>
        <v>42564.91189</v>
      </c>
      <c r="G5530" s="20">
        <f t="shared" si="1"/>
        <v>21</v>
      </c>
      <c r="H5530" s="18" t="s">
        <v>34</v>
      </c>
      <c r="I5530" s="19" t="str">
        <f>IFERROR(__xludf.DUMMYFUNCTION("IFERROR(TO_DATE(H5530), """")"),"NA")</f>
        <v>NA</v>
      </c>
      <c r="J5530" s="19" t="s">
        <v>13</v>
      </c>
      <c r="K5530" s="22">
        <f t="shared" si="2"/>
        <v>0</v>
      </c>
    </row>
    <row r="5531">
      <c r="A5531" s="18">
        <v>3877.0</v>
      </c>
      <c r="B5531" s="18" t="s">
        <v>30</v>
      </c>
      <c r="C5531" s="18" t="s">
        <v>34</v>
      </c>
      <c r="D5531" s="18" t="s">
        <v>35</v>
      </c>
      <c r="E5531" s="27">
        <v>42564.912199074075</v>
      </c>
      <c r="F5531" s="19">
        <f>IFERROR(__xludf.DUMMYFUNCTION("IFERROR(TO_DATE(E5531), """")"),42564.912199074075)</f>
        <v>42564.9122</v>
      </c>
      <c r="G5531" s="20">
        <f t="shared" si="1"/>
        <v>21</v>
      </c>
      <c r="H5531" s="18" t="s">
        <v>34</v>
      </c>
      <c r="I5531" s="19" t="str">
        <f>IFERROR(__xludf.DUMMYFUNCTION("IFERROR(TO_DATE(H5531), """")"),"NA")</f>
        <v>NA</v>
      </c>
      <c r="J5531" s="19" t="s">
        <v>13</v>
      </c>
      <c r="K5531" s="22">
        <f t="shared" si="2"/>
        <v>0</v>
      </c>
    </row>
    <row r="5532">
      <c r="A5532" s="18">
        <v>3886.0</v>
      </c>
      <c r="B5532" s="18" t="s">
        <v>30</v>
      </c>
      <c r="C5532" s="18" t="s">
        <v>34</v>
      </c>
      <c r="D5532" s="18" t="s">
        <v>35</v>
      </c>
      <c r="E5532" s="27">
        <v>42564.91236111111</v>
      </c>
      <c r="F5532" s="19">
        <f>IFERROR(__xludf.DUMMYFUNCTION("IFERROR(TO_DATE(E5532), """")"),42564.91236111111)</f>
        <v>42564.91236</v>
      </c>
      <c r="G5532" s="20">
        <f t="shared" si="1"/>
        <v>21</v>
      </c>
      <c r="H5532" s="18" t="s">
        <v>34</v>
      </c>
      <c r="I5532" s="19" t="str">
        <f>IFERROR(__xludf.DUMMYFUNCTION("IFERROR(TO_DATE(H5532), """")"),"NA")</f>
        <v>NA</v>
      </c>
      <c r="J5532" s="19" t="s">
        <v>13</v>
      </c>
      <c r="K5532" s="22">
        <f t="shared" si="2"/>
        <v>0</v>
      </c>
    </row>
    <row r="5533">
      <c r="A5533" s="18">
        <v>3874.0</v>
      </c>
      <c r="B5533" s="18" t="s">
        <v>30</v>
      </c>
      <c r="C5533" s="18" t="s">
        <v>34</v>
      </c>
      <c r="D5533" s="18" t="s">
        <v>35</v>
      </c>
      <c r="E5533" s="27">
        <v>42564.91265046296</v>
      </c>
      <c r="F5533" s="19">
        <f>IFERROR(__xludf.DUMMYFUNCTION("IFERROR(TO_DATE(E5533), """")"),42564.91265046296)</f>
        <v>42564.91265</v>
      </c>
      <c r="G5533" s="20">
        <f t="shared" si="1"/>
        <v>21</v>
      </c>
      <c r="H5533" s="18" t="s">
        <v>34</v>
      </c>
      <c r="I5533" s="19" t="str">
        <f>IFERROR(__xludf.DUMMYFUNCTION("IFERROR(TO_DATE(H5533), """")"),"NA")</f>
        <v>NA</v>
      </c>
      <c r="J5533" s="19" t="s">
        <v>13</v>
      </c>
      <c r="K5533" s="22">
        <f t="shared" si="2"/>
        <v>0</v>
      </c>
    </row>
    <row r="5534">
      <c r="A5534" s="18">
        <v>3893.0</v>
      </c>
      <c r="B5534" s="18" t="s">
        <v>30</v>
      </c>
      <c r="C5534" s="18" t="s">
        <v>34</v>
      </c>
      <c r="D5534" s="18" t="s">
        <v>35</v>
      </c>
      <c r="E5534" s="27">
        <v>42564.9143287037</v>
      </c>
      <c r="F5534" s="19">
        <f>IFERROR(__xludf.DUMMYFUNCTION("IFERROR(TO_DATE(E5534), """")"),42564.9143287037)</f>
        <v>42564.91433</v>
      </c>
      <c r="G5534" s="20">
        <f t="shared" si="1"/>
        <v>21</v>
      </c>
      <c r="H5534" s="18" t="s">
        <v>34</v>
      </c>
      <c r="I5534" s="19" t="str">
        <f>IFERROR(__xludf.DUMMYFUNCTION("IFERROR(TO_DATE(H5534), """")"),"NA")</f>
        <v>NA</v>
      </c>
      <c r="J5534" s="19" t="s">
        <v>13</v>
      </c>
      <c r="K5534" s="22">
        <f t="shared" si="2"/>
        <v>0</v>
      </c>
    </row>
    <row r="5535">
      <c r="A5535" s="18">
        <v>3891.0</v>
      </c>
      <c r="B5535" s="18" t="s">
        <v>30</v>
      </c>
      <c r="C5535" s="18" t="s">
        <v>34</v>
      </c>
      <c r="D5535" s="18" t="s">
        <v>35</v>
      </c>
      <c r="E5535" s="27">
        <v>42564.914675925924</v>
      </c>
      <c r="F5535" s="19">
        <f>IFERROR(__xludf.DUMMYFUNCTION("IFERROR(TO_DATE(E5535), """")"),42564.914675925924)</f>
        <v>42564.91468</v>
      </c>
      <c r="G5535" s="20">
        <f t="shared" si="1"/>
        <v>21</v>
      </c>
      <c r="H5535" s="18" t="s">
        <v>34</v>
      </c>
      <c r="I5535" s="19" t="str">
        <f>IFERROR(__xludf.DUMMYFUNCTION("IFERROR(TO_DATE(H5535), """")"),"NA")</f>
        <v>NA</v>
      </c>
      <c r="J5535" s="19" t="s">
        <v>13</v>
      </c>
      <c r="K5535" s="22">
        <f t="shared" si="2"/>
        <v>0</v>
      </c>
    </row>
    <row r="5536">
      <c r="A5536" s="18">
        <v>3888.0</v>
      </c>
      <c r="B5536" s="18" t="s">
        <v>30</v>
      </c>
      <c r="C5536" s="18" t="s">
        <v>34</v>
      </c>
      <c r="D5536" s="18" t="s">
        <v>35</v>
      </c>
      <c r="E5536" s="27">
        <v>42564.91510416667</v>
      </c>
      <c r="F5536" s="19">
        <f>IFERROR(__xludf.DUMMYFUNCTION("IFERROR(TO_DATE(E5536), """")"),42564.91510416667)</f>
        <v>42564.9151</v>
      </c>
      <c r="G5536" s="20">
        <f t="shared" si="1"/>
        <v>21</v>
      </c>
      <c r="H5536" s="18" t="s">
        <v>34</v>
      </c>
      <c r="I5536" s="19" t="str">
        <f>IFERROR(__xludf.DUMMYFUNCTION("IFERROR(TO_DATE(H5536), """")"),"NA")</f>
        <v>NA</v>
      </c>
      <c r="J5536" s="19" t="s">
        <v>13</v>
      </c>
      <c r="K5536" s="22">
        <f t="shared" si="2"/>
        <v>0</v>
      </c>
    </row>
    <row r="5537">
      <c r="A5537" s="18">
        <v>3876.0</v>
      </c>
      <c r="B5537" s="18" t="s">
        <v>30</v>
      </c>
      <c r="C5537" s="18" t="s">
        <v>34</v>
      </c>
      <c r="D5537" s="18" t="s">
        <v>35</v>
      </c>
      <c r="E5537" s="27">
        <v>42564.91546296296</v>
      </c>
      <c r="F5537" s="19">
        <f>IFERROR(__xludf.DUMMYFUNCTION("IFERROR(TO_DATE(E5537), """")"),42564.91546296296)</f>
        <v>42564.91546</v>
      </c>
      <c r="G5537" s="20">
        <f t="shared" si="1"/>
        <v>21</v>
      </c>
      <c r="H5537" s="18" t="s">
        <v>34</v>
      </c>
      <c r="I5537" s="19" t="str">
        <f>IFERROR(__xludf.DUMMYFUNCTION("IFERROR(TO_DATE(H5537), """")"),"NA")</f>
        <v>NA</v>
      </c>
      <c r="J5537" s="19" t="s">
        <v>13</v>
      </c>
      <c r="K5537" s="22">
        <f t="shared" si="2"/>
        <v>0</v>
      </c>
    </row>
    <row r="5538">
      <c r="A5538" s="18">
        <v>3875.0</v>
      </c>
      <c r="B5538" s="18" t="s">
        <v>30</v>
      </c>
      <c r="C5538" s="18" t="s">
        <v>34</v>
      </c>
      <c r="D5538" s="18" t="s">
        <v>35</v>
      </c>
      <c r="E5538" s="27">
        <v>42564.91612268519</v>
      </c>
      <c r="F5538" s="19">
        <f>IFERROR(__xludf.DUMMYFUNCTION("IFERROR(TO_DATE(E5538), """")"),42564.91612268519)</f>
        <v>42564.91612</v>
      </c>
      <c r="G5538" s="20">
        <f t="shared" si="1"/>
        <v>21</v>
      </c>
      <c r="H5538" s="18" t="s">
        <v>34</v>
      </c>
      <c r="I5538" s="19" t="str">
        <f>IFERROR(__xludf.DUMMYFUNCTION("IFERROR(TO_DATE(H5538), """")"),"NA")</f>
        <v>NA</v>
      </c>
      <c r="J5538" s="19" t="s">
        <v>13</v>
      </c>
      <c r="K5538" s="22">
        <f t="shared" si="2"/>
        <v>0</v>
      </c>
    </row>
    <row r="5539">
      <c r="A5539" s="18">
        <v>3898.0</v>
      </c>
      <c r="B5539" s="18" t="s">
        <v>30</v>
      </c>
      <c r="C5539" s="18" t="s">
        <v>34</v>
      </c>
      <c r="D5539" s="18" t="s">
        <v>35</v>
      </c>
      <c r="E5539" s="27">
        <v>42564.91631944444</v>
      </c>
      <c r="F5539" s="19">
        <f>IFERROR(__xludf.DUMMYFUNCTION("IFERROR(TO_DATE(E5539), """")"),42564.91631944444)</f>
        <v>42564.91632</v>
      </c>
      <c r="G5539" s="20">
        <f t="shared" si="1"/>
        <v>21</v>
      </c>
      <c r="H5539" s="18" t="s">
        <v>34</v>
      </c>
      <c r="I5539" s="19" t="str">
        <f>IFERROR(__xludf.DUMMYFUNCTION("IFERROR(TO_DATE(H5539), """")"),"NA")</f>
        <v>NA</v>
      </c>
      <c r="J5539" s="19" t="s">
        <v>13</v>
      </c>
      <c r="K5539" s="22">
        <f t="shared" si="2"/>
        <v>0</v>
      </c>
    </row>
    <row r="5540">
      <c r="A5540" s="18">
        <v>3895.0</v>
      </c>
      <c r="B5540" s="18" t="s">
        <v>30</v>
      </c>
      <c r="C5540" s="18" t="s">
        <v>34</v>
      </c>
      <c r="D5540" s="18" t="s">
        <v>35</v>
      </c>
      <c r="E5540" s="27">
        <v>42564.91792824074</v>
      </c>
      <c r="F5540" s="19">
        <f>IFERROR(__xludf.DUMMYFUNCTION("IFERROR(TO_DATE(E5540), """")"),42564.91792824074)</f>
        <v>42564.91793</v>
      </c>
      <c r="G5540" s="20">
        <f t="shared" si="1"/>
        <v>22</v>
      </c>
      <c r="H5540" s="18" t="s">
        <v>34</v>
      </c>
      <c r="I5540" s="19" t="str">
        <f>IFERROR(__xludf.DUMMYFUNCTION("IFERROR(TO_DATE(H5540), """")"),"NA")</f>
        <v>NA</v>
      </c>
      <c r="J5540" s="19" t="s">
        <v>13</v>
      </c>
      <c r="K5540" s="22">
        <f t="shared" si="2"/>
        <v>0</v>
      </c>
    </row>
    <row r="5541">
      <c r="A5541" s="18">
        <v>3900.0</v>
      </c>
      <c r="B5541" s="18" t="s">
        <v>30</v>
      </c>
      <c r="C5541" s="18" t="s">
        <v>34</v>
      </c>
      <c r="D5541" s="18" t="s">
        <v>35</v>
      </c>
      <c r="E5541" s="27">
        <v>42564.91875</v>
      </c>
      <c r="F5541" s="19">
        <f>IFERROR(__xludf.DUMMYFUNCTION("IFERROR(TO_DATE(E5541), """")"),42564.91875)</f>
        <v>42564.91875</v>
      </c>
      <c r="G5541" s="20">
        <f t="shared" si="1"/>
        <v>22</v>
      </c>
      <c r="H5541" s="18" t="s">
        <v>34</v>
      </c>
      <c r="I5541" s="19" t="str">
        <f>IFERROR(__xludf.DUMMYFUNCTION("IFERROR(TO_DATE(H5541), """")"),"NA")</f>
        <v>NA</v>
      </c>
      <c r="J5541" s="19" t="s">
        <v>13</v>
      </c>
      <c r="K5541" s="22">
        <f t="shared" si="2"/>
        <v>0</v>
      </c>
    </row>
    <row r="5542">
      <c r="A5542" s="18">
        <v>3904.0</v>
      </c>
      <c r="B5542" s="18" t="s">
        <v>30</v>
      </c>
      <c r="C5542" s="18" t="s">
        <v>34</v>
      </c>
      <c r="D5542" s="18" t="s">
        <v>35</v>
      </c>
      <c r="E5542" s="27">
        <v>42564.919270833336</v>
      </c>
      <c r="F5542" s="19">
        <f>IFERROR(__xludf.DUMMYFUNCTION("IFERROR(TO_DATE(E5542), """")"),42564.919270833336)</f>
        <v>42564.91927</v>
      </c>
      <c r="G5542" s="20">
        <f t="shared" si="1"/>
        <v>22</v>
      </c>
      <c r="H5542" s="18" t="s">
        <v>34</v>
      </c>
      <c r="I5542" s="19" t="str">
        <f>IFERROR(__xludf.DUMMYFUNCTION("IFERROR(TO_DATE(H5542), """")"),"NA")</f>
        <v>NA</v>
      </c>
      <c r="J5542" s="19" t="s">
        <v>13</v>
      </c>
      <c r="K5542" s="22">
        <f t="shared" si="2"/>
        <v>0</v>
      </c>
    </row>
    <row r="5543">
      <c r="A5543" s="18">
        <v>3892.0</v>
      </c>
      <c r="B5543" s="18" t="s">
        <v>30</v>
      </c>
      <c r="C5543" s="18" t="s">
        <v>34</v>
      </c>
      <c r="D5543" s="18" t="s">
        <v>35</v>
      </c>
      <c r="E5543" s="27">
        <v>42564.920266203706</v>
      </c>
      <c r="F5543" s="19">
        <f>IFERROR(__xludf.DUMMYFUNCTION("IFERROR(TO_DATE(E5543), """")"),42564.920266203706)</f>
        <v>42564.92027</v>
      </c>
      <c r="G5543" s="20">
        <f t="shared" si="1"/>
        <v>22</v>
      </c>
      <c r="H5543" s="18" t="s">
        <v>34</v>
      </c>
      <c r="I5543" s="19" t="str">
        <f>IFERROR(__xludf.DUMMYFUNCTION("IFERROR(TO_DATE(H5543), """")"),"NA")</f>
        <v>NA</v>
      </c>
      <c r="J5543" s="19" t="s">
        <v>13</v>
      </c>
      <c r="K5543" s="22">
        <f t="shared" si="2"/>
        <v>0</v>
      </c>
    </row>
    <row r="5544">
      <c r="A5544" s="18">
        <v>3899.0</v>
      </c>
      <c r="B5544" s="18" t="s">
        <v>30</v>
      </c>
      <c r="C5544" s="18" t="s">
        <v>34</v>
      </c>
      <c r="D5544" s="18" t="s">
        <v>35</v>
      </c>
      <c r="E5544" s="27">
        <v>42564.92056712963</v>
      </c>
      <c r="F5544" s="19">
        <f>IFERROR(__xludf.DUMMYFUNCTION("IFERROR(TO_DATE(E5544), """")"),42564.92056712963)</f>
        <v>42564.92057</v>
      </c>
      <c r="G5544" s="20">
        <f t="shared" si="1"/>
        <v>22</v>
      </c>
      <c r="H5544" s="18" t="s">
        <v>34</v>
      </c>
      <c r="I5544" s="19" t="str">
        <f>IFERROR(__xludf.DUMMYFUNCTION("IFERROR(TO_DATE(H5544), """")"),"NA")</f>
        <v>NA</v>
      </c>
      <c r="J5544" s="19" t="s">
        <v>13</v>
      </c>
      <c r="K5544" s="22">
        <f t="shared" si="2"/>
        <v>0</v>
      </c>
    </row>
    <row r="5545">
      <c r="A5545" s="18">
        <v>3910.0</v>
      </c>
      <c r="B5545" s="18" t="s">
        <v>30</v>
      </c>
      <c r="C5545" s="18" t="s">
        <v>34</v>
      </c>
      <c r="D5545" s="18" t="s">
        <v>35</v>
      </c>
      <c r="E5545" s="27">
        <v>42564.920798611114</v>
      </c>
      <c r="F5545" s="19">
        <f>IFERROR(__xludf.DUMMYFUNCTION("IFERROR(TO_DATE(E5545), """")"),42564.920798611114)</f>
        <v>42564.9208</v>
      </c>
      <c r="G5545" s="20">
        <f t="shared" si="1"/>
        <v>22</v>
      </c>
      <c r="H5545" s="18" t="s">
        <v>34</v>
      </c>
      <c r="I5545" s="19" t="str">
        <f>IFERROR(__xludf.DUMMYFUNCTION("IFERROR(TO_DATE(H5545), """")"),"NA")</f>
        <v>NA</v>
      </c>
      <c r="J5545" s="19" t="s">
        <v>13</v>
      </c>
      <c r="K5545" s="22">
        <f t="shared" si="2"/>
        <v>0</v>
      </c>
    </row>
    <row r="5546">
      <c r="A5546" s="18">
        <v>3901.0</v>
      </c>
      <c r="B5546" s="18" t="s">
        <v>30</v>
      </c>
      <c r="C5546" s="18" t="s">
        <v>34</v>
      </c>
      <c r="D5546" s="18" t="s">
        <v>35</v>
      </c>
      <c r="E5546" s="27">
        <v>42564.92322916666</v>
      </c>
      <c r="F5546" s="19">
        <f>IFERROR(__xludf.DUMMYFUNCTION("IFERROR(TO_DATE(E5546), """")"),42564.92322916666)</f>
        <v>42564.92323</v>
      </c>
      <c r="G5546" s="20">
        <f t="shared" si="1"/>
        <v>22</v>
      </c>
      <c r="H5546" s="18" t="s">
        <v>34</v>
      </c>
      <c r="I5546" s="19" t="str">
        <f>IFERROR(__xludf.DUMMYFUNCTION("IFERROR(TO_DATE(H5546), """")"),"NA")</f>
        <v>NA</v>
      </c>
      <c r="J5546" s="19" t="s">
        <v>13</v>
      </c>
      <c r="K5546" s="22">
        <f t="shared" si="2"/>
        <v>0</v>
      </c>
    </row>
    <row r="5547">
      <c r="A5547" s="18">
        <v>3902.0</v>
      </c>
      <c r="B5547" s="18" t="s">
        <v>30</v>
      </c>
      <c r="C5547" s="18" t="s">
        <v>34</v>
      </c>
      <c r="D5547" s="18" t="s">
        <v>35</v>
      </c>
      <c r="E5547" s="27">
        <v>42564.92327546296</v>
      </c>
      <c r="F5547" s="19">
        <f>IFERROR(__xludf.DUMMYFUNCTION("IFERROR(TO_DATE(E5547), """")"),42564.92327546296)</f>
        <v>42564.92328</v>
      </c>
      <c r="G5547" s="20">
        <f t="shared" si="1"/>
        <v>22</v>
      </c>
      <c r="H5547" s="18" t="s">
        <v>34</v>
      </c>
      <c r="I5547" s="19" t="str">
        <f>IFERROR(__xludf.DUMMYFUNCTION("IFERROR(TO_DATE(H5547), """")"),"NA")</f>
        <v>NA</v>
      </c>
      <c r="J5547" s="19" t="s">
        <v>13</v>
      </c>
      <c r="K5547" s="22">
        <f t="shared" si="2"/>
        <v>0</v>
      </c>
    </row>
    <row r="5548">
      <c r="A5548" s="18">
        <v>3903.0</v>
      </c>
      <c r="B5548" s="18" t="s">
        <v>30</v>
      </c>
      <c r="C5548" s="18" t="s">
        <v>34</v>
      </c>
      <c r="D5548" s="18" t="s">
        <v>35</v>
      </c>
      <c r="E5548" s="27">
        <v>42564.92443287037</v>
      </c>
      <c r="F5548" s="19">
        <f>IFERROR(__xludf.DUMMYFUNCTION("IFERROR(TO_DATE(E5548), """")"),42564.92443287037)</f>
        <v>42564.92443</v>
      </c>
      <c r="G5548" s="20">
        <f t="shared" si="1"/>
        <v>22</v>
      </c>
      <c r="H5548" s="18" t="s">
        <v>34</v>
      </c>
      <c r="I5548" s="19" t="str">
        <f>IFERROR(__xludf.DUMMYFUNCTION("IFERROR(TO_DATE(H5548), """")"),"NA")</f>
        <v>NA</v>
      </c>
      <c r="J5548" s="19" t="s">
        <v>13</v>
      </c>
      <c r="K5548" s="22">
        <f t="shared" si="2"/>
        <v>0</v>
      </c>
    </row>
    <row r="5549">
      <c r="A5549" s="18">
        <v>3906.0</v>
      </c>
      <c r="B5549" s="18" t="s">
        <v>30</v>
      </c>
      <c r="C5549" s="18" t="s">
        <v>34</v>
      </c>
      <c r="D5549" s="18" t="s">
        <v>35</v>
      </c>
      <c r="E5549" s="27">
        <v>42564.92501157407</v>
      </c>
      <c r="F5549" s="19">
        <f>IFERROR(__xludf.DUMMYFUNCTION("IFERROR(TO_DATE(E5549), """")"),42564.92501157407)</f>
        <v>42564.92501</v>
      </c>
      <c r="G5549" s="20">
        <f t="shared" si="1"/>
        <v>22</v>
      </c>
      <c r="H5549" s="18" t="s">
        <v>34</v>
      </c>
      <c r="I5549" s="19" t="str">
        <f>IFERROR(__xludf.DUMMYFUNCTION("IFERROR(TO_DATE(H5549), """")"),"NA")</f>
        <v>NA</v>
      </c>
      <c r="J5549" s="19" t="s">
        <v>13</v>
      </c>
      <c r="K5549" s="22">
        <f t="shared" si="2"/>
        <v>0</v>
      </c>
    </row>
    <row r="5550">
      <c r="A5550" s="18">
        <v>3907.0</v>
      </c>
      <c r="B5550" s="18" t="s">
        <v>30</v>
      </c>
      <c r="C5550" s="18" t="s">
        <v>34</v>
      </c>
      <c r="D5550" s="18" t="s">
        <v>35</v>
      </c>
      <c r="E5550" s="27">
        <v>42564.925150462965</v>
      </c>
      <c r="F5550" s="19">
        <f>IFERROR(__xludf.DUMMYFUNCTION("IFERROR(TO_DATE(E5550), """")"),42564.925150462965)</f>
        <v>42564.92515</v>
      </c>
      <c r="G5550" s="20">
        <f t="shared" si="1"/>
        <v>22</v>
      </c>
      <c r="H5550" s="18" t="s">
        <v>34</v>
      </c>
      <c r="I5550" s="19" t="str">
        <f>IFERROR(__xludf.DUMMYFUNCTION("IFERROR(TO_DATE(H5550), """")"),"NA")</f>
        <v>NA</v>
      </c>
      <c r="J5550" s="19" t="s">
        <v>13</v>
      </c>
      <c r="K5550" s="22">
        <f t="shared" si="2"/>
        <v>0</v>
      </c>
    </row>
    <row r="5551">
      <c r="A5551" s="18">
        <v>3918.0</v>
      </c>
      <c r="B5551" s="18" t="s">
        <v>32</v>
      </c>
      <c r="C5551" s="18" t="s">
        <v>34</v>
      </c>
      <c r="D5551" s="18" t="s">
        <v>35</v>
      </c>
      <c r="E5551" s="27">
        <v>42564.92528935185</v>
      </c>
      <c r="F5551" s="19">
        <f>IFERROR(__xludf.DUMMYFUNCTION("IFERROR(TO_DATE(E5551), """")"),42564.92528935185)</f>
        <v>42564.92529</v>
      </c>
      <c r="G5551" s="20">
        <f t="shared" si="1"/>
        <v>22</v>
      </c>
      <c r="H5551" s="18" t="s">
        <v>34</v>
      </c>
      <c r="I5551" s="19" t="str">
        <f>IFERROR(__xludf.DUMMYFUNCTION("IFERROR(TO_DATE(H5551), """")"),"NA")</f>
        <v>NA</v>
      </c>
      <c r="J5551" s="19" t="s">
        <v>13</v>
      </c>
      <c r="K5551" s="22">
        <f t="shared" si="2"/>
        <v>0</v>
      </c>
    </row>
    <row r="5552">
      <c r="A5552" s="18">
        <v>3912.0</v>
      </c>
      <c r="B5552" s="18" t="s">
        <v>30</v>
      </c>
      <c r="C5552" s="18" t="s">
        <v>34</v>
      </c>
      <c r="D5552" s="18" t="s">
        <v>35</v>
      </c>
      <c r="E5552" s="27">
        <v>42564.925405092596</v>
      </c>
      <c r="F5552" s="19">
        <f>IFERROR(__xludf.DUMMYFUNCTION("IFERROR(TO_DATE(E5552), """")"),42564.925405092596)</f>
        <v>42564.92541</v>
      </c>
      <c r="G5552" s="20">
        <f t="shared" si="1"/>
        <v>22</v>
      </c>
      <c r="H5552" s="18" t="s">
        <v>34</v>
      </c>
      <c r="I5552" s="19" t="str">
        <f>IFERROR(__xludf.DUMMYFUNCTION("IFERROR(TO_DATE(H5552), """")"),"NA")</f>
        <v>NA</v>
      </c>
      <c r="J5552" s="19" t="s">
        <v>13</v>
      </c>
      <c r="K5552" s="22">
        <f t="shared" si="2"/>
        <v>0</v>
      </c>
    </row>
    <row r="5553">
      <c r="A5553" s="18">
        <v>3928.0</v>
      </c>
      <c r="B5553" s="18" t="s">
        <v>32</v>
      </c>
      <c r="C5553" s="18" t="s">
        <v>34</v>
      </c>
      <c r="D5553" s="18" t="s">
        <v>35</v>
      </c>
      <c r="E5553" s="27">
        <v>42564.926770833335</v>
      </c>
      <c r="F5553" s="19">
        <f>IFERROR(__xludf.DUMMYFUNCTION("IFERROR(TO_DATE(E5553), """")"),42564.926770833335)</f>
        <v>42564.92677</v>
      </c>
      <c r="G5553" s="20">
        <f t="shared" si="1"/>
        <v>22</v>
      </c>
      <c r="H5553" s="18" t="s">
        <v>34</v>
      </c>
      <c r="I5553" s="19" t="str">
        <f>IFERROR(__xludf.DUMMYFUNCTION("IFERROR(TO_DATE(H5553), """")"),"NA")</f>
        <v>NA</v>
      </c>
      <c r="J5553" s="19" t="s">
        <v>13</v>
      </c>
      <c r="K5553" s="22">
        <f t="shared" si="2"/>
        <v>0</v>
      </c>
    </row>
    <row r="5554">
      <c r="A5554" s="18">
        <v>3911.0</v>
      </c>
      <c r="B5554" s="18" t="s">
        <v>30</v>
      </c>
      <c r="C5554" s="18" t="s">
        <v>34</v>
      </c>
      <c r="D5554" s="18" t="s">
        <v>35</v>
      </c>
      <c r="E5554" s="27">
        <v>42564.927037037036</v>
      </c>
      <c r="F5554" s="19">
        <f>IFERROR(__xludf.DUMMYFUNCTION("IFERROR(TO_DATE(E5554), """")"),42564.927037037036)</f>
        <v>42564.92704</v>
      </c>
      <c r="G5554" s="20">
        <f t="shared" si="1"/>
        <v>22</v>
      </c>
      <c r="H5554" s="18" t="s">
        <v>34</v>
      </c>
      <c r="I5554" s="19" t="str">
        <f>IFERROR(__xludf.DUMMYFUNCTION("IFERROR(TO_DATE(H5554), """")"),"NA")</f>
        <v>NA</v>
      </c>
      <c r="J5554" s="19" t="s">
        <v>13</v>
      </c>
      <c r="K5554" s="22">
        <f t="shared" si="2"/>
        <v>0</v>
      </c>
    </row>
    <row r="5555">
      <c r="A5555" s="18">
        <v>3923.0</v>
      </c>
      <c r="B5555" s="18" t="s">
        <v>32</v>
      </c>
      <c r="C5555" s="18" t="s">
        <v>34</v>
      </c>
      <c r="D5555" s="18" t="s">
        <v>35</v>
      </c>
      <c r="E5555" s="27">
        <v>42564.92932870371</v>
      </c>
      <c r="F5555" s="19">
        <f>IFERROR(__xludf.DUMMYFUNCTION("IFERROR(TO_DATE(E5555), """")"),42564.92932870371)</f>
        <v>42564.92933</v>
      </c>
      <c r="G5555" s="20">
        <f t="shared" si="1"/>
        <v>22</v>
      </c>
      <c r="H5555" s="18" t="s">
        <v>34</v>
      </c>
      <c r="I5555" s="19" t="str">
        <f>IFERROR(__xludf.DUMMYFUNCTION("IFERROR(TO_DATE(H5555), """")"),"NA")</f>
        <v>NA</v>
      </c>
      <c r="J5555" s="19" t="s">
        <v>13</v>
      </c>
      <c r="K5555" s="22">
        <f t="shared" si="2"/>
        <v>0</v>
      </c>
    </row>
    <row r="5556">
      <c r="A5556" s="18">
        <v>3922.0</v>
      </c>
      <c r="B5556" s="18" t="s">
        <v>32</v>
      </c>
      <c r="C5556" s="18" t="s">
        <v>34</v>
      </c>
      <c r="D5556" s="18" t="s">
        <v>35</v>
      </c>
      <c r="E5556" s="27">
        <v>42564.92958333333</v>
      </c>
      <c r="F5556" s="19">
        <f>IFERROR(__xludf.DUMMYFUNCTION("IFERROR(TO_DATE(E5556), """")"),42564.92958333333)</f>
        <v>42564.92958</v>
      </c>
      <c r="G5556" s="20">
        <f t="shared" si="1"/>
        <v>22</v>
      </c>
      <c r="H5556" s="18" t="s">
        <v>34</v>
      </c>
      <c r="I5556" s="19" t="str">
        <f>IFERROR(__xludf.DUMMYFUNCTION("IFERROR(TO_DATE(H5556), """")"),"NA")</f>
        <v>NA</v>
      </c>
      <c r="J5556" s="19" t="s">
        <v>13</v>
      </c>
      <c r="K5556" s="22">
        <f t="shared" si="2"/>
        <v>0</v>
      </c>
    </row>
    <row r="5557">
      <c r="A5557" s="18">
        <v>3931.0</v>
      </c>
      <c r="B5557" s="18" t="s">
        <v>30</v>
      </c>
      <c r="C5557" s="18" t="s">
        <v>34</v>
      </c>
      <c r="D5557" s="18" t="s">
        <v>35</v>
      </c>
      <c r="E5557" s="27">
        <v>42564.931597222225</v>
      </c>
      <c r="F5557" s="19">
        <f>IFERROR(__xludf.DUMMYFUNCTION("IFERROR(TO_DATE(E5557), """")"),42564.931597222225)</f>
        <v>42564.9316</v>
      </c>
      <c r="G5557" s="20">
        <f t="shared" si="1"/>
        <v>22</v>
      </c>
      <c r="H5557" s="18" t="s">
        <v>34</v>
      </c>
      <c r="I5557" s="19" t="str">
        <f>IFERROR(__xludf.DUMMYFUNCTION("IFERROR(TO_DATE(H5557), """")"),"NA")</f>
        <v>NA</v>
      </c>
      <c r="J5557" s="19" t="s">
        <v>13</v>
      </c>
      <c r="K5557" s="22">
        <f t="shared" si="2"/>
        <v>0</v>
      </c>
    </row>
    <row r="5558">
      <c r="A5558" s="18">
        <v>3930.0</v>
      </c>
      <c r="B5558" s="18" t="s">
        <v>32</v>
      </c>
      <c r="C5558" s="18" t="s">
        <v>34</v>
      </c>
      <c r="D5558" s="18" t="s">
        <v>35</v>
      </c>
      <c r="E5558" s="27">
        <v>42564.932604166665</v>
      </c>
      <c r="F5558" s="19">
        <f>IFERROR(__xludf.DUMMYFUNCTION("IFERROR(TO_DATE(E5558), """")"),42564.932604166665)</f>
        <v>42564.9326</v>
      </c>
      <c r="G5558" s="20">
        <f t="shared" si="1"/>
        <v>22</v>
      </c>
      <c r="H5558" s="18" t="s">
        <v>34</v>
      </c>
      <c r="I5558" s="19" t="str">
        <f>IFERROR(__xludf.DUMMYFUNCTION("IFERROR(TO_DATE(H5558), """")"),"NA")</f>
        <v>NA</v>
      </c>
      <c r="J5558" s="19" t="s">
        <v>13</v>
      </c>
      <c r="K5558" s="22">
        <f t="shared" si="2"/>
        <v>0</v>
      </c>
    </row>
    <row r="5559">
      <c r="A5559" s="18">
        <v>3921.0</v>
      </c>
      <c r="B5559" s="18" t="s">
        <v>32</v>
      </c>
      <c r="C5559" s="18" t="s">
        <v>34</v>
      </c>
      <c r="D5559" s="18" t="s">
        <v>35</v>
      </c>
      <c r="E5559" s="27">
        <v>42564.93267361111</v>
      </c>
      <c r="F5559" s="19">
        <f>IFERROR(__xludf.DUMMYFUNCTION("IFERROR(TO_DATE(E5559), """")"),42564.93267361111)</f>
        <v>42564.93267</v>
      </c>
      <c r="G5559" s="20">
        <f t="shared" si="1"/>
        <v>22</v>
      </c>
      <c r="H5559" s="18" t="s">
        <v>34</v>
      </c>
      <c r="I5559" s="19" t="str">
        <f>IFERROR(__xludf.DUMMYFUNCTION("IFERROR(TO_DATE(H5559), """")"),"NA")</f>
        <v>NA</v>
      </c>
      <c r="J5559" s="19" t="s">
        <v>13</v>
      </c>
      <c r="K5559" s="22">
        <f t="shared" si="2"/>
        <v>0</v>
      </c>
    </row>
    <row r="5560">
      <c r="A5560" s="18">
        <v>3926.0</v>
      </c>
      <c r="B5560" s="18" t="s">
        <v>30</v>
      </c>
      <c r="C5560" s="18" t="s">
        <v>34</v>
      </c>
      <c r="D5560" s="18" t="s">
        <v>35</v>
      </c>
      <c r="E5560" s="27">
        <v>42564.93292824074</v>
      </c>
      <c r="F5560" s="19">
        <f>IFERROR(__xludf.DUMMYFUNCTION("IFERROR(TO_DATE(E5560), """")"),42564.93292824074)</f>
        <v>42564.93293</v>
      </c>
      <c r="G5560" s="20">
        <f t="shared" si="1"/>
        <v>22</v>
      </c>
      <c r="H5560" s="18" t="s">
        <v>34</v>
      </c>
      <c r="I5560" s="19" t="str">
        <f>IFERROR(__xludf.DUMMYFUNCTION("IFERROR(TO_DATE(H5560), """")"),"NA")</f>
        <v>NA</v>
      </c>
      <c r="J5560" s="19" t="s">
        <v>13</v>
      </c>
      <c r="K5560" s="22">
        <f t="shared" si="2"/>
        <v>0</v>
      </c>
    </row>
    <row r="5561">
      <c r="A5561" s="18">
        <v>3919.0</v>
      </c>
      <c r="B5561" s="18" t="s">
        <v>30</v>
      </c>
      <c r="C5561" s="18" t="s">
        <v>34</v>
      </c>
      <c r="D5561" s="18" t="s">
        <v>35</v>
      </c>
      <c r="E5561" s="27">
        <v>42564.93293981482</v>
      </c>
      <c r="F5561" s="19">
        <f>IFERROR(__xludf.DUMMYFUNCTION("IFERROR(TO_DATE(E5561), """")"),42564.93293981482)</f>
        <v>42564.93294</v>
      </c>
      <c r="G5561" s="20">
        <f t="shared" si="1"/>
        <v>22</v>
      </c>
      <c r="H5561" s="18" t="s">
        <v>34</v>
      </c>
      <c r="I5561" s="19" t="str">
        <f>IFERROR(__xludf.DUMMYFUNCTION("IFERROR(TO_DATE(H5561), """")"),"NA")</f>
        <v>NA</v>
      </c>
      <c r="J5561" s="19" t="s">
        <v>13</v>
      </c>
      <c r="K5561" s="22">
        <f t="shared" si="2"/>
        <v>0</v>
      </c>
    </row>
    <row r="5562">
      <c r="A5562" s="18">
        <v>3933.0</v>
      </c>
      <c r="B5562" s="18" t="s">
        <v>30</v>
      </c>
      <c r="C5562" s="18" t="s">
        <v>34</v>
      </c>
      <c r="D5562" s="18" t="s">
        <v>35</v>
      </c>
      <c r="E5562" s="27">
        <v>42564.935428240744</v>
      </c>
      <c r="F5562" s="19">
        <f>IFERROR(__xludf.DUMMYFUNCTION("IFERROR(TO_DATE(E5562), """")"),42564.935428240744)</f>
        <v>42564.93543</v>
      </c>
      <c r="G5562" s="20">
        <f t="shared" si="1"/>
        <v>22</v>
      </c>
      <c r="H5562" s="18" t="s">
        <v>34</v>
      </c>
      <c r="I5562" s="19" t="str">
        <f>IFERROR(__xludf.DUMMYFUNCTION("IFERROR(TO_DATE(H5562), """")"),"NA")</f>
        <v>NA</v>
      </c>
      <c r="J5562" s="19" t="s">
        <v>13</v>
      </c>
      <c r="K5562" s="22">
        <f t="shared" si="2"/>
        <v>0</v>
      </c>
    </row>
    <row r="5563">
      <c r="A5563" s="18">
        <v>3937.0</v>
      </c>
      <c r="B5563" s="18" t="s">
        <v>32</v>
      </c>
      <c r="C5563" s="18" t="s">
        <v>34</v>
      </c>
      <c r="D5563" s="18" t="s">
        <v>35</v>
      </c>
      <c r="E5563" s="27">
        <v>42564.93622685185</v>
      </c>
      <c r="F5563" s="19">
        <f>IFERROR(__xludf.DUMMYFUNCTION("IFERROR(TO_DATE(E5563), """")"),42564.93622685185)</f>
        <v>42564.93623</v>
      </c>
      <c r="G5563" s="20">
        <f t="shared" si="1"/>
        <v>22</v>
      </c>
      <c r="H5563" s="18" t="s">
        <v>34</v>
      </c>
      <c r="I5563" s="19" t="str">
        <f>IFERROR(__xludf.DUMMYFUNCTION("IFERROR(TO_DATE(H5563), """")"),"NA")</f>
        <v>NA</v>
      </c>
      <c r="J5563" s="19" t="s">
        <v>13</v>
      </c>
      <c r="K5563" s="22">
        <f t="shared" si="2"/>
        <v>0</v>
      </c>
    </row>
    <row r="5564">
      <c r="A5564" s="18">
        <v>3929.0</v>
      </c>
      <c r="B5564" s="18" t="s">
        <v>30</v>
      </c>
      <c r="C5564" s="18" t="s">
        <v>34</v>
      </c>
      <c r="D5564" s="18" t="s">
        <v>35</v>
      </c>
      <c r="E5564" s="27">
        <v>42564.936631944445</v>
      </c>
      <c r="F5564" s="19">
        <f>IFERROR(__xludf.DUMMYFUNCTION("IFERROR(TO_DATE(E5564), """")"),42564.936631944445)</f>
        <v>42564.93663</v>
      </c>
      <c r="G5564" s="20">
        <f t="shared" si="1"/>
        <v>22</v>
      </c>
      <c r="H5564" s="18" t="s">
        <v>34</v>
      </c>
      <c r="I5564" s="19" t="str">
        <f>IFERROR(__xludf.DUMMYFUNCTION("IFERROR(TO_DATE(H5564), """")"),"NA")</f>
        <v>NA</v>
      </c>
      <c r="J5564" s="19" t="s">
        <v>13</v>
      </c>
      <c r="K5564" s="22">
        <f t="shared" si="2"/>
        <v>0</v>
      </c>
    </row>
    <row r="5565">
      <c r="A5565" s="18">
        <v>3941.0</v>
      </c>
      <c r="B5565" s="18" t="s">
        <v>32</v>
      </c>
      <c r="C5565" s="18" t="s">
        <v>34</v>
      </c>
      <c r="D5565" s="18" t="s">
        <v>35</v>
      </c>
      <c r="E5565" s="27">
        <v>42564.937627314815</v>
      </c>
      <c r="F5565" s="19">
        <f>IFERROR(__xludf.DUMMYFUNCTION("IFERROR(TO_DATE(E5565), """")"),42564.937627314815)</f>
        <v>42564.93763</v>
      </c>
      <c r="G5565" s="20">
        <f t="shared" si="1"/>
        <v>22</v>
      </c>
      <c r="H5565" s="18" t="s">
        <v>34</v>
      </c>
      <c r="I5565" s="19" t="str">
        <f>IFERROR(__xludf.DUMMYFUNCTION("IFERROR(TO_DATE(H5565), """")"),"NA")</f>
        <v>NA</v>
      </c>
      <c r="J5565" s="19" t="s">
        <v>13</v>
      </c>
      <c r="K5565" s="22">
        <f t="shared" si="2"/>
        <v>0</v>
      </c>
    </row>
    <row r="5566">
      <c r="A5566" s="18">
        <v>3936.0</v>
      </c>
      <c r="B5566" s="18" t="s">
        <v>32</v>
      </c>
      <c r="C5566" s="18" t="s">
        <v>34</v>
      </c>
      <c r="D5566" s="18" t="s">
        <v>35</v>
      </c>
      <c r="E5566" s="27">
        <v>42564.93800925926</v>
      </c>
      <c r="F5566" s="19">
        <f>IFERROR(__xludf.DUMMYFUNCTION("IFERROR(TO_DATE(E5566), """")"),42564.93800925926)</f>
        <v>42564.93801</v>
      </c>
      <c r="G5566" s="20">
        <f t="shared" si="1"/>
        <v>22</v>
      </c>
      <c r="H5566" s="18" t="s">
        <v>34</v>
      </c>
      <c r="I5566" s="19" t="str">
        <f>IFERROR(__xludf.DUMMYFUNCTION("IFERROR(TO_DATE(H5566), """")"),"NA")</f>
        <v>NA</v>
      </c>
      <c r="J5566" s="19" t="s">
        <v>13</v>
      </c>
      <c r="K5566" s="22">
        <f t="shared" si="2"/>
        <v>0</v>
      </c>
    </row>
    <row r="5567">
      <c r="A5567" s="18">
        <v>3946.0</v>
      </c>
      <c r="B5567" s="18" t="s">
        <v>30</v>
      </c>
      <c r="C5567" s="18" t="s">
        <v>34</v>
      </c>
      <c r="D5567" s="18" t="s">
        <v>35</v>
      </c>
      <c r="E5567" s="27">
        <v>42564.942245370374</v>
      </c>
      <c r="F5567" s="19">
        <f>IFERROR(__xludf.DUMMYFUNCTION("IFERROR(TO_DATE(E5567), """")"),42564.942245370374)</f>
        <v>42564.94225</v>
      </c>
      <c r="G5567" s="20">
        <f t="shared" si="1"/>
        <v>22</v>
      </c>
      <c r="H5567" s="18" t="s">
        <v>34</v>
      </c>
      <c r="I5567" s="19" t="str">
        <f>IFERROR(__xludf.DUMMYFUNCTION("IFERROR(TO_DATE(H5567), """")"),"NA")</f>
        <v>NA</v>
      </c>
      <c r="J5567" s="19" t="s">
        <v>13</v>
      </c>
      <c r="K5567" s="22">
        <f t="shared" si="2"/>
        <v>0</v>
      </c>
    </row>
    <row r="5568">
      <c r="A5568" s="18">
        <v>3938.0</v>
      </c>
      <c r="B5568" s="18" t="s">
        <v>32</v>
      </c>
      <c r="C5568" s="18" t="s">
        <v>34</v>
      </c>
      <c r="D5568" s="18" t="s">
        <v>35</v>
      </c>
      <c r="E5568" s="27">
        <v>42564.94263888889</v>
      </c>
      <c r="F5568" s="19">
        <f>IFERROR(__xludf.DUMMYFUNCTION("IFERROR(TO_DATE(E5568), """")"),42564.94263888889)</f>
        <v>42564.94264</v>
      </c>
      <c r="G5568" s="20">
        <f t="shared" si="1"/>
        <v>22</v>
      </c>
      <c r="H5568" s="18" t="s">
        <v>34</v>
      </c>
      <c r="I5568" s="19" t="str">
        <f>IFERROR(__xludf.DUMMYFUNCTION("IFERROR(TO_DATE(H5568), """")"),"NA")</f>
        <v>NA</v>
      </c>
      <c r="J5568" s="19" t="s">
        <v>13</v>
      </c>
      <c r="K5568" s="22">
        <f t="shared" si="2"/>
        <v>0</v>
      </c>
    </row>
    <row r="5569">
      <c r="A5569" s="18">
        <v>3949.0</v>
      </c>
      <c r="B5569" s="18" t="s">
        <v>32</v>
      </c>
      <c r="C5569" s="18" t="s">
        <v>34</v>
      </c>
      <c r="D5569" s="18" t="s">
        <v>35</v>
      </c>
      <c r="E5569" s="27">
        <v>42564.944872685184</v>
      </c>
      <c r="F5569" s="19">
        <f>IFERROR(__xludf.DUMMYFUNCTION("IFERROR(TO_DATE(E5569), """")"),42564.944872685184)</f>
        <v>42564.94487</v>
      </c>
      <c r="G5569" s="20">
        <f t="shared" si="1"/>
        <v>22</v>
      </c>
      <c r="H5569" s="18" t="s">
        <v>34</v>
      </c>
      <c r="I5569" s="19" t="str">
        <f>IFERROR(__xludf.DUMMYFUNCTION("IFERROR(TO_DATE(H5569), """")"),"NA")</f>
        <v>NA</v>
      </c>
      <c r="J5569" s="19" t="s">
        <v>13</v>
      </c>
      <c r="K5569" s="22">
        <f t="shared" si="2"/>
        <v>0</v>
      </c>
    </row>
    <row r="5570">
      <c r="A5570" s="18">
        <v>3958.0</v>
      </c>
      <c r="B5570" s="18" t="s">
        <v>30</v>
      </c>
      <c r="C5570" s="18" t="s">
        <v>34</v>
      </c>
      <c r="D5570" s="18" t="s">
        <v>35</v>
      </c>
      <c r="E5570" s="27">
        <v>42564.94862268519</v>
      </c>
      <c r="F5570" s="19">
        <f>IFERROR(__xludf.DUMMYFUNCTION("IFERROR(TO_DATE(E5570), """")"),42564.94862268519)</f>
        <v>42564.94862</v>
      </c>
      <c r="G5570" s="20">
        <f t="shared" si="1"/>
        <v>22</v>
      </c>
      <c r="H5570" s="18" t="s">
        <v>34</v>
      </c>
      <c r="I5570" s="19" t="str">
        <f>IFERROR(__xludf.DUMMYFUNCTION("IFERROR(TO_DATE(H5570), """")"),"NA")</f>
        <v>NA</v>
      </c>
      <c r="J5570" s="19" t="s">
        <v>13</v>
      </c>
      <c r="K5570" s="22">
        <f t="shared" si="2"/>
        <v>0</v>
      </c>
    </row>
    <row r="5571">
      <c r="A5571" s="18">
        <v>3951.0</v>
      </c>
      <c r="B5571" s="18" t="s">
        <v>30</v>
      </c>
      <c r="C5571" s="18" t="s">
        <v>34</v>
      </c>
      <c r="D5571" s="18" t="s">
        <v>35</v>
      </c>
      <c r="E5571" s="27">
        <v>42564.948645833334</v>
      </c>
      <c r="F5571" s="19">
        <f>IFERROR(__xludf.DUMMYFUNCTION("IFERROR(TO_DATE(E5571), """")"),42564.948645833334)</f>
        <v>42564.94865</v>
      </c>
      <c r="G5571" s="20">
        <f t="shared" si="1"/>
        <v>22</v>
      </c>
      <c r="H5571" s="18" t="s">
        <v>34</v>
      </c>
      <c r="I5571" s="19" t="str">
        <f>IFERROR(__xludf.DUMMYFUNCTION("IFERROR(TO_DATE(H5571), """")"),"NA")</f>
        <v>NA</v>
      </c>
      <c r="J5571" s="19" t="s">
        <v>13</v>
      </c>
      <c r="K5571" s="22">
        <f t="shared" si="2"/>
        <v>0</v>
      </c>
    </row>
    <row r="5572">
      <c r="A5572" s="18">
        <v>3962.0</v>
      </c>
      <c r="B5572" s="18" t="s">
        <v>32</v>
      </c>
      <c r="C5572" s="18" t="s">
        <v>34</v>
      </c>
      <c r="D5572" s="18" t="s">
        <v>35</v>
      </c>
      <c r="E5572" s="27">
        <v>42564.94960648148</v>
      </c>
      <c r="F5572" s="19">
        <f>IFERROR(__xludf.DUMMYFUNCTION("IFERROR(TO_DATE(E5572), """")"),42564.94960648148)</f>
        <v>42564.94961</v>
      </c>
      <c r="G5572" s="20">
        <f t="shared" si="1"/>
        <v>22</v>
      </c>
      <c r="H5572" s="18" t="s">
        <v>34</v>
      </c>
      <c r="I5572" s="19" t="str">
        <f>IFERROR(__xludf.DUMMYFUNCTION("IFERROR(TO_DATE(H5572), """")"),"NA")</f>
        <v>NA</v>
      </c>
      <c r="J5572" s="19" t="s">
        <v>13</v>
      </c>
      <c r="K5572" s="22">
        <f t="shared" si="2"/>
        <v>0</v>
      </c>
    </row>
    <row r="5573">
      <c r="A5573" s="18">
        <v>3961.0</v>
      </c>
      <c r="B5573" s="18" t="s">
        <v>32</v>
      </c>
      <c r="C5573" s="18" t="s">
        <v>34</v>
      </c>
      <c r="D5573" s="18" t="s">
        <v>35</v>
      </c>
      <c r="E5573" s="27">
        <v>42564.952048611114</v>
      </c>
      <c r="F5573" s="19">
        <f>IFERROR(__xludf.DUMMYFUNCTION("IFERROR(TO_DATE(E5573), """")"),42564.952048611114)</f>
        <v>42564.95205</v>
      </c>
      <c r="G5573" s="20">
        <f t="shared" si="1"/>
        <v>22</v>
      </c>
      <c r="H5573" s="18" t="s">
        <v>34</v>
      </c>
      <c r="I5573" s="19" t="str">
        <f>IFERROR(__xludf.DUMMYFUNCTION("IFERROR(TO_DATE(H5573), """")"),"NA")</f>
        <v>NA</v>
      </c>
      <c r="J5573" s="19" t="s">
        <v>13</v>
      </c>
      <c r="K5573" s="22">
        <f t="shared" si="2"/>
        <v>0</v>
      </c>
    </row>
    <row r="5574">
      <c r="A5574" s="18">
        <v>3963.0</v>
      </c>
      <c r="B5574" s="18" t="s">
        <v>30</v>
      </c>
      <c r="C5574" s="18" t="s">
        <v>34</v>
      </c>
      <c r="D5574" s="18" t="s">
        <v>35</v>
      </c>
      <c r="E5574" s="27">
        <v>42564.95515046296</v>
      </c>
      <c r="F5574" s="19">
        <f>IFERROR(__xludf.DUMMYFUNCTION("IFERROR(TO_DATE(E5574), """")"),42564.95515046296)</f>
        <v>42564.95515</v>
      </c>
      <c r="G5574" s="20">
        <f t="shared" si="1"/>
        <v>22</v>
      </c>
      <c r="H5574" s="18" t="s">
        <v>34</v>
      </c>
      <c r="I5574" s="19" t="str">
        <f>IFERROR(__xludf.DUMMYFUNCTION("IFERROR(TO_DATE(H5574), """")"),"NA")</f>
        <v>NA</v>
      </c>
      <c r="J5574" s="19" t="s">
        <v>13</v>
      </c>
      <c r="K5574" s="22">
        <f t="shared" si="2"/>
        <v>0</v>
      </c>
    </row>
    <row r="5575">
      <c r="A5575" s="18">
        <v>3967.0</v>
      </c>
      <c r="B5575" s="18" t="s">
        <v>32</v>
      </c>
      <c r="C5575" s="18" t="s">
        <v>34</v>
      </c>
      <c r="D5575" s="18" t="s">
        <v>35</v>
      </c>
      <c r="E5575" s="27">
        <v>42564.95643518519</v>
      </c>
      <c r="F5575" s="19">
        <f>IFERROR(__xludf.DUMMYFUNCTION("IFERROR(TO_DATE(E5575), """")"),42564.95643518519)</f>
        <v>42564.95644</v>
      </c>
      <c r="G5575" s="20">
        <f t="shared" si="1"/>
        <v>22</v>
      </c>
      <c r="H5575" s="18" t="s">
        <v>34</v>
      </c>
      <c r="I5575" s="19" t="str">
        <f>IFERROR(__xludf.DUMMYFUNCTION("IFERROR(TO_DATE(H5575), """")"),"NA")</f>
        <v>NA</v>
      </c>
      <c r="J5575" s="19" t="s">
        <v>13</v>
      </c>
      <c r="K5575" s="22">
        <f t="shared" si="2"/>
        <v>0</v>
      </c>
    </row>
    <row r="5576">
      <c r="A5576" s="18">
        <v>3968.0</v>
      </c>
      <c r="B5576" s="18" t="s">
        <v>30</v>
      </c>
      <c r="C5576" s="18" t="s">
        <v>34</v>
      </c>
      <c r="D5576" s="18" t="s">
        <v>35</v>
      </c>
      <c r="E5576" s="27">
        <v>42564.958032407405</v>
      </c>
      <c r="F5576" s="19">
        <f>IFERROR(__xludf.DUMMYFUNCTION("IFERROR(TO_DATE(E5576), """")"),42564.958032407405)</f>
        <v>42564.95803</v>
      </c>
      <c r="G5576" s="20">
        <f t="shared" si="1"/>
        <v>22</v>
      </c>
      <c r="H5576" s="18" t="s">
        <v>34</v>
      </c>
      <c r="I5576" s="19" t="str">
        <f>IFERROR(__xludf.DUMMYFUNCTION("IFERROR(TO_DATE(H5576), """")"),"NA")</f>
        <v>NA</v>
      </c>
      <c r="J5576" s="19" t="s">
        <v>13</v>
      </c>
      <c r="K5576" s="22">
        <f t="shared" si="2"/>
        <v>0</v>
      </c>
    </row>
    <row r="5577">
      <c r="A5577" s="18">
        <v>3971.0</v>
      </c>
      <c r="B5577" s="18" t="s">
        <v>32</v>
      </c>
      <c r="C5577" s="18" t="s">
        <v>34</v>
      </c>
      <c r="D5577" s="18" t="s">
        <v>35</v>
      </c>
      <c r="E5577" s="27">
        <v>42564.958125</v>
      </c>
      <c r="F5577" s="19">
        <f>IFERROR(__xludf.DUMMYFUNCTION("IFERROR(TO_DATE(E5577), """")"),42564.958125)</f>
        <v>42564.95813</v>
      </c>
      <c r="G5577" s="20">
        <f t="shared" si="1"/>
        <v>22</v>
      </c>
      <c r="H5577" s="18" t="s">
        <v>34</v>
      </c>
      <c r="I5577" s="19" t="str">
        <f>IFERROR(__xludf.DUMMYFUNCTION("IFERROR(TO_DATE(H5577), """")"),"NA")</f>
        <v>NA</v>
      </c>
      <c r="J5577" s="19" t="s">
        <v>13</v>
      </c>
      <c r="K5577" s="22">
        <f t="shared" si="2"/>
        <v>0</v>
      </c>
    </row>
    <row r="5578">
      <c r="A5578" s="18">
        <v>3972.0</v>
      </c>
      <c r="B5578" s="18" t="s">
        <v>32</v>
      </c>
      <c r="C5578" s="18" t="s">
        <v>34</v>
      </c>
      <c r="D5578" s="18" t="s">
        <v>35</v>
      </c>
      <c r="E5578" s="27">
        <v>42564.95877314815</v>
      </c>
      <c r="F5578" s="19">
        <f>IFERROR(__xludf.DUMMYFUNCTION("IFERROR(TO_DATE(E5578), """")"),42564.95877314815)</f>
        <v>42564.95877</v>
      </c>
      <c r="G5578" s="20">
        <f t="shared" si="1"/>
        <v>23</v>
      </c>
      <c r="H5578" s="18" t="s">
        <v>34</v>
      </c>
      <c r="I5578" s="19" t="str">
        <f>IFERROR(__xludf.DUMMYFUNCTION("IFERROR(TO_DATE(H5578), """")"),"NA")</f>
        <v>NA</v>
      </c>
      <c r="J5578" s="19" t="s">
        <v>13</v>
      </c>
      <c r="K5578" s="22">
        <f t="shared" si="2"/>
        <v>0</v>
      </c>
    </row>
    <row r="5579">
      <c r="A5579" s="18">
        <v>3975.0</v>
      </c>
      <c r="B5579" s="18" t="s">
        <v>32</v>
      </c>
      <c r="C5579" s="18" t="s">
        <v>34</v>
      </c>
      <c r="D5579" s="18" t="s">
        <v>35</v>
      </c>
      <c r="E5579" s="27">
        <v>42564.961539351854</v>
      </c>
      <c r="F5579" s="19">
        <f>IFERROR(__xludf.DUMMYFUNCTION("IFERROR(TO_DATE(E5579), """")"),42564.961539351854)</f>
        <v>42564.96154</v>
      </c>
      <c r="G5579" s="20">
        <f t="shared" si="1"/>
        <v>23</v>
      </c>
      <c r="H5579" s="18" t="s">
        <v>34</v>
      </c>
      <c r="I5579" s="19" t="str">
        <f>IFERROR(__xludf.DUMMYFUNCTION("IFERROR(TO_DATE(H5579), """")"),"NA")</f>
        <v>NA</v>
      </c>
      <c r="J5579" s="19" t="s">
        <v>13</v>
      </c>
      <c r="K5579" s="22">
        <f t="shared" si="2"/>
        <v>0</v>
      </c>
    </row>
    <row r="5580">
      <c r="A5580" s="18">
        <v>3976.0</v>
      </c>
      <c r="B5580" s="18" t="s">
        <v>32</v>
      </c>
      <c r="C5580" s="18" t="s">
        <v>34</v>
      </c>
      <c r="D5580" s="18" t="s">
        <v>35</v>
      </c>
      <c r="E5580" s="27">
        <v>42564.963842592595</v>
      </c>
      <c r="F5580" s="19">
        <f>IFERROR(__xludf.DUMMYFUNCTION("IFERROR(TO_DATE(E5580), """")"),42564.963842592595)</f>
        <v>42564.96384</v>
      </c>
      <c r="G5580" s="20">
        <f t="shared" si="1"/>
        <v>23</v>
      </c>
      <c r="H5580" s="18" t="s">
        <v>34</v>
      </c>
      <c r="I5580" s="19" t="str">
        <f>IFERROR(__xludf.DUMMYFUNCTION("IFERROR(TO_DATE(H5580), """")"),"NA")</f>
        <v>NA</v>
      </c>
      <c r="J5580" s="19" t="s">
        <v>13</v>
      </c>
      <c r="K5580" s="22">
        <f t="shared" si="2"/>
        <v>0</v>
      </c>
    </row>
    <row r="5581">
      <c r="A5581" s="18">
        <v>3980.0</v>
      </c>
      <c r="B5581" s="18" t="s">
        <v>32</v>
      </c>
      <c r="C5581" s="18" t="s">
        <v>34</v>
      </c>
      <c r="D5581" s="18" t="s">
        <v>35</v>
      </c>
      <c r="E5581" s="27">
        <v>42564.96958333333</v>
      </c>
      <c r="F5581" s="19">
        <f>IFERROR(__xludf.DUMMYFUNCTION("IFERROR(TO_DATE(E5581), """")"),42564.96958333333)</f>
        <v>42564.96958</v>
      </c>
      <c r="G5581" s="20">
        <f t="shared" si="1"/>
        <v>23</v>
      </c>
      <c r="H5581" s="18" t="s">
        <v>34</v>
      </c>
      <c r="I5581" s="19" t="str">
        <f>IFERROR(__xludf.DUMMYFUNCTION("IFERROR(TO_DATE(H5581), """")"),"NA")</f>
        <v>NA</v>
      </c>
      <c r="J5581" s="19" t="s">
        <v>13</v>
      </c>
      <c r="K5581" s="22">
        <f t="shared" si="2"/>
        <v>0</v>
      </c>
    </row>
    <row r="5582">
      <c r="A5582" s="18">
        <v>3984.0</v>
      </c>
      <c r="B5582" s="18" t="s">
        <v>30</v>
      </c>
      <c r="C5582" s="18" t="s">
        <v>34</v>
      </c>
      <c r="D5582" s="18" t="s">
        <v>35</v>
      </c>
      <c r="E5582" s="27">
        <v>42564.97016203704</v>
      </c>
      <c r="F5582" s="19">
        <f>IFERROR(__xludf.DUMMYFUNCTION("IFERROR(TO_DATE(E5582), """")"),42564.97016203704)</f>
        <v>42564.97016</v>
      </c>
      <c r="G5582" s="20">
        <f t="shared" si="1"/>
        <v>23</v>
      </c>
      <c r="H5582" s="18" t="s">
        <v>34</v>
      </c>
      <c r="I5582" s="19" t="str">
        <f>IFERROR(__xludf.DUMMYFUNCTION("IFERROR(TO_DATE(H5582), """")"),"NA")</f>
        <v>NA</v>
      </c>
      <c r="J5582" s="19" t="s">
        <v>13</v>
      </c>
      <c r="K5582" s="22">
        <f t="shared" si="2"/>
        <v>0</v>
      </c>
    </row>
    <row r="5583">
      <c r="A5583" s="18">
        <v>3986.0</v>
      </c>
      <c r="B5583" s="18" t="s">
        <v>30</v>
      </c>
      <c r="C5583" s="18" t="s">
        <v>34</v>
      </c>
      <c r="D5583" s="18" t="s">
        <v>35</v>
      </c>
      <c r="E5583" s="27">
        <v>42564.97047453704</v>
      </c>
      <c r="F5583" s="19">
        <f>IFERROR(__xludf.DUMMYFUNCTION("IFERROR(TO_DATE(E5583), """")"),42564.97047453704)</f>
        <v>42564.97047</v>
      </c>
      <c r="G5583" s="20">
        <f t="shared" si="1"/>
        <v>23</v>
      </c>
      <c r="H5583" s="18" t="s">
        <v>34</v>
      </c>
      <c r="I5583" s="19" t="str">
        <f>IFERROR(__xludf.DUMMYFUNCTION("IFERROR(TO_DATE(H5583), """")"),"NA")</f>
        <v>NA</v>
      </c>
      <c r="J5583" s="19" t="s">
        <v>13</v>
      </c>
      <c r="K5583" s="22">
        <f t="shared" si="2"/>
        <v>0</v>
      </c>
    </row>
    <row r="5584">
      <c r="A5584" s="18">
        <v>3988.0</v>
      </c>
      <c r="B5584" s="18" t="s">
        <v>32</v>
      </c>
      <c r="C5584" s="18" t="s">
        <v>34</v>
      </c>
      <c r="D5584" s="18" t="s">
        <v>35</v>
      </c>
      <c r="E5584" s="27">
        <v>42564.97472222222</v>
      </c>
      <c r="F5584" s="19">
        <f>IFERROR(__xludf.DUMMYFUNCTION("IFERROR(TO_DATE(E5584), """")"),42564.97472222222)</f>
        <v>42564.97472</v>
      </c>
      <c r="G5584" s="20">
        <f t="shared" si="1"/>
        <v>23</v>
      </c>
      <c r="H5584" s="18" t="s">
        <v>34</v>
      </c>
      <c r="I5584" s="19" t="str">
        <f>IFERROR(__xludf.DUMMYFUNCTION("IFERROR(TO_DATE(H5584), """")"),"NA")</f>
        <v>NA</v>
      </c>
      <c r="J5584" s="19" t="s">
        <v>13</v>
      </c>
      <c r="K5584" s="22">
        <f t="shared" si="2"/>
        <v>0</v>
      </c>
    </row>
    <row r="5585">
      <c r="A5585" s="18">
        <v>3995.0</v>
      </c>
      <c r="B5585" s="18" t="s">
        <v>32</v>
      </c>
      <c r="C5585" s="18" t="s">
        <v>34</v>
      </c>
      <c r="D5585" s="18" t="s">
        <v>35</v>
      </c>
      <c r="E5585" s="27">
        <v>42564.98353009259</v>
      </c>
      <c r="F5585" s="19">
        <f>IFERROR(__xludf.DUMMYFUNCTION("IFERROR(TO_DATE(E5585), """")"),42564.98353009259)</f>
        <v>42564.98353</v>
      </c>
      <c r="G5585" s="20">
        <f t="shared" si="1"/>
        <v>23</v>
      </c>
      <c r="H5585" s="18" t="s">
        <v>34</v>
      </c>
      <c r="I5585" s="19" t="str">
        <f>IFERROR(__xludf.DUMMYFUNCTION("IFERROR(TO_DATE(H5585), """")"),"NA")</f>
        <v>NA</v>
      </c>
      <c r="J5585" s="19" t="s">
        <v>13</v>
      </c>
      <c r="K5585" s="22">
        <f t="shared" si="2"/>
        <v>0</v>
      </c>
    </row>
    <row r="5586">
      <c r="A5586" s="18">
        <v>3998.0</v>
      </c>
      <c r="B5586" s="18" t="s">
        <v>30</v>
      </c>
      <c r="C5586" s="18" t="s">
        <v>34</v>
      </c>
      <c r="D5586" s="18" t="s">
        <v>35</v>
      </c>
      <c r="E5586" s="27">
        <v>42564.98550925926</v>
      </c>
      <c r="F5586" s="19">
        <f>IFERROR(__xludf.DUMMYFUNCTION("IFERROR(TO_DATE(E5586), """")"),42564.98550925926)</f>
        <v>42564.98551</v>
      </c>
      <c r="G5586" s="20">
        <f t="shared" si="1"/>
        <v>23</v>
      </c>
      <c r="H5586" s="18" t="s">
        <v>34</v>
      </c>
      <c r="I5586" s="19" t="str">
        <f>IFERROR(__xludf.DUMMYFUNCTION("IFERROR(TO_DATE(H5586), """")"),"NA")</f>
        <v>NA</v>
      </c>
      <c r="J5586" s="19" t="s">
        <v>13</v>
      </c>
      <c r="K5586" s="22">
        <f t="shared" si="2"/>
        <v>0</v>
      </c>
    </row>
    <row r="5587">
      <c r="A5587" s="18">
        <v>4001.0</v>
      </c>
      <c r="B5587" s="18" t="s">
        <v>32</v>
      </c>
      <c r="C5587" s="18" t="s">
        <v>34</v>
      </c>
      <c r="D5587" s="18" t="s">
        <v>35</v>
      </c>
      <c r="E5587" s="27">
        <v>42564.98601851852</v>
      </c>
      <c r="F5587" s="19">
        <f>IFERROR(__xludf.DUMMYFUNCTION("IFERROR(TO_DATE(E5587), """")"),42564.98601851852)</f>
        <v>42564.98602</v>
      </c>
      <c r="G5587" s="20">
        <f t="shared" si="1"/>
        <v>23</v>
      </c>
      <c r="H5587" s="18" t="s">
        <v>34</v>
      </c>
      <c r="I5587" s="19" t="str">
        <f>IFERROR(__xludf.DUMMYFUNCTION("IFERROR(TO_DATE(H5587), """")"),"NA")</f>
        <v>NA</v>
      </c>
      <c r="J5587" s="19" t="s">
        <v>13</v>
      </c>
      <c r="K5587" s="22">
        <f t="shared" si="2"/>
        <v>0</v>
      </c>
    </row>
    <row r="5588">
      <c r="A5588" s="18">
        <v>4006.0</v>
      </c>
      <c r="B5588" s="18" t="s">
        <v>32</v>
      </c>
      <c r="C5588" s="18" t="s">
        <v>34</v>
      </c>
      <c r="D5588" s="18" t="s">
        <v>35</v>
      </c>
      <c r="E5588" s="27">
        <v>42564.98978009259</v>
      </c>
      <c r="F5588" s="19">
        <f>IFERROR(__xludf.DUMMYFUNCTION("IFERROR(TO_DATE(E5588), """")"),42564.98978009259)</f>
        <v>42564.98978</v>
      </c>
      <c r="G5588" s="20">
        <f t="shared" si="1"/>
        <v>23</v>
      </c>
      <c r="H5588" s="18" t="s">
        <v>34</v>
      </c>
      <c r="I5588" s="19" t="str">
        <f>IFERROR(__xludf.DUMMYFUNCTION("IFERROR(TO_DATE(H5588), """")"),"NA")</f>
        <v>NA</v>
      </c>
      <c r="J5588" s="19" t="s">
        <v>13</v>
      </c>
      <c r="K5588" s="22">
        <f t="shared" si="2"/>
        <v>0</v>
      </c>
    </row>
    <row r="5589">
      <c r="A5589" s="18">
        <v>4000.0</v>
      </c>
      <c r="B5589" s="18" t="s">
        <v>32</v>
      </c>
      <c r="C5589" s="18" t="s">
        <v>34</v>
      </c>
      <c r="D5589" s="18" t="s">
        <v>35</v>
      </c>
      <c r="E5589" s="27">
        <v>42564.99153935185</v>
      </c>
      <c r="F5589" s="19">
        <f>IFERROR(__xludf.DUMMYFUNCTION("IFERROR(TO_DATE(E5589), """")"),42564.99153935185)</f>
        <v>42564.99154</v>
      </c>
      <c r="G5589" s="20">
        <f t="shared" si="1"/>
        <v>23</v>
      </c>
      <c r="H5589" s="18" t="s">
        <v>34</v>
      </c>
      <c r="I5589" s="19" t="str">
        <f>IFERROR(__xludf.DUMMYFUNCTION("IFERROR(TO_DATE(H5589), """")"),"NA")</f>
        <v>NA</v>
      </c>
      <c r="J5589" s="19" t="s">
        <v>13</v>
      </c>
      <c r="K5589" s="22">
        <f t="shared" si="2"/>
        <v>0</v>
      </c>
    </row>
    <row r="5590">
      <c r="A5590" s="18">
        <v>4017.0</v>
      </c>
      <c r="B5590" s="18" t="s">
        <v>32</v>
      </c>
      <c r="C5590" s="18" t="s">
        <v>34</v>
      </c>
      <c r="D5590" s="18" t="s">
        <v>35</v>
      </c>
      <c r="E5590" s="27">
        <v>42564.993263888886</v>
      </c>
      <c r="F5590" s="19">
        <f>IFERROR(__xludf.DUMMYFUNCTION("IFERROR(TO_DATE(E5590), """")"),42564.993263888886)</f>
        <v>42564.99326</v>
      </c>
      <c r="G5590" s="20">
        <f t="shared" si="1"/>
        <v>23</v>
      </c>
      <c r="H5590" s="18" t="s">
        <v>34</v>
      </c>
      <c r="I5590" s="19" t="str">
        <f>IFERROR(__xludf.DUMMYFUNCTION("IFERROR(TO_DATE(H5590), """")"),"NA")</f>
        <v>NA</v>
      </c>
      <c r="J5590" s="19" t="s">
        <v>13</v>
      </c>
      <c r="K5590" s="22">
        <f t="shared" si="2"/>
        <v>0</v>
      </c>
    </row>
    <row r="5591">
      <c r="A5591" s="18">
        <v>4010.0</v>
      </c>
      <c r="B5591" s="18" t="s">
        <v>30</v>
      </c>
      <c r="C5591" s="18" t="s">
        <v>34</v>
      </c>
      <c r="D5591" s="18" t="s">
        <v>35</v>
      </c>
      <c r="E5591" s="27">
        <v>42564.99363425926</v>
      </c>
      <c r="F5591" s="19">
        <f>IFERROR(__xludf.DUMMYFUNCTION("IFERROR(TO_DATE(E5591), """")"),42564.99363425926)</f>
        <v>42564.99363</v>
      </c>
      <c r="G5591" s="20">
        <f t="shared" si="1"/>
        <v>23</v>
      </c>
      <c r="H5591" s="18" t="s">
        <v>34</v>
      </c>
      <c r="I5591" s="19" t="str">
        <f>IFERROR(__xludf.DUMMYFUNCTION("IFERROR(TO_DATE(H5591), """")"),"NA")</f>
        <v>NA</v>
      </c>
      <c r="J5591" s="19" t="s">
        <v>13</v>
      </c>
      <c r="K5591" s="22">
        <f t="shared" si="2"/>
        <v>0</v>
      </c>
    </row>
    <row r="5592">
      <c r="A5592" s="18">
        <v>4015.0</v>
      </c>
      <c r="B5592" s="18" t="s">
        <v>32</v>
      </c>
      <c r="C5592" s="18" t="s">
        <v>34</v>
      </c>
      <c r="D5592" s="18" t="s">
        <v>35</v>
      </c>
      <c r="E5592" s="27">
        <v>42564.99481481482</v>
      </c>
      <c r="F5592" s="19">
        <f>IFERROR(__xludf.DUMMYFUNCTION("IFERROR(TO_DATE(E5592), """")"),42564.99481481482)</f>
        <v>42564.99481</v>
      </c>
      <c r="G5592" s="20">
        <f t="shared" si="1"/>
        <v>23</v>
      </c>
      <c r="H5592" s="18" t="s">
        <v>34</v>
      </c>
      <c r="I5592" s="19" t="str">
        <f>IFERROR(__xludf.DUMMYFUNCTION("IFERROR(TO_DATE(H5592), """")"),"NA")</f>
        <v>NA</v>
      </c>
      <c r="J5592" s="19" t="s">
        <v>13</v>
      </c>
      <c r="K5592" s="22">
        <f t="shared" si="2"/>
        <v>0</v>
      </c>
    </row>
    <row r="5593">
      <c r="A5593" s="18">
        <v>4013.0</v>
      </c>
      <c r="B5593" s="18" t="s">
        <v>32</v>
      </c>
      <c r="C5593" s="18" t="s">
        <v>34</v>
      </c>
      <c r="D5593" s="18" t="s">
        <v>35</v>
      </c>
      <c r="E5593" s="27">
        <v>42564.99550925926</v>
      </c>
      <c r="F5593" s="19">
        <f>IFERROR(__xludf.DUMMYFUNCTION("IFERROR(TO_DATE(E5593), """")"),42564.99550925926)</f>
        <v>42564.99551</v>
      </c>
      <c r="G5593" s="20">
        <f t="shared" si="1"/>
        <v>23</v>
      </c>
      <c r="H5593" s="18" t="s">
        <v>34</v>
      </c>
      <c r="I5593" s="19" t="str">
        <f>IFERROR(__xludf.DUMMYFUNCTION("IFERROR(TO_DATE(H5593), """")"),"NA")</f>
        <v>NA</v>
      </c>
      <c r="J5593" s="19" t="s">
        <v>13</v>
      </c>
      <c r="K5593" s="22">
        <f t="shared" si="2"/>
        <v>0</v>
      </c>
    </row>
    <row r="5594">
      <c r="A5594" s="18">
        <v>4014.0</v>
      </c>
      <c r="B5594" s="18" t="s">
        <v>32</v>
      </c>
      <c r="C5594" s="18" t="s">
        <v>34</v>
      </c>
      <c r="D5594" s="18" t="s">
        <v>35</v>
      </c>
      <c r="E5594" s="27">
        <v>42564.9978587963</v>
      </c>
      <c r="F5594" s="19">
        <f>IFERROR(__xludf.DUMMYFUNCTION("IFERROR(TO_DATE(E5594), """")"),42564.9978587963)</f>
        <v>42564.99786</v>
      </c>
      <c r="G5594" s="20">
        <f t="shared" si="1"/>
        <v>23</v>
      </c>
      <c r="H5594" s="18" t="s">
        <v>34</v>
      </c>
      <c r="I5594" s="19" t="str">
        <f>IFERROR(__xludf.DUMMYFUNCTION("IFERROR(TO_DATE(H5594), """")"),"NA")</f>
        <v>NA</v>
      </c>
      <c r="J5594" s="19" t="s">
        <v>13</v>
      </c>
      <c r="K5594" s="22">
        <f t="shared" si="2"/>
        <v>0</v>
      </c>
    </row>
    <row r="5595">
      <c r="A5595" s="18">
        <v>4016.0</v>
      </c>
      <c r="B5595" s="18" t="s">
        <v>32</v>
      </c>
      <c r="C5595" s="18" t="s">
        <v>34</v>
      </c>
      <c r="D5595" s="18" t="s">
        <v>35</v>
      </c>
      <c r="E5595" s="27">
        <v>42564.99932870371</v>
      </c>
      <c r="F5595" s="19">
        <f>IFERROR(__xludf.DUMMYFUNCTION("IFERROR(TO_DATE(E5595), """")"),42564.99932870371)</f>
        <v>42564.99933</v>
      </c>
      <c r="G5595" s="20">
        <f t="shared" si="1"/>
        <v>23</v>
      </c>
      <c r="H5595" s="18" t="s">
        <v>34</v>
      </c>
      <c r="I5595" s="19" t="str">
        <f>IFERROR(__xludf.DUMMYFUNCTION("IFERROR(TO_DATE(H5595), """")"),"NA")</f>
        <v>NA</v>
      </c>
      <c r="J5595" s="19" t="s">
        <v>13</v>
      </c>
      <c r="K5595" s="22">
        <f t="shared" si="2"/>
        <v>0</v>
      </c>
    </row>
    <row r="5596">
      <c r="A5596" s="18">
        <v>4028.0</v>
      </c>
      <c r="B5596" s="18" t="s">
        <v>32</v>
      </c>
      <c r="C5596" s="18" t="s">
        <v>34</v>
      </c>
      <c r="D5596" s="18" t="s">
        <v>35</v>
      </c>
      <c r="E5596" s="27">
        <v>42565.00628472222</v>
      </c>
      <c r="F5596" s="19">
        <f>IFERROR(__xludf.DUMMYFUNCTION("IFERROR(TO_DATE(E5596), """")"),42565.00628472222)</f>
        <v>42565.00628</v>
      </c>
      <c r="G5596" s="20">
        <f t="shared" si="1"/>
        <v>0</v>
      </c>
      <c r="H5596" s="18" t="s">
        <v>34</v>
      </c>
      <c r="I5596" s="19" t="str">
        <f>IFERROR(__xludf.DUMMYFUNCTION("IFERROR(TO_DATE(H5596), """")"),"NA")</f>
        <v>NA</v>
      </c>
      <c r="J5596" s="19" t="s">
        <v>15</v>
      </c>
      <c r="K5596" s="22">
        <f t="shared" si="2"/>
        <v>0</v>
      </c>
    </row>
    <row r="5597">
      <c r="A5597" s="18">
        <v>4029.0</v>
      </c>
      <c r="B5597" s="18" t="s">
        <v>32</v>
      </c>
      <c r="C5597" s="18" t="s">
        <v>34</v>
      </c>
      <c r="D5597" s="18" t="s">
        <v>35</v>
      </c>
      <c r="E5597" s="27">
        <v>42565.01002314815</v>
      </c>
      <c r="F5597" s="19">
        <f>IFERROR(__xludf.DUMMYFUNCTION("IFERROR(TO_DATE(E5597), """")"),42565.01002314815)</f>
        <v>42565.01002</v>
      </c>
      <c r="G5597" s="20">
        <f t="shared" si="1"/>
        <v>0</v>
      </c>
      <c r="H5597" s="18" t="s">
        <v>34</v>
      </c>
      <c r="I5597" s="19" t="str">
        <f>IFERROR(__xludf.DUMMYFUNCTION("IFERROR(TO_DATE(H5597), """")"),"NA")</f>
        <v>NA</v>
      </c>
      <c r="J5597" s="19" t="s">
        <v>15</v>
      </c>
      <c r="K5597" s="22">
        <f t="shared" si="2"/>
        <v>0</v>
      </c>
    </row>
    <row r="5598">
      <c r="A5598" s="18">
        <v>4032.0</v>
      </c>
      <c r="B5598" s="18" t="s">
        <v>32</v>
      </c>
      <c r="C5598" s="18" t="s">
        <v>34</v>
      </c>
      <c r="D5598" s="18" t="s">
        <v>35</v>
      </c>
      <c r="E5598" s="27">
        <v>42565.01091435185</v>
      </c>
      <c r="F5598" s="19">
        <f>IFERROR(__xludf.DUMMYFUNCTION("IFERROR(TO_DATE(E5598), """")"),42565.01091435185)</f>
        <v>42565.01091</v>
      </c>
      <c r="G5598" s="20">
        <f t="shared" si="1"/>
        <v>0</v>
      </c>
      <c r="H5598" s="18" t="s">
        <v>34</v>
      </c>
      <c r="I5598" s="19" t="str">
        <f>IFERROR(__xludf.DUMMYFUNCTION("IFERROR(TO_DATE(H5598), """")"),"NA")</f>
        <v>NA</v>
      </c>
      <c r="J5598" s="19" t="s">
        <v>15</v>
      </c>
      <c r="K5598" s="22">
        <f t="shared" si="2"/>
        <v>0</v>
      </c>
    </row>
    <row r="5599">
      <c r="A5599" s="18">
        <v>4033.0</v>
      </c>
      <c r="B5599" s="18" t="s">
        <v>30</v>
      </c>
      <c r="C5599" s="18" t="s">
        <v>34</v>
      </c>
      <c r="D5599" s="18" t="s">
        <v>35</v>
      </c>
      <c r="E5599" s="27">
        <v>42565.017743055556</v>
      </c>
      <c r="F5599" s="19">
        <f>IFERROR(__xludf.DUMMYFUNCTION("IFERROR(TO_DATE(E5599), """")"),42565.017743055556)</f>
        <v>42565.01774</v>
      </c>
      <c r="G5599" s="20">
        <f t="shared" si="1"/>
        <v>0</v>
      </c>
      <c r="H5599" s="18" t="s">
        <v>34</v>
      </c>
      <c r="I5599" s="19" t="str">
        <f>IFERROR(__xludf.DUMMYFUNCTION("IFERROR(TO_DATE(H5599), """")"),"NA")</f>
        <v>NA</v>
      </c>
      <c r="J5599" s="19" t="s">
        <v>15</v>
      </c>
      <c r="K5599" s="22">
        <f t="shared" si="2"/>
        <v>0</v>
      </c>
    </row>
    <row r="5600">
      <c r="A5600" s="18">
        <v>4034.0</v>
      </c>
      <c r="B5600" s="18" t="s">
        <v>32</v>
      </c>
      <c r="C5600" s="18" t="s">
        <v>34</v>
      </c>
      <c r="D5600" s="18" t="s">
        <v>35</v>
      </c>
      <c r="E5600" s="27">
        <v>42565.02071759259</v>
      </c>
      <c r="F5600" s="19">
        <f>IFERROR(__xludf.DUMMYFUNCTION("IFERROR(TO_DATE(E5600), """")"),42565.02071759259)</f>
        <v>42565.02072</v>
      </c>
      <c r="G5600" s="20">
        <f t="shared" si="1"/>
        <v>0</v>
      </c>
      <c r="H5600" s="18" t="s">
        <v>34</v>
      </c>
      <c r="I5600" s="19" t="str">
        <f>IFERROR(__xludf.DUMMYFUNCTION("IFERROR(TO_DATE(H5600), """")"),"NA")</f>
        <v>NA</v>
      </c>
      <c r="J5600" s="19" t="s">
        <v>15</v>
      </c>
      <c r="K5600" s="22">
        <f t="shared" si="2"/>
        <v>0</v>
      </c>
    </row>
    <row r="5601">
      <c r="A5601" s="18">
        <v>4035.0</v>
      </c>
      <c r="B5601" s="18" t="s">
        <v>30</v>
      </c>
      <c r="C5601" s="18" t="s">
        <v>34</v>
      </c>
      <c r="D5601" s="18" t="s">
        <v>35</v>
      </c>
      <c r="E5601" s="27">
        <v>42565.02180555555</v>
      </c>
      <c r="F5601" s="19">
        <f>IFERROR(__xludf.DUMMYFUNCTION("IFERROR(TO_DATE(E5601), """")"),42565.02180555555)</f>
        <v>42565.02181</v>
      </c>
      <c r="G5601" s="20">
        <f t="shared" si="1"/>
        <v>0</v>
      </c>
      <c r="H5601" s="18" t="s">
        <v>34</v>
      </c>
      <c r="I5601" s="19" t="str">
        <f>IFERROR(__xludf.DUMMYFUNCTION("IFERROR(TO_DATE(H5601), """")"),"NA")</f>
        <v>NA</v>
      </c>
      <c r="J5601" s="19" t="s">
        <v>15</v>
      </c>
      <c r="K5601" s="22">
        <f t="shared" si="2"/>
        <v>0</v>
      </c>
    </row>
    <row r="5602">
      <c r="A5602" s="18">
        <v>4036.0</v>
      </c>
      <c r="B5602" s="18" t="s">
        <v>30</v>
      </c>
      <c r="C5602" s="18" t="s">
        <v>34</v>
      </c>
      <c r="D5602" s="18" t="s">
        <v>35</v>
      </c>
      <c r="E5602" s="27">
        <v>42565.0221875</v>
      </c>
      <c r="F5602" s="19">
        <f>IFERROR(__xludf.DUMMYFUNCTION("IFERROR(TO_DATE(E5602), """")"),42565.0221875)</f>
        <v>42565.02219</v>
      </c>
      <c r="G5602" s="20">
        <f t="shared" si="1"/>
        <v>0</v>
      </c>
      <c r="H5602" s="18" t="s">
        <v>34</v>
      </c>
      <c r="I5602" s="19" t="str">
        <f>IFERROR(__xludf.DUMMYFUNCTION("IFERROR(TO_DATE(H5602), """")"),"NA")</f>
        <v>NA</v>
      </c>
      <c r="J5602" s="19" t="s">
        <v>15</v>
      </c>
      <c r="K5602" s="22">
        <f t="shared" si="2"/>
        <v>0</v>
      </c>
    </row>
    <row r="5603">
      <c r="A5603" s="18">
        <v>4038.0</v>
      </c>
      <c r="B5603" s="18" t="s">
        <v>30</v>
      </c>
      <c r="C5603" s="18" t="s">
        <v>34</v>
      </c>
      <c r="D5603" s="18" t="s">
        <v>35</v>
      </c>
      <c r="E5603" s="27">
        <v>42565.02386574074</v>
      </c>
      <c r="F5603" s="19">
        <f>IFERROR(__xludf.DUMMYFUNCTION("IFERROR(TO_DATE(E5603), """")"),42565.02386574074)</f>
        <v>42565.02387</v>
      </c>
      <c r="G5603" s="20">
        <f t="shared" si="1"/>
        <v>0</v>
      </c>
      <c r="H5603" s="18" t="s">
        <v>34</v>
      </c>
      <c r="I5603" s="19" t="str">
        <f>IFERROR(__xludf.DUMMYFUNCTION("IFERROR(TO_DATE(H5603), """")"),"NA")</f>
        <v>NA</v>
      </c>
      <c r="J5603" s="19" t="s">
        <v>15</v>
      </c>
      <c r="K5603" s="22">
        <f t="shared" si="2"/>
        <v>0</v>
      </c>
    </row>
    <row r="5604">
      <c r="A5604" s="18">
        <v>4042.0</v>
      </c>
      <c r="B5604" s="18" t="s">
        <v>30</v>
      </c>
      <c r="C5604" s="18" t="s">
        <v>34</v>
      </c>
      <c r="D5604" s="18" t="s">
        <v>35</v>
      </c>
      <c r="E5604" s="27">
        <v>42565.027233796296</v>
      </c>
      <c r="F5604" s="19">
        <f>IFERROR(__xludf.DUMMYFUNCTION("IFERROR(TO_DATE(E5604), """")"),42565.027233796296)</f>
        <v>42565.02723</v>
      </c>
      <c r="G5604" s="20">
        <f t="shared" si="1"/>
        <v>0</v>
      </c>
      <c r="H5604" s="18" t="s">
        <v>34</v>
      </c>
      <c r="I5604" s="19" t="str">
        <f>IFERROR(__xludf.DUMMYFUNCTION("IFERROR(TO_DATE(H5604), """")"),"NA")</f>
        <v>NA</v>
      </c>
      <c r="J5604" s="19" t="s">
        <v>15</v>
      </c>
      <c r="K5604" s="22">
        <f t="shared" si="2"/>
        <v>0</v>
      </c>
    </row>
    <row r="5605">
      <c r="A5605" s="18">
        <v>4044.0</v>
      </c>
      <c r="B5605" s="18" t="s">
        <v>30</v>
      </c>
      <c r="C5605" s="18" t="s">
        <v>34</v>
      </c>
      <c r="D5605" s="18" t="s">
        <v>35</v>
      </c>
      <c r="E5605" s="27">
        <v>42565.035844907405</v>
      </c>
      <c r="F5605" s="19">
        <f>IFERROR(__xludf.DUMMYFUNCTION("IFERROR(TO_DATE(E5605), """")"),42565.035844907405)</f>
        <v>42565.03584</v>
      </c>
      <c r="G5605" s="20">
        <f t="shared" si="1"/>
        <v>0</v>
      </c>
      <c r="H5605" s="18" t="s">
        <v>34</v>
      </c>
      <c r="I5605" s="19" t="str">
        <f>IFERROR(__xludf.DUMMYFUNCTION("IFERROR(TO_DATE(H5605), """")"),"NA")</f>
        <v>NA</v>
      </c>
      <c r="J5605" s="19" t="s">
        <v>15</v>
      </c>
      <c r="K5605" s="22">
        <f t="shared" si="2"/>
        <v>0</v>
      </c>
    </row>
    <row r="5606">
      <c r="A5606" s="18">
        <v>4046.0</v>
      </c>
      <c r="B5606" s="18" t="s">
        <v>32</v>
      </c>
      <c r="C5606" s="18" t="s">
        <v>34</v>
      </c>
      <c r="D5606" s="18" t="s">
        <v>35</v>
      </c>
      <c r="E5606" s="27">
        <v>42565.039618055554</v>
      </c>
      <c r="F5606" s="19">
        <f>IFERROR(__xludf.DUMMYFUNCTION("IFERROR(TO_DATE(E5606), """")"),42565.039618055554)</f>
        <v>42565.03962</v>
      </c>
      <c r="G5606" s="20">
        <f t="shared" si="1"/>
        <v>0</v>
      </c>
      <c r="H5606" s="18" t="s">
        <v>34</v>
      </c>
      <c r="I5606" s="19" t="str">
        <f>IFERROR(__xludf.DUMMYFUNCTION("IFERROR(TO_DATE(H5606), """")"),"NA")</f>
        <v>NA</v>
      </c>
      <c r="J5606" s="19" t="s">
        <v>15</v>
      </c>
      <c r="K5606" s="22">
        <f t="shared" si="2"/>
        <v>0</v>
      </c>
    </row>
    <row r="5607">
      <c r="A5607" s="18">
        <v>4047.0</v>
      </c>
      <c r="B5607" s="18" t="s">
        <v>32</v>
      </c>
      <c r="C5607" s="18" t="s">
        <v>34</v>
      </c>
      <c r="D5607" s="18" t="s">
        <v>35</v>
      </c>
      <c r="E5607" s="27">
        <v>42565.042280092595</v>
      </c>
      <c r="F5607" s="19">
        <f>IFERROR(__xludf.DUMMYFUNCTION("IFERROR(TO_DATE(E5607), """")"),42565.042280092595)</f>
        <v>42565.04228</v>
      </c>
      <c r="G5607" s="20">
        <f t="shared" si="1"/>
        <v>1</v>
      </c>
      <c r="H5607" s="18" t="s">
        <v>34</v>
      </c>
      <c r="I5607" s="19" t="str">
        <f>IFERROR(__xludf.DUMMYFUNCTION("IFERROR(TO_DATE(H5607), """")"),"NA")</f>
        <v>NA</v>
      </c>
      <c r="J5607" s="19" t="s">
        <v>15</v>
      </c>
      <c r="K5607" s="22">
        <f t="shared" si="2"/>
        <v>0</v>
      </c>
    </row>
    <row r="5608">
      <c r="A5608" s="18">
        <v>4048.0</v>
      </c>
      <c r="B5608" s="18" t="s">
        <v>30</v>
      </c>
      <c r="C5608" s="18" t="s">
        <v>34</v>
      </c>
      <c r="D5608" s="18" t="s">
        <v>35</v>
      </c>
      <c r="E5608" s="27">
        <v>42565.0440625</v>
      </c>
      <c r="F5608" s="19">
        <f>IFERROR(__xludf.DUMMYFUNCTION("IFERROR(TO_DATE(E5608), """")"),42565.0440625)</f>
        <v>42565.04406</v>
      </c>
      <c r="G5608" s="20">
        <f t="shared" si="1"/>
        <v>1</v>
      </c>
      <c r="H5608" s="18" t="s">
        <v>34</v>
      </c>
      <c r="I5608" s="19" t="str">
        <f>IFERROR(__xludf.DUMMYFUNCTION("IFERROR(TO_DATE(H5608), """")"),"NA")</f>
        <v>NA</v>
      </c>
      <c r="J5608" s="19" t="s">
        <v>15</v>
      </c>
      <c r="K5608" s="22">
        <f t="shared" si="2"/>
        <v>0</v>
      </c>
    </row>
    <row r="5609">
      <c r="A5609" s="18">
        <v>4050.0</v>
      </c>
      <c r="B5609" s="18" t="s">
        <v>32</v>
      </c>
      <c r="C5609" s="18" t="s">
        <v>34</v>
      </c>
      <c r="D5609" s="18" t="s">
        <v>35</v>
      </c>
      <c r="E5609" s="27">
        <v>42565.04886574074</v>
      </c>
      <c r="F5609" s="19">
        <f>IFERROR(__xludf.DUMMYFUNCTION("IFERROR(TO_DATE(E5609), """")"),42565.04886574074)</f>
        <v>42565.04887</v>
      </c>
      <c r="G5609" s="20">
        <f t="shared" si="1"/>
        <v>1</v>
      </c>
      <c r="H5609" s="18" t="s">
        <v>34</v>
      </c>
      <c r="I5609" s="19" t="str">
        <f>IFERROR(__xludf.DUMMYFUNCTION("IFERROR(TO_DATE(H5609), """")"),"NA")</f>
        <v>NA</v>
      </c>
      <c r="J5609" s="19" t="s">
        <v>15</v>
      </c>
      <c r="K5609" s="22">
        <f t="shared" si="2"/>
        <v>0</v>
      </c>
    </row>
    <row r="5610">
      <c r="A5610" s="18">
        <v>4053.0</v>
      </c>
      <c r="B5610" s="18" t="s">
        <v>30</v>
      </c>
      <c r="C5610" s="18" t="s">
        <v>34</v>
      </c>
      <c r="D5610" s="18" t="s">
        <v>35</v>
      </c>
      <c r="E5610" s="27">
        <v>42565.05238425926</v>
      </c>
      <c r="F5610" s="19">
        <f>IFERROR(__xludf.DUMMYFUNCTION("IFERROR(TO_DATE(E5610), """")"),42565.05238425926)</f>
        <v>42565.05238</v>
      </c>
      <c r="G5610" s="20">
        <f t="shared" si="1"/>
        <v>1</v>
      </c>
      <c r="H5610" s="18" t="s">
        <v>34</v>
      </c>
      <c r="I5610" s="19" t="str">
        <f>IFERROR(__xludf.DUMMYFUNCTION("IFERROR(TO_DATE(H5610), """")"),"NA")</f>
        <v>NA</v>
      </c>
      <c r="J5610" s="19" t="s">
        <v>15</v>
      </c>
      <c r="K5610" s="22">
        <f t="shared" si="2"/>
        <v>0</v>
      </c>
    </row>
    <row r="5611">
      <c r="A5611" s="18">
        <v>4052.0</v>
      </c>
      <c r="B5611" s="18" t="s">
        <v>32</v>
      </c>
      <c r="C5611" s="18" t="s">
        <v>34</v>
      </c>
      <c r="D5611" s="18" t="s">
        <v>35</v>
      </c>
      <c r="E5611" s="27">
        <v>42565.0531712963</v>
      </c>
      <c r="F5611" s="19">
        <f>IFERROR(__xludf.DUMMYFUNCTION("IFERROR(TO_DATE(E5611), """")"),42565.0531712963)</f>
        <v>42565.05317</v>
      </c>
      <c r="G5611" s="20">
        <f t="shared" si="1"/>
        <v>1</v>
      </c>
      <c r="H5611" s="18" t="s">
        <v>34</v>
      </c>
      <c r="I5611" s="19" t="str">
        <f>IFERROR(__xludf.DUMMYFUNCTION("IFERROR(TO_DATE(H5611), """")"),"NA")</f>
        <v>NA</v>
      </c>
      <c r="J5611" s="19" t="s">
        <v>15</v>
      </c>
      <c r="K5611" s="22">
        <f t="shared" si="2"/>
        <v>0</v>
      </c>
    </row>
    <row r="5612">
      <c r="A5612" s="18">
        <v>4055.0</v>
      </c>
      <c r="B5612" s="18" t="s">
        <v>32</v>
      </c>
      <c r="C5612" s="18" t="s">
        <v>34</v>
      </c>
      <c r="D5612" s="18" t="s">
        <v>35</v>
      </c>
      <c r="E5612" s="27">
        <v>42565.057592592595</v>
      </c>
      <c r="F5612" s="19">
        <f>IFERROR(__xludf.DUMMYFUNCTION("IFERROR(TO_DATE(E5612), """")"),42565.057592592595)</f>
        <v>42565.05759</v>
      </c>
      <c r="G5612" s="20">
        <f t="shared" si="1"/>
        <v>1</v>
      </c>
      <c r="H5612" s="18" t="s">
        <v>34</v>
      </c>
      <c r="I5612" s="19" t="str">
        <f>IFERROR(__xludf.DUMMYFUNCTION("IFERROR(TO_DATE(H5612), """")"),"NA")</f>
        <v>NA</v>
      </c>
      <c r="J5612" s="19" t="s">
        <v>15</v>
      </c>
      <c r="K5612" s="22">
        <f t="shared" si="2"/>
        <v>0</v>
      </c>
    </row>
    <row r="5613">
      <c r="A5613" s="18">
        <v>4054.0</v>
      </c>
      <c r="B5613" s="18" t="s">
        <v>32</v>
      </c>
      <c r="C5613" s="18" t="s">
        <v>34</v>
      </c>
      <c r="D5613" s="18" t="s">
        <v>35</v>
      </c>
      <c r="E5613" s="27">
        <v>42565.05773148148</v>
      </c>
      <c r="F5613" s="19">
        <f>IFERROR(__xludf.DUMMYFUNCTION("IFERROR(TO_DATE(E5613), """")"),42565.05773148148)</f>
        <v>42565.05773</v>
      </c>
      <c r="G5613" s="20">
        <f t="shared" si="1"/>
        <v>1</v>
      </c>
      <c r="H5613" s="18" t="s">
        <v>34</v>
      </c>
      <c r="I5613" s="19" t="str">
        <f>IFERROR(__xludf.DUMMYFUNCTION("IFERROR(TO_DATE(H5613), """")"),"NA")</f>
        <v>NA</v>
      </c>
      <c r="J5613" s="19" t="s">
        <v>15</v>
      </c>
      <c r="K5613" s="22">
        <f t="shared" si="2"/>
        <v>0</v>
      </c>
    </row>
    <row r="5614">
      <c r="A5614" s="18">
        <v>4056.0</v>
      </c>
      <c r="B5614" s="18" t="s">
        <v>32</v>
      </c>
      <c r="C5614" s="18" t="s">
        <v>34</v>
      </c>
      <c r="D5614" s="18" t="s">
        <v>35</v>
      </c>
      <c r="E5614" s="27">
        <v>42565.05931712963</v>
      </c>
      <c r="F5614" s="19">
        <f>IFERROR(__xludf.DUMMYFUNCTION("IFERROR(TO_DATE(E5614), """")"),42565.05931712963)</f>
        <v>42565.05932</v>
      </c>
      <c r="G5614" s="20">
        <f t="shared" si="1"/>
        <v>1</v>
      </c>
      <c r="H5614" s="18" t="s">
        <v>34</v>
      </c>
      <c r="I5614" s="19" t="str">
        <f>IFERROR(__xludf.DUMMYFUNCTION("IFERROR(TO_DATE(H5614), """")"),"NA")</f>
        <v>NA</v>
      </c>
      <c r="J5614" s="19" t="s">
        <v>15</v>
      </c>
      <c r="K5614" s="22">
        <f t="shared" si="2"/>
        <v>0</v>
      </c>
    </row>
    <row r="5615">
      <c r="A5615" s="18">
        <v>4058.0</v>
      </c>
      <c r="B5615" s="18" t="s">
        <v>30</v>
      </c>
      <c r="C5615" s="18" t="s">
        <v>34</v>
      </c>
      <c r="D5615" s="18" t="s">
        <v>35</v>
      </c>
      <c r="E5615" s="27">
        <v>42565.06085648148</v>
      </c>
      <c r="F5615" s="19">
        <f>IFERROR(__xludf.DUMMYFUNCTION("IFERROR(TO_DATE(E5615), """")"),42565.06085648148)</f>
        <v>42565.06086</v>
      </c>
      <c r="G5615" s="20">
        <f t="shared" si="1"/>
        <v>1</v>
      </c>
      <c r="H5615" s="18" t="s">
        <v>34</v>
      </c>
      <c r="I5615" s="19" t="str">
        <f>IFERROR(__xludf.DUMMYFUNCTION("IFERROR(TO_DATE(H5615), """")"),"NA")</f>
        <v>NA</v>
      </c>
      <c r="J5615" s="19" t="s">
        <v>15</v>
      </c>
      <c r="K5615" s="22">
        <f t="shared" si="2"/>
        <v>0</v>
      </c>
    </row>
    <row r="5616">
      <c r="A5616" s="18">
        <v>4057.0</v>
      </c>
      <c r="B5616" s="18" t="s">
        <v>32</v>
      </c>
      <c r="C5616" s="18" t="s">
        <v>34</v>
      </c>
      <c r="D5616" s="18" t="s">
        <v>35</v>
      </c>
      <c r="E5616" s="27">
        <v>42565.062372685185</v>
      </c>
      <c r="F5616" s="19">
        <f>IFERROR(__xludf.DUMMYFUNCTION("IFERROR(TO_DATE(E5616), """")"),42565.062372685185)</f>
        <v>42565.06237</v>
      </c>
      <c r="G5616" s="20">
        <f t="shared" si="1"/>
        <v>1</v>
      </c>
      <c r="H5616" s="18" t="s">
        <v>34</v>
      </c>
      <c r="I5616" s="19" t="str">
        <f>IFERROR(__xludf.DUMMYFUNCTION("IFERROR(TO_DATE(H5616), """")"),"NA")</f>
        <v>NA</v>
      </c>
      <c r="J5616" s="19" t="s">
        <v>15</v>
      </c>
      <c r="K5616" s="22">
        <f t="shared" si="2"/>
        <v>0</v>
      </c>
    </row>
    <row r="5617">
      <c r="A5617" s="18">
        <v>4061.0</v>
      </c>
      <c r="B5617" s="18" t="s">
        <v>32</v>
      </c>
      <c r="C5617" s="18" t="s">
        <v>34</v>
      </c>
      <c r="D5617" s="18" t="s">
        <v>35</v>
      </c>
      <c r="E5617" s="27">
        <v>42565.06521990741</v>
      </c>
      <c r="F5617" s="19">
        <f>IFERROR(__xludf.DUMMYFUNCTION("IFERROR(TO_DATE(E5617), """")"),42565.06521990741)</f>
        <v>42565.06522</v>
      </c>
      <c r="G5617" s="20">
        <f t="shared" si="1"/>
        <v>1</v>
      </c>
      <c r="H5617" s="18" t="s">
        <v>34</v>
      </c>
      <c r="I5617" s="19" t="str">
        <f>IFERROR(__xludf.DUMMYFUNCTION("IFERROR(TO_DATE(H5617), """")"),"NA")</f>
        <v>NA</v>
      </c>
      <c r="J5617" s="19" t="s">
        <v>15</v>
      </c>
      <c r="K5617" s="22">
        <f t="shared" si="2"/>
        <v>0</v>
      </c>
    </row>
    <row r="5618">
      <c r="A5618" s="18">
        <v>4059.0</v>
      </c>
      <c r="B5618" s="18" t="s">
        <v>32</v>
      </c>
      <c r="C5618" s="18" t="s">
        <v>34</v>
      </c>
      <c r="D5618" s="18" t="s">
        <v>35</v>
      </c>
      <c r="E5618" s="27">
        <v>42565.066608796296</v>
      </c>
      <c r="F5618" s="19">
        <f>IFERROR(__xludf.DUMMYFUNCTION("IFERROR(TO_DATE(E5618), """")"),42565.066608796296)</f>
        <v>42565.06661</v>
      </c>
      <c r="G5618" s="20">
        <f t="shared" si="1"/>
        <v>1</v>
      </c>
      <c r="H5618" s="18" t="s">
        <v>34</v>
      </c>
      <c r="I5618" s="19" t="str">
        <f>IFERROR(__xludf.DUMMYFUNCTION("IFERROR(TO_DATE(H5618), """")"),"NA")</f>
        <v>NA</v>
      </c>
      <c r="J5618" s="19" t="s">
        <v>15</v>
      </c>
      <c r="K5618" s="22">
        <f t="shared" si="2"/>
        <v>0</v>
      </c>
    </row>
    <row r="5619">
      <c r="A5619" s="18">
        <v>4063.0</v>
      </c>
      <c r="B5619" s="18" t="s">
        <v>32</v>
      </c>
      <c r="C5619" s="18" t="s">
        <v>34</v>
      </c>
      <c r="D5619" s="18" t="s">
        <v>35</v>
      </c>
      <c r="E5619" s="27">
        <v>42565.06696759259</v>
      </c>
      <c r="F5619" s="19">
        <f>IFERROR(__xludf.DUMMYFUNCTION("IFERROR(TO_DATE(E5619), """")"),42565.06696759259)</f>
        <v>42565.06697</v>
      </c>
      <c r="G5619" s="20">
        <f t="shared" si="1"/>
        <v>1</v>
      </c>
      <c r="H5619" s="18" t="s">
        <v>34</v>
      </c>
      <c r="I5619" s="19" t="str">
        <f>IFERROR(__xludf.DUMMYFUNCTION("IFERROR(TO_DATE(H5619), """")"),"NA")</f>
        <v>NA</v>
      </c>
      <c r="J5619" s="19" t="s">
        <v>15</v>
      </c>
      <c r="K5619" s="22">
        <f t="shared" si="2"/>
        <v>0</v>
      </c>
    </row>
    <row r="5620">
      <c r="A5620" s="18">
        <v>4062.0</v>
      </c>
      <c r="B5620" s="18" t="s">
        <v>30</v>
      </c>
      <c r="C5620" s="18" t="s">
        <v>34</v>
      </c>
      <c r="D5620" s="18" t="s">
        <v>35</v>
      </c>
      <c r="E5620" s="27">
        <v>42565.07125</v>
      </c>
      <c r="F5620" s="19">
        <f>IFERROR(__xludf.DUMMYFUNCTION("IFERROR(TO_DATE(E5620), """")"),42565.07125)</f>
        <v>42565.07125</v>
      </c>
      <c r="G5620" s="20">
        <f t="shared" si="1"/>
        <v>1</v>
      </c>
      <c r="H5620" s="18" t="s">
        <v>34</v>
      </c>
      <c r="I5620" s="19" t="str">
        <f>IFERROR(__xludf.DUMMYFUNCTION("IFERROR(TO_DATE(H5620), """")"),"NA")</f>
        <v>NA</v>
      </c>
      <c r="J5620" s="19" t="s">
        <v>15</v>
      </c>
      <c r="K5620" s="22">
        <f t="shared" si="2"/>
        <v>0</v>
      </c>
    </row>
    <row r="5621">
      <c r="A5621" s="18">
        <v>4064.0</v>
      </c>
      <c r="B5621" s="18" t="s">
        <v>32</v>
      </c>
      <c r="C5621" s="18" t="s">
        <v>34</v>
      </c>
      <c r="D5621" s="18" t="s">
        <v>35</v>
      </c>
      <c r="E5621" s="27">
        <v>42565.075</v>
      </c>
      <c r="F5621" s="19">
        <f>IFERROR(__xludf.DUMMYFUNCTION("IFERROR(TO_DATE(E5621), """")"),42565.075)</f>
        <v>42565.075</v>
      </c>
      <c r="G5621" s="20">
        <f t="shared" si="1"/>
        <v>1</v>
      </c>
      <c r="H5621" s="18" t="s">
        <v>34</v>
      </c>
      <c r="I5621" s="19" t="str">
        <f>IFERROR(__xludf.DUMMYFUNCTION("IFERROR(TO_DATE(H5621), """")"),"NA")</f>
        <v>NA</v>
      </c>
      <c r="J5621" s="19" t="s">
        <v>15</v>
      </c>
      <c r="K5621" s="22">
        <f t="shared" si="2"/>
        <v>0</v>
      </c>
    </row>
    <row r="5622">
      <c r="A5622" s="18">
        <v>4068.0</v>
      </c>
      <c r="B5622" s="18" t="s">
        <v>30</v>
      </c>
      <c r="C5622" s="18" t="s">
        <v>34</v>
      </c>
      <c r="D5622" s="18" t="s">
        <v>35</v>
      </c>
      <c r="E5622" s="27">
        <v>42565.082824074074</v>
      </c>
      <c r="F5622" s="19">
        <f>IFERROR(__xludf.DUMMYFUNCTION("IFERROR(TO_DATE(E5622), """")"),42565.082824074074)</f>
        <v>42565.08282</v>
      </c>
      <c r="G5622" s="20">
        <f t="shared" si="1"/>
        <v>1</v>
      </c>
      <c r="H5622" s="18" t="s">
        <v>34</v>
      </c>
      <c r="I5622" s="19" t="str">
        <f>IFERROR(__xludf.DUMMYFUNCTION("IFERROR(TO_DATE(H5622), """")"),"NA")</f>
        <v>NA</v>
      </c>
      <c r="J5622" s="19" t="s">
        <v>15</v>
      </c>
      <c r="K5622" s="22">
        <f t="shared" si="2"/>
        <v>0</v>
      </c>
    </row>
    <row r="5623">
      <c r="A5623" s="18">
        <v>4067.0</v>
      </c>
      <c r="B5623" s="18" t="s">
        <v>32</v>
      </c>
      <c r="C5623" s="18" t="s">
        <v>34</v>
      </c>
      <c r="D5623" s="18" t="s">
        <v>35</v>
      </c>
      <c r="E5623" s="27">
        <v>42565.083391203705</v>
      </c>
      <c r="F5623" s="19">
        <f>IFERROR(__xludf.DUMMYFUNCTION("IFERROR(TO_DATE(E5623), """")"),42565.083391203705)</f>
        <v>42565.08339</v>
      </c>
      <c r="G5623" s="20">
        <f t="shared" si="1"/>
        <v>2</v>
      </c>
      <c r="H5623" s="18" t="s">
        <v>34</v>
      </c>
      <c r="I5623" s="19" t="str">
        <f>IFERROR(__xludf.DUMMYFUNCTION("IFERROR(TO_DATE(H5623), """")"),"NA")</f>
        <v>NA</v>
      </c>
      <c r="J5623" s="19" t="s">
        <v>15</v>
      </c>
      <c r="K5623" s="22">
        <f t="shared" si="2"/>
        <v>0</v>
      </c>
    </row>
    <row r="5624">
      <c r="A5624" s="18">
        <v>4069.0</v>
      </c>
      <c r="B5624" s="18" t="s">
        <v>32</v>
      </c>
      <c r="C5624" s="18" t="s">
        <v>34</v>
      </c>
      <c r="D5624" s="18" t="s">
        <v>35</v>
      </c>
      <c r="E5624" s="27">
        <v>42565.085173611114</v>
      </c>
      <c r="F5624" s="19">
        <f>IFERROR(__xludf.DUMMYFUNCTION("IFERROR(TO_DATE(E5624), """")"),42565.085173611114)</f>
        <v>42565.08517</v>
      </c>
      <c r="G5624" s="20">
        <f t="shared" si="1"/>
        <v>2</v>
      </c>
      <c r="H5624" s="18" t="s">
        <v>34</v>
      </c>
      <c r="I5624" s="19" t="str">
        <f>IFERROR(__xludf.DUMMYFUNCTION("IFERROR(TO_DATE(H5624), """")"),"NA")</f>
        <v>NA</v>
      </c>
      <c r="J5624" s="19" t="s">
        <v>15</v>
      </c>
      <c r="K5624" s="22">
        <f t="shared" si="2"/>
        <v>0</v>
      </c>
    </row>
    <row r="5625">
      <c r="A5625" s="18">
        <v>4071.0</v>
      </c>
      <c r="B5625" s="18" t="s">
        <v>32</v>
      </c>
      <c r="C5625" s="18" t="s">
        <v>34</v>
      </c>
      <c r="D5625" s="18" t="s">
        <v>35</v>
      </c>
      <c r="E5625" s="27">
        <v>42565.08545138889</v>
      </c>
      <c r="F5625" s="19">
        <f>IFERROR(__xludf.DUMMYFUNCTION("IFERROR(TO_DATE(E5625), """")"),42565.08545138889)</f>
        <v>42565.08545</v>
      </c>
      <c r="G5625" s="20">
        <f t="shared" si="1"/>
        <v>2</v>
      </c>
      <c r="H5625" s="18" t="s">
        <v>34</v>
      </c>
      <c r="I5625" s="19" t="str">
        <f>IFERROR(__xludf.DUMMYFUNCTION("IFERROR(TO_DATE(H5625), """")"),"NA")</f>
        <v>NA</v>
      </c>
      <c r="J5625" s="19" t="s">
        <v>15</v>
      </c>
      <c r="K5625" s="22">
        <f t="shared" si="2"/>
        <v>0</v>
      </c>
    </row>
    <row r="5626">
      <c r="A5626" s="18">
        <v>4070.0</v>
      </c>
      <c r="B5626" s="18" t="s">
        <v>32</v>
      </c>
      <c r="C5626" s="18" t="s">
        <v>34</v>
      </c>
      <c r="D5626" s="18" t="s">
        <v>35</v>
      </c>
      <c r="E5626" s="27">
        <v>42565.08546296296</v>
      </c>
      <c r="F5626" s="19">
        <f>IFERROR(__xludf.DUMMYFUNCTION("IFERROR(TO_DATE(E5626), """")"),42565.08546296296)</f>
        <v>42565.08546</v>
      </c>
      <c r="G5626" s="20">
        <f t="shared" si="1"/>
        <v>2</v>
      </c>
      <c r="H5626" s="18" t="s">
        <v>34</v>
      </c>
      <c r="I5626" s="19" t="str">
        <f>IFERROR(__xludf.DUMMYFUNCTION("IFERROR(TO_DATE(H5626), """")"),"NA")</f>
        <v>NA</v>
      </c>
      <c r="J5626" s="19" t="s">
        <v>15</v>
      </c>
      <c r="K5626" s="22">
        <f t="shared" si="2"/>
        <v>0</v>
      </c>
    </row>
    <row r="5627">
      <c r="A5627" s="18">
        <v>4072.0</v>
      </c>
      <c r="B5627" s="18" t="s">
        <v>32</v>
      </c>
      <c r="C5627" s="18" t="s">
        <v>34</v>
      </c>
      <c r="D5627" s="18" t="s">
        <v>35</v>
      </c>
      <c r="E5627" s="27">
        <v>42565.086539351854</v>
      </c>
      <c r="F5627" s="19">
        <f>IFERROR(__xludf.DUMMYFUNCTION("IFERROR(TO_DATE(E5627), """")"),42565.086539351854)</f>
        <v>42565.08654</v>
      </c>
      <c r="G5627" s="20">
        <f t="shared" si="1"/>
        <v>2</v>
      </c>
      <c r="H5627" s="18" t="s">
        <v>34</v>
      </c>
      <c r="I5627" s="19" t="str">
        <f>IFERROR(__xludf.DUMMYFUNCTION("IFERROR(TO_DATE(H5627), """")"),"NA")</f>
        <v>NA</v>
      </c>
      <c r="J5627" s="19" t="s">
        <v>15</v>
      </c>
      <c r="K5627" s="22">
        <f t="shared" si="2"/>
        <v>0</v>
      </c>
    </row>
    <row r="5628">
      <c r="A5628" s="18">
        <v>4076.0</v>
      </c>
      <c r="B5628" s="18" t="s">
        <v>30</v>
      </c>
      <c r="C5628" s="18" t="s">
        <v>34</v>
      </c>
      <c r="D5628" s="18" t="s">
        <v>35</v>
      </c>
      <c r="E5628" s="27">
        <v>42565.09476851852</v>
      </c>
      <c r="F5628" s="19">
        <f>IFERROR(__xludf.DUMMYFUNCTION("IFERROR(TO_DATE(E5628), """")"),42565.09476851852)</f>
        <v>42565.09477</v>
      </c>
      <c r="G5628" s="20">
        <f t="shared" si="1"/>
        <v>2</v>
      </c>
      <c r="H5628" s="18" t="s">
        <v>34</v>
      </c>
      <c r="I5628" s="19" t="str">
        <f>IFERROR(__xludf.DUMMYFUNCTION("IFERROR(TO_DATE(H5628), """")"),"NA")</f>
        <v>NA</v>
      </c>
      <c r="J5628" s="19" t="s">
        <v>15</v>
      </c>
      <c r="K5628" s="22">
        <f t="shared" si="2"/>
        <v>0</v>
      </c>
    </row>
    <row r="5629">
      <c r="A5629" s="18">
        <v>4074.0</v>
      </c>
      <c r="B5629" s="18" t="s">
        <v>32</v>
      </c>
      <c r="C5629" s="18" t="s">
        <v>34</v>
      </c>
      <c r="D5629" s="18" t="s">
        <v>35</v>
      </c>
      <c r="E5629" s="27">
        <v>42565.09584490741</v>
      </c>
      <c r="F5629" s="19">
        <f>IFERROR(__xludf.DUMMYFUNCTION("IFERROR(TO_DATE(E5629), """")"),42565.09584490741)</f>
        <v>42565.09584</v>
      </c>
      <c r="G5629" s="20">
        <f t="shared" si="1"/>
        <v>2</v>
      </c>
      <c r="H5629" s="18" t="s">
        <v>34</v>
      </c>
      <c r="I5629" s="19" t="str">
        <f>IFERROR(__xludf.DUMMYFUNCTION("IFERROR(TO_DATE(H5629), """")"),"NA")</f>
        <v>NA</v>
      </c>
      <c r="J5629" s="19" t="s">
        <v>15</v>
      </c>
      <c r="K5629" s="22">
        <f t="shared" si="2"/>
        <v>0</v>
      </c>
    </row>
    <row r="5630">
      <c r="A5630" s="18">
        <v>4080.0</v>
      </c>
      <c r="B5630" s="18" t="s">
        <v>30</v>
      </c>
      <c r="C5630" s="18" t="s">
        <v>34</v>
      </c>
      <c r="D5630" s="18" t="s">
        <v>35</v>
      </c>
      <c r="E5630" s="27">
        <v>42565.10383101852</v>
      </c>
      <c r="F5630" s="19">
        <f>IFERROR(__xludf.DUMMYFUNCTION("IFERROR(TO_DATE(E5630), """")"),42565.10383101852)</f>
        <v>42565.10383</v>
      </c>
      <c r="G5630" s="20">
        <f t="shared" si="1"/>
        <v>2</v>
      </c>
      <c r="H5630" s="18" t="s">
        <v>34</v>
      </c>
      <c r="I5630" s="19" t="str">
        <f>IFERROR(__xludf.DUMMYFUNCTION("IFERROR(TO_DATE(H5630), """")"),"NA")</f>
        <v>NA</v>
      </c>
      <c r="J5630" s="19" t="s">
        <v>15</v>
      </c>
      <c r="K5630" s="22">
        <f t="shared" si="2"/>
        <v>0</v>
      </c>
    </row>
    <row r="5631">
      <c r="A5631" s="18">
        <v>4083.0</v>
      </c>
      <c r="B5631" s="18" t="s">
        <v>32</v>
      </c>
      <c r="C5631" s="18" t="s">
        <v>34</v>
      </c>
      <c r="D5631" s="18" t="s">
        <v>35</v>
      </c>
      <c r="E5631" s="27">
        <v>42565.10821759259</v>
      </c>
      <c r="F5631" s="19">
        <f>IFERROR(__xludf.DUMMYFUNCTION("IFERROR(TO_DATE(E5631), """")"),42565.10821759259)</f>
        <v>42565.10822</v>
      </c>
      <c r="G5631" s="20">
        <f t="shared" si="1"/>
        <v>2</v>
      </c>
      <c r="H5631" s="18" t="s">
        <v>34</v>
      </c>
      <c r="I5631" s="19" t="str">
        <f>IFERROR(__xludf.DUMMYFUNCTION("IFERROR(TO_DATE(H5631), """")"),"NA")</f>
        <v>NA</v>
      </c>
      <c r="J5631" s="19" t="s">
        <v>15</v>
      </c>
      <c r="K5631" s="22">
        <f t="shared" si="2"/>
        <v>0</v>
      </c>
    </row>
    <row r="5632">
      <c r="A5632" s="18">
        <v>4086.0</v>
      </c>
      <c r="B5632" s="18" t="s">
        <v>32</v>
      </c>
      <c r="C5632" s="18" t="s">
        <v>34</v>
      </c>
      <c r="D5632" s="18" t="s">
        <v>35</v>
      </c>
      <c r="E5632" s="27">
        <v>42565.115335648145</v>
      </c>
      <c r="F5632" s="19">
        <f>IFERROR(__xludf.DUMMYFUNCTION("IFERROR(TO_DATE(E5632), """")"),42565.115335648145)</f>
        <v>42565.11534</v>
      </c>
      <c r="G5632" s="20">
        <f t="shared" si="1"/>
        <v>2</v>
      </c>
      <c r="H5632" s="18" t="s">
        <v>34</v>
      </c>
      <c r="I5632" s="19" t="str">
        <f>IFERROR(__xludf.DUMMYFUNCTION("IFERROR(TO_DATE(H5632), """")"),"NA")</f>
        <v>NA</v>
      </c>
      <c r="J5632" s="19" t="s">
        <v>15</v>
      </c>
      <c r="K5632" s="22">
        <f t="shared" si="2"/>
        <v>0</v>
      </c>
    </row>
    <row r="5633">
      <c r="A5633" s="18">
        <v>4089.0</v>
      </c>
      <c r="B5633" s="18" t="s">
        <v>32</v>
      </c>
      <c r="C5633" s="18" t="s">
        <v>34</v>
      </c>
      <c r="D5633" s="18" t="s">
        <v>35</v>
      </c>
      <c r="E5633" s="27">
        <v>42565.11988425926</v>
      </c>
      <c r="F5633" s="19">
        <f>IFERROR(__xludf.DUMMYFUNCTION("IFERROR(TO_DATE(E5633), """")"),42565.11988425926)</f>
        <v>42565.11988</v>
      </c>
      <c r="G5633" s="20">
        <f t="shared" si="1"/>
        <v>2</v>
      </c>
      <c r="H5633" s="18" t="s">
        <v>34</v>
      </c>
      <c r="I5633" s="19" t="str">
        <f>IFERROR(__xludf.DUMMYFUNCTION("IFERROR(TO_DATE(H5633), """")"),"NA")</f>
        <v>NA</v>
      </c>
      <c r="J5633" s="19" t="s">
        <v>15</v>
      </c>
      <c r="K5633" s="22">
        <f t="shared" si="2"/>
        <v>0</v>
      </c>
    </row>
    <row r="5634">
      <c r="A5634" s="18">
        <v>4088.0</v>
      </c>
      <c r="B5634" s="18" t="s">
        <v>32</v>
      </c>
      <c r="C5634" s="18" t="s">
        <v>34</v>
      </c>
      <c r="D5634" s="18" t="s">
        <v>35</v>
      </c>
      <c r="E5634" s="27">
        <v>42565.12053240741</v>
      </c>
      <c r="F5634" s="19">
        <f>IFERROR(__xludf.DUMMYFUNCTION("IFERROR(TO_DATE(E5634), """")"),42565.12053240741)</f>
        <v>42565.12053</v>
      </c>
      <c r="G5634" s="20">
        <f t="shared" si="1"/>
        <v>2</v>
      </c>
      <c r="H5634" s="18" t="s">
        <v>34</v>
      </c>
      <c r="I5634" s="19" t="str">
        <f>IFERROR(__xludf.DUMMYFUNCTION("IFERROR(TO_DATE(H5634), """")"),"NA")</f>
        <v>NA</v>
      </c>
      <c r="J5634" s="19" t="s">
        <v>15</v>
      </c>
      <c r="K5634" s="22">
        <f t="shared" si="2"/>
        <v>0</v>
      </c>
    </row>
    <row r="5635">
      <c r="A5635" s="18">
        <v>4090.0</v>
      </c>
      <c r="B5635" s="18" t="s">
        <v>30</v>
      </c>
      <c r="C5635" s="18" t="s">
        <v>34</v>
      </c>
      <c r="D5635" s="18" t="s">
        <v>35</v>
      </c>
      <c r="E5635" s="27">
        <v>42565.12165509259</v>
      </c>
      <c r="F5635" s="19">
        <f>IFERROR(__xludf.DUMMYFUNCTION("IFERROR(TO_DATE(E5635), """")"),42565.12165509259)</f>
        <v>42565.12166</v>
      </c>
      <c r="G5635" s="20">
        <f t="shared" si="1"/>
        <v>2</v>
      </c>
      <c r="H5635" s="18" t="s">
        <v>34</v>
      </c>
      <c r="I5635" s="19" t="str">
        <f>IFERROR(__xludf.DUMMYFUNCTION("IFERROR(TO_DATE(H5635), """")"),"NA")</f>
        <v>NA</v>
      </c>
      <c r="J5635" s="19" t="s">
        <v>15</v>
      </c>
      <c r="K5635" s="22">
        <f t="shared" si="2"/>
        <v>0</v>
      </c>
    </row>
    <row r="5636">
      <c r="A5636" s="18">
        <v>4095.0</v>
      </c>
      <c r="B5636" s="18" t="s">
        <v>30</v>
      </c>
      <c r="C5636" s="18" t="s">
        <v>34</v>
      </c>
      <c r="D5636" s="18" t="s">
        <v>35</v>
      </c>
      <c r="E5636" s="27">
        <v>42565.13197916667</v>
      </c>
      <c r="F5636" s="19">
        <f>IFERROR(__xludf.DUMMYFUNCTION("IFERROR(TO_DATE(E5636), """")"),42565.13197916667)</f>
        <v>42565.13198</v>
      </c>
      <c r="G5636" s="20">
        <f t="shared" si="1"/>
        <v>3</v>
      </c>
      <c r="H5636" s="18" t="s">
        <v>34</v>
      </c>
      <c r="I5636" s="19" t="str">
        <f>IFERROR(__xludf.DUMMYFUNCTION("IFERROR(TO_DATE(H5636), """")"),"NA")</f>
        <v>NA</v>
      </c>
      <c r="J5636" s="19" t="s">
        <v>15</v>
      </c>
      <c r="K5636" s="22">
        <f t="shared" si="2"/>
        <v>0</v>
      </c>
    </row>
    <row r="5637">
      <c r="A5637" s="18">
        <v>4096.0</v>
      </c>
      <c r="B5637" s="18" t="s">
        <v>32</v>
      </c>
      <c r="C5637" s="18" t="s">
        <v>34</v>
      </c>
      <c r="D5637" s="18" t="s">
        <v>35</v>
      </c>
      <c r="E5637" s="27">
        <v>42565.13428240741</v>
      </c>
      <c r="F5637" s="19">
        <f>IFERROR(__xludf.DUMMYFUNCTION("IFERROR(TO_DATE(E5637), """")"),42565.13428240741)</f>
        <v>42565.13428</v>
      </c>
      <c r="G5637" s="20">
        <f t="shared" si="1"/>
        <v>3</v>
      </c>
      <c r="H5637" s="18" t="s">
        <v>34</v>
      </c>
      <c r="I5637" s="19" t="str">
        <f>IFERROR(__xludf.DUMMYFUNCTION("IFERROR(TO_DATE(H5637), """")"),"NA")</f>
        <v>NA</v>
      </c>
      <c r="J5637" s="19" t="s">
        <v>15</v>
      </c>
      <c r="K5637" s="22">
        <f t="shared" si="2"/>
        <v>0</v>
      </c>
    </row>
    <row r="5638">
      <c r="A5638" s="18">
        <v>4099.0</v>
      </c>
      <c r="B5638" s="18" t="s">
        <v>32</v>
      </c>
      <c r="C5638" s="18" t="s">
        <v>34</v>
      </c>
      <c r="D5638" s="18" t="s">
        <v>35</v>
      </c>
      <c r="E5638" s="27">
        <v>42565.14079861111</v>
      </c>
      <c r="F5638" s="19">
        <f>IFERROR(__xludf.DUMMYFUNCTION("IFERROR(TO_DATE(E5638), """")"),42565.14079861111)</f>
        <v>42565.1408</v>
      </c>
      <c r="G5638" s="20">
        <f t="shared" si="1"/>
        <v>3</v>
      </c>
      <c r="H5638" s="18" t="s">
        <v>34</v>
      </c>
      <c r="I5638" s="19" t="str">
        <f>IFERROR(__xludf.DUMMYFUNCTION("IFERROR(TO_DATE(H5638), """")"),"NA")</f>
        <v>NA</v>
      </c>
      <c r="J5638" s="19" t="s">
        <v>15</v>
      </c>
      <c r="K5638" s="22">
        <f t="shared" si="2"/>
        <v>0</v>
      </c>
    </row>
    <row r="5639">
      <c r="A5639" s="18">
        <v>4100.0</v>
      </c>
      <c r="B5639" s="18" t="s">
        <v>30</v>
      </c>
      <c r="C5639" s="18" t="s">
        <v>34</v>
      </c>
      <c r="D5639" s="18" t="s">
        <v>35</v>
      </c>
      <c r="E5639" s="27">
        <v>42565.146145833336</v>
      </c>
      <c r="F5639" s="19">
        <f>IFERROR(__xludf.DUMMYFUNCTION("IFERROR(TO_DATE(E5639), """")"),42565.146145833336)</f>
        <v>42565.14615</v>
      </c>
      <c r="G5639" s="20">
        <f t="shared" si="1"/>
        <v>3</v>
      </c>
      <c r="H5639" s="18" t="s">
        <v>34</v>
      </c>
      <c r="I5639" s="19" t="str">
        <f>IFERROR(__xludf.DUMMYFUNCTION("IFERROR(TO_DATE(H5639), """")"),"NA")</f>
        <v>NA</v>
      </c>
      <c r="J5639" s="19" t="s">
        <v>15</v>
      </c>
      <c r="K5639" s="22">
        <f t="shared" si="2"/>
        <v>0</v>
      </c>
    </row>
    <row r="5640">
      <c r="A5640" s="18">
        <v>4101.0</v>
      </c>
      <c r="B5640" s="18" t="s">
        <v>32</v>
      </c>
      <c r="C5640" s="18" t="s">
        <v>34</v>
      </c>
      <c r="D5640" s="18" t="s">
        <v>35</v>
      </c>
      <c r="E5640" s="27">
        <v>42565.14695601852</v>
      </c>
      <c r="F5640" s="19">
        <f>IFERROR(__xludf.DUMMYFUNCTION("IFERROR(TO_DATE(E5640), """")"),42565.14695601852)</f>
        <v>42565.14696</v>
      </c>
      <c r="G5640" s="20">
        <f t="shared" si="1"/>
        <v>3</v>
      </c>
      <c r="H5640" s="18" t="s">
        <v>34</v>
      </c>
      <c r="I5640" s="19" t="str">
        <f>IFERROR(__xludf.DUMMYFUNCTION("IFERROR(TO_DATE(H5640), """")"),"NA")</f>
        <v>NA</v>
      </c>
      <c r="J5640" s="19" t="s">
        <v>15</v>
      </c>
      <c r="K5640" s="22">
        <f t="shared" si="2"/>
        <v>0</v>
      </c>
    </row>
    <row r="5641">
      <c r="A5641" s="18">
        <v>4104.0</v>
      </c>
      <c r="B5641" s="18" t="s">
        <v>30</v>
      </c>
      <c r="C5641" s="18" t="s">
        <v>34</v>
      </c>
      <c r="D5641" s="18" t="s">
        <v>35</v>
      </c>
      <c r="E5641" s="27">
        <v>42565.15163194444</v>
      </c>
      <c r="F5641" s="19">
        <f>IFERROR(__xludf.DUMMYFUNCTION("IFERROR(TO_DATE(E5641), """")"),42565.15163194444)</f>
        <v>42565.15163</v>
      </c>
      <c r="G5641" s="20">
        <f t="shared" si="1"/>
        <v>3</v>
      </c>
      <c r="H5641" s="18" t="s">
        <v>34</v>
      </c>
      <c r="I5641" s="19" t="str">
        <f>IFERROR(__xludf.DUMMYFUNCTION("IFERROR(TO_DATE(H5641), """")"),"NA")</f>
        <v>NA</v>
      </c>
      <c r="J5641" s="19" t="s">
        <v>15</v>
      </c>
      <c r="K5641" s="22">
        <f t="shared" si="2"/>
        <v>0</v>
      </c>
    </row>
    <row r="5642">
      <c r="A5642" s="18">
        <v>4102.0</v>
      </c>
      <c r="B5642" s="18" t="s">
        <v>30</v>
      </c>
      <c r="C5642" s="18" t="s">
        <v>34</v>
      </c>
      <c r="D5642" s="18" t="s">
        <v>35</v>
      </c>
      <c r="E5642" s="27">
        <v>42565.151979166665</v>
      </c>
      <c r="F5642" s="19">
        <f>IFERROR(__xludf.DUMMYFUNCTION("IFERROR(TO_DATE(E5642), """")"),42565.151979166665)</f>
        <v>42565.15198</v>
      </c>
      <c r="G5642" s="20">
        <f t="shared" si="1"/>
        <v>3</v>
      </c>
      <c r="H5642" s="18" t="s">
        <v>34</v>
      </c>
      <c r="I5642" s="19" t="str">
        <f>IFERROR(__xludf.DUMMYFUNCTION("IFERROR(TO_DATE(H5642), """")"),"NA")</f>
        <v>NA</v>
      </c>
      <c r="J5642" s="19" t="s">
        <v>15</v>
      </c>
      <c r="K5642" s="22">
        <f t="shared" si="2"/>
        <v>0</v>
      </c>
    </row>
    <row r="5643">
      <c r="A5643" s="18">
        <v>4103.0</v>
      </c>
      <c r="B5643" s="18" t="s">
        <v>30</v>
      </c>
      <c r="C5643" s="18" t="s">
        <v>34</v>
      </c>
      <c r="D5643" s="18" t="s">
        <v>35</v>
      </c>
      <c r="E5643" s="27">
        <v>42565.15258101852</v>
      </c>
      <c r="F5643" s="19">
        <f>IFERROR(__xludf.DUMMYFUNCTION("IFERROR(TO_DATE(E5643), """")"),42565.15258101852)</f>
        <v>42565.15258</v>
      </c>
      <c r="G5643" s="20">
        <f t="shared" si="1"/>
        <v>3</v>
      </c>
      <c r="H5643" s="18" t="s">
        <v>34</v>
      </c>
      <c r="I5643" s="19" t="str">
        <f>IFERROR(__xludf.DUMMYFUNCTION("IFERROR(TO_DATE(H5643), """")"),"NA")</f>
        <v>NA</v>
      </c>
      <c r="J5643" s="19" t="s">
        <v>15</v>
      </c>
      <c r="K5643" s="22">
        <f t="shared" si="2"/>
        <v>0</v>
      </c>
    </row>
    <row r="5644">
      <c r="A5644" s="18">
        <v>4106.0</v>
      </c>
      <c r="B5644" s="18" t="s">
        <v>32</v>
      </c>
      <c r="C5644" s="18" t="s">
        <v>34</v>
      </c>
      <c r="D5644" s="18" t="s">
        <v>35</v>
      </c>
      <c r="E5644" s="27">
        <v>42565.15642361111</v>
      </c>
      <c r="F5644" s="19">
        <f>IFERROR(__xludf.DUMMYFUNCTION("IFERROR(TO_DATE(E5644), """")"),42565.15642361111)</f>
        <v>42565.15642</v>
      </c>
      <c r="G5644" s="20">
        <f t="shared" si="1"/>
        <v>3</v>
      </c>
      <c r="H5644" s="18" t="s">
        <v>34</v>
      </c>
      <c r="I5644" s="19" t="str">
        <f>IFERROR(__xludf.DUMMYFUNCTION("IFERROR(TO_DATE(H5644), """")"),"NA")</f>
        <v>NA</v>
      </c>
      <c r="J5644" s="19" t="s">
        <v>15</v>
      </c>
      <c r="K5644" s="22">
        <f t="shared" si="2"/>
        <v>0</v>
      </c>
    </row>
    <row r="5645">
      <c r="A5645" s="18">
        <v>4107.0</v>
      </c>
      <c r="B5645" s="18" t="s">
        <v>32</v>
      </c>
      <c r="C5645" s="18" t="s">
        <v>34</v>
      </c>
      <c r="D5645" s="18" t="s">
        <v>35</v>
      </c>
      <c r="E5645" s="27">
        <v>42565.16100694444</v>
      </c>
      <c r="F5645" s="19">
        <f>IFERROR(__xludf.DUMMYFUNCTION("IFERROR(TO_DATE(E5645), """")"),42565.16100694444)</f>
        <v>42565.16101</v>
      </c>
      <c r="G5645" s="20">
        <f t="shared" si="1"/>
        <v>3</v>
      </c>
      <c r="H5645" s="18" t="s">
        <v>34</v>
      </c>
      <c r="I5645" s="19" t="str">
        <f>IFERROR(__xludf.DUMMYFUNCTION("IFERROR(TO_DATE(H5645), """")"),"NA")</f>
        <v>NA</v>
      </c>
      <c r="J5645" s="19" t="s">
        <v>15</v>
      </c>
      <c r="K5645" s="22">
        <f t="shared" si="2"/>
        <v>0</v>
      </c>
    </row>
    <row r="5646">
      <c r="A5646" s="18">
        <v>4110.0</v>
      </c>
      <c r="B5646" s="18" t="s">
        <v>30</v>
      </c>
      <c r="C5646" s="18" t="s">
        <v>34</v>
      </c>
      <c r="D5646" s="18" t="s">
        <v>35</v>
      </c>
      <c r="E5646" s="27">
        <v>42565.165358796294</v>
      </c>
      <c r="F5646" s="19">
        <f>IFERROR(__xludf.DUMMYFUNCTION("IFERROR(TO_DATE(E5646), """")"),42565.165358796294)</f>
        <v>42565.16536</v>
      </c>
      <c r="G5646" s="20">
        <f t="shared" si="1"/>
        <v>3</v>
      </c>
      <c r="H5646" s="18" t="s">
        <v>34</v>
      </c>
      <c r="I5646" s="19" t="str">
        <f>IFERROR(__xludf.DUMMYFUNCTION("IFERROR(TO_DATE(H5646), """")"),"NA")</f>
        <v>NA</v>
      </c>
      <c r="J5646" s="19" t="s">
        <v>15</v>
      </c>
      <c r="K5646" s="22">
        <f t="shared" si="2"/>
        <v>0</v>
      </c>
    </row>
    <row r="5647">
      <c r="A5647" s="18">
        <v>4113.0</v>
      </c>
      <c r="B5647" s="18" t="s">
        <v>32</v>
      </c>
      <c r="C5647" s="18" t="s">
        <v>34</v>
      </c>
      <c r="D5647" s="18" t="s">
        <v>35</v>
      </c>
      <c r="E5647" s="27">
        <v>42565.166817129626</v>
      </c>
      <c r="F5647" s="19">
        <f>IFERROR(__xludf.DUMMYFUNCTION("IFERROR(TO_DATE(E5647), """")"),42565.166817129626)</f>
        <v>42565.16682</v>
      </c>
      <c r="G5647" s="20">
        <f t="shared" si="1"/>
        <v>4</v>
      </c>
      <c r="H5647" s="18" t="s">
        <v>34</v>
      </c>
      <c r="I5647" s="19" t="str">
        <f>IFERROR(__xludf.DUMMYFUNCTION("IFERROR(TO_DATE(H5647), """")"),"NA")</f>
        <v>NA</v>
      </c>
      <c r="J5647" s="19" t="s">
        <v>11</v>
      </c>
      <c r="K5647" s="22">
        <f t="shared" si="2"/>
        <v>0</v>
      </c>
    </row>
    <row r="5648">
      <c r="A5648" s="18">
        <v>4109.0</v>
      </c>
      <c r="B5648" s="18" t="s">
        <v>32</v>
      </c>
      <c r="C5648" s="18" t="s">
        <v>34</v>
      </c>
      <c r="D5648" s="18" t="s">
        <v>35</v>
      </c>
      <c r="E5648" s="27">
        <v>42565.16835648148</v>
      </c>
      <c r="F5648" s="19">
        <f>IFERROR(__xludf.DUMMYFUNCTION("IFERROR(TO_DATE(E5648), """")"),42565.16835648148)</f>
        <v>42565.16836</v>
      </c>
      <c r="G5648" s="20">
        <f t="shared" si="1"/>
        <v>4</v>
      </c>
      <c r="H5648" s="18" t="s">
        <v>34</v>
      </c>
      <c r="I5648" s="19" t="str">
        <f>IFERROR(__xludf.DUMMYFUNCTION("IFERROR(TO_DATE(H5648), """")"),"NA")</f>
        <v>NA</v>
      </c>
      <c r="J5648" s="19" t="s">
        <v>11</v>
      </c>
      <c r="K5648" s="22">
        <f t="shared" si="2"/>
        <v>0</v>
      </c>
    </row>
    <row r="5649">
      <c r="A5649" s="18">
        <v>4112.0</v>
      </c>
      <c r="B5649" s="18" t="s">
        <v>30</v>
      </c>
      <c r="C5649" s="18" t="s">
        <v>34</v>
      </c>
      <c r="D5649" s="18" t="s">
        <v>35</v>
      </c>
      <c r="E5649" s="27">
        <v>42565.16935185185</v>
      </c>
      <c r="F5649" s="19">
        <f>IFERROR(__xludf.DUMMYFUNCTION("IFERROR(TO_DATE(E5649), """")"),42565.16935185185)</f>
        <v>42565.16935</v>
      </c>
      <c r="G5649" s="20">
        <f t="shared" si="1"/>
        <v>4</v>
      </c>
      <c r="H5649" s="18" t="s">
        <v>34</v>
      </c>
      <c r="I5649" s="19" t="str">
        <f>IFERROR(__xludf.DUMMYFUNCTION("IFERROR(TO_DATE(H5649), """")"),"NA")</f>
        <v>NA</v>
      </c>
      <c r="J5649" s="19" t="s">
        <v>11</v>
      </c>
      <c r="K5649" s="22">
        <f t="shared" si="2"/>
        <v>0</v>
      </c>
    </row>
    <row r="5650">
      <c r="A5650" s="18">
        <v>4111.0</v>
      </c>
      <c r="B5650" s="18" t="s">
        <v>32</v>
      </c>
      <c r="C5650" s="18" t="s">
        <v>34</v>
      </c>
      <c r="D5650" s="18" t="s">
        <v>35</v>
      </c>
      <c r="E5650" s="27">
        <v>42565.17122685185</v>
      </c>
      <c r="F5650" s="19">
        <f>IFERROR(__xludf.DUMMYFUNCTION("IFERROR(TO_DATE(E5650), """")"),42565.17122685185)</f>
        <v>42565.17123</v>
      </c>
      <c r="G5650" s="20">
        <f t="shared" si="1"/>
        <v>4</v>
      </c>
      <c r="H5650" s="18" t="s">
        <v>34</v>
      </c>
      <c r="I5650" s="19" t="str">
        <f>IFERROR(__xludf.DUMMYFUNCTION("IFERROR(TO_DATE(H5650), """")"),"NA")</f>
        <v>NA</v>
      </c>
      <c r="J5650" s="19" t="s">
        <v>11</v>
      </c>
      <c r="K5650" s="22">
        <f t="shared" si="2"/>
        <v>0</v>
      </c>
    </row>
    <row r="5651">
      <c r="A5651" s="18">
        <v>4115.0</v>
      </c>
      <c r="B5651" s="18" t="s">
        <v>32</v>
      </c>
      <c r="C5651" s="18" t="s">
        <v>34</v>
      </c>
      <c r="D5651" s="18" t="s">
        <v>35</v>
      </c>
      <c r="E5651" s="27">
        <v>42565.174791666665</v>
      </c>
      <c r="F5651" s="19">
        <f>IFERROR(__xludf.DUMMYFUNCTION("IFERROR(TO_DATE(E5651), """")"),42565.174791666665)</f>
        <v>42565.17479</v>
      </c>
      <c r="G5651" s="20">
        <f t="shared" si="1"/>
        <v>4</v>
      </c>
      <c r="H5651" s="18" t="s">
        <v>34</v>
      </c>
      <c r="I5651" s="19" t="str">
        <f>IFERROR(__xludf.DUMMYFUNCTION("IFERROR(TO_DATE(H5651), """")"),"NA")</f>
        <v>NA</v>
      </c>
      <c r="J5651" s="19" t="s">
        <v>11</v>
      </c>
      <c r="K5651" s="22">
        <f t="shared" si="2"/>
        <v>0</v>
      </c>
    </row>
    <row r="5652">
      <c r="A5652" s="18">
        <v>4116.0</v>
      </c>
      <c r="B5652" s="18" t="s">
        <v>30</v>
      </c>
      <c r="C5652" s="18" t="s">
        <v>34</v>
      </c>
      <c r="D5652" s="18" t="s">
        <v>35</v>
      </c>
      <c r="E5652" s="27">
        <v>42565.17625</v>
      </c>
      <c r="F5652" s="19">
        <f>IFERROR(__xludf.DUMMYFUNCTION("IFERROR(TO_DATE(E5652), """")"),42565.17625)</f>
        <v>42565.17625</v>
      </c>
      <c r="G5652" s="20">
        <f t="shared" si="1"/>
        <v>4</v>
      </c>
      <c r="H5652" s="18" t="s">
        <v>34</v>
      </c>
      <c r="I5652" s="19" t="str">
        <f>IFERROR(__xludf.DUMMYFUNCTION("IFERROR(TO_DATE(H5652), """")"),"NA")</f>
        <v>NA</v>
      </c>
      <c r="J5652" s="19" t="s">
        <v>11</v>
      </c>
      <c r="K5652" s="22">
        <f t="shared" si="2"/>
        <v>0</v>
      </c>
    </row>
    <row r="5653">
      <c r="A5653" s="18">
        <v>4120.0</v>
      </c>
      <c r="B5653" s="18" t="s">
        <v>32</v>
      </c>
      <c r="C5653" s="18" t="s">
        <v>34</v>
      </c>
      <c r="D5653" s="18" t="s">
        <v>35</v>
      </c>
      <c r="E5653" s="27">
        <v>42565.1859837963</v>
      </c>
      <c r="F5653" s="19">
        <f>IFERROR(__xludf.DUMMYFUNCTION("IFERROR(TO_DATE(E5653), """")"),42565.1859837963)</f>
        <v>42565.18598</v>
      </c>
      <c r="G5653" s="20">
        <f t="shared" si="1"/>
        <v>4</v>
      </c>
      <c r="H5653" s="18" t="s">
        <v>34</v>
      </c>
      <c r="I5653" s="19" t="str">
        <f>IFERROR(__xludf.DUMMYFUNCTION("IFERROR(TO_DATE(H5653), """")"),"NA")</f>
        <v>NA</v>
      </c>
      <c r="J5653" s="19" t="s">
        <v>11</v>
      </c>
      <c r="K5653" s="22">
        <f t="shared" si="2"/>
        <v>0</v>
      </c>
    </row>
    <row r="5654">
      <c r="A5654" s="18">
        <v>4123.0</v>
      </c>
      <c r="B5654" s="18" t="s">
        <v>32</v>
      </c>
      <c r="C5654" s="18" t="s">
        <v>34</v>
      </c>
      <c r="D5654" s="18" t="s">
        <v>35</v>
      </c>
      <c r="E5654" s="27">
        <v>42565.19366898148</v>
      </c>
      <c r="F5654" s="19">
        <f>IFERROR(__xludf.DUMMYFUNCTION("IFERROR(TO_DATE(E5654), """")"),42565.19366898148)</f>
        <v>42565.19367</v>
      </c>
      <c r="G5654" s="20">
        <f t="shared" si="1"/>
        <v>4</v>
      </c>
      <c r="H5654" s="18" t="s">
        <v>34</v>
      </c>
      <c r="I5654" s="19" t="str">
        <f>IFERROR(__xludf.DUMMYFUNCTION("IFERROR(TO_DATE(H5654), """")"),"NA")</f>
        <v>NA</v>
      </c>
      <c r="J5654" s="19" t="s">
        <v>11</v>
      </c>
      <c r="K5654" s="22">
        <f t="shared" si="2"/>
        <v>0</v>
      </c>
    </row>
    <row r="5655">
      <c r="A5655" s="18">
        <v>4131.0</v>
      </c>
      <c r="B5655" s="18" t="s">
        <v>32</v>
      </c>
      <c r="C5655" s="18" t="s">
        <v>34</v>
      </c>
      <c r="D5655" s="18" t="s">
        <v>35</v>
      </c>
      <c r="E5655" s="27">
        <v>42565.19540509259</v>
      </c>
      <c r="F5655" s="19">
        <f>IFERROR(__xludf.DUMMYFUNCTION("IFERROR(TO_DATE(E5655), """")"),42565.19540509259)</f>
        <v>42565.19541</v>
      </c>
      <c r="G5655" s="20">
        <f t="shared" si="1"/>
        <v>4</v>
      </c>
      <c r="H5655" s="18" t="s">
        <v>34</v>
      </c>
      <c r="I5655" s="19" t="str">
        <f>IFERROR(__xludf.DUMMYFUNCTION("IFERROR(TO_DATE(H5655), """")"),"NA")</f>
        <v>NA</v>
      </c>
      <c r="J5655" s="19" t="s">
        <v>11</v>
      </c>
      <c r="K5655" s="22">
        <f t="shared" si="2"/>
        <v>0</v>
      </c>
    </row>
    <row r="5656">
      <c r="A5656" s="18">
        <v>4124.0</v>
      </c>
      <c r="B5656" s="18" t="s">
        <v>32</v>
      </c>
      <c r="C5656" s="18" t="s">
        <v>34</v>
      </c>
      <c r="D5656" s="18" t="s">
        <v>35</v>
      </c>
      <c r="E5656" s="27">
        <v>42565.195555555554</v>
      </c>
      <c r="F5656" s="19">
        <f>IFERROR(__xludf.DUMMYFUNCTION("IFERROR(TO_DATE(E5656), """")"),42565.195555555554)</f>
        <v>42565.19556</v>
      </c>
      <c r="G5656" s="20">
        <f t="shared" si="1"/>
        <v>4</v>
      </c>
      <c r="H5656" s="18" t="s">
        <v>34</v>
      </c>
      <c r="I5656" s="19" t="str">
        <f>IFERROR(__xludf.DUMMYFUNCTION("IFERROR(TO_DATE(H5656), """")"),"NA")</f>
        <v>NA</v>
      </c>
      <c r="J5656" s="19" t="s">
        <v>11</v>
      </c>
      <c r="K5656" s="22">
        <f t="shared" si="2"/>
        <v>0</v>
      </c>
    </row>
    <row r="5657">
      <c r="A5657" s="18">
        <v>4127.0</v>
      </c>
      <c r="B5657" s="18" t="s">
        <v>32</v>
      </c>
      <c r="C5657" s="18" t="s">
        <v>34</v>
      </c>
      <c r="D5657" s="18" t="s">
        <v>35</v>
      </c>
      <c r="E5657" s="27">
        <v>42565.19886574074</v>
      </c>
      <c r="F5657" s="19">
        <f>IFERROR(__xludf.DUMMYFUNCTION("IFERROR(TO_DATE(E5657), """")"),42565.19886574074)</f>
        <v>42565.19887</v>
      </c>
      <c r="G5657" s="20">
        <f t="shared" si="1"/>
        <v>4</v>
      </c>
      <c r="H5657" s="18" t="s">
        <v>34</v>
      </c>
      <c r="I5657" s="19" t="str">
        <f>IFERROR(__xludf.DUMMYFUNCTION("IFERROR(TO_DATE(H5657), """")"),"NA")</f>
        <v>NA</v>
      </c>
      <c r="J5657" s="19" t="s">
        <v>11</v>
      </c>
      <c r="K5657" s="22">
        <f t="shared" si="2"/>
        <v>0</v>
      </c>
    </row>
    <row r="5658">
      <c r="A5658" s="18">
        <v>4132.0</v>
      </c>
      <c r="B5658" s="18" t="s">
        <v>32</v>
      </c>
      <c r="C5658" s="18" t="s">
        <v>34</v>
      </c>
      <c r="D5658" s="18" t="s">
        <v>35</v>
      </c>
      <c r="E5658" s="27">
        <v>42565.199155092596</v>
      </c>
      <c r="F5658" s="19">
        <f>IFERROR(__xludf.DUMMYFUNCTION("IFERROR(TO_DATE(E5658), """")"),42565.199155092596)</f>
        <v>42565.19916</v>
      </c>
      <c r="G5658" s="20">
        <f t="shared" si="1"/>
        <v>4</v>
      </c>
      <c r="H5658" s="18" t="s">
        <v>34</v>
      </c>
      <c r="I5658" s="19" t="str">
        <f>IFERROR(__xludf.DUMMYFUNCTION("IFERROR(TO_DATE(H5658), """")"),"NA")</f>
        <v>NA</v>
      </c>
      <c r="J5658" s="19" t="s">
        <v>11</v>
      </c>
      <c r="K5658" s="22">
        <f t="shared" si="2"/>
        <v>0</v>
      </c>
    </row>
    <row r="5659">
      <c r="A5659" s="18">
        <v>4139.0</v>
      </c>
      <c r="B5659" s="18" t="s">
        <v>32</v>
      </c>
      <c r="C5659" s="18" t="s">
        <v>34</v>
      </c>
      <c r="D5659" s="18" t="s">
        <v>35</v>
      </c>
      <c r="E5659" s="27">
        <v>42565.20050925926</v>
      </c>
      <c r="F5659" s="19">
        <f>IFERROR(__xludf.DUMMYFUNCTION("IFERROR(TO_DATE(E5659), """")"),42565.20050925926)</f>
        <v>42565.20051</v>
      </c>
      <c r="G5659" s="20">
        <f t="shared" si="1"/>
        <v>4</v>
      </c>
      <c r="H5659" s="18" t="s">
        <v>34</v>
      </c>
      <c r="I5659" s="19" t="str">
        <f>IFERROR(__xludf.DUMMYFUNCTION("IFERROR(TO_DATE(H5659), """")"),"NA")</f>
        <v>NA</v>
      </c>
      <c r="J5659" s="19" t="s">
        <v>11</v>
      </c>
      <c r="K5659" s="22">
        <f t="shared" si="2"/>
        <v>0</v>
      </c>
    </row>
    <row r="5660">
      <c r="A5660" s="18">
        <v>4135.0</v>
      </c>
      <c r="B5660" s="18" t="s">
        <v>30</v>
      </c>
      <c r="C5660" s="18" t="s">
        <v>34</v>
      </c>
      <c r="D5660" s="18" t="s">
        <v>35</v>
      </c>
      <c r="E5660" s="27">
        <v>42565.200694444444</v>
      </c>
      <c r="F5660" s="19">
        <f>IFERROR(__xludf.DUMMYFUNCTION("IFERROR(TO_DATE(E5660), """")"),42565.200694444444)</f>
        <v>42565.20069</v>
      </c>
      <c r="G5660" s="20">
        <f t="shared" si="1"/>
        <v>4</v>
      </c>
      <c r="H5660" s="18" t="s">
        <v>34</v>
      </c>
      <c r="I5660" s="19" t="str">
        <f>IFERROR(__xludf.DUMMYFUNCTION("IFERROR(TO_DATE(H5660), """")"),"NA")</f>
        <v>NA</v>
      </c>
      <c r="J5660" s="19" t="s">
        <v>11</v>
      </c>
      <c r="K5660" s="22">
        <f t="shared" si="2"/>
        <v>0</v>
      </c>
    </row>
    <row r="5661">
      <c r="A5661" s="18">
        <v>4138.0</v>
      </c>
      <c r="B5661" s="18" t="s">
        <v>32</v>
      </c>
      <c r="C5661" s="18" t="s">
        <v>34</v>
      </c>
      <c r="D5661" s="18" t="s">
        <v>35</v>
      </c>
      <c r="E5661" s="27">
        <v>42565.20116898148</v>
      </c>
      <c r="F5661" s="19">
        <f>IFERROR(__xludf.DUMMYFUNCTION("IFERROR(TO_DATE(E5661), """")"),42565.20116898148)</f>
        <v>42565.20117</v>
      </c>
      <c r="G5661" s="20">
        <f t="shared" si="1"/>
        <v>4</v>
      </c>
      <c r="H5661" s="18" t="s">
        <v>34</v>
      </c>
      <c r="I5661" s="19" t="str">
        <f>IFERROR(__xludf.DUMMYFUNCTION("IFERROR(TO_DATE(H5661), """")"),"NA")</f>
        <v>NA</v>
      </c>
      <c r="J5661" s="19" t="s">
        <v>11</v>
      </c>
      <c r="K5661" s="22">
        <f t="shared" si="2"/>
        <v>0</v>
      </c>
    </row>
    <row r="5662">
      <c r="A5662" s="18">
        <v>4142.0</v>
      </c>
      <c r="B5662" s="18" t="s">
        <v>32</v>
      </c>
      <c r="C5662" s="18" t="s">
        <v>34</v>
      </c>
      <c r="D5662" s="18" t="s">
        <v>35</v>
      </c>
      <c r="E5662" s="27">
        <v>42565.20175925926</v>
      </c>
      <c r="F5662" s="19">
        <f>IFERROR(__xludf.DUMMYFUNCTION("IFERROR(TO_DATE(E5662), """")"),42565.20175925926)</f>
        <v>42565.20176</v>
      </c>
      <c r="G5662" s="20">
        <f t="shared" si="1"/>
        <v>4</v>
      </c>
      <c r="H5662" s="18" t="s">
        <v>34</v>
      </c>
      <c r="I5662" s="19" t="str">
        <f>IFERROR(__xludf.DUMMYFUNCTION("IFERROR(TO_DATE(H5662), """")"),"NA")</f>
        <v>NA</v>
      </c>
      <c r="J5662" s="19" t="s">
        <v>11</v>
      </c>
      <c r="K5662" s="22">
        <f t="shared" si="2"/>
        <v>0</v>
      </c>
    </row>
    <row r="5663">
      <c r="A5663" s="18">
        <v>4152.0</v>
      </c>
      <c r="B5663" s="18" t="s">
        <v>32</v>
      </c>
      <c r="C5663" s="18" t="s">
        <v>34</v>
      </c>
      <c r="D5663" s="18" t="s">
        <v>35</v>
      </c>
      <c r="E5663" s="27">
        <v>42565.20525462963</v>
      </c>
      <c r="F5663" s="19">
        <f>IFERROR(__xludf.DUMMYFUNCTION("IFERROR(TO_DATE(E5663), """")"),42565.20525462963)</f>
        <v>42565.20525</v>
      </c>
      <c r="G5663" s="20">
        <f t="shared" si="1"/>
        <v>4</v>
      </c>
      <c r="H5663" s="18" t="s">
        <v>34</v>
      </c>
      <c r="I5663" s="19" t="str">
        <f>IFERROR(__xludf.DUMMYFUNCTION("IFERROR(TO_DATE(H5663), """")"),"NA")</f>
        <v>NA</v>
      </c>
      <c r="J5663" s="19" t="s">
        <v>11</v>
      </c>
      <c r="K5663" s="22">
        <f t="shared" si="2"/>
        <v>0</v>
      </c>
    </row>
    <row r="5664">
      <c r="A5664" s="18">
        <v>4149.0</v>
      </c>
      <c r="B5664" s="18" t="s">
        <v>32</v>
      </c>
      <c r="C5664" s="18" t="s">
        <v>34</v>
      </c>
      <c r="D5664" s="18" t="s">
        <v>35</v>
      </c>
      <c r="E5664" s="27">
        <v>42565.20806712963</v>
      </c>
      <c r="F5664" s="19">
        <f>IFERROR(__xludf.DUMMYFUNCTION("IFERROR(TO_DATE(E5664), """")"),42565.20806712963)</f>
        <v>42565.20807</v>
      </c>
      <c r="G5664" s="20">
        <f t="shared" si="1"/>
        <v>4</v>
      </c>
      <c r="H5664" s="18" t="s">
        <v>34</v>
      </c>
      <c r="I5664" s="19" t="str">
        <f>IFERROR(__xludf.DUMMYFUNCTION("IFERROR(TO_DATE(H5664), """")"),"NA")</f>
        <v>NA</v>
      </c>
      <c r="J5664" s="19" t="s">
        <v>11</v>
      </c>
      <c r="K5664" s="22">
        <f t="shared" si="2"/>
        <v>0</v>
      </c>
    </row>
    <row r="5665">
      <c r="A5665" s="18">
        <v>4159.0</v>
      </c>
      <c r="B5665" s="18" t="s">
        <v>30</v>
      </c>
      <c r="C5665" s="18" t="s">
        <v>34</v>
      </c>
      <c r="D5665" s="18" t="s">
        <v>35</v>
      </c>
      <c r="E5665" s="27">
        <v>42565.212222222224</v>
      </c>
      <c r="F5665" s="19">
        <f>IFERROR(__xludf.DUMMYFUNCTION("IFERROR(TO_DATE(E5665), """")"),42565.212222222224)</f>
        <v>42565.21222</v>
      </c>
      <c r="G5665" s="20">
        <f t="shared" si="1"/>
        <v>5</v>
      </c>
      <c r="H5665" s="18" t="s">
        <v>34</v>
      </c>
      <c r="I5665" s="19" t="str">
        <f>IFERROR(__xludf.DUMMYFUNCTION("IFERROR(TO_DATE(H5665), """")"),"NA")</f>
        <v>NA</v>
      </c>
      <c r="J5665" s="19" t="s">
        <v>11</v>
      </c>
      <c r="K5665" s="22">
        <f t="shared" si="2"/>
        <v>0</v>
      </c>
    </row>
    <row r="5666">
      <c r="A5666" s="18">
        <v>4172.0</v>
      </c>
      <c r="B5666" s="18" t="s">
        <v>32</v>
      </c>
      <c r="C5666" s="18" t="s">
        <v>34</v>
      </c>
      <c r="D5666" s="18" t="s">
        <v>35</v>
      </c>
      <c r="E5666" s="27">
        <v>42565.22019675926</v>
      </c>
      <c r="F5666" s="19">
        <f>IFERROR(__xludf.DUMMYFUNCTION("IFERROR(TO_DATE(E5666), """")"),42565.22019675926)</f>
        <v>42565.2202</v>
      </c>
      <c r="G5666" s="20">
        <f t="shared" si="1"/>
        <v>5</v>
      </c>
      <c r="H5666" s="18" t="s">
        <v>34</v>
      </c>
      <c r="I5666" s="19" t="str">
        <f>IFERROR(__xludf.DUMMYFUNCTION("IFERROR(TO_DATE(H5666), """")"),"NA")</f>
        <v>NA</v>
      </c>
      <c r="J5666" s="19" t="s">
        <v>11</v>
      </c>
      <c r="K5666" s="22">
        <f t="shared" si="2"/>
        <v>0</v>
      </c>
    </row>
    <row r="5667">
      <c r="A5667" s="18">
        <v>4190.0</v>
      </c>
      <c r="B5667" s="18" t="s">
        <v>32</v>
      </c>
      <c r="C5667" s="18" t="s">
        <v>34</v>
      </c>
      <c r="D5667" s="18" t="s">
        <v>35</v>
      </c>
      <c r="E5667" s="27">
        <v>42565.2231712963</v>
      </c>
      <c r="F5667" s="19">
        <f>IFERROR(__xludf.DUMMYFUNCTION("IFERROR(TO_DATE(E5667), """")"),42565.2231712963)</f>
        <v>42565.22317</v>
      </c>
      <c r="G5667" s="20">
        <f t="shared" si="1"/>
        <v>5</v>
      </c>
      <c r="H5667" s="18" t="s">
        <v>34</v>
      </c>
      <c r="I5667" s="19" t="str">
        <f>IFERROR(__xludf.DUMMYFUNCTION("IFERROR(TO_DATE(H5667), """")"),"NA")</f>
        <v>NA</v>
      </c>
      <c r="J5667" s="19" t="s">
        <v>11</v>
      </c>
      <c r="K5667" s="22">
        <f t="shared" si="2"/>
        <v>0</v>
      </c>
    </row>
    <row r="5668">
      <c r="A5668" s="18">
        <v>4193.0</v>
      </c>
      <c r="B5668" s="18" t="s">
        <v>32</v>
      </c>
      <c r="C5668" s="18" t="s">
        <v>34</v>
      </c>
      <c r="D5668" s="18" t="s">
        <v>35</v>
      </c>
      <c r="E5668" s="27">
        <v>42565.225960648146</v>
      </c>
      <c r="F5668" s="19">
        <f>IFERROR(__xludf.DUMMYFUNCTION("IFERROR(TO_DATE(E5668), """")"),42565.225960648146)</f>
        <v>42565.22596</v>
      </c>
      <c r="G5668" s="20">
        <f t="shared" si="1"/>
        <v>5</v>
      </c>
      <c r="H5668" s="18" t="s">
        <v>34</v>
      </c>
      <c r="I5668" s="19" t="str">
        <f>IFERROR(__xludf.DUMMYFUNCTION("IFERROR(TO_DATE(H5668), """")"),"NA")</f>
        <v>NA</v>
      </c>
      <c r="J5668" s="19" t="s">
        <v>11</v>
      </c>
      <c r="K5668" s="22">
        <f t="shared" si="2"/>
        <v>0</v>
      </c>
    </row>
    <row r="5669">
      <c r="A5669" s="18">
        <v>4181.0</v>
      </c>
      <c r="B5669" s="18" t="s">
        <v>32</v>
      </c>
      <c r="C5669" s="18" t="s">
        <v>34</v>
      </c>
      <c r="D5669" s="18" t="s">
        <v>35</v>
      </c>
      <c r="E5669" s="27">
        <v>42565.226273148146</v>
      </c>
      <c r="F5669" s="19">
        <f>IFERROR(__xludf.DUMMYFUNCTION("IFERROR(TO_DATE(E5669), """")"),42565.226273148146)</f>
        <v>42565.22627</v>
      </c>
      <c r="G5669" s="20">
        <f t="shared" si="1"/>
        <v>5</v>
      </c>
      <c r="H5669" s="18" t="s">
        <v>34</v>
      </c>
      <c r="I5669" s="19" t="str">
        <f>IFERROR(__xludf.DUMMYFUNCTION("IFERROR(TO_DATE(H5669), """")"),"NA")</f>
        <v>NA</v>
      </c>
      <c r="J5669" s="19" t="s">
        <v>11</v>
      </c>
      <c r="K5669" s="22">
        <f t="shared" si="2"/>
        <v>0</v>
      </c>
    </row>
    <row r="5670">
      <c r="A5670" s="18">
        <v>4191.0</v>
      </c>
      <c r="B5670" s="18" t="s">
        <v>32</v>
      </c>
      <c r="C5670" s="18" t="s">
        <v>34</v>
      </c>
      <c r="D5670" s="18" t="s">
        <v>35</v>
      </c>
      <c r="E5670" s="27">
        <v>42565.230578703704</v>
      </c>
      <c r="F5670" s="19">
        <f>IFERROR(__xludf.DUMMYFUNCTION("IFERROR(TO_DATE(E5670), """")"),42565.230578703704)</f>
        <v>42565.23058</v>
      </c>
      <c r="G5670" s="20">
        <f t="shared" si="1"/>
        <v>5</v>
      </c>
      <c r="H5670" s="18" t="s">
        <v>34</v>
      </c>
      <c r="I5670" s="19" t="str">
        <f>IFERROR(__xludf.DUMMYFUNCTION("IFERROR(TO_DATE(H5670), """")"),"NA")</f>
        <v>NA</v>
      </c>
      <c r="J5670" s="19" t="s">
        <v>11</v>
      </c>
      <c r="K5670" s="22">
        <f t="shared" si="2"/>
        <v>0</v>
      </c>
    </row>
    <row r="5671">
      <c r="A5671" s="18">
        <v>4200.0</v>
      </c>
      <c r="B5671" s="18" t="s">
        <v>32</v>
      </c>
      <c r="C5671" s="18" t="s">
        <v>34</v>
      </c>
      <c r="D5671" s="18" t="s">
        <v>35</v>
      </c>
      <c r="E5671" s="27">
        <v>42565.23105324074</v>
      </c>
      <c r="F5671" s="19">
        <f>IFERROR(__xludf.DUMMYFUNCTION("IFERROR(TO_DATE(E5671), """")"),42565.23105324074)</f>
        <v>42565.23105</v>
      </c>
      <c r="G5671" s="20">
        <f t="shared" si="1"/>
        <v>5</v>
      </c>
      <c r="H5671" s="18" t="s">
        <v>34</v>
      </c>
      <c r="I5671" s="19" t="str">
        <f>IFERROR(__xludf.DUMMYFUNCTION("IFERROR(TO_DATE(H5671), """")"),"NA")</f>
        <v>NA</v>
      </c>
      <c r="J5671" s="19" t="s">
        <v>11</v>
      </c>
      <c r="K5671" s="22">
        <f t="shared" si="2"/>
        <v>0</v>
      </c>
    </row>
    <row r="5672">
      <c r="A5672" s="18">
        <v>4208.0</v>
      </c>
      <c r="B5672" s="18" t="s">
        <v>32</v>
      </c>
      <c r="C5672" s="18" t="s">
        <v>34</v>
      </c>
      <c r="D5672" s="18" t="s">
        <v>35</v>
      </c>
      <c r="E5672" s="27">
        <v>42565.23547453704</v>
      </c>
      <c r="F5672" s="19">
        <f>IFERROR(__xludf.DUMMYFUNCTION("IFERROR(TO_DATE(E5672), """")"),42565.23547453704)</f>
        <v>42565.23547</v>
      </c>
      <c r="G5672" s="20">
        <f t="shared" si="1"/>
        <v>5</v>
      </c>
      <c r="H5672" s="18" t="s">
        <v>34</v>
      </c>
      <c r="I5672" s="19" t="str">
        <f>IFERROR(__xludf.DUMMYFUNCTION("IFERROR(TO_DATE(H5672), """")"),"NA")</f>
        <v>NA</v>
      </c>
      <c r="J5672" s="19" t="s">
        <v>11</v>
      </c>
      <c r="K5672" s="22">
        <f t="shared" si="2"/>
        <v>0</v>
      </c>
    </row>
    <row r="5673">
      <c r="A5673" s="18">
        <v>4219.0</v>
      </c>
      <c r="B5673" s="18" t="s">
        <v>32</v>
      </c>
      <c r="C5673" s="18" t="s">
        <v>34</v>
      </c>
      <c r="D5673" s="18" t="s">
        <v>35</v>
      </c>
      <c r="E5673" s="27">
        <v>42565.237708333334</v>
      </c>
      <c r="F5673" s="19">
        <f>IFERROR(__xludf.DUMMYFUNCTION("IFERROR(TO_DATE(E5673), """")"),42565.237708333334)</f>
        <v>42565.23771</v>
      </c>
      <c r="G5673" s="20">
        <f t="shared" si="1"/>
        <v>5</v>
      </c>
      <c r="H5673" s="18" t="s">
        <v>34</v>
      </c>
      <c r="I5673" s="19" t="str">
        <f>IFERROR(__xludf.DUMMYFUNCTION("IFERROR(TO_DATE(H5673), """")"),"NA")</f>
        <v>NA</v>
      </c>
      <c r="J5673" s="19" t="s">
        <v>11</v>
      </c>
      <c r="K5673" s="22">
        <f t="shared" si="2"/>
        <v>0</v>
      </c>
    </row>
    <row r="5674">
      <c r="A5674" s="18">
        <v>4220.0</v>
      </c>
      <c r="B5674" s="18" t="s">
        <v>32</v>
      </c>
      <c r="C5674" s="18" t="s">
        <v>34</v>
      </c>
      <c r="D5674" s="18" t="s">
        <v>35</v>
      </c>
      <c r="E5674" s="27">
        <v>42565.23869212963</v>
      </c>
      <c r="F5674" s="19">
        <f>IFERROR(__xludf.DUMMYFUNCTION("IFERROR(TO_DATE(E5674), """")"),42565.23869212963)</f>
        <v>42565.23869</v>
      </c>
      <c r="G5674" s="20">
        <f t="shared" si="1"/>
        <v>5</v>
      </c>
      <c r="H5674" s="18" t="s">
        <v>34</v>
      </c>
      <c r="I5674" s="19" t="str">
        <f>IFERROR(__xludf.DUMMYFUNCTION("IFERROR(TO_DATE(H5674), """")"),"NA")</f>
        <v>NA</v>
      </c>
      <c r="J5674" s="19" t="s">
        <v>11</v>
      </c>
      <c r="K5674" s="22">
        <f t="shared" si="2"/>
        <v>0</v>
      </c>
    </row>
    <row r="5675">
      <c r="A5675" s="18">
        <v>4217.0</v>
      </c>
      <c r="B5675" s="18" t="s">
        <v>32</v>
      </c>
      <c r="C5675" s="18" t="s">
        <v>34</v>
      </c>
      <c r="D5675" s="18" t="s">
        <v>35</v>
      </c>
      <c r="E5675" s="27">
        <v>42565.24019675926</v>
      </c>
      <c r="F5675" s="19">
        <f>IFERROR(__xludf.DUMMYFUNCTION("IFERROR(TO_DATE(E5675), """")"),42565.24019675926)</f>
        <v>42565.2402</v>
      </c>
      <c r="G5675" s="20">
        <f t="shared" si="1"/>
        <v>5</v>
      </c>
      <c r="H5675" s="18" t="s">
        <v>34</v>
      </c>
      <c r="I5675" s="19" t="str">
        <f>IFERROR(__xludf.DUMMYFUNCTION("IFERROR(TO_DATE(H5675), """")"),"NA")</f>
        <v>NA</v>
      </c>
      <c r="J5675" s="19" t="s">
        <v>11</v>
      </c>
      <c r="K5675" s="22">
        <f t="shared" si="2"/>
        <v>0</v>
      </c>
    </row>
    <row r="5676">
      <c r="A5676" s="18">
        <v>4237.0</v>
      </c>
      <c r="B5676" s="18" t="s">
        <v>32</v>
      </c>
      <c r="C5676" s="18" t="s">
        <v>34</v>
      </c>
      <c r="D5676" s="18" t="s">
        <v>35</v>
      </c>
      <c r="E5676" s="27">
        <v>42565.24506944444</v>
      </c>
      <c r="F5676" s="19">
        <f>IFERROR(__xludf.DUMMYFUNCTION("IFERROR(TO_DATE(E5676), """")"),42565.24506944444)</f>
        <v>42565.24507</v>
      </c>
      <c r="G5676" s="20">
        <f t="shared" si="1"/>
        <v>5</v>
      </c>
      <c r="H5676" s="18" t="s">
        <v>34</v>
      </c>
      <c r="I5676" s="19" t="str">
        <f>IFERROR(__xludf.DUMMYFUNCTION("IFERROR(TO_DATE(H5676), """")"),"NA")</f>
        <v>NA</v>
      </c>
      <c r="J5676" s="19" t="s">
        <v>11</v>
      </c>
      <c r="K5676" s="22">
        <f t="shared" si="2"/>
        <v>0</v>
      </c>
    </row>
    <row r="5677">
      <c r="A5677" s="18">
        <v>4228.0</v>
      </c>
      <c r="B5677" s="18" t="s">
        <v>32</v>
      </c>
      <c r="C5677" s="18" t="s">
        <v>34</v>
      </c>
      <c r="D5677" s="18" t="s">
        <v>35</v>
      </c>
      <c r="E5677" s="27">
        <v>42565.24570601852</v>
      </c>
      <c r="F5677" s="19">
        <f>IFERROR(__xludf.DUMMYFUNCTION("IFERROR(TO_DATE(E5677), """")"),42565.24570601852)</f>
        <v>42565.24571</v>
      </c>
      <c r="G5677" s="20">
        <f t="shared" si="1"/>
        <v>5</v>
      </c>
      <c r="H5677" s="18" t="s">
        <v>34</v>
      </c>
      <c r="I5677" s="19" t="str">
        <f>IFERROR(__xludf.DUMMYFUNCTION("IFERROR(TO_DATE(H5677), """")"),"NA")</f>
        <v>NA</v>
      </c>
      <c r="J5677" s="19" t="s">
        <v>11</v>
      </c>
      <c r="K5677" s="22">
        <f t="shared" si="2"/>
        <v>0</v>
      </c>
    </row>
    <row r="5678">
      <c r="A5678" s="18">
        <v>4240.0</v>
      </c>
      <c r="B5678" s="18" t="s">
        <v>32</v>
      </c>
      <c r="C5678" s="18" t="s">
        <v>34</v>
      </c>
      <c r="D5678" s="18" t="s">
        <v>35</v>
      </c>
      <c r="E5678" s="27">
        <v>42565.2475462963</v>
      </c>
      <c r="F5678" s="19">
        <f>IFERROR(__xludf.DUMMYFUNCTION("IFERROR(TO_DATE(E5678), """")"),42565.2475462963)</f>
        <v>42565.24755</v>
      </c>
      <c r="G5678" s="20">
        <f t="shared" si="1"/>
        <v>5</v>
      </c>
      <c r="H5678" s="18" t="s">
        <v>34</v>
      </c>
      <c r="I5678" s="19" t="str">
        <f>IFERROR(__xludf.DUMMYFUNCTION("IFERROR(TO_DATE(H5678), """")"),"NA")</f>
        <v>NA</v>
      </c>
      <c r="J5678" s="19" t="s">
        <v>11</v>
      </c>
      <c r="K5678" s="22">
        <f t="shared" si="2"/>
        <v>0</v>
      </c>
    </row>
    <row r="5679">
      <c r="A5679" s="18">
        <v>4229.0</v>
      </c>
      <c r="B5679" s="18" t="s">
        <v>32</v>
      </c>
      <c r="C5679" s="18" t="s">
        <v>34</v>
      </c>
      <c r="D5679" s="18" t="s">
        <v>35</v>
      </c>
      <c r="E5679" s="27">
        <v>42565.24773148148</v>
      </c>
      <c r="F5679" s="19">
        <f>IFERROR(__xludf.DUMMYFUNCTION("IFERROR(TO_DATE(E5679), """")"),42565.24773148148)</f>
        <v>42565.24773</v>
      </c>
      <c r="G5679" s="20">
        <f t="shared" si="1"/>
        <v>5</v>
      </c>
      <c r="H5679" s="18" t="s">
        <v>34</v>
      </c>
      <c r="I5679" s="19" t="str">
        <f>IFERROR(__xludf.DUMMYFUNCTION("IFERROR(TO_DATE(H5679), """")"),"NA")</f>
        <v>NA</v>
      </c>
      <c r="J5679" s="19" t="s">
        <v>11</v>
      </c>
      <c r="K5679" s="22">
        <f t="shared" si="2"/>
        <v>0</v>
      </c>
    </row>
    <row r="5680">
      <c r="A5680" s="18">
        <v>4246.0</v>
      </c>
      <c r="B5680" s="18" t="s">
        <v>32</v>
      </c>
      <c r="C5680" s="18" t="s">
        <v>34</v>
      </c>
      <c r="D5680" s="18" t="s">
        <v>35</v>
      </c>
      <c r="E5680" s="27">
        <v>42565.24888888889</v>
      </c>
      <c r="F5680" s="19">
        <f>IFERROR(__xludf.DUMMYFUNCTION("IFERROR(TO_DATE(E5680), """")"),42565.24888888889)</f>
        <v>42565.24889</v>
      </c>
      <c r="G5680" s="20">
        <f t="shared" si="1"/>
        <v>5</v>
      </c>
      <c r="H5680" s="18" t="s">
        <v>34</v>
      </c>
      <c r="I5680" s="19" t="str">
        <f>IFERROR(__xludf.DUMMYFUNCTION("IFERROR(TO_DATE(H5680), """")"),"NA")</f>
        <v>NA</v>
      </c>
      <c r="J5680" s="19" t="s">
        <v>11</v>
      </c>
      <c r="K5680" s="22">
        <f t="shared" si="2"/>
        <v>0</v>
      </c>
    </row>
    <row r="5681">
      <c r="A5681" s="18">
        <v>4244.0</v>
      </c>
      <c r="B5681" s="18" t="s">
        <v>32</v>
      </c>
      <c r="C5681" s="18" t="s">
        <v>34</v>
      </c>
      <c r="D5681" s="18" t="s">
        <v>35</v>
      </c>
      <c r="E5681" s="27">
        <v>42565.250185185185</v>
      </c>
      <c r="F5681" s="19">
        <f>IFERROR(__xludf.DUMMYFUNCTION("IFERROR(TO_DATE(E5681), """")"),42565.250185185185)</f>
        <v>42565.25019</v>
      </c>
      <c r="G5681" s="20">
        <f t="shared" si="1"/>
        <v>6</v>
      </c>
      <c r="H5681" s="18" t="s">
        <v>34</v>
      </c>
      <c r="I5681" s="19" t="str">
        <f>IFERROR(__xludf.DUMMYFUNCTION("IFERROR(TO_DATE(H5681), """")"),"NA")</f>
        <v>NA</v>
      </c>
      <c r="J5681" s="19" t="s">
        <v>11</v>
      </c>
      <c r="K5681" s="22">
        <f t="shared" si="2"/>
        <v>0</v>
      </c>
    </row>
    <row r="5682">
      <c r="A5682" s="18">
        <v>4241.0</v>
      </c>
      <c r="B5682" s="18" t="s">
        <v>32</v>
      </c>
      <c r="C5682" s="18" t="s">
        <v>34</v>
      </c>
      <c r="D5682" s="18" t="s">
        <v>35</v>
      </c>
      <c r="E5682" s="27">
        <v>42565.25079861111</v>
      </c>
      <c r="F5682" s="19">
        <f>IFERROR(__xludf.DUMMYFUNCTION("IFERROR(TO_DATE(E5682), """")"),42565.25079861111)</f>
        <v>42565.2508</v>
      </c>
      <c r="G5682" s="20">
        <f t="shared" si="1"/>
        <v>6</v>
      </c>
      <c r="H5682" s="18" t="s">
        <v>34</v>
      </c>
      <c r="I5682" s="19" t="str">
        <f>IFERROR(__xludf.DUMMYFUNCTION("IFERROR(TO_DATE(H5682), """")"),"NA")</f>
        <v>NA</v>
      </c>
      <c r="J5682" s="19" t="s">
        <v>11</v>
      </c>
      <c r="K5682" s="22">
        <f t="shared" si="2"/>
        <v>0</v>
      </c>
    </row>
    <row r="5683">
      <c r="A5683" s="18">
        <v>4247.0</v>
      </c>
      <c r="B5683" s="18" t="s">
        <v>32</v>
      </c>
      <c r="C5683" s="18" t="s">
        <v>34</v>
      </c>
      <c r="D5683" s="18" t="s">
        <v>35</v>
      </c>
      <c r="E5683" s="27">
        <v>42565.25236111111</v>
      </c>
      <c r="F5683" s="19">
        <f>IFERROR(__xludf.DUMMYFUNCTION("IFERROR(TO_DATE(E5683), """")"),42565.25236111111)</f>
        <v>42565.25236</v>
      </c>
      <c r="G5683" s="20">
        <f t="shared" si="1"/>
        <v>6</v>
      </c>
      <c r="H5683" s="18" t="s">
        <v>34</v>
      </c>
      <c r="I5683" s="19" t="str">
        <f>IFERROR(__xludf.DUMMYFUNCTION("IFERROR(TO_DATE(H5683), """")"),"NA")</f>
        <v>NA</v>
      </c>
      <c r="J5683" s="19" t="s">
        <v>11</v>
      </c>
      <c r="K5683" s="22">
        <f t="shared" si="2"/>
        <v>0</v>
      </c>
    </row>
    <row r="5684">
      <c r="A5684" s="18">
        <v>4256.0</v>
      </c>
      <c r="B5684" s="18" t="s">
        <v>32</v>
      </c>
      <c r="C5684" s="18" t="s">
        <v>34</v>
      </c>
      <c r="D5684" s="18" t="s">
        <v>35</v>
      </c>
      <c r="E5684" s="27">
        <v>42565.254155092596</v>
      </c>
      <c r="F5684" s="19">
        <f>IFERROR(__xludf.DUMMYFUNCTION("IFERROR(TO_DATE(E5684), """")"),42565.254155092596)</f>
        <v>42565.25416</v>
      </c>
      <c r="G5684" s="20">
        <f t="shared" si="1"/>
        <v>6</v>
      </c>
      <c r="H5684" s="18" t="s">
        <v>34</v>
      </c>
      <c r="I5684" s="19" t="str">
        <f>IFERROR(__xludf.DUMMYFUNCTION("IFERROR(TO_DATE(H5684), """")"),"NA")</f>
        <v>NA</v>
      </c>
      <c r="J5684" s="19" t="s">
        <v>11</v>
      </c>
      <c r="K5684" s="22">
        <f t="shared" si="2"/>
        <v>0</v>
      </c>
    </row>
    <row r="5685">
      <c r="A5685" s="18">
        <v>4259.0</v>
      </c>
      <c r="B5685" s="18" t="s">
        <v>32</v>
      </c>
      <c r="C5685" s="18" t="s">
        <v>34</v>
      </c>
      <c r="D5685" s="18" t="s">
        <v>35</v>
      </c>
      <c r="E5685" s="27">
        <v>42565.257048611114</v>
      </c>
      <c r="F5685" s="19">
        <f>IFERROR(__xludf.DUMMYFUNCTION("IFERROR(TO_DATE(E5685), """")"),42565.257048611114)</f>
        <v>42565.25705</v>
      </c>
      <c r="G5685" s="20">
        <f t="shared" si="1"/>
        <v>6</v>
      </c>
      <c r="H5685" s="18" t="s">
        <v>34</v>
      </c>
      <c r="I5685" s="19" t="str">
        <f>IFERROR(__xludf.DUMMYFUNCTION("IFERROR(TO_DATE(H5685), """")"),"NA")</f>
        <v>NA</v>
      </c>
      <c r="J5685" s="19" t="s">
        <v>11</v>
      </c>
      <c r="K5685" s="22">
        <f t="shared" si="2"/>
        <v>0</v>
      </c>
    </row>
    <row r="5686">
      <c r="A5686" s="18">
        <v>4265.0</v>
      </c>
      <c r="B5686" s="18" t="s">
        <v>32</v>
      </c>
      <c r="C5686" s="18" t="s">
        <v>34</v>
      </c>
      <c r="D5686" s="18" t="s">
        <v>35</v>
      </c>
      <c r="E5686" s="27">
        <v>42565.258368055554</v>
      </c>
      <c r="F5686" s="19">
        <f>IFERROR(__xludf.DUMMYFUNCTION("IFERROR(TO_DATE(E5686), """")"),42565.258368055554)</f>
        <v>42565.25837</v>
      </c>
      <c r="G5686" s="20">
        <f t="shared" si="1"/>
        <v>6</v>
      </c>
      <c r="H5686" s="18" t="s">
        <v>34</v>
      </c>
      <c r="I5686" s="19" t="str">
        <f>IFERROR(__xludf.DUMMYFUNCTION("IFERROR(TO_DATE(H5686), """")"),"NA")</f>
        <v>NA</v>
      </c>
      <c r="J5686" s="19" t="s">
        <v>11</v>
      </c>
      <c r="K5686" s="22">
        <f t="shared" si="2"/>
        <v>0</v>
      </c>
    </row>
    <row r="5687">
      <c r="A5687" s="18">
        <v>4261.0</v>
      </c>
      <c r="B5687" s="18" t="s">
        <v>32</v>
      </c>
      <c r="C5687" s="18" t="s">
        <v>34</v>
      </c>
      <c r="D5687" s="18" t="s">
        <v>35</v>
      </c>
      <c r="E5687" s="27">
        <v>42565.25891203704</v>
      </c>
      <c r="F5687" s="19">
        <f>IFERROR(__xludf.DUMMYFUNCTION("IFERROR(TO_DATE(E5687), """")"),42565.25891203704)</f>
        <v>42565.25891</v>
      </c>
      <c r="G5687" s="20">
        <f t="shared" si="1"/>
        <v>6</v>
      </c>
      <c r="H5687" s="18" t="s">
        <v>34</v>
      </c>
      <c r="I5687" s="19" t="str">
        <f>IFERROR(__xludf.DUMMYFUNCTION("IFERROR(TO_DATE(H5687), """")"),"NA")</f>
        <v>NA</v>
      </c>
      <c r="J5687" s="19" t="s">
        <v>11</v>
      </c>
      <c r="K5687" s="22">
        <f t="shared" si="2"/>
        <v>0</v>
      </c>
    </row>
    <row r="5688">
      <c r="A5688" s="18">
        <v>4262.0</v>
      </c>
      <c r="B5688" s="18" t="s">
        <v>32</v>
      </c>
      <c r="C5688" s="18" t="s">
        <v>34</v>
      </c>
      <c r="D5688" s="18" t="s">
        <v>35</v>
      </c>
      <c r="E5688" s="27">
        <v>42565.26069444444</v>
      </c>
      <c r="F5688" s="19">
        <f>IFERROR(__xludf.DUMMYFUNCTION("IFERROR(TO_DATE(E5688), """")"),42565.26069444444)</f>
        <v>42565.26069</v>
      </c>
      <c r="G5688" s="20">
        <f t="shared" si="1"/>
        <v>6</v>
      </c>
      <c r="H5688" s="18" t="s">
        <v>34</v>
      </c>
      <c r="I5688" s="19" t="str">
        <f>IFERROR(__xludf.DUMMYFUNCTION("IFERROR(TO_DATE(H5688), """")"),"NA")</f>
        <v>NA</v>
      </c>
      <c r="J5688" s="19" t="s">
        <v>11</v>
      </c>
      <c r="K5688" s="22">
        <f t="shared" si="2"/>
        <v>0</v>
      </c>
    </row>
    <row r="5689">
      <c r="A5689" s="18">
        <v>4267.0</v>
      </c>
      <c r="B5689" s="18" t="s">
        <v>32</v>
      </c>
      <c r="C5689" s="18" t="s">
        <v>34</v>
      </c>
      <c r="D5689" s="18" t="s">
        <v>35</v>
      </c>
      <c r="E5689" s="27">
        <v>42565.26189814815</v>
      </c>
      <c r="F5689" s="19">
        <f>IFERROR(__xludf.DUMMYFUNCTION("IFERROR(TO_DATE(E5689), """")"),42565.26189814815)</f>
        <v>42565.2619</v>
      </c>
      <c r="G5689" s="20">
        <f t="shared" si="1"/>
        <v>6</v>
      </c>
      <c r="H5689" s="18" t="s">
        <v>34</v>
      </c>
      <c r="I5689" s="19" t="str">
        <f>IFERROR(__xludf.DUMMYFUNCTION("IFERROR(TO_DATE(H5689), """")"),"NA")</f>
        <v>NA</v>
      </c>
      <c r="J5689" s="19" t="s">
        <v>11</v>
      </c>
      <c r="K5689" s="22">
        <f t="shared" si="2"/>
        <v>0</v>
      </c>
    </row>
    <row r="5690">
      <c r="A5690" s="18">
        <v>4269.0</v>
      </c>
      <c r="B5690" s="18" t="s">
        <v>32</v>
      </c>
      <c r="C5690" s="18" t="s">
        <v>34</v>
      </c>
      <c r="D5690" s="18" t="s">
        <v>35</v>
      </c>
      <c r="E5690" s="27">
        <v>42565.26347222222</v>
      </c>
      <c r="F5690" s="19">
        <f>IFERROR(__xludf.DUMMYFUNCTION("IFERROR(TO_DATE(E5690), """")"),42565.26347222222)</f>
        <v>42565.26347</v>
      </c>
      <c r="G5690" s="20">
        <f t="shared" si="1"/>
        <v>6</v>
      </c>
      <c r="H5690" s="18" t="s">
        <v>34</v>
      </c>
      <c r="I5690" s="19" t="str">
        <f>IFERROR(__xludf.DUMMYFUNCTION("IFERROR(TO_DATE(H5690), """")"),"NA")</f>
        <v>NA</v>
      </c>
      <c r="J5690" s="19" t="s">
        <v>11</v>
      </c>
      <c r="K5690" s="22">
        <f t="shared" si="2"/>
        <v>0</v>
      </c>
    </row>
    <row r="5691">
      <c r="A5691" s="18">
        <v>4275.0</v>
      </c>
      <c r="B5691" s="18" t="s">
        <v>32</v>
      </c>
      <c r="C5691" s="18" t="s">
        <v>34</v>
      </c>
      <c r="D5691" s="18" t="s">
        <v>35</v>
      </c>
      <c r="E5691" s="27">
        <v>42565.265810185185</v>
      </c>
      <c r="F5691" s="19">
        <f>IFERROR(__xludf.DUMMYFUNCTION("IFERROR(TO_DATE(E5691), """")"),42565.265810185185)</f>
        <v>42565.26581</v>
      </c>
      <c r="G5691" s="20">
        <f t="shared" si="1"/>
        <v>6</v>
      </c>
      <c r="H5691" s="18" t="s">
        <v>34</v>
      </c>
      <c r="I5691" s="19" t="str">
        <f>IFERROR(__xludf.DUMMYFUNCTION("IFERROR(TO_DATE(H5691), """")"),"NA")</f>
        <v>NA</v>
      </c>
      <c r="J5691" s="19" t="s">
        <v>11</v>
      </c>
      <c r="K5691" s="22">
        <f t="shared" si="2"/>
        <v>0</v>
      </c>
    </row>
    <row r="5692">
      <c r="A5692" s="18">
        <v>4279.0</v>
      </c>
      <c r="B5692" s="18" t="s">
        <v>32</v>
      </c>
      <c r="C5692" s="18" t="s">
        <v>34</v>
      </c>
      <c r="D5692" s="18" t="s">
        <v>35</v>
      </c>
      <c r="E5692" s="27">
        <v>42565.27013888889</v>
      </c>
      <c r="F5692" s="19">
        <f>IFERROR(__xludf.DUMMYFUNCTION("IFERROR(TO_DATE(E5692), """")"),42565.27013888889)</f>
        <v>42565.27014</v>
      </c>
      <c r="G5692" s="20">
        <f t="shared" si="1"/>
        <v>6</v>
      </c>
      <c r="H5692" s="18" t="s">
        <v>34</v>
      </c>
      <c r="I5692" s="19" t="str">
        <f>IFERROR(__xludf.DUMMYFUNCTION("IFERROR(TO_DATE(H5692), """")"),"NA")</f>
        <v>NA</v>
      </c>
      <c r="J5692" s="19" t="s">
        <v>11</v>
      </c>
      <c r="K5692" s="22">
        <f t="shared" si="2"/>
        <v>0</v>
      </c>
    </row>
    <row r="5693">
      <c r="A5693" s="18">
        <v>4282.0</v>
      </c>
      <c r="B5693" s="18" t="s">
        <v>32</v>
      </c>
      <c r="C5693" s="18" t="s">
        <v>34</v>
      </c>
      <c r="D5693" s="18" t="s">
        <v>35</v>
      </c>
      <c r="E5693" s="27">
        <v>42565.27162037037</v>
      </c>
      <c r="F5693" s="19">
        <f>IFERROR(__xludf.DUMMYFUNCTION("IFERROR(TO_DATE(E5693), """")"),42565.27162037037)</f>
        <v>42565.27162</v>
      </c>
      <c r="G5693" s="20">
        <f t="shared" si="1"/>
        <v>6</v>
      </c>
      <c r="H5693" s="18" t="s">
        <v>34</v>
      </c>
      <c r="I5693" s="19" t="str">
        <f>IFERROR(__xludf.DUMMYFUNCTION("IFERROR(TO_DATE(H5693), """")"),"NA")</f>
        <v>NA</v>
      </c>
      <c r="J5693" s="19" t="s">
        <v>11</v>
      </c>
      <c r="K5693" s="22">
        <f t="shared" si="2"/>
        <v>0</v>
      </c>
    </row>
    <row r="5694">
      <c r="A5694" s="18">
        <v>4283.0</v>
      </c>
      <c r="B5694" s="18" t="s">
        <v>32</v>
      </c>
      <c r="C5694" s="18" t="s">
        <v>34</v>
      </c>
      <c r="D5694" s="18" t="s">
        <v>35</v>
      </c>
      <c r="E5694" s="27">
        <v>42565.272152777776</v>
      </c>
      <c r="F5694" s="19">
        <f>IFERROR(__xludf.DUMMYFUNCTION("IFERROR(TO_DATE(E5694), """")"),42565.272152777776)</f>
        <v>42565.27215</v>
      </c>
      <c r="G5694" s="20">
        <f t="shared" si="1"/>
        <v>6</v>
      </c>
      <c r="H5694" s="18" t="s">
        <v>34</v>
      </c>
      <c r="I5694" s="19" t="str">
        <f>IFERROR(__xludf.DUMMYFUNCTION("IFERROR(TO_DATE(H5694), """")"),"NA")</f>
        <v>NA</v>
      </c>
      <c r="J5694" s="19" t="s">
        <v>11</v>
      </c>
      <c r="K5694" s="22">
        <f t="shared" si="2"/>
        <v>0</v>
      </c>
    </row>
    <row r="5695">
      <c r="A5695" s="18">
        <v>4289.0</v>
      </c>
      <c r="B5695" s="18" t="s">
        <v>32</v>
      </c>
      <c r="C5695" s="18" t="s">
        <v>34</v>
      </c>
      <c r="D5695" s="18" t="s">
        <v>35</v>
      </c>
      <c r="E5695" s="27">
        <v>42565.274872685186</v>
      </c>
      <c r="F5695" s="19">
        <f>IFERROR(__xludf.DUMMYFUNCTION("IFERROR(TO_DATE(E5695), """")"),42565.274872685186)</f>
        <v>42565.27487</v>
      </c>
      <c r="G5695" s="20">
        <f t="shared" si="1"/>
        <v>6</v>
      </c>
      <c r="H5695" s="18" t="s">
        <v>34</v>
      </c>
      <c r="I5695" s="19" t="str">
        <f>IFERROR(__xludf.DUMMYFUNCTION("IFERROR(TO_DATE(H5695), """")"),"NA")</f>
        <v>NA</v>
      </c>
      <c r="J5695" s="19" t="s">
        <v>11</v>
      </c>
      <c r="K5695" s="22">
        <f t="shared" si="2"/>
        <v>0</v>
      </c>
    </row>
    <row r="5696">
      <c r="A5696" s="18">
        <v>4291.0</v>
      </c>
      <c r="B5696" s="18" t="s">
        <v>32</v>
      </c>
      <c r="C5696" s="18" t="s">
        <v>34</v>
      </c>
      <c r="D5696" s="18" t="s">
        <v>35</v>
      </c>
      <c r="E5696" s="27">
        <v>42565.27777777778</v>
      </c>
      <c r="F5696" s="19">
        <f>IFERROR(__xludf.DUMMYFUNCTION("IFERROR(TO_DATE(E5696), """")"),42565.27777777778)</f>
        <v>42565.27778</v>
      </c>
      <c r="G5696" s="20">
        <f t="shared" si="1"/>
        <v>6</v>
      </c>
      <c r="H5696" s="18" t="s">
        <v>34</v>
      </c>
      <c r="I5696" s="19" t="str">
        <f>IFERROR(__xludf.DUMMYFUNCTION("IFERROR(TO_DATE(H5696), """")"),"NA")</f>
        <v>NA</v>
      </c>
      <c r="J5696" s="19" t="s">
        <v>11</v>
      </c>
      <c r="K5696" s="22">
        <f t="shared" si="2"/>
        <v>0</v>
      </c>
    </row>
    <row r="5697">
      <c r="A5697" s="18">
        <v>4292.0</v>
      </c>
      <c r="B5697" s="18" t="s">
        <v>32</v>
      </c>
      <c r="C5697" s="18" t="s">
        <v>34</v>
      </c>
      <c r="D5697" s="18" t="s">
        <v>35</v>
      </c>
      <c r="E5697" s="27">
        <v>42565.27946759259</v>
      </c>
      <c r="F5697" s="19">
        <f>IFERROR(__xludf.DUMMYFUNCTION("IFERROR(TO_DATE(E5697), """")"),42565.27946759259)</f>
        <v>42565.27947</v>
      </c>
      <c r="G5697" s="20">
        <f t="shared" si="1"/>
        <v>6</v>
      </c>
      <c r="H5697" s="18" t="s">
        <v>34</v>
      </c>
      <c r="I5697" s="19" t="str">
        <f>IFERROR(__xludf.DUMMYFUNCTION("IFERROR(TO_DATE(H5697), """")"),"NA")</f>
        <v>NA</v>
      </c>
      <c r="J5697" s="19" t="s">
        <v>11</v>
      </c>
      <c r="K5697" s="22">
        <f t="shared" si="2"/>
        <v>0</v>
      </c>
    </row>
    <row r="5698">
      <c r="A5698" s="18">
        <v>4295.0</v>
      </c>
      <c r="B5698" s="18" t="s">
        <v>32</v>
      </c>
      <c r="C5698" s="18" t="s">
        <v>34</v>
      </c>
      <c r="D5698" s="18" t="s">
        <v>35</v>
      </c>
      <c r="E5698" s="27">
        <v>42565.2796875</v>
      </c>
      <c r="F5698" s="19">
        <f>IFERROR(__xludf.DUMMYFUNCTION("IFERROR(TO_DATE(E5698), """")"),42565.2796875)</f>
        <v>42565.27969</v>
      </c>
      <c r="G5698" s="20">
        <f t="shared" si="1"/>
        <v>6</v>
      </c>
      <c r="H5698" s="18" t="s">
        <v>34</v>
      </c>
      <c r="I5698" s="19" t="str">
        <f>IFERROR(__xludf.DUMMYFUNCTION("IFERROR(TO_DATE(H5698), """")"),"NA")</f>
        <v>NA</v>
      </c>
      <c r="J5698" s="19" t="s">
        <v>11</v>
      </c>
      <c r="K5698" s="22">
        <f t="shared" si="2"/>
        <v>0</v>
      </c>
    </row>
    <row r="5699">
      <c r="A5699" s="18">
        <v>4306.0</v>
      </c>
      <c r="B5699" s="18" t="s">
        <v>32</v>
      </c>
      <c r="C5699" s="18" t="s">
        <v>34</v>
      </c>
      <c r="D5699" s="18" t="s">
        <v>35</v>
      </c>
      <c r="E5699" s="27">
        <v>42565.28444444444</v>
      </c>
      <c r="F5699" s="19">
        <f>IFERROR(__xludf.DUMMYFUNCTION("IFERROR(TO_DATE(E5699), """")"),42565.28444444444)</f>
        <v>42565.28444</v>
      </c>
      <c r="G5699" s="20">
        <f t="shared" si="1"/>
        <v>6</v>
      </c>
      <c r="H5699" s="18" t="s">
        <v>34</v>
      </c>
      <c r="I5699" s="19" t="str">
        <f>IFERROR(__xludf.DUMMYFUNCTION("IFERROR(TO_DATE(H5699), """")"),"NA")</f>
        <v>NA</v>
      </c>
      <c r="J5699" s="19" t="s">
        <v>11</v>
      </c>
      <c r="K5699" s="22">
        <f t="shared" si="2"/>
        <v>0</v>
      </c>
    </row>
    <row r="5700">
      <c r="A5700" s="18">
        <v>4309.0</v>
      </c>
      <c r="B5700" s="18" t="s">
        <v>30</v>
      </c>
      <c r="C5700" s="18" t="s">
        <v>34</v>
      </c>
      <c r="D5700" s="18" t="s">
        <v>35</v>
      </c>
      <c r="E5700" s="27">
        <v>42565.28480324074</v>
      </c>
      <c r="F5700" s="19">
        <f>IFERROR(__xludf.DUMMYFUNCTION("IFERROR(TO_DATE(E5700), """")"),42565.28480324074)</f>
        <v>42565.2848</v>
      </c>
      <c r="G5700" s="20">
        <f t="shared" si="1"/>
        <v>6</v>
      </c>
      <c r="H5700" s="18" t="s">
        <v>34</v>
      </c>
      <c r="I5700" s="19" t="str">
        <f>IFERROR(__xludf.DUMMYFUNCTION("IFERROR(TO_DATE(H5700), """")"),"NA")</f>
        <v>NA</v>
      </c>
      <c r="J5700" s="19" t="s">
        <v>11</v>
      </c>
      <c r="K5700" s="22">
        <f t="shared" si="2"/>
        <v>0</v>
      </c>
    </row>
    <row r="5701">
      <c r="A5701" s="18">
        <v>4317.0</v>
      </c>
      <c r="B5701" s="18" t="s">
        <v>32</v>
      </c>
      <c r="C5701" s="18" t="s">
        <v>34</v>
      </c>
      <c r="D5701" s="18" t="s">
        <v>35</v>
      </c>
      <c r="E5701" s="27">
        <v>42565.285625</v>
      </c>
      <c r="F5701" s="19">
        <f>IFERROR(__xludf.DUMMYFUNCTION("IFERROR(TO_DATE(E5701), """")"),42565.285625)</f>
        <v>42565.28563</v>
      </c>
      <c r="G5701" s="20">
        <f t="shared" si="1"/>
        <v>6</v>
      </c>
      <c r="H5701" s="18" t="s">
        <v>34</v>
      </c>
      <c r="I5701" s="19" t="str">
        <f>IFERROR(__xludf.DUMMYFUNCTION("IFERROR(TO_DATE(H5701), """")"),"NA")</f>
        <v>NA</v>
      </c>
      <c r="J5701" s="19" t="s">
        <v>11</v>
      </c>
      <c r="K5701" s="22">
        <f t="shared" si="2"/>
        <v>0</v>
      </c>
    </row>
    <row r="5702">
      <c r="A5702" s="18">
        <v>4318.0</v>
      </c>
      <c r="B5702" s="18" t="s">
        <v>32</v>
      </c>
      <c r="C5702" s="18" t="s">
        <v>34</v>
      </c>
      <c r="D5702" s="18" t="s">
        <v>35</v>
      </c>
      <c r="E5702" s="27">
        <v>42565.28568287037</v>
      </c>
      <c r="F5702" s="19">
        <f>IFERROR(__xludf.DUMMYFUNCTION("IFERROR(TO_DATE(E5702), """")"),42565.28568287037)</f>
        <v>42565.28568</v>
      </c>
      <c r="G5702" s="20">
        <f t="shared" si="1"/>
        <v>6</v>
      </c>
      <c r="H5702" s="18" t="s">
        <v>34</v>
      </c>
      <c r="I5702" s="19" t="str">
        <f>IFERROR(__xludf.DUMMYFUNCTION("IFERROR(TO_DATE(H5702), """")"),"NA")</f>
        <v>NA</v>
      </c>
      <c r="J5702" s="19" t="s">
        <v>11</v>
      </c>
      <c r="K5702" s="22">
        <f t="shared" si="2"/>
        <v>0</v>
      </c>
    </row>
    <row r="5703">
      <c r="A5703" s="18">
        <v>4307.0</v>
      </c>
      <c r="B5703" s="18" t="s">
        <v>32</v>
      </c>
      <c r="C5703" s="18" t="s">
        <v>34</v>
      </c>
      <c r="D5703" s="18" t="s">
        <v>35</v>
      </c>
      <c r="E5703" s="27">
        <v>42565.288981481484</v>
      </c>
      <c r="F5703" s="19">
        <f>IFERROR(__xludf.DUMMYFUNCTION("IFERROR(TO_DATE(E5703), """")"),42565.288981481484)</f>
        <v>42565.28898</v>
      </c>
      <c r="G5703" s="20">
        <f t="shared" si="1"/>
        <v>6</v>
      </c>
      <c r="H5703" s="18" t="s">
        <v>34</v>
      </c>
      <c r="I5703" s="19" t="str">
        <f>IFERROR(__xludf.DUMMYFUNCTION("IFERROR(TO_DATE(H5703), """")"),"NA")</f>
        <v>NA</v>
      </c>
      <c r="J5703" s="19" t="s">
        <v>11</v>
      </c>
      <c r="K5703" s="22">
        <f t="shared" si="2"/>
        <v>0</v>
      </c>
    </row>
    <row r="5704">
      <c r="A5704" s="18">
        <v>4320.0</v>
      </c>
      <c r="B5704" s="18" t="s">
        <v>32</v>
      </c>
      <c r="C5704" s="18" t="s">
        <v>34</v>
      </c>
      <c r="D5704" s="18" t="s">
        <v>35</v>
      </c>
      <c r="E5704" s="27">
        <v>42565.2934837963</v>
      </c>
      <c r="F5704" s="19">
        <f>IFERROR(__xludf.DUMMYFUNCTION("IFERROR(TO_DATE(E5704), """")"),42565.2934837963)</f>
        <v>42565.29348</v>
      </c>
      <c r="G5704" s="20">
        <f t="shared" si="1"/>
        <v>7</v>
      </c>
      <c r="H5704" s="18" t="s">
        <v>34</v>
      </c>
      <c r="I5704" s="19" t="str">
        <f>IFERROR(__xludf.DUMMYFUNCTION("IFERROR(TO_DATE(H5704), """")"),"NA")</f>
        <v>NA</v>
      </c>
      <c r="J5704" s="19" t="s">
        <v>11</v>
      </c>
      <c r="K5704" s="22">
        <f t="shared" si="2"/>
        <v>0</v>
      </c>
    </row>
    <row r="5705">
      <c r="A5705" s="18">
        <v>4324.0</v>
      </c>
      <c r="B5705" s="18" t="s">
        <v>32</v>
      </c>
      <c r="C5705" s="18" t="s">
        <v>34</v>
      </c>
      <c r="D5705" s="18" t="s">
        <v>35</v>
      </c>
      <c r="E5705" s="27">
        <v>42565.29457175926</v>
      </c>
      <c r="F5705" s="19">
        <f>IFERROR(__xludf.DUMMYFUNCTION("IFERROR(TO_DATE(E5705), """")"),42565.29457175926)</f>
        <v>42565.29457</v>
      </c>
      <c r="G5705" s="20">
        <f t="shared" si="1"/>
        <v>7</v>
      </c>
      <c r="H5705" s="18" t="s">
        <v>34</v>
      </c>
      <c r="I5705" s="19" t="str">
        <f>IFERROR(__xludf.DUMMYFUNCTION("IFERROR(TO_DATE(H5705), """")"),"NA")</f>
        <v>NA</v>
      </c>
      <c r="J5705" s="19" t="s">
        <v>11</v>
      </c>
      <c r="K5705" s="22">
        <f t="shared" si="2"/>
        <v>0</v>
      </c>
    </row>
    <row r="5706">
      <c r="A5706" s="18">
        <v>4333.0</v>
      </c>
      <c r="B5706" s="18" t="s">
        <v>32</v>
      </c>
      <c r="C5706" s="18" t="s">
        <v>34</v>
      </c>
      <c r="D5706" s="18" t="s">
        <v>35</v>
      </c>
      <c r="E5706" s="27">
        <v>42565.30075231481</v>
      </c>
      <c r="F5706" s="19">
        <f>IFERROR(__xludf.DUMMYFUNCTION("IFERROR(TO_DATE(E5706), """")"),42565.30075231481)</f>
        <v>42565.30075</v>
      </c>
      <c r="G5706" s="20">
        <f t="shared" si="1"/>
        <v>7</v>
      </c>
      <c r="H5706" s="18" t="s">
        <v>34</v>
      </c>
      <c r="I5706" s="19" t="str">
        <f>IFERROR(__xludf.DUMMYFUNCTION("IFERROR(TO_DATE(H5706), """")"),"NA")</f>
        <v>NA</v>
      </c>
      <c r="J5706" s="19" t="s">
        <v>11</v>
      </c>
      <c r="K5706" s="22">
        <f t="shared" si="2"/>
        <v>0</v>
      </c>
    </row>
    <row r="5707">
      <c r="A5707" s="18">
        <v>4344.0</v>
      </c>
      <c r="B5707" s="18" t="s">
        <v>32</v>
      </c>
      <c r="C5707" s="18" t="s">
        <v>34</v>
      </c>
      <c r="D5707" s="18" t="s">
        <v>35</v>
      </c>
      <c r="E5707" s="27">
        <v>42565.30273148148</v>
      </c>
      <c r="F5707" s="19">
        <f>IFERROR(__xludf.DUMMYFUNCTION("IFERROR(TO_DATE(E5707), """")"),42565.30273148148)</f>
        <v>42565.30273</v>
      </c>
      <c r="G5707" s="20">
        <f t="shared" si="1"/>
        <v>7</v>
      </c>
      <c r="H5707" s="18" t="s">
        <v>34</v>
      </c>
      <c r="I5707" s="19" t="str">
        <f>IFERROR(__xludf.DUMMYFUNCTION("IFERROR(TO_DATE(H5707), """")"),"NA")</f>
        <v>NA</v>
      </c>
      <c r="J5707" s="19" t="s">
        <v>11</v>
      </c>
      <c r="K5707" s="22">
        <f t="shared" si="2"/>
        <v>0</v>
      </c>
    </row>
    <row r="5708">
      <c r="A5708" s="18">
        <v>4334.0</v>
      </c>
      <c r="B5708" s="18" t="s">
        <v>32</v>
      </c>
      <c r="C5708" s="18" t="s">
        <v>34</v>
      </c>
      <c r="D5708" s="18" t="s">
        <v>35</v>
      </c>
      <c r="E5708" s="27">
        <v>42565.30434027778</v>
      </c>
      <c r="F5708" s="19">
        <f>IFERROR(__xludf.DUMMYFUNCTION("IFERROR(TO_DATE(E5708), """")"),42565.30434027778)</f>
        <v>42565.30434</v>
      </c>
      <c r="G5708" s="20">
        <f t="shared" si="1"/>
        <v>7</v>
      </c>
      <c r="H5708" s="18" t="s">
        <v>34</v>
      </c>
      <c r="I5708" s="19" t="str">
        <f>IFERROR(__xludf.DUMMYFUNCTION("IFERROR(TO_DATE(H5708), """")"),"NA")</f>
        <v>NA</v>
      </c>
      <c r="J5708" s="19" t="s">
        <v>11</v>
      </c>
      <c r="K5708" s="22">
        <f t="shared" si="2"/>
        <v>0</v>
      </c>
    </row>
    <row r="5709">
      <c r="A5709" s="18">
        <v>4347.0</v>
      </c>
      <c r="B5709" s="18" t="s">
        <v>32</v>
      </c>
      <c r="C5709" s="18" t="s">
        <v>34</v>
      </c>
      <c r="D5709" s="18" t="s">
        <v>35</v>
      </c>
      <c r="E5709" s="27">
        <v>42565.30467592592</v>
      </c>
      <c r="F5709" s="19">
        <f>IFERROR(__xludf.DUMMYFUNCTION("IFERROR(TO_DATE(E5709), """")"),42565.30467592592)</f>
        <v>42565.30468</v>
      </c>
      <c r="G5709" s="20">
        <f t="shared" si="1"/>
        <v>7</v>
      </c>
      <c r="H5709" s="18" t="s">
        <v>34</v>
      </c>
      <c r="I5709" s="19" t="str">
        <f>IFERROR(__xludf.DUMMYFUNCTION("IFERROR(TO_DATE(H5709), """")"),"NA")</f>
        <v>NA</v>
      </c>
      <c r="J5709" s="19" t="s">
        <v>11</v>
      </c>
      <c r="K5709" s="22">
        <f t="shared" si="2"/>
        <v>0</v>
      </c>
    </row>
    <row r="5710">
      <c r="A5710" s="18">
        <v>4352.0</v>
      </c>
      <c r="B5710" s="18" t="s">
        <v>32</v>
      </c>
      <c r="C5710" s="18" t="s">
        <v>34</v>
      </c>
      <c r="D5710" s="18" t="s">
        <v>35</v>
      </c>
      <c r="E5710" s="27">
        <v>42565.306284722225</v>
      </c>
      <c r="F5710" s="19">
        <f>IFERROR(__xludf.DUMMYFUNCTION("IFERROR(TO_DATE(E5710), """")"),42565.306284722225)</f>
        <v>42565.30628</v>
      </c>
      <c r="G5710" s="20">
        <f t="shared" si="1"/>
        <v>7</v>
      </c>
      <c r="H5710" s="18" t="s">
        <v>34</v>
      </c>
      <c r="I5710" s="19" t="str">
        <f>IFERROR(__xludf.DUMMYFUNCTION("IFERROR(TO_DATE(H5710), """")"),"NA")</f>
        <v>NA</v>
      </c>
      <c r="J5710" s="19" t="s">
        <v>11</v>
      </c>
      <c r="K5710" s="22">
        <f t="shared" si="2"/>
        <v>0</v>
      </c>
    </row>
    <row r="5711">
      <c r="A5711" s="18">
        <v>4348.0</v>
      </c>
      <c r="B5711" s="18" t="s">
        <v>32</v>
      </c>
      <c r="C5711" s="18" t="s">
        <v>34</v>
      </c>
      <c r="D5711" s="18" t="s">
        <v>35</v>
      </c>
      <c r="E5711" s="27">
        <v>42565.308171296296</v>
      </c>
      <c r="F5711" s="19">
        <f>IFERROR(__xludf.DUMMYFUNCTION("IFERROR(TO_DATE(E5711), """")"),42565.308171296296)</f>
        <v>42565.30817</v>
      </c>
      <c r="G5711" s="20">
        <f t="shared" si="1"/>
        <v>7</v>
      </c>
      <c r="H5711" s="18" t="s">
        <v>34</v>
      </c>
      <c r="I5711" s="19" t="str">
        <f>IFERROR(__xludf.DUMMYFUNCTION("IFERROR(TO_DATE(H5711), """")"),"NA")</f>
        <v>NA</v>
      </c>
      <c r="J5711" s="19" t="s">
        <v>11</v>
      </c>
      <c r="K5711" s="22">
        <f t="shared" si="2"/>
        <v>0</v>
      </c>
    </row>
    <row r="5712">
      <c r="A5712" s="18">
        <v>4353.0</v>
      </c>
      <c r="B5712" s="18" t="s">
        <v>32</v>
      </c>
      <c r="C5712" s="18" t="s">
        <v>34</v>
      </c>
      <c r="D5712" s="18" t="s">
        <v>35</v>
      </c>
      <c r="E5712" s="27">
        <v>42565.308333333334</v>
      </c>
      <c r="F5712" s="19">
        <f>IFERROR(__xludf.DUMMYFUNCTION("IFERROR(TO_DATE(E5712), """")"),42565.308333333334)</f>
        <v>42565.30833</v>
      </c>
      <c r="G5712" s="20">
        <f t="shared" si="1"/>
        <v>7</v>
      </c>
      <c r="H5712" s="18" t="s">
        <v>34</v>
      </c>
      <c r="I5712" s="19" t="str">
        <f>IFERROR(__xludf.DUMMYFUNCTION("IFERROR(TO_DATE(H5712), """")"),"NA")</f>
        <v>NA</v>
      </c>
      <c r="J5712" s="19" t="s">
        <v>11</v>
      </c>
      <c r="K5712" s="22">
        <f t="shared" si="2"/>
        <v>0</v>
      </c>
    </row>
    <row r="5713">
      <c r="A5713" s="18">
        <v>4362.0</v>
      </c>
      <c r="B5713" s="18" t="s">
        <v>32</v>
      </c>
      <c r="C5713" s="18" t="s">
        <v>34</v>
      </c>
      <c r="D5713" s="18" t="s">
        <v>35</v>
      </c>
      <c r="E5713" s="27">
        <v>42565.312685185185</v>
      </c>
      <c r="F5713" s="19">
        <f>IFERROR(__xludf.DUMMYFUNCTION("IFERROR(TO_DATE(E5713), """")"),42565.312685185185)</f>
        <v>42565.31269</v>
      </c>
      <c r="G5713" s="20">
        <f t="shared" si="1"/>
        <v>7</v>
      </c>
      <c r="H5713" s="18" t="s">
        <v>34</v>
      </c>
      <c r="I5713" s="19" t="str">
        <f>IFERROR(__xludf.DUMMYFUNCTION("IFERROR(TO_DATE(H5713), """")"),"NA")</f>
        <v>NA</v>
      </c>
      <c r="J5713" s="19" t="s">
        <v>11</v>
      </c>
      <c r="K5713" s="22">
        <f t="shared" si="2"/>
        <v>0</v>
      </c>
    </row>
    <row r="5714">
      <c r="A5714" s="18">
        <v>4367.0</v>
      </c>
      <c r="B5714" s="18" t="s">
        <v>32</v>
      </c>
      <c r="C5714" s="18" t="s">
        <v>34</v>
      </c>
      <c r="D5714" s="18" t="s">
        <v>35</v>
      </c>
      <c r="E5714" s="27">
        <v>42565.31622685185</v>
      </c>
      <c r="F5714" s="19">
        <f>IFERROR(__xludf.DUMMYFUNCTION("IFERROR(TO_DATE(E5714), """")"),42565.31622685185)</f>
        <v>42565.31623</v>
      </c>
      <c r="G5714" s="20">
        <f t="shared" si="1"/>
        <v>7</v>
      </c>
      <c r="H5714" s="18" t="s">
        <v>34</v>
      </c>
      <c r="I5714" s="19" t="str">
        <f>IFERROR(__xludf.DUMMYFUNCTION("IFERROR(TO_DATE(H5714), """")"),"NA")</f>
        <v>NA</v>
      </c>
      <c r="J5714" s="19" t="s">
        <v>11</v>
      </c>
      <c r="K5714" s="22">
        <f t="shared" si="2"/>
        <v>0</v>
      </c>
    </row>
    <row r="5715">
      <c r="A5715" s="18">
        <v>4373.0</v>
      </c>
      <c r="B5715" s="18" t="s">
        <v>32</v>
      </c>
      <c r="C5715" s="18" t="s">
        <v>34</v>
      </c>
      <c r="D5715" s="18" t="s">
        <v>35</v>
      </c>
      <c r="E5715" s="27">
        <v>42565.319398148145</v>
      </c>
      <c r="F5715" s="19">
        <f>IFERROR(__xludf.DUMMYFUNCTION("IFERROR(TO_DATE(E5715), """")"),42565.319398148145)</f>
        <v>42565.3194</v>
      </c>
      <c r="G5715" s="20">
        <f t="shared" si="1"/>
        <v>7</v>
      </c>
      <c r="H5715" s="18" t="s">
        <v>34</v>
      </c>
      <c r="I5715" s="19" t="str">
        <f>IFERROR(__xludf.DUMMYFUNCTION("IFERROR(TO_DATE(H5715), """")"),"NA")</f>
        <v>NA</v>
      </c>
      <c r="J5715" s="19" t="s">
        <v>11</v>
      </c>
      <c r="K5715" s="22">
        <f t="shared" si="2"/>
        <v>0</v>
      </c>
    </row>
    <row r="5716">
      <c r="A5716" s="18">
        <v>4382.0</v>
      </c>
      <c r="B5716" s="18" t="s">
        <v>32</v>
      </c>
      <c r="C5716" s="18" t="s">
        <v>34</v>
      </c>
      <c r="D5716" s="18" t="s">
        <v>35</v>
      </c>
      <c r="E5716" s="27">
        <v>42565.3250462963</v>
      </c>
      <c r="F5716" s="19">
        <f>IFERROR(__xludf.DUMMYFUNCTION("IFERROR(TO_DATE(E5716), """")"),42565.3250462963)</f>
        <v>42565.32505</v>
      </c>
      <c r="G5716" s="20">
        <f t="shared" si="1"/>
        <v>7</v>
      </c>
      <c r="H5716" s="18" t="s">
        <v>34</v>
      </c>
      <c r="I5716" s="19" t="str">
        <f>IFERROR(__xludf.DUMMYFUNCTION("IFERROR(TO_DATE(H5716), """")"),"NA")</f>
        <v>NA</v>
      </c>
      <c r="J5716" s="19" t="s">
        <v>11</v>
      </c>
      <c r="K5716" s="22">
        <f t="shared" si="2"/>
        <v>0</v>
      </c>
    </row>
    <row r="5717">
      <c r="A5717" s="18">
        <v>4393.0</v>
      </c>
      <c r="B5717" s="18" t="s">
        <v>32</v>
      </c>
      <c r="C5717" s="18" t="s">
        <v>34</v>
      </c>
      <c r="D5717" s="18" t="s">
        <v>35</v>
      </c>
      <c r="E5717" s="27">
        <v>42565.329560185186</v>
      </c>
      <c r="F5717" s="19">
        <f>IFERROR(__xludf.DUMMYFUNCTION("IFERROR(TO_DATE(E5717), """")"),42565.329560185186)</f>
        <v>42565.32956</v>
      </c>
      <c r="G5717" s="20">
        <f t="shared" si="1"/>
        <v>7</v>
      </c>
      <c r="H5717" s="18" t="s">
        <v>34</v>
      </c>
      <c r="I5717" s="19" t="str">
        <f>IFERROR(__xludf.DUMMYFUNCTION("IFERROR(TO_DATE(H5717), """")"),"NA")</f>
        <v>NA</v>
      </c>
      <c r="J5717" s="19" t="s">
        <v>11</v>
      </c>
      <c r="K5717" s="22">
        <f t="shared" si="2"/>
        <v>0</v>
      </c>
    </row>
    <row r="5718">
      <c r="A5718" s="18">
        <v>4394.0</v>
      </c>
      <c r="B5718" s="18" t="s">
        <v>32</v>
      </c>
      <c r="C5718" s="18" t="s">
        <v>34</v>
      </c>
      <c r="D5718" s="18" t="s">
        <v>35</v>
      </c>
      <c r="E5718" s="27">
        <v>42565.333715277775</v>
      </c>
      <c r="F5718" s="19">
        <f>IFERROR(__xludf.DUMMYFUNCTION("IFERROR(TO_DATE(E5718), """")"),42565.333715277775)</f>
        <v>42565.33372</v>
      </c>
      <c r="G5718" s="20">
        <f t="shared" si="1"/>
        <v>8</v>
      </c>
      <c r="H5718" s="18" t="s">
        <v>34</v>
      </c>
      <c r="I5718" s="19" t="str">
        <f>IFERROR(__xludf.DUMMYFUNCTION("IFERROR(TO_DATE(H5718), """")"),"NA")</f>
        <v>NA</v>
      </c>
      <c r="J5718" s="19" t="s">
        <v>14</v>
      </c>
      <c r="K5718" s="22">
        <f t="shared" si="2"/>
        <v>0</v>
      </c>
    </row>
    <row r="5719">
      <c r="A5719" s="18">
        <v>4405.0</v>
      </c>
      <c r="B5719" s="18" t="s">
        <v>32</v>
      </c>
      <c r="C5719" s="18" t="s">
        <v>34</v>
      </c>
      <c r="D5719" s="18" t="s">
        <v>35</v>
      </c>
      <c r="E5719" s="27">
        <v>42565.334178240744</v>
      </c>
      <c r="F5719" s="19">
        <f>IFERROR(__xludf.DUMMYFUNCTION("IFERROR(TO_DATE(E5719), """")"),42565.334178240744)</f>
        <v>42565.33418</v>
      </c>
      <c r="G5719" s="20">
        <f t="shared" si="1"/>
        <v>8</v>
      </c>
      <c r="H5719" s="18" t="s">
        <v>34</v>
      </c>
      <c r="I5719" s="19" t="str">
        <f>IFERROR(__xludf.DUMMYFUNCTION("IFERROR(TO_DATE(H5719), """")"),"NA")</f>
        <v>NA</v>
      </c>
      <c r="J5719" s="19" t="s">
        <v>14</v>
      </c>
      <c r="K5719" s="22">
        <f t="shared" si="2"/>
        <v>0</v>
      </c>
    </row>
    <row r="5720">
      <c r="A5720" s="18">
        <v>4407.0</v>
      </c>
      <c r="B5720" s="18" t="s">
        <v>32</v>
      </c>
      <c r="C5720" s="18" t="s">
        <v>34</v>
      </c>
      <c r="D5720" s="18" t="s">
        <v>35</v>
      </c>
      <c r="E5720" s="27">
        <v>42565.33920138889</v>
      </c>
      <c r="F5720" s="19">
        <f>IFERROR(__xludf.DUMMYFUNCTION("IFERROR(TO_DATE(E5720), """")"),42565.33920138889)</f>
        <v>42565.3392</v>
      </c>
      <c r="G5720" s="20">
        <f t="shared" si="1"/>
        <v>8</v>
      </c>
      <c r="H5720" s="18" t="s">
        <v>34</v>
      </c>
      <c r="I5720" s="19" t="str">
        <f>IFERROR(__xludf.DUMMYFUNCTION("IFERROR(TO_DATE(H5720), """")"),"NA")</f>
        <v>NA</v>
      </c>
      <c r="J5720" s="19" t="s">
        <v>14</v>
      </c>
      <c r="K5720" s="22">
        <f t="shared" si="2"/>
        <v>0</v>
      </c>
    </row>
    <row r="5721">
      <c r="A5721" s="18">
        <v>4412.0</v>
      </c>
      <c r="B5721" s="18" t="s">
        <v>32</v>
      </c>
      <c r="C5721" s="18" t="s">
        <v>34</v>
      </c>
      <c r="D5721" s="18" t="s">
        <v>35</v>
      </c>
      <c r="E5721" s="27">
        <v>42565.34149305556</v>
      </c>
      <c r="F5721" s="19">
        <f>IFERROR(__xludf.DUMMYFUNCTION("IFERROR(TO_DATE(E5721), """")"),42565.34149305556)</f>
        <v>42565.34149</v>
      </c>
      <c r="G5721" s="20">
        <f t="shared" si="1"/>
        <v>8</v>
      </c>
      <c r="H5721" s="18" t="s">
        <v>34</v>
      </c>
      <c r="I5721" s="19" t="str">
        <f>IFERROR(__xludf.DUMMYFUNCTION("IFERROR(TO_DATE(H5721), """")"),"NA")</f>
        <v>NA</v>
      </c>
      <c r="J5721" s="19" t="s">
        <v>14</v>
      </c>
      <c r="K5721" s="22">
        <f t="shared" si="2"/>
        <v>0</v>
      </c>
    </row>
    <row r="5722">
      <c r="A5722" s="18">
        <v>4424.0</v>
      </c>
      <c r="B5722" s="18" t="s">
        <v>32</v>
      </c>
      <c r="C5722" s="18" t="s">
        <v>34</v>
      </c>
      <c r="D5722" s="18" t="s">
        <v>35</v>
      </c>
      <c r="E5722" s="27">
        <v>42565.34543981482</v>
      </c>
      <c r="F5722" s="19">
        <f>IFERROR(__xludf.DUMMYFUNCTION("IFERROR(TO_DATE(E5722), """")"),42565.34543981482)</f>
        <v>42565.34544</v>
      </c>
      <c r="G5722" s="20">
        <f t="shared" si="1"/>
        <v>8</v>
      </c>
      <c r="H5722" s="18" t="s">
        <v>34</v>
      </c>
      <c r="I5722" s="19" t="str">
        <f>IFERROR(__xludf.DUMMYFUNCTION("IFERROR(TO_DATE(H5722), """")"),"NA")</f>
        <v>NA</v>
      </c>
      <c r="J5722" s="19" t="s">
        <v>14</v>
      </c>
      <c r="K5722" s="22">
        <f t="shared" si="2"/>
        <v>0</v>
      </c>
    </row>
    <row r="5723">
      <c r="A5723" s="18">
        <v>4437.0</v>
      </c>
      <c r="B5723" s="18" t="s">
        <v>32</v>
      </c>
      <c r="C5723" s="18" t="s">
        <v>34</v>
      </c>
      <c r="D5723" s="18" t="s">
        <v>35</v>
      </c>
      <c r="E5723" s="27">
        <v>42565.35020833334</v>
      </c>
      <c r="F5723" s="19">
        <f>IFERROR(__xludf.DUMMYFUNCTION("IFERROR(TO_DATE(E5723), """")"),42565.35020833334)</f>
        <v>42565.35021</v>
      </c>
      <c r="G5723" s="20">
        <f t="shared" si="1"/>
        <v>8</v>
      </c>
      <c r="H5723" s="18" t="s">
        <v>34</v>
      </c>
      <c r="I5723" s="19" t="str">
        <f>IFERROR(__xludf.DUMMYFUNCTION("IFERROR(TO_DATE(H5723), """")"),"NA")</f>
        <v>NA</v>
      </c>
      <c r="J5723" s="19" t="s">
        <v>14</v>
      </c>
      <c r="K5723" s="22">
        <f t="shared" si="2"/>
        <v>0</v>
      </c>
    </row>
    <row r="5724">
      <c r="A5724" s="18">
        <v>4436.0</v>
      </c>
      <c r="B5724" s="18" t="s">
        <v>32</v>
      </c>
      <c r="C5724" s="18" t="s">
        <v>34</v>
      </c>
      <c r="D5724" s="18" t="s">
        <v>35</v>
      </c>
      <c r="E5724" s="27">
        <v>42565.3503125</v>
      </c>
      <c r="F5724" s="19">
        <f>IFERROR(__xludf.DUMMYFUNCTION("IFERROR(TO_DATE(E5724), """")"),42565.3503125)</f>
        <v>42565.35031</v>
      </c>
      <c r="G5724" s="20">
        <f t="shared" si="1"/>
        <v>8</v>
      </c>
      <c r="H5724" s="18" t="s">
        <v>34</v>
      </c>
      <c r="I5724" s="19" t="str">
        <f>IFERROR(__xludf.DUMMYFUNCTION("IFERROR(TO_DATE(H5724), """")"),"NA")</f>
        <v>NA</v>
      </c>
      <c r="J5724" s="19" t="s">
        <v>14</v>
      </c>
      <c r="K5724" s="22">
        <f t="shared" si="2"/>
        <v>0</v>
      </c>
    </row>
    <row r="5725">
      <c r="A5725" s="18">
        <v>4432.0</v>
      </c>
      <c r="B5725" s="18" t="s">
        <v>32</v>
      </c>
      <c r="C5725" s="18" t="s">
        <v>34</v>
      </c>
      <c r="D5725" s="18" t="s">
        <v>35</v>
      </c>
      <c r="E5725" s="27">
        <v>42565.3503587963</v>
      </c>
      <c r="F5725" s="19">
        <f>IFERROR(__xludf.DUMMYFUNCTION("IFERROR(TO_DATE(E5725), """")"),42565.3503587963)</f>
        <v>42565.35036</v>
      </c>
      <c r="G5725" s="20">
        <f t="shared" si="1"/>
        <v>8</v>
      </c>
      <c r="H5725" s="18" t="s">
        <v>34</v>
      </c>
      <c r="I5725" s="19" t="str">
        <f>IFERROR(__xludf.DUMMYFUNCTION("IFERROR(TO_DATE(H5725), """")"),"NA")</f>
        <v>NA</v>
      </c>
      <c r="J5725" s="19" t="s">
        <v>14</v>
      </c>
      <c r="K5725" s="22">
        <f t="shared" si="2"/>
        <v>0</v>
      </c>
    </row>
    <row r="5726">
      <c r="A5726" s="18">
        <v>4429.0</v>
      </c>
      <c r="B5726" s="18" t="s">
        <v>32</v>
      </c>
      <c r="C5726" s="18" t="s">
        <v>34</v>
      </c>
      <c r="D5726" s="18" t="s">
        <v>35</v>
      </c>
      <c r="E5726" s="27">
        <v>42565.350960648146</v>
      </c>
      <c r="F5726" s="19">
        <f>IFERROR(__xludf.DUMMYFUNCTION("IFERROR(TO_DATE(E5726), """")"),42565.350960648146)</f>
        <v>42565.35096</v>
      </c>
      <c r="G5726" s="20">
        <f t="shared" si="1"/>
        <v>8</v>
      </c>
      <c r="H5726" s="18" t="s">
        <v>34</v>
      </c>
      <c r="I5726" s="19" t="str">
        <f>IFERROR(__xludf.DUMMYFUNCTION("IFERROR(TO_DATE(H5726), """")"),"NA")</f>
        <v>NA</v>
      </c>
      <c r="J5726" s="19" t="s">
        <v>14</v>
      </c>
      <c r="K5726" s="22">
        <f t="shared" si="2"/>
        <v>0</v>
      </c>
    </row>
    <row r="5727">
      <c r="A5727" s="18">
        <v>4449.0</v>
      </c>
      <c r="B5727" s="18" t="s">
        <v>32</v>
      </c>
      <c r="C5727" s="18" t="s">
        <v>34</v>
      </c>
      <c r="D5727" s="18" t="s">
        <v>35</v>
      </c>
      <c r="E5727" s="27">
        <v>42565.353993055556</v>
      </c>
      <c r="F5727" s="19">
        <f>IFERROR(__xludf.DUMMYFUNCTION("IFERROR(TO_DATE(E5727), """")"),42565.353993055556)</f>
        <v>42565.35399</v>
      </c>
      <c r="G5727" s="20">
        <f t="shared" si="1"/>
        <v>8</v>
      </c>
      <c r="H5727" s="18" t="s">
        <v>34</v>
      </c>
      <c r="I5727" s="19" t="str">
        <f>IFERROR(__xludf.DUMMYFUNCTION("IFERROR(TO_DATE(H5727), """")"),"NA")</f>
        <v>NA</v>
      </c>
      <c r="J5727" s="19" t="s">
        <v>14</v>
      </c>
      <c r="K5727" s="22">
        <f t="shared" si="2"/>
        <v>0</v>
      </c>
    </row>
    <row r="5728">
      <c r="A5728" s="18">
        <v>4453.0</v>
      </c>
      <c r="B5728" s="18" t="s">
        <v>32</v>
      </c>
      <c r="C5728" s="18" t="s">
        <v>34</v>
      </c>
      <c r="D5728" s="18" t="s">
        <v>35</v>
      </c>
      <c r="E5728" s="27">
        <v>42565.35842592592</v>
      </c>
      <c r="F5728" s="19">
        <f>IFERROR(__xludf.DUMMYFUNCTION("IFERROR(TO_DATE(E5728), """")"),42565.35842592592)</f>
        <v>42565.35843</v>
      </c>
      <c r="G5728" s="20">
        <f t="shared" si="1"/>
        <v>8</v>
      </c>
      <c r="H5728" s="18" t="s">
        <v>34</v>
      </c>
      <c r="I5728" s="19" t="str">
        <f>IFERROR(__xludf.DUMMYFUNCTION("IFERROR(TO_DATE(H5728), """")"),"NA")</f>
        <v>NA</v>
      </c>
      <c r="J5728" s="19" t="s">
        <v>14</v>
      </c>
      <c r="K5728" s="22">
        <f t="shared" si="2"/>
        <v>0</v>
      </c>
    </row>
    <row r="5729">
      <c r="A5729" s="18">
        <v>4460.0</v>
      </c>
      <c r="B5729" s="18" t="s">
        <v>32</v>
      </c>
      <c r="C5729" s="18" t="s">
        <v>34</v>
      </c>
      <c r="D5729" s="18" t="s">
        <v>35</v>
      </c>
      <c r="E5729" s="27">
        <v>42565.35878472222</v>
      </c>
      <c r="F5729" s="19">
        <f>IFERROR(__xludf.DUMMYFUNCTION("IFERROR(TO_DATE(E5729), """")"),42565.35878472222)</f>
        <v>42565.35878</v>
      </c>
      <c r="G5729" s="20">
        <f t="shared" si="1"/>
        <v>8</v>
      </c>
      <c r="H5729" s="18" t="s">
        <v>34</v>
      </c>
      <c r="I5729" s="19" t="str">
        <f>IFERROR(__xludf.DUMMYFUNCTION("IFERROR(TO_DATE(H5729), """")"),"NA")</f>
        <v>NA</v>
      </c>
      <c r="J5729" s="19" t="s">
        <v>14</v>
      </c>
      <c r="K5729" s="22">
        <f t="shared" si="2"/>
        <v>0</v>
      </c>
    </row>
    <row r="5730">
      <c r="A5730" s="18">
        <v>4474.0</v>
      </c>
      <c r="B5730" s="18" t="s">
        <v>32</v>
      </c>
      <c r="C5730" s="18" t="s">
        <v>34</v>
      </c>
      <c r="D5730" s="18" t="s">
        <v>35</v>
      </c>
      <c r="E5730" s="27">
        <v>42565.36372685185</v>
      </c>
      <c r="F5730" s="19">
        <f>IFERROR(__xludf.DUMMYFUNCTION("IFERROR(TO_DATE(E5730), """")"),42565.36372685185)</f>
        <v>42565.36373</v>
      </c>
      <c r="G5730" s="20">
        <f t="shared" si="1"/>
        <v>8</v>
      </c>
      <c r="H5730" s="18" t="s">
        <v>34</v>
      </c>
      <c r="I5730" s="19" t="str">
        <f>IFERROR(__xludf.DUMMYFUNCTION("IFERROR(TO_DATE(H5730), """")"),"NA")</f>
        <v>NA</v>
      </c>
      <c r="J5730" s="19" t="s">
        <v>14</v>
      </c>
      <c r="K5730" s="22">
        <f t="shared" si="2"/>
        <v>0</v>
      </c>
    </row>
    <row r="5731">
      <c r="A5731" s="18">
        <v>4466.0</v>
      </c>
      <c r="B5731" s="18" t="s">
        <v>32</v>
      </c>
      <c r="C5731" s="18" t="s">
        <v>34</v>
      </c>
      <c r="D5731" s="18" t="s">
        <v>35</v>
      </c>
      <c r="E5731" s="27">
        <v>42565.365381944444</v>
      </c>
      <c r="F5731" s="19">
        <f>IFERROR(__xludf.DUMMYFUNCTION("IFERROR(TO_DATE(E5731), """")"),42565.365381944444)</f>
        <v>42565.36538</v>
      </c>
      <c r="G5731" s="20">
        <f t="shared" si="1"/>
        <v>8</v>
      </c>
      <c r="H5731" s="18" t="s">
        <v>34</v>
      </c>
      <c r="I5731" s="19" t="str">
        <f>IFERROR(__xludf.DUMMYFUNCTION("IFERROR(TO_DATE(H5731), """")"),"NA")</f>
        <v>NA</v>
      </c>
      <c r="J5731" s="19" t="s">
        <v>14</v>
      </c>
      <c r="K5731" s="22">
        <f t="shared" si="2"/>
        <v>0</v>
      </c>
    </row>
    <row r="5732">
      <c r="A5732" s="18">
        <v>4473.0</v>
      </c>
      <c r="B5732" s="18" t="s">
        <v>32</v>
      </c>
      <c r="C5732" s="18" t="s">
        <v>34</v>
      </c>
      <c r="D5732" s="18" t="s">
        <v>35</v>
      </c>
      <c r="E5732" s="27">
        <v>42565.367164351854</v>
      </c>
      <c r="F5732" s="19">
        <f>IFERROR(__xludf.DUMMYFUNCTION("IFERROR(TO_DATE(E5732), """")"),42565.367164351854)</f>
        <v>42565.36716</v>
      </c>
      <c r="G5732" s="20">
        <f t="shared" si="1"/>
        <v>8</v>
      </c>
      <c r="H5732" s="18" t="s">
        <v>34</v>
      </c>
      <c r="I5732" s="19" t="str">
        <f>IFERROR(__xludf.DUMMYFUNCTION("IFERROR(TO_DATE(H5732), """")"),"NA")</f>
        <v>NA</v>
      </c>
      <c r="J5732" s="19" t="s">
        <v>14</v>
      </c>
      <c r="K5732" s="22">
        <f t="shared" si="2"/>
        <v>0</v>
      </c>
    </row>
    <row r="5733">
      <c r="A5733" s="18">
        <v>4477.0</v>
      </c>
      <c r="B5733" s="18" t="s">
        <v>32</v>
      </c>
      <c r="C5733" s="18" t="s">
        <v>34</v>
      </c>
      <c r="D5733" s="18" t="s">
        <v>35</v>
      </c>
      <c r="E5733" s="27">
        <v>42565.36880787037</v>
      </c>
      <c r="F5733" s="19">
        <f>IFERROR(__xludf.DUMMYFUNCTION("IFERROR(TO_DATE(E5733), """")"),42565.36880787037)</f>
        <v>42565.36881</v>
      </c>
      <c r="G5733" s="20">
        <f t="shared" si="1"/>
        <v>8</v>
      </c>
      <c r="H5733" s="18" t="s">
        <v>34</v>
      </c>
      <c r="I5733" s="19" t="str">
        <f>IFERROR(__xludf.DUMMYFUNCTION("IFERROR(TO_DATE(H5733), """")"),"NA")</f>
        <v>NA</v>
      </c>
      <c r="J5733" s="19" t="s">
        <v>14</v>
      </c>
      <c r="K5733" s="22">
        <f t="shared" si="2"/>
        <v>0</v>
      </c>
    </row>
    <row r="5734">
      <c r="A5734" s="18">
        <v>4493.0</v>
      </c>
      <c r="B5734" s="18" t="s">
        <v>32</v>
      </c>
      <c r="C5734" s="18" t="s">
        <v>34</v>
      </c>
      <c r="D5734" s="18" t="s">
        <v>35</v>
      </c>
      <c r="E5734" s="27">
        <v>42565.37005787037</v>
      </c>
      <c r="F5734" s="19">
        <f>IFERROR(__xludf.DUMMYFUNCTION("IFERROR(TO_DATE(E5734), """")"),42565.37005787037)</f>
        <v>42565.37006</v>
      </c>
      <c r="G5734" s="20">
        <f t="shared" si="1"/>
        <v>8</v>
      </c>
      <c r="H5734" s="18" t="s">
        <v>34</v>
      </c>
      <c r="I5734" s="19" t="str">
        <f>IFERROR(__xludf.DUMMYFUNCTION("IFERROR(TO_DATE(H5734), """")"),"NA")</f>
        <v>NA</v>
      </c>
      <c r="J5734" s="19" t="s">
        <v>14</v>
      </c>
      <c r="K5734" s="22">
        <f t="shared" si="2"/>
        <v>0</v>
      </c>
    </row>
    <row r="5735">
      <c r="A5735" s="18">
        <v>4494.0</v>
      </c>
      <c r="B5735" s="18" t="s">
        <v>32</v>
      </c>
      <c r="C5735" s="18" t="s">
        <v>34</v>
      </c>
      <c r="D5735" s="18" t="s">
        <v>35</v>
      </c>
      <c r="E5735" s="27">
        <v>42565.37364583334</v>
      </c>
      <c r="F5735" s="19">
        <f>IFERROR(__xludf.DUMMYFUNCTION("IFERROR(TO_DATE(E5735), """")"),42565.37364583334)</f>
        <v>42565.37365</v>
      </c>
      <c r="G5735" s="20">
        <f t="shared" si="1"/>
        <v>8</v>
      </c>
      <c r="H5735" s="18" t="s">
        <v>34</v>
      </c>
      <c r="I5735" s="19" t="str">
        <f>IFERROR(__xludf.DUMMYFUNCTION("IFERROR(TO_DATE(H5735), """")"),"NA")</f>
        <v>NA</v>
      </c>
      <c r="J5735" s="19" t="s">
        <v>14</v>
      </c>
      <c r="K5735" s="22">
        <f t="shared" si="2"/>
        <v>0</v>
      </c>
    </row>
    <row r="5736">
      <c r="A5736" s="18">
        <v>4490.0</v>
      </c>
      <c r="B5736" s="18" t="s">
        <v>32</v>
      </c>
      <c r="C5736" s="18" t="s">
        <v>34</v>
      </c>
      <c r="D5736" s="18" t="s">
        <v>35</v>
      </c>
      <c r="E5736" s="27">
        <v>42565.3752662037</v>
      </c>
      <c r="F5736" s="19">
        <f>IFERROR(__xludf.DUMMYFUNCTION("IFERROR(TO_DATE(E5736), """")"),42565.3752662037)</f>
        <v>42565.37527</v>
      </c>
      <c r="G5736" s="20">
        <f t="shared" si="1"/>
        <v>9</v>
      </c>
      <c r="H5736" s="18" t="s">
        <v>34</v>
      </c>
      <c r="I5736" s="19" t="str">
        <f>IFERROR(__xludf.DUMMYFUNCTION("IFERROR(TO_DATE(H5736), """")"),"NA")</f>
        <v>NA</v>
      </c>
      <c r="J5736" s="19" t="s">
        <v>14</v>
      </c>
      <c r="K5736" s="22">
        <f t="shared" si="2"/>
        <v>0</v>
      </c>
    </row>
    <row r="5737">
      <c r="A5737" s="18">
        <v>4508.0</v>
      </c>
      <c r="B5737" s="18" t="s">
        <v>32</v>
      </c>
      <c r="C5737" s="18" t="s">
        <v>34</v>
      </c>
      <c r="D5737" s="18" t="s">
        <v>35</v>
      </c>
      <c r="E5737" s="27">
        <v>42565.37912037037</v>
      </c>
      <c r="F5737" s="19">
        <f>IFERROR(__xludf.DUMMYFUNCTION("IFERROR(TO_DATE(E5737), """")"),42565.37912037037)</f>
        <v>42565.37912</v>
      </c>
      <c r="G5737" s="20">
        <f t="shared" si="1"/>
        <v>9</v>
      </c>
      <c r="H5737" s="18" t="s">
        <v>34</v>
      </c>
      <c r="I5737" s="19" t="str">
        <f>IFERROR(__xludf.DUMMYFUNCTION("IFERROR(TO_DATE(H5737), """")"),"NA")</f>
        <v>NA</v>
      </c>
      <c r="J5737" s="19" t="s">
        <v>14</v>
      </c>
      <c r="K5737" s="22">
        <f t="shared" si="2"/>
        <v>0</v>
      </c>
    </row>
    <row r="5738">
      <c r="A5738" s="18">
        <v>4495.0</v>
      </c>
      <c r="B5738" s="18" t="s">
        <v>32</v>
      </c>
      <c r="C5738" s="18" t="s">
        <v>34</v>
      </c>
      <c r="D5738" s="18" t="s">
        <v>35</v>
      </c>
      <c r="E5738" s="27">
        <v>42565.37918981481</v>
      </c>
      <c r="F5738" s="19">
        <f>IFERROR(__xludf.DUMMYFUNCTION("IFERROR(TO_DATE(E5738), """")"),42565.37918981481)</f>
        <v>42565.37919</v>
      </c>
      <c r="G5738" s="20">
        <f t="shared" si="1"/>
        <v>9</v>
      </c>
      <c r="H5738" s="18" t="s">
        <v>34</v>
      </c>
      <c r="I5738" s="19" t="str">
        <f>IFERROR(__xludf.DUMMYFUNCTION("IFERROR(TO_DATE(H5738), """")"),"NA")</f>
        <v>NA</v>
      </c>
      <c r="J5738" s="19" t="s">
        <v>14</v>
      </c>
      <c r="K5738" s="22">
        <f t="shared" si="2"/>
        <v>0</v>
      </c>
    </row>
    <row r="5739">
      <c r="A5739" s="18">
        <v>4513.0</v>
      </c>
      <c r="B5739" s="18" t="s">
        <v>32</v>
      </c>
      <c r="C5739" s="18" t="s">
        <v>34</v>
      </c>
      <c r="D5739" s="18" t="s">
        <v>35</v>
      </c>
      <c r="E5739" s="27">
        <v>42565.379699074074</v>
      </c>
      <c r="F5739" s="19">
        <f>IFERROR(__xludf.DUMMYFUNCTION("IFERROR(TO_DATE(E5739), """")"),42565.379699074074)</f>
        <v>42565.3797</v>
      </c>
      <c r="G5739" s="20">
        <f t="shared" si="1"/>
        <v>9</v>
      </c>
      <c r="H5739" s="18" t="s">
        <v>34</v>
      </c>
      <c r="I5739" s="19" t="str">
        <f>IFERROR(__xludf.DUMMYFUNCTION("IFERROR(TO_DATE(H5739), """")"),"NA")</f>
        <v>NA</v>
      </c>
      <c r="J5739" s="19" t="s">
        <v>14</v>
      </c>
      <c r="K5739" s="22">
        <f t="shared" si="2"/>
        <v>0</v>
      </c>
    </row>
    <row r="5740">
      <c r="A5740" s="18">
        <v>4502.0</v>
      </c>
      <c r="B5740" s="18" t="s">
        <v>32</v>
      </c>
      <c r="C5740" s="18" t="s">
        <v>34</v>
      </c>
      <c r="D5740" s="18" t="s">
        <v>35</v>
      </c>
      <c r="E5740" s="27">
        <v>42565.380208333336</v>
      </c>
      <c r="F5740" s="19">
        <f>IFERROR(__xludf.DUMMYFUNCTION("IFERROR(TO_DATE(E5740), """")"),42565.380208333336)</f>
        <v>42565.38021</v>
      </c>
      <c r="G5740" s="20">
        <f t="shared" si="1"/>
        <v>9</v>
      </c>
      <c r="H5740" s="18" t="s">
        <v>34</v>
      </c>
      <c r="I5740" s="19" t="str">
        <f>IFERROR(__xludf.DUMMYFUNCTION("IFERROR(TO_DATE(H5740), """")"),"NA")</f>
        <v>NA</v>
      </c>
      <c r="J5740" s="19" t="s">
        <v>14</v>
      </c>
      <c r="K5740" s="22">
        <f t="shared" si="2"/>
        <v>0</v>
      </c>
    </row>
    <row r="5741">
      <c r="A5741" s="18">
        <v>4528.0</v>
      </c>
      <c r="B5741" s="18" t="s">
        <v>32</v>
      </c>
      <c r="C5741" s="18" t="s">
        <v>34</v>
      </c>
      <c r="D5741" s="18" t="s">
        <v>35</v>
      </c>
      <c r="E5741" s="27">
        <v>42565.394421296296</v>
      </c>
      <c r="F5741" s="19">
        <f>IFERROR(__xludf.DUMMYFUNCTION("IFERROR(TO_DATE(E5741), """")"),42565.394421296296)</f>
        <v>42565.39442</v>
      </c>
      <c r="G5741" s="20">
        <f t="shared" si="1"/>
        <v>9</v>
      </c>
      <c r="H5741" s="18" t="s">
        <v>34</v>
      </c>
      <c r="I5741" s="19" t="str">
        <f>IFERROR(__xludf.DUMMYFUNCTION("IFERROR(TO_DATE(H5741), """")"),"NA")</f>
        <v>NA</v>
      </c>
      <c r="J5741" s="19" t="s">
        <v>14</v>
      </c>
      <c r="K5741" s="22">
        <f t="shared" si="2"/>
        <v>0</v>
      </c>
    </row>
    <row r="5742">
      <c r="A5742" s="18">
        <v>4526.0</v>
      </c>
      <c r="B5742" s="18" t="s">
        <v>32</v>
      </c>
      <c r="C5742" s="18" t="s">
        <v>34</v>
      </c>
      <c r="D5742" s="18" t="s">
        <v>35</v>
      </c>
      <c r="E5742" s="27">
        <v>42565.39501157407</v>
      </c>
      <c r="F5742" s="19">
        <f>IFERROR(__xludf.DUMMYFUNCTION("IFERROR(TO_DATE(E5742), """")"),42565.39501157407)</f>
        <v>42565.39501</v>
      </c>
      <c r="G5742" s="20">
        <f t="shared" si="1"/>
        <v>9</v>
      </c>
      <c r="H5742" s="18" t="s">
        <v>34</v>
      </c>
      <c r="I5742" s="19" t="str">
        <f>IFERROR(__xludf.DUMMYFUNCTION("IFERROR(TO_DATE(H5742), """")"),"NA")</f>
        <v>NA</v>
      </c>
      <c r="J5742" s="19" t="s">
        <v>14</v>
      </c>
      <c r="K5742" s="22">
        <f t="shared" si="2"/>
        <v>0</v>
      </c>
    </row>
    <row r="5743">
      <c r="A5743" s="18">
        <v>4522.0</v>
      </c>
      <c r="B5743" s="18" t="s">
        <v>30</v>
      </c>
      <c r="C5743" s="18" t="s">
        <v>34</v>
      </c>
      <c r="D5743" s="18" t="s">
        <v>35</v>
      </c>
      <c r="E5743" s="27">
        <v>42565.39505787037</v>
      </c>
      <c r="F5743" s="19">
        <f>IFERROR(__xludf.DUMMYFUNCTION("IFERROR(TO_DATE(E5743), """")"),42565.39505787037)</f>
        <v>42565.39506</v>
      </c>
      <c r="G5743" s="20">
        <f t="shared" si="1"/>
        <v>9</v>
      </c>
      <c r="H5743" s="18" t="s">
        <v>34</v>
      </c>
      <c r="I5743" s="19" t="str">
        <f>IFERROR(__xludf.DUMMYFUNCTION("IFERROR(TO_DATE(H5743), """")"),"NA")</f>
        <v>NA</v>
      </c>
      <c r="J5743" s="19" t="s">
        <v>14</v>
      </c>
      <c r="K5743" s="22">
        <f t="shared" si="2"/>
        <v>0</v>
      </c>
    </row>
    <row r="5744">
      <c r="A5744" s="18">
        <v>4537.0</v>
      </c>
      <c r="B5744" s="18" t="s">
        <v>32</v>
      </c>
      <c r="C5744" s="18" t="s">
        <v>34</v>
      </c>
      <c r="D5744" s="18" t="s">
        <v>35</v>
      </c>
      <c r="E5744" s="27">
        <v>42565.40032407407</v>
      </c>
      <c r="F5744" s="19">
        <f>IFERROR(__xludf.DUMMYFUNCTION("IFERROR(TO_DATE(E5744), """")"),42565.40032407407)</f>
        <v>42565.40032</v>
      </c>
      <c r="G5744" s="20">
        <f t="shared" si="1"/>
        <v>9</v>
      </c>
      <c r="H5744" s="18" t="s">
        <v>34</v>
      </c>
      <c r="I5744" s="19" t="str">
        <f>IFERROR(__xludf.DUMMYFUNCTION("IFERROR(TO_DATE(H5744), """")"),"NA")</f>
        <v>NA</v>
      </c>
      <c r="J5744" s="19" t="s">
        <v>14</v>
      </c>
      <c r="K5744" s="22">
        <f t="shared" si="2"/>
        <v>0</v>
      </c>
    </row>
    <row r="5745">
      <c r="A5745" s="18">
        <v>4541.0</v>
      </c>
      <c r="B5745" s="18" t="s">
        <v>32</v>
      </c>
      <c r="C5745" s="18" t="s">
        <v>34</v>
      </c>
      <c r="D5745" s="18" t="s">
        <v>35</v>
      </c>
      <c r="E5745" s="27">
        <v>42565.4009375</v>
      </c>
      <c r="F5745" s="19">
        <f>IFERROR(__xludf.DUMMYFUNCTION("IFERROR(TO_DATE(E5745), """")"),42565.4009375)</f>
        <v>42565.40094</v>
      </c>
      <c r="G5745" s="20">
        <f t="shared" si="1"/>
        <v>9</v>
      </c>
      <c r="H5745" s="18" t="s">
        <v>34</v>
      </c>
      <c r="I5745" s="19" t="str">
        <f>IFERROR(__xludf.DUMMYFUNCTION("IFERROR(TO_DATE(H5745), """")"),"NA")</f>
        <v>NA</v>
      </c>
      <c r="J5745" s="19" t="s">
        <v>14</v>
      </c>
      <c r="K5745" s="22">
        <f t="shared" si="2"/>
        <v>0</v>
      </c>
    </row>
    <row r="5746">
      <c r="A5746" s="18">
        <v>4550.0</v>
      </c>
      <c r="B5746" s="18" t="s">
        <v>32</v>
      </c>
      <c r="C5746" s="18" t="s">
        <v>34</v>
      </c>
      <c r="D5746" s="18" t="s">
        <v>35</v>
      </c>
      <c r="E5746" s="27">
        <v>42565.401666666665</v>
      </c>
      <c r="F5746" s="19">
        <f>IFERROR(__xludf.DUMMYFUNCTION("IFERROR(TO_DATE(E5746), """")"),42565.401666666665)</f>
        <v>42565.40167</v>
      </c>
      <c r="G5746" s="20">
        <f t="shared" si="1"/>
        <v>9</v>
      </c>
      <c r="H5746" s="18" t="s">
        <v>34</v>
      </c>
      <c r="I5746" s="19" t="str">
        <f>IFERROR(__xludf.DUMMYFUNCTION("IFERROR(TO_DATE(H5746), """")"),"NA")</f>
        <v>NA</v>
      </c>
      <c r="J5746" s="19" t="s">
        <v>14</v>
      </c>
      <c r="K5746" s="22">
        <f t="shared" si="2"/>
        <v>0</v>
      </c>
    </row>
    <row r="5747">
      <c r="A5747" s="18">
        <v>4554.0</v>
      </c>
      <c r="B5747" s="18" t="s">
        <v>32</v>
      </c>
      <c r="C5747" s="18" t="s">
        <v>34</v>
      </c>
      <c r="D5747" s="18" t="s">
        <v>35</v>
      </c>
      <c r="E5747" s="27">
        <v>42565.40458333334</v>
      </c>
      <c r="F5747" s="19">
        <f>IFERROR(__xludf.DUMMYFUNCTION("IFERROR(TO_DATE(E5747), """")"),42565.40458333334)</f>
        <v>42565.40458</v>
      </c>
      <c r="G5747" s="20">
        <f t="shared" si="1"/>
        <v>9</v>
      </c>
      <c r="H5747" s="18" t="s">
        <v>34</v>
      </c>
      <c r="I5747" s="19" t="str">
        <f>IFERROR(__xludf.DUMMYFUNCTION("IFERROR(TO_DATE(H5747), """")"),"NA")</f>
        <v>NA</v>
      </c>
      <c r="J5747" s="19" t="s">
        <v>14</v>
      </c>
      <c r="K5747" s="22">
        <f t="shared" si="2"/>
        <v>0</v>
      </c>
    </row>
    <row r="5748">
      <c r="A5748" s="18">
        <v>4551.0</v>
      </c>
      <c r="B5748" s="18" t="s">
        <v>32</v>
      </c>
      <c r="C5748" s="18" t="s">
        <v>34</v>
      </c>
      <c r="D5748" s="18" t="s">
        <v>35</v>
      </c>
      <c r="E5748" s="27">
        <v>42565.40479166667</v>
      </c>
      <c r="F5748" s="19">
        <f>IFERROR(__xludf.DUMMYFUNCTION("IFERROR(TO_DATE(E5748), """")"),42565.40479166667)</f>
        <v>42565.40479</v>
      </c>
      <c r="G5748" s="20">
        <f t="shared" si="1"/>
        <v>9</v>
      </c>
      <c r="H5748" s="18" t="s">
        <v>34</v>
      </c>
      <c r="I5748" s="19" t="str">
        <f>IFERROR(__xludf.DUMMYFUNCTION("IFERROR(TO_DATE(H5748), """")"),"NA")</f>
        <v>NA</v>
      </c>
      <c r="J5748" s="19" t="s">
        <v>14</v>
      </c>
      <c r="K5748" s="22">
        <f t="shared" si="2"/>
        <v>0</v>
      </c>
    </row>
    <row r="5749">
      <c r="A5749" s="18">
        <v>4553.0</v>
      </c>
      <c r="B5749" s="18" t="s">
        <v>30</v>
      </c>
      <c r="C5749" s="18" t="s">
        <v>34</v>
      </c>
      <c r="D5749" s="18" t="s">
        <v>35</v>
      </c>
      <c r="E5749" s="27">
        <v>42565.40547453704</v>
      </c>
      <c r="F5749" s="19">
        <f>IFERROR(__xludf.DUMMYFUNCTION("IFERROR(TO_DATE(E5749), """")"),42565.40547453704)</f>
        <v>42565.40547</v>
      </c>
      <c r="G5749" s="20">
        <f t="shared" si="1"/>
        <v>9</v>
      </c>
      <c r="H5749" s="18" t="s">
        <v>34</v>
      </c>
      <c r="I5749" s="19" t="str">
        <f>IFERROR(__xludf.DUMMYFUNCTION("IFERROR(TO_DATE(H5749), """")"),"NA")</f>
        <v>NA</v>
      </c>
      <c r="J5749" s="19" t="s">
        <v>14</v>
      </c>
      <c r="K5749" s="22">
        <f t="shared" si="2"/>
        <v>0</v>
      </c>
    </row>
    <row r="5750">
      <c r="A5750" s="18">
        <v>4565.0</v>
      </c>
      <c r="B5750" s="18" t="s">
        <v>32</v>
      </c>
      <c r="C5750" s="18" t="s">
        <v>34</v>
      </c>
      <c r="D5750" s="18" t="s">
        <v>35</v>
      </c>
      <c r="E5750" s="27">
        <v>42565.406481481485</v>
      </c>
      <c r="F5750" s="19">
        <f>IFERROR(__xludf.DUMMYFUNCTION("IFERROR(TO_DATE(E5750), """")"),42565.406481481485)</f>
        <v>42565.40648</v>
      </c>
      <c r="G5750" s="20">
        <f t="shared" si="1"/>
        <v>9</v>
      </c>
      <c r="H5750" s="18" t="s">
        <v>34</v>
      </c>
      <c r="I5750" s="19" t="str">
        <f>IFERROR(__xludf.DUMMYFUNCTION("IFERROR(TO_DATE(H5750), """")"),"NA")</f>
        <v>NA</v>
      </c>
      <c r="J5750" s="19" t="s">
        <v>14</v>
      </c>
      <c r="K5750" s="22">
        <f t="shared" si="2"/>
        <v>0</v>
      </c>
    </row>
    <row r="5751">
      <c r="A5751" s="18">
        <v>4549.0</v>
      </c>
      <c r="B5751" s="18" t="s">
        <v>30</v>
      </c>
      <c r="C5751" s="18" t="s">
        <v>34</v>
      </c>
      <c r="D5751" s="18" t="s">
        <v>35</v>
      </c>
      <c r="E5751" s="27">
        <v>42565.40697916667</v>
      </c>
      <c r="F5751" s="19">
        <f>IFERROR(__xludf.DUMMYFUNCTION("IFERROR(TO_DATE(E5751), """")"),42565.40697916667)</f>
        <v>42565.40698</v>
      </c>
      <c r="G5751" s="20">
        <f t="shared" si="1"/>
        <v>9</v>
      </c>
      <c r="H5751" s="18" t="s">
        <v>34</v>
      </c>
      <c r="I5751" s="19" t="str">
        <f>IFERROR(__xludf.DUMMYFUNCTION("IFERROR(TO_DATE(H5751), """")"),"NA")</f>
        <v>NA</v>
      </c>
      <c r="J5751" s="19" t="s">
        <v>14</v>
      </c>
      <c r="K5751" s="22">
        <f t="shared" si="2"/>
        <v>0</v>
      </c>
    </row>
    <row r="5752">
      <c r="A5752" s="18">
        <v>4548.0</v>
      </c>
      <c r="B5752" s="18" t="s">
        <v>32</v>
      </c>
      <c r="C5752" s="18" t="s">
        <v>34</v>
      </c>
      <c r="D5752" s="18" t="s">
        <v>35</v>
      </c>
      <c r="E5752" s="27">
        <v>42565.40704861111</v>
      </c>
      <c r="F5752" s="19">
        <f>IFERROR(__xludf.DUMMYFUNCTION("IFERROR(TO_DATE(E5752), """")"),42565.40704861111)</f>
        <v>42565.40705</v>
      </c>
      <c r="G5752" s="20">
        <f t="shared" si="1"/>
        <v>9</v>
      </c>
      <c r="H5752" s="18" t="s">
        <v>34</v>
      </c>
      <c r="I5752" s="19" t="str">
        <f>IFERROR(__xludf.DUMMYFUNCTION("IFERROR(TO_DATE(H5752), """")"),"NA")</f>
        <v>NA</v>
      </c>
      <c r="J5752" s="19" t="s">
        <v>14</v>
      </c>
      <c r="K5752" s="22">
        <f t="shared" si="2"/>
        <v>0</v>
      </c>
    </row>
    <row r="5753">
      <c r="A5753" s="18">
        <v>4555.0</v>
      </c>
      <c r="B5753" s="18" t="s">
        <v>32</v>
      </c>
      <c r="C5753" s="18" t="s">
        <v>34</v>
      </c>
      <c r="D5753" s="18" t="s">
        <v>35</v>
      </c>
      <c r="E5753" s="27">
        <v>42565.40730324074</v>
      </c>
      <c r="F5753" s="19">
        <f>IFERROR(__xludf.DUMMYFUNCTION("IFERROR(TO_DATE(E5753), """")"),42565.40730324074)</f>
        <v>42565.4073</v>
      </c>
      <c r="G5753" s="20">
        <f t="shared" si="1"/>
        <v>9</v>
      </c>
      <c r="H5753" s="18" t="s">
        <v>34</v>
      </c>
      <c r="I5753" s="19" t="str">
        <f>IFERROR(__xludf.DUMMYFUNCTION("IFERROR(TO_DATE(H5753), """")"),"NA")</f>
        <v>NA</v>
      </c>
      <c r="J5753" s="19" t="s">
        <v>14</v>
      </c>
      <c r="K5753" s="22">
        <f t="shared" si="2"/>
        <v>0</v>
      </c>
    </row>
    <row r="5754">
      <c r="A5754" s="18">
        <v>4559.0</v>
      </c>
      <c r="B5754" s="18" t="s">
        <v>32</v>
      </c>
      <c r="C5754" s="18" t="s">
        <v>34</v>
      </c>
      <c r="D5754" s="18" t="s">
        <v>35</v>
      </c>
      <c r="E5754" s="27">
        <v>42565.409317129626</v>
      </c>
      <c r="F5754" s="19">
        <f>IFERROR(__xludf.DUMMYFUNCTION("IFERROR(TO_DATE(E5754), """")"),42565.409317129626)</f>
        <v>42565.40932</v>
      </c>
      <c r="G5754" s="20">
        <f t="shared" si="1"/>
        <v>9</v>
      </c>
      <c r="H5754" s="18" t="s">
        <v>34</v>
      </c>
      <c r="I5754" s="19" t="str">
        <f>IFERROR(__xludf.DUMMYFUNCTION("IFERROR(TO_DATE(H5754), """")"),"NA")</f>
        <v>NA</v>
      </c>
      <c r="J5754" s="19" t="s">
        <v>14</v>
      </c>
      <c r="K5754" s="22">
        <f t="shared" si="2"/>
        <v>0</v>
      </c>
    </row>
    <row r="5755">
      <c r="A5755" s="18">
        <v>4564.0</v>
      </c>
      <c r="B5755" s="18" t="s">
        <v>32</v>
      </c>
      <c r="C5755" s="18" t="s">
        <v>34</v>
      </c>
      <c r="D5755" s="18" t="s">
        <v>35</v>
      </c>
      <c r="E5755" s="27">
        <v>42565.41171296296</v>
      </c>
      <c r="F5755" s="19">
        <f>IFERROR(__xludf.DUMMYFUNCTION("IFERROR(TO_DATE(E5755), """")"),42565.41171296296)</f>
        <v>42565.41171</v>
      </c>
      <c r="G5755" s="20">
        <f t="shared" si="1"/>
        <v>9</v>
      </c>
      <c r="H5755" s="18" t="s">
        <v>34</v>
      </c>
      <c r="I5755" s="19" t="str">
        <f>IFERROR(__xludf.DUMMYFUNCTION("IFERROR(TO_DATE(H5755), """")"),"NA")</f>
        <v>NA</v>
      </c>
      <c r="J5755" s="19" t="s">
        <v>14</v>
      </c>
      <c r="K5755" s="22">
        <f t="shared" si="2"/>
        <v>0</v>
      </c>
    </row>
    <row r="5756">
      <c r="A5756" s="18">
        <v>4587.0</v>
      </c>
      <c r="B5756" s="18" t="s">
        <v>32</v>
      </c>
      <c r="C5756" s="18" t="s">
        <v>34</v>
      </c>
      <c r="D5756" s="18" t="s">
        <v>35</v>
      </c>
      <c r="E5756" s="27">
        <v>42565.416493055556</v>
      </c>
      <c r="F5756" s="19">
        <f>IFERROR(__xludf.DUMMYFUNCTION("IFERROR(TO_DATE(E5756), """")"),42565.416493055556)</f>
        <v>42565.41649</v>
      </c>
      <c r="G5756" s="20">
        <f t="shared" si="1"/>
        <v>9</v>
      </c>
      <c r="H5756" s="18" t="s">
        <v>34</v>
      </c>
      <c r="I5756" s="19" t="str">
        <f>IFERROR(__xludf.DUMMYFUNCTION("IFERROR(TO_DATE(H5756), """")"),"NA")</f>
        <v>NA</v>
      </c>
      <c r="J5756" s="19" t="s">
        <v>14</v>
      </c>
      <c r="K5756" s="22">
        <f t="shared" si="2"/>
        <v>0</v>
      </c>
    </row>
    <row r="5757">
      <c r="A5757" s="18">
        <v>4584.0</v>
      </c>
      <c r="B5757" s="18" t="s">
        <v>32</v>
      </c>
      <c r="C5757" s="18" t="s">
        <v>34</v>
      </c>
      <c r="D5757" s="18" t="s">
        <v>35</v>
      </c>
      <c r="E5757" s="27">
        <v>42565.41678240741</v>
      </c>
      <c r="F5757" s="19">
        <f>IFERROR(__xludf.DUMMYFUNCTION("IFERROR(TO_DATE(E5757), """")"),42565.41678240741)</f>
        <v>42565.41678</v>
      </c>
      <c r="G5757" s="20">
        <f t="shared" si="1"/>
        <v>10</v>
      </c>
      <c r="H5757" s="18" t="s">
        <v>34</v>
      </c>
      <c r="I5757" s="19" t="str">
        <f>IFERROR(__xludf.DUMMYFUNCTION("IFERROR(TO_DATE(H5757), """")"),"NA")</f>
        <v>NA</v>
      </c>
      <c r="J5757" s="19" t="s">
        <v>14</v>
      </c>
      <c r="K5757" s="22">
        <f t="shared" si="2"/>
        <v>0</v>
      </c>
    </row>
    <row r="5758">
      <c r="A5758" s="18">
        <v>4585.0</v>
      </c>
      <c r="B5758" s="18" t="s">
        <v>32</v>
      </c>
      <c r="C5758" s="18" t="s">
        <v>34</v>
      </c>
      <c r="D5758" s="18" t="s">
        <v>35</v>
      </c>
      <c r="E5758" s="27">
        <v>42565.41679398148</v>
      </c>
      <c r="F5758" s="19">
        <f>IFERROR(__xludf.DUMMYFUNCTION("IFERROR(TO_DATE(E5758), """")"),42565.41679398148)</f>
        <v>42565.41679</v>
      </c>
      <c r="G5758" s="20">
        <f t="shared" si="1"/>
        <v>10</v>
      </c>
      <c r="H5758" s="18" t="s">
        <v>34</v>
      </c>
      <c r="I5758" s="19" t="str">
        <f>IFERROR(__xludf.DUMMYFUNCTION("IFERROR(TO_DATE(H5758), """")"),"NA")</f>
        <v>NA</v>
      </c>
      <c r="J5758" s="19" t="s">
        <v>14</v>
      </c>
      <c r="K5758" s="22">
        <f t="shared" si="2"/>
        <v>0</v>
      </c>
    </row>
    <row r="5759">
      <c r="A5759" s="18">
        <v>4583.0</v>
      </c>
      <c r="B5759" s="18" t="s">
        <v>32</v>
      </c>
      <c r="C5759" s="18" t="s">
        <v>34</v>
      </c>
      <c r="D5759" s="18" t="s">
        <v>35</v>
      </c>
      <c r="E5759" s="27">
        <v>42565.4178125</v>
      </c>
      <c r="F5759" s="19">
        <f>IFERROR(__xludf.DUMMYFUNCTION("IFERROR(TO_DATE(E5759), """")"),42565.4178125)</f>
        <v>42565.41781</v>
      </c>
      <c r="G5759" s="20">
        <f t="shared" si="1"/>
        <v>10</v>
      </c>
      <c r="H5759" s="18" t="s">
        <v>34</v>
      </c>
      <c r="I5759" s="19" t="str">
        <f>IFERROR(__xludf.DUMMYFUNCTION("IFERROR(TO_DATE(H5759), """")"),"NA")</f>
        <v>NA</v>
      </c>
      <c r="J5759" s="19" t="s">
        <v>14</v>
      </c>
      <c r="K5759" s="22">
        <f t="shared" si="2"/>
        <v>0</v>
      </c>
    </row>
    <row r="5760">
      <c r="A5760" s="18">
        <v>4582.0</v>
      </c>
      <c r="B5760" s="18" t="s">
        <v>32</v>
      </c>
      <c r="C5760" s="18" t="s">
        <v>34</v>
      </c>
      <c r="D5760" s="18" t="s">
        <v>35</v>
      </c>
      <c r="E5760" s="27">
        <v>42565.41914351852</v>
      </c>
      <c r="F5760" s="19">
        <f>IFERROR(__xludf.DUMMYFUNCTION("IFERROR(TO_DATE(E5760), """")"),42565.41914351852)</f>
        <v>42565.41914</v>
      </c>
      <c r="G5760" s="20">
        <f t="shared" si="1"/>
        <v>10</v>
      </c>
      <c r="H5760" s="18" t="s">
        <v>34</v>
      </c>
      <c r="I5760" s="19" t="str">
        <f>IFERROR(__xludf.DUMMYFUNCTION("IFERROR(TO_DATE(H5760), """")"),"NA")</f>
        <v>NA</v>
      </c>
      <c r="J5760" s="19" t="s">
        <v>14</v>
      </c>
      <c r="K5760" s="22">
        <f t="shared" si="2"/>
        <v>0</v>
      </c>
    </row>
    <row r="5761">
      <c r="A5761" s="18">
        <v>4589.0</v>
      </c>
      <c r="B5761" s="18" t="s">
        <v>32</v>
      </c>
      <c r="C5761" s="18" t="s">
        <v>34</v>
      </c>
      <c r="D5761" s="18" t="s">
        <v>35</v>
      </c>
      <c r="E5761" s="27">
        <v>42565.421168981484</v>
      </c>
      <c r="F5761" s="19">
        <f>IFERROR(__xludf.DUMMYFUNCTION("IFERROR(TO_DATE(E5761), """")"),42565.421168981484)</f>
        <v>42565.42117</v>
      </c>
      <c r="G5761" s="20">
        <f t="shared" si="1"/>
        <v>10</v>
      </c>
      <c r="H5761" s="18" t="s">
        <v>34</v>
      </c>
      <c r="I5761" s="19" t="str">
        <f>IFERROR(__xludf.DUMMYFUNCTION("IFERROR(TO_DATE(H5761), """")"),"NA")</f>
        <v>NA</v>
      </c>
      <c r="J5761" s="19" t="s">
        <v>14</v>
      </c>
      <c r="K5761" s="22">
        <f t="shared" si="2"/>
        <v>0</v>
      </c>
    </row>
    <row r="5762">
      <c r="A5762" s="18">
        <v>4596.0</v>
      </c>
      <c r="B5762" s="18" t="s">
        <v>32</v>
      </c>
      <c r="C5762" s="18" t="s">
        <v>34</v>
      </c>
      <c r="D5762" s="18" t="s">
        <v>35</v>
      </c>
      <c r="E5762" s="27">
        <v>42565.42165509259</v>
      </c>
      <c r="F5762" s="19">
        <f>IFERROR(__xludf.DUMMYFUNCTION("IFERROR(TO_DATE(E5762), """")"),42565.42165509259)</f>
        <v>42565.42166</v>
      </c>
      <c r="G5762" s="20">
        <f t="shared" si="1"/>
        <v>10</v>
      </c>
      <c r="H5762" s="18" t="s">
        <v>34</v>
      </c>
      <c r="I5762" s="19" t="str">
        <f>IFERROR(__xludf.DUMMYFUNCTION("IFERROR(TO_DATE(H5762), """")"),"NA")</f>
        <v>NA</v>
      </c>
      <c r="J5762" s="19" t="s">
        <v>14</v>
      </c>
      <c r="K5762" s="22">
        <f t="shared" si="2"/>
        <v>0</v>
      </c>
    </row>
    <row r="5763">
      <c r="A5763" s="18">
        <v>4595.0</v>
      </c>
      <c r="B5763" s="18" t="s">
        <v>32</v>
      </c>
      <c r="C5763" s="18" t="s">
        <v>34</v>
      </c>
      <c r="D5763" s="18" t="s">
        <v>35</v>
      </c>
      <c r="E5763" s="27">
        <v>42565.42217592592</v>
      </c>
      <c r="F5763" s="19">
        <f>IFERROR(__xludf.DUMMYFUNCTION("IFERROR(TO_DATE(E5763), """")"),42565.42217592592)</f>
        <v>42565.42218</v>
      </c>
      <c r="G5763" s="20">
        <f t="shared" si="1"/>
        <v>10</v>
      </c>
      <c r="H5763" s="18" t="s">
        <v>34</v>
      </c>
      <c r="I5763" s="19" t="str">
        <f>IFERROR(__xludf.DUMMYFUNCTION("IFERROR(TO_DATE(H5763), """")"),"NA")</f>
        <v>NA</v>
      </c>
      <c r="J5763" s="19" t="s">
        <v>14</v>
      </c>
      <c r="K5763" s="22">
        <f t="shared" si="2"/>
        <v>0</v>
      </c>
    </row>
    <row r="5764">
      <c r="A5764" s="18">
        <v>4591.0</v>
      </c>
      <c r="B5764" s="18" t="s">
        <v>32</v>
      </c>
      <c r="C5764" s="18" t="s">
        <v>34</v>
      </c>
      <c r="D5764" s="18" t="s">
        <v>35</v>
      </c>
      <c r="E5764" s="27">
        <v>42565.422581018516</v>
      </c>
      <c r="F5764" s="19">
        <f>IFERROR(__xludf.DUMMYFUNCTION("IFERROR(TO_DATE(E5764), """")"),42565.422581018516)</f>
        <v>42565.42258</v>
      </c>
      <c r="G5764" s="20">
        <f t="shared" si="1"/>
        <v>10</v>
      </c>
      <c r="H5764" s="18" t="s">
        <v>34</v>
      </c>
      <c r="I5764" s="19" t="str">
        <f>IFERROR(__xludf.DUMMYFUNCTION("IFERROR(TO_DATE(H5764), """")"),"NA")</f>
        <v>NA</v>
      </c>
      <c r="J5764" s="19" t="s">
        <v>14</v>
      </c>
      <c r="K5764" s="22">
        <f t="shared" si="2"/>
        <v>0</v>
      </c>
    </row>
    <row r="5765">
      <c r="A5765" s="18">
        <v>4597.0</v>
      </c>
      <c r="B5765" s="18" t="s">
        <v>32</v>
      </c>
      <c r="C5765" s="18" t="s">
        <v>34</v>
      </c>
      <c r="D5765" s="18" t="s">
        <v>35</v>
      </c>
      <c r="E5765" s="27">
        <v>42565.42271990741</v>
      </c>
      <c r="F5765" s="19">
        <f>IFERROR(__xludf.DUMMYFUNCTION("IFERROR(TO_DATE(E5765), """")"),42565.42271990741)</f>
        <v>42565.42272</v>
      </c>
      <c r="G5765" s="20">
        <f t="shared" si="1"/>
        <v>10</v>
      </c>
      <c r="H5765" s="18" t="s">
        <v>34</v>
      </c>
      <c r="I5765" s="19" t="str">
        <f>IFERROR(__xludf.DUMMYFUNCTION("IFERROR(TO_DATE(H5765), """")"),"NA")</f>
        <v>NA</v>
      </c>
      <c r="J5765" s="19" t="s">
        <v>14</v>
      </c>
      <c r="K5765" s="22">
        <f t="shared" si="2"/>
        <v>0</v>
      </c>
    </row>
    <row r="5766">
      <c r="A5766" s="18">
        <v>4598.0</v>
      </c>
      <c r="B5766" s="18" t="s">
        <v>32</v>
      </c>
      <c r="C5766" s="18" t="s">
        <v>34</v>
      </c>
      <c r="D5766" s="18" t="s">
        <v>35</v>
      </c>
      <c r="E5766" s="27">
        <v>42565.42538194444</v>
      </c>
      <c r="F5766" s="19">
        <f>IFERROR(__xludf.DUMMYFUNCTION("IFERROR(TO_DATE(E5766), """")"),42565.42538194444)</f>
        <v>42565.42538</v>
      </c>
      <c r="G5766" s="20">
        <f t="shared" si="1"/>
        <v>10</v>
      </c>
      <c r="H5766" s="18" t="s">
        <v>34</v>
      </c>
      <c r="I5766" s="19" t="str">
        <f>IFERROR(__xludf.DUMMYFUNCTION("IFERROR(TO_DATE(H5766), """")"),"NA")</f>
        <v>NA</v>
      </c>
      <c r="J5766" s="19" t="s">
        <v>14</v>
      </c>
      <c r="K5766" s="22">
        <f t="shared" si="2"/>
        <v>0</v>
      </c>
    </row>
    <row r="5767">
      <c r="A5767" s="18">
        <v>4590.0</v>
      </c>
      <c r="B5767" s="18" t="s">
        <v>32</v>
      </c>
      <c r="C5767" s="18" t="s">
        <v>34</v>
      </c>
      <c r="D5767" s="18" t="s">
        <v>35</v>
      </c>
      <c r="E5767" s="27">
        <v>42565.42582175926</v>
      </c>
      <c r="F5767" s="19">
        <f>IFERROR(__xludf.DUMMYFUNCTION("IFERROR(TO_DATE(E5767), """")"),42565.42582175926)</f>
        <v>42565.42582</v>
      </c>
      <c r="G5767" s="20">
        <f t="shared" si="1"/>
        <v>10</v>
      </c>
      <c r="H5767" s="18" t="s">
        <v>34</v>
      </c>
      <c r="I5767" s="19" t="str">
        <f>IFERROR(__xludf.DUMMYFUNCTION("IFERROR(TO_DATE(H5767), """")"),"NA")</f>
        <v>NA</v>
      </c>
      <c r="J5767" s="19" t="s">
        <v>14</v>
      </c>
      <c r="K5767" s="22">
        <f t="shared" si="2"/>
        <v>0</v>
      </c>
    </row>
    <row r="5768">
      <c r="A5768" s="18">
        <v>4606.0</v>
      </c>
      <c r="B5768" s="18" t="s">
        <v>30</v>
      </c>
      <c r="C5768" s="18" t="s">
        <v>34</v>
      </c>
      <c r="D5768" s="18" t="s">
        <v>35</v>
      </c>
      <c r="E5768" s="27">
        <v>42565.43053240741</v>
      </c>
      <c r="F5768" s="19">
        <f>IFERROR(__xludf.DUMMYFUNCTION("IFERROR(TO_DATE(E5768), """")"),42565.43053240741)</f>
        <v>42565.43053</v>
      </c>
      <c r="G5768" s="20">
        <f t="shared" si="1"/>
        <v>10</v>
      </c>
      <c r="H5768" s="18" t="s">
        <v>34</v>
      </c>
      <c r="I5768" s="19" t="str">
        <f>IFERROR(__xludf.DUMMYFUNCTION("IFERROR(TO_DATE(H5768), """")"),"NA")</f>
        <v>NA</v>
      </c>
      <c r="J5768" s="19" t="s">
        <v>14</v>
      </c>
      <c r="K5768" s="22">
        <f t="shared" si="2"/>
        <v>0</v>
      </c>
    </row>
    <row r="5769">
      <c r="A5769" s="18">
        <v>4608.0</v>
      </c>
      <c r="B5769" s="18" t="s">
        <v>30</v>
      </c>
      <c r="C5769" s="18" t="s">
        <v>34</v>
      </c>
      <c r="D5769" s="18" t="s">
        <v>35</v>
      </c>
      <c r="E5769" s="27">
        <v>42565.43313657407</v>
      </c>
      <c r="F5769" s="19">
        <f>IFERROR(__xludf.DUMMYFUNCTION("IFERROR(TO_DATE(E5769), """")"),42565.43313657407)</f>
        <v>42565.43314</v>
      </c>
      <c r="G5769" s="20">
        <f t="shared" si="1"/>
        <v>10</v>
      </c>
      <c r="H5769" s="18" t="s">
        <v>34</v>
      </c>
      <c r="I5769" s="19" t="str">
        <f>IFERROR(__xludf.DUMMYFUNCTION("IFERROR(TO_DATE(H5769), """")"),"NA")</f>
        <v>NA</v>
      </c>
      <c r="J5769" s="19" t="s">
        <v>14</v>
      </c>
      <c r="K5769" s="22">
        <f t="shared" si="2"/>
        <v>0</v>
      </c>
    </row>
    <row r="5770">
      <c r="A5770" s="18">
        <v>4604.0</v>
      </c>
      <c r="B5770" s="18" t="s">
        <v>32</v>
      </c>
      <c r="C5770" s="18" t="s">
        <v>34</v>
      </c>
      <c r="D5770" s="18" t="s">
        <v>35</v>
      </c>
      <c r="E5770" s="27">
        <v>42565.43449074074</v>
      </c>
      <c r="F5770" s="19">
        <f>IFERROR(__xludf.DUMMYFUNCTION("IFERROR(TO_DATE(E5770), """")"),42565.43449074074)</f>
        <v>42565.43449</v>
      </c>
      <c r="G5770" s="20">
        <f t="shared" si="1"/>
        <v>10</v>
      </c>
      <c r="H5770" s="18" t="s">
        <v>34</v>
      </c>
      <c r="I5770" s="19" t="str">
        <f>IFERROR(__xludf.DUMMYFUNCTION("IFERROR(TO_DATE(H5770), """")"),"NA")</f>
        <v>NA</v>
      </c>
      <c r="J5770" s="19" t="s">
        <v>14</v>
      </c>
      <c r="K5770" s="22">
        <f t="shared" si="2"/>
        <v>0</v>
      </c>
    </row>
    <row r="5771">
      <c r="A5771" s="18">
        <v>4613.0</v>
      </c>
      <c r="B5771" s="18" t="s">
        <v>32</v>
      </c>
      <c r="C5771" s="18" t="s">
        <v>34</v>
      </c>
      <c r="D5771" s="18" t="s">
        <v>35</v>
      </c>
      <c r="E5771" s="27">
        <v>42565.44673611111</v>
      </c>
      <c r="F5771" s="19">
        <f>IFERROR(__xludf.DUMMYFUNCTION("IFERROR(TO_DATE(E5771), """")"),42565.44673611111)</f>
        <v>42565.44674</v>
      </c>
      <c r="G5771" s="20">
        <f t="shared" si="1"/>
        <v>10</v>
      </c>
      <c r="H5771" s="18" t="s">
        <v>34</v>
      </c>
      <c r="I5771" s="19" t="str">
        <f>IFERROR(__xludf.DUMMYFUNCTION("IFERROR(TO_DATE(H5771), """")"),"NA")</f>
        <v>NA</v>
      </c>
      <c r="J5771" s="19" t="s">
        <v>14</v>
      </c>
      <c r="K5771" s="22">
        <f t="shared" si="2"/>
        <v>0</v>
      </c>
    </row>
    <row r="5772">
      <c r="A5772" s="18">
        <v>4616.0</v>
      </c>
      <c r="B5772" s="18" t="s">
        <v>32</v>
      </c>
      <c r="C5772" s="18" t="s">
        <v>34</v>
      </c>
      <c r="D5772" s="18" t="s">
        <v>35</v>
      </c>
      <c r="E5772" s="27">
        <v>42565.455300925925</v>
      </c>
      <c r="F5772" s="19">
        <f>IFERROR(__xludf.DUMMYFUNCTION("IFERROR(TO_DATE(E5772), """")"),42565.455300925925)</f>
        <v>42565.4553</v>
      </c>
      <c r="G5772" s="20">
        <f t="shared" si="1"/>
        <v>10</v>
      </c>
      <c r="H5772" s="18" t="s">
        <v>34</v>
      </c>
      <c r="I5772" s="19" t="str">
        <f>IFERROR(__xludf.DUMMYFUNCTION("IFERROR(TO_DATE(H5772), """")"),"NA")</f>
        <v>NA</v>
      </c>
      <c r="J5772" s="19" t="s">
        <v>14</v>
      </c>
      <c r="K5772" s="22">
        <f t="shared" si="2"/>
        <v>0</v>
      </c>
    </row>
    <row r="5773">
      <c r="A5773" s="18">
        <v>4622.0</v>
      </c>
      <c r="B5773" s="18" t="s">
        <v>30</v>
      </c>
      <c r="C5773" s="18" t="s">
        <v>34</v>
      </c>
      <c r="D5773" s="18" t="s">
        <v>35</v>
      </c>
      <c r="E5773" s="27">
        <v>42565.458657407406</v>
      </c>
      <c r="F5773" s="19">
        <f>IFERROR(__xludf.DUMMYFUNCTION("IFERROR(TO_DATE(E5773), """")"),42565.458657407406)</f>
        <v>42565.45866</v>
      </c>
      <c r="G5773" s="20">
        <f t="shared" si="1"/>
        <v>11</v>
      </c>
      <c r="H5773" s="18" t="s">
        <v>34</v>
      </c>
      <c r="I5773" s="19" t="str">
        <f>IFERROR(__xludf.DUMMYFUNCTION("IFERROR(TO_DATE(H5773), """")"),"NA")</f>
        <v>NA</v>
      </c>
      <c r="J5773" s="19" t="s">
        <v>14</v>
      </c>
      <c r="K5773" s="22">
        <f t="shared" si="2"/>
        <v>0</v>
      </c>
    </row>
    <row r="5774">
      <c r="A5774" s="18">
        <v>4617.0</v>
      </c>
      <c r="B5774" s="18" t="s">
        <v>32</v>
      </c>
      <c r="C5774" s="18" t="s">
        <v>34</v>
      </c>
      <c r="D5774" s="18" t="s">
        <v>35</v>
      </c>
      <c r="E5774" s="27">
        <v>42565.45995370371</v>
      </c>
      <c r="F5774" s="19">
        <f>IFERROR(__xludf.DUMMYFUNCTION("IFERROR(TO_DATE(E5774), """")"),42565.45995370371)</f>
        <v>42565.45995</v>
      </c>
      <c r="G5774" s="20">
        <f t="shared" si="1"/>
        <v>11</v>
      </c>
      <c r="H5774" s="18" t="s">
        <v>34</v>
      </c>
      <c r="I5774" s="19" t="str">
        <f>IFERROR(__xludf.DUMMYFUNCTION("IFERROR(TO_DATE(H5774), """")"),"NA")</f>
        <v>NA</v>
      </c>
      <c r="J5774" s="19" t="s">
        <v>14</v>
      </c>
      <c r="K5774" s="22">
        <f t="shared" si="2"/>
        <v>0</v>
      </c>
    </row>
    <row r="5775">
      <c r="A5775" s="18">
        <v>4619.0</v>
      </c>
      <c r="B5775" s="18" t="s">
        <v>30</v>
      </c>
      <c r="C5775" s="18" t="s">
        <v>34</v>
      </c>
      <c r="D5775" s="18" t="s">
        <v>35</v>
      </c>
      <c r="E5775" s="27">
        <v>42565.461539351854</v>
      </c>
      <c r="F5775" s="19">
        <f>IFERROR(__xludf.DUMMYFUNCTION("IFERROR(TO_DATE(E5775), """")"),42565.461539351854)</f>
        <v>42565.46154</v>
      </c>
      <c r="G5775" s="20">
        <f t="shared" si="1"/>
        <v>11</v>
      </c>
      <c r="H5775" s="18" t="s">
        <v>34</v>
      </c>
      <c r="I5775" s="19" t="str">
        <f>IFERROR(__xludf.DUMMYFUNCTION("IFERROR(TO_DATE(H5775), """")"),"NA")</f>
        <v>NA</v>
      </c>
      <c r="J5775" s="19" t="s">
        <v>14</v>
      </c>
      <c r="K5775" s="22">
        <f t="shared" si="2"/>
        <v>0</v>
      </c>
    </row>
    <row r="5776">
      <c r="A5776" s="18">
        <v>4629.0</v>
      </c>
      <c r="B5776" s="18" t="s">
        <v>32</v>
      </c>
      <c r="C5776" s="18" t="s">
        <v>34</v>
      </c>
      <c r="D5776" s="18" t="s">
        <v>35</v>
      </c>
      <c r="E5776" s="27">
        <v>42565.466215277775</v>
      </c>
      <c r="F5776" s="19">
        <f>IFERROR(__xludf.DUMMYFUNCTION("IFERROR(TO_DATE(E5776), """")"),42565.466215277775)</f>
        <v>42565.46622</v>
      </c>
      <c r="G5776" s="20">
        <f t="shared" si="1"/>
        <v>11</v>
      </c>
      <c r="H5776" s="18" t="s">
        <v>34</v>
      </c>
      <c r="I5776" s="19" t="str">
        <f>IFERROR(__xludf.DUMMYFUNCTION("IFERROR(TO_DATE(H5776), """")"),"NA")</f>
        <v>NA</v>
      </c>
      <c r="J5776" s="19" t="s">
        <v>14</v>
      </c>
      <c r="K5776" s="22">
        <f t="shared" si="2"/>
        <v>0</v>
      </c>
    </row>
    <row r="5777">
      <c r="A5777" s="18">
        <v>4633.0</v>
      </c>
      <c r="B5777" s="18" t="s">
        <v>32</v>
      </c>
      <c r="C5777" s="18" t="s">
        <v>34</v>
      </c>
      <c r="D5777" s="18" t="s">
        <v>35</v>
      </c>
      <c r="E5777" s="27">
        <v>42565.47293981481</v>
      </c>
      <c r="F5777" s="19">
        <f>IFERROR(__xludf.DUMMYFUNCTION("IFERROR(TO_DATE(E5777), """")"),42565.47293981481)</f>
        <v>42565.47294</v>
      </c>
      <c r="G5777" s="20">
        <f t="shared" si="1"/>
        <v>11</v>
      </c>
      <c r="H5777" s="18" t="s">
        <v>34</v>
      </c>
      <c r="I5777" s="19" t="str">
        <f>IFERROR(__xludf.DUMMYFUNCTION("IFERROR(TO_DATE(H5777), """")"),"NA")</f>
        <v>NA</v>
      </c>
      <c r="J5777" s="19" t="s">
        <v>14</v>
      </c>
      <c r="K5777" s="22">
        <f t="shared" si="2"/>
        <v>0</v>
      </c>
    </row>
    <row r="5778">
      <c r="A5778" s="18">
        <v>4634.0</v>
      </c>
      <c r="B5778" s="18" t="s">
        <v>32</v>
      </c>
      <c r="C5778" s="18" t="s">
        <v>34</v>
      </c>
      <c r="D5778" s="18" t="s">
        <v>35</v>
      </c>
      <c r="E5778" s="27">
        <v>42565.479525462964</v>
      </c>
      <c r="F5778" s="19">
        <f>IFERROR(__xludf.DUMMYFUNCTION("IFERROR(TO_DATE(E5778), """")"),42565.479525462964)</f>
        <v>42565.47953</v>
      </c>
      <c r="G5778" s="20">
        <f t="shared" si="1"/>
        <v>11</v>
      </c>
      <c r="H5778" s="18" t="s">
        <v>34</v>
      </c>
      <c r="I5778" s="19" t="str">
        <f>IFERROR(__xludf.DUMMYFUNCTION("IFERROR(TO_DATE(H5778), """")"),"NA")</f>
        <v>NA</v>
      </c>
      <c r="J5778" s="19" t="s">
        <v>14</v>
      </c>
      <c r="K5778" s="22">
        <f t="shared" si="2"/>
        <v>0</v>
      </c>
    </row>
    <row r="5779">
      <c r="A5779" s="18">
        <v>4636.0</v>
      </c>
      <c r="B5779" s="18" t="s">
        <v>32</v>
      </c>
      <c r="C5779" s="18" t="s">
        <v>34</v>
      </c>
      <c r="D5779" s="18" t="s">
        <v>35</v>
      </c>
      <c r="E5779" s="27">
        <v>42565.48094907407</v>
      </c>
      <c r="F5779" s="19">
        <f>IFERROR(__xludf.DUMMYFUNCTION("IFERROR(TO_DATE(E5779), """")"),42565.48094907407)</f>
        <v>42565.48095</v>
      </c>
      <c r="G5779" s="20">
        <f t="shared" si="1"/>
        <v>11</v>
      </c>
      <c r="H5779" s="18" t="s">
        <v>34</v>
      </c>
      <c r="I5779" s="19" t="str">
        <f>IFERROR(__xludf.DUMMYFUNCTION("IFERROR(TO_DATE(H5779), """")"),"NA")</f>
        <v>NA</v>
      </c>
      <c r="J5779" s="19" t="s">
        <v>14</v>
      </c>
      <c r="K5779" s="22">
        <f t="shared" si="2"/>
        <v>0</v>
      </c>
    </row>
    <row r="5780">
      <c r="A5780" s="18">
        <v>4640.0</v>
      </c>
      <c r="B5780" s="18" t="s">
        <v>30</v>
      </c>
      <c r="C5780" s="18" t="s">
        <v>34</v>
      </c>
      <c r="D5780" s="18" t="s">
        <v>35</v>
      </c>
      <c r="E5780" s="27">
        <v>42565.485555555555</v>
      </c>
      <c r="F5780" s="19">
        <f>IFERROR(__xludf.DUMMYFUNCTION("IFERROR(TO_DATE(E5780), """")"),42565.485555555555)</f>
        <v>42565.48556</v>
      </c>
      <c r="G5780" s="20">
        <f t="shared" si="1"/>
        <v>11</v>
      </c>
      <c r="H5780" s="18" t="s">
        <v>34</v>
      </c>
      <c r="I5780" s="19" t="str">
        <f>IFERROR(__xludf.DUMMYFUNCTION("IFERROR(TO_DATE(H5780), """")"),"NA")</f>
        <v>NA</v>
      </c>
      <c r="J5780" s="19" t="s">
        <v>14</v>
      </c>
      <c r="K5780" s="22">
        <f t="shared" si="2"/>
        <v>0</v>
      </c>
    </row>
    <row r="5781">
      <c r="A5781" s="18">
        <v>4647.0</v>
      </c>
      <c r="B5781" s="18" t="s">
        <v>32</v>
      </c>
      <c r="C5781" s="18" t="s">
        <v>34</v>
      </c>
      <c r="D5781" s="18" t="s">
        <v>35</v>
      </c>
      <c r="E5781" s="27">
        <v>42565.49346064815</v>
      </c>
      <c r="F5781" s="19">
        <f>IFERROR(__xludf.DUMMYFUNCTION("IFERROR(TO_DATE(E5781), """")"),42565.49346064815)</f>
        <v>42565.49346</v>
      </c>
      <c r="G5781" s="20">
        <f t="shared" si="1"/>
        <v>11</v>
      </c>
      <c r="H5781" s="18" t="s">
        <v>34</v>
      </c>
      <c r="I5781" s="19" t="str">
        <f>IFERROR(__xludf.DUMMYFUNCTION("IFERROR(TO_DATE(H5781), """")"),"NA")</f>
        <v>NA</v>
      </c>
      <c r="J5781" s="19" t="s">
        <v>14</v>
      </c>
      <c r="K5781" s="22">
        <f t="shared" si="2"/>
        <v>0</v>
      </c>
    </row>
    <row r="5782">
      <c r="A5782" s="18">
        <v>4650.0</v>
      </c>
      <c r="B5782" s="18" t="s">
        <v>30</v>
      </c>
      <c r="C5782" s="18" t="s">
        <v>34</v>
      </c>
      <c r="D5782" s="18" t="s">
        <v>35</v>
      </c>
      <c r="E5782" s="27">
        <v>42565.4987962963</v>
      </c>
      <c r="F5782" s="19">
        <f>IFERROR(__xludf.DUMMYFUNCTION("IFERROR(TO_DATE(E5782), """")"),42565.4987962963)</f>
        <v>42565.4988</v>
      </c>
      <c r="G5782" s="20">
        <f t="shared" si="1"/>
        <v>11</v>
      </c>
      <c r="H5782" s="18" t="s">
        <v>34</v>
      </c>
      <c r="I5782" s="19" t="str">
        <f>IFERROR(__xludf.DUMMYFUNCTION("IFERROR(TO_DATE(H5782), """")"),"NA")</f>
        <v>NA</v>
      </c>
      <c r="J5782" s="19" t="s">
        <v>14</v>
      </c>
      <c r="K5782" s="22">
        <f t="shared" si="2"/>
        <v>0</v>
      </c>
    </row>
    <row r="5783">
      <c r="A5783" s="18">
        <v>4662.0</v>
      </c>
      <c r="B5783" s="18" t="s">
        <v>30</v>
      </c>
      <c r="C5783" s="18" t="s">
        <v>34</v>
      </c>
      <c r="D5783" s="18" t="s">
        <v>35</v>
      </c>
      <c r="E5783" s="27">
        <v>42565.509039351855</v>
      </c>
      <c r="F5783" s="19">
        <f>IFERROR(__xludf.DUMMYFUNCTION("IFERROR(TO_DATE(E5783), """")"),42565.509039351855)</f>
        <v>42565.50904</v>
      </c>
      <c r="G5783" s="20">
        <f t="shared" si="1"/>
        <v>12</v>
      </c>
      <c r="H5783" s="18" t="s">
        <v>34</v>
      </c>
      <c r="I5783" s="19" t="str">
        <f>IFERROR(__xludf.DUMMYFUNCTION("IFERROR(TO_DATE(H5783), """")"),"NA")</f>
        <v>NA</v>
      </c>
      <c r="J5783" s="19" t="s">
        <v>10</v>
      </c>
      <c r="K5783" s="22">
        <f t="shared" si="2"/>
        <v>0</v>
      </c>
    </row>
    <row r="5784">
      <c r="A5784" s="18">
        <v>4660.0</v>
      </c>
      <c r="B5784" s="18" t="s">
        <v>32</v>
      </c>
      <c r="C5784" s="18" t="s">
        <v>34</v>
      </c>
      <c r="D5784" s="18" t="s">
        <v>35</v>
      </c>
      <c r="E5784" s="27">
        <v>42565.509305555555</v>
      </c>
      <c r="F5784" s="19">
        <f>IFERROR(__xludf.DUMMYFUNCTION("IFERROR(TO_DATE(E5784), """")"),42565.509305555555)</f>
        <v>42565.50931</v>
      </c>
      <c r="G5784" s="20">
        <f t="shared" si="1"/>
        <v>12</v>
      </c>
      <c r="H5784" s="18" t="s">
        <v>34</v>
      </c>
      <c r="I5784" s="19" t="str">
        <f>IFERROR(__xludf.DUMMYFUNCTION("IFERROR(TO_DATE(H5784), """")"),"NA")</f>
        <v>NA</v>
      </c>
      <c r="J5784" s="19" t="s">
        <v>10</v>
      </c>
      <c r="K5784" s="22">
        <f t="shared" si="2"/>
        <v>0</v>
      </c>
    </row>
    <row r="5785">
      <c r="A5785" s="18">
        <v>4666.0</v>
      </c>
      <c r="B5785" s="18" t="s">
        <v>30</v>
      </c>
      <c r="C5785" s="18" t="s">
        <v>34</v>
      </c>
      <c r="D5785" s="18" t="s">
        <v>35</v>
      </c>
      <c r="E5785" s="27">
        <v>42565.518472222226</v>
      </c>
      <c r="F5785" s="19">
        <f>IFERROR(__xludf.DUMMYFUNCTION("IFERROR(TO_DATE(E5785), """")"),42565.518472222226)</f>
        <v>42565.51847</v>
      </c>
      <c r="G5785" s="20">
        <f t="shared" si="1"/>
        <v>12</v>
      </c>
      <c r="H5785" s="18" t="s">
        <v>34</v>
      </c>
      <c r="I5785" s="19" t="str">
        <f>IFERROR(__xludf.DUMMYFUNCTION("IFERROR(TO_DATE(H5785), """")"),"NA")</f>
        <v>NA</v>
      </c>
      <c r="J5785" s="19" t="s">
        <v>10</v>
      </c>
      <c r="K5785" s="22">
        <f t="shared" si="2"/>
        <v>0</v>
      </c>
    </row>
    <row r="5786">
      <c r="A5786" s="18">
        <v>4670.0</v>
      </c>
      <c r="B5786" s="18" t="s">
        <v>30</v>
      </c>
      <c r="C5786" s="18" t="s">
        <v>34</v>
      </c>
      <c r="D5786" s="18" t="s">
        <v>35</v>
      </c>
      <c r="E5786" s="27">
        <v>42565.52538194445</v>
      </c>
      <c r="F5786" s="19">
        <f>IFERROR(__xludf.DUMMYFUNCTION("IFERROR(TO_DATE(E5786), """")"),42565.52538194445)</f>
        <v>42565.52538</v>
      </c>
      <c r="G5786" s="20">
        <f t="shared" si="1"/>
        <v>12</v>
      </c>
      <c r="H5786" s="18" t="s">
        <v>34</v>
      </c>
      <c r="I5786" s="19" t="str">
        <f>IFERROR(__xludf.DUMMYFUNCTION("IFERROR(TO_DATE(H5786), """")"),"NA")</f>
        <v>NA</v>
      </c>
      <c r="J5786" s="19" t="s">
        <v>10</v>
      </c>
      <c r="K5786" s="22">
        <f t="shared" si="2"/>
        <v>0</v>
      </c>
    </row>
    <row r="5787">
      <c r="A5787" s="18">
        <v>4675.0</v>
      </c>
      <c r="B5787" s="18" t="s">
        <v>32</v>
      </c>
      <c r="C5787" s="18" t="s">
        <v>34</v>
      </c>
      <c r="D5787" s="18" t="s">
        <v>35</v>
      </c>
      <c r="E5787" s="27">
        <v>42565.52738425926</v>
      </c>
      <c r="F5787" s="19">
        <f>IFERROR(__xludf.DUMMYFUNCTION("IFERROR(TO_DATE(E5787), """")"),42565.52738425926)</f>
        <v>42565.52738</v>
      </c>
      <c r="G5787" s="20">
        <f t="shared" si="1"/>
        <v>12</v>
      </c>
      <c r="H5787" s="18" t="s">
        <v>34</v>
      </c>
      <c r="I5787" s="19" t="str">
        <f>IFERROR(__xludf.DUMMYFUNCTION("IFERROR(TO_DATE(H5787), """")"),"NA")</f>
        <v>NA</v>
      </c>
      <c r="J5787" s="19" t="s">
        <v>10</v>
      </c>
      <c r="K5787" s="22">
        <f t="shared" si="2"/>
        <v>0</v>
      </c>
    </row>
    <row r="5788">
      <c r="A5788" s="18">
        <v>4676.0</v>
      </c>
      <c r="B5788" s="18" t="s">
        <v>30</v>
      </c>
      <c r="C5788" s="18" t="s">
        <v>34</v>
      </c>
      <c r="D5788" s="18" t="s">
        <v>35</v>
      </c>
      <c r="E5788" s="27">
        <v>42565.530810185184</v>
      </c>
      <c r="F5788" s="19">
        <f>IFERROR(__xludf.DUMMYFUNCTION("IFERROR(TO_DATE(E5788), """")"),42565.530810185184)</f>
        <v>42565.53081</v>
      </c>
      <c r="G5788" s="20">
        <f t="shared" si="1"/>
        <v>12</v>
      </c>
      <c r="H5788" s="18" t="s">
        <v>34</v>
      </c>
      <c r="I5788" s="19" t="str">
        <f>IFERROR(__xludf.DUMMYFUNCTION("IFERROR(TO_DATE(H5788), """")"),"NA")</f>
        <v>NA</v>
      </c>
      <c r="J5788" s="19" t="s">
        <v>10</v>
      </c>
      <c r="K5788" s="22">
        <f t="shared" si="2"/>
        <v>0</v>
      </c>
    </row>
    <row r="5789">
      <c r="A5789" s="18">
        <v>4682.0</v>
      </c>
      <c r="B5789" s="18" t="s">
        <v>30</v>
      </c>
      <c r="C5789" s="18" t="s">
        <v>34</v>
      </c>
      <c r="D5789" s="18" t="s">
        <v>35</v>
      </c>
      <c r="E5789" s="27">
        <v>42565.53420138889</v>
      </c>
      <c r="F5789" s="19">
        <f>IFERROR(__xludf.DUMMYFUNCTION("IFERROR(TO_DATE(E5789), """")"),42565.53420138889)</f>
        <v>42565.5342</v>
      </c>
      <c r="G5789" s="20">
        <f t="shared" si="1"/>
        <v>12</v>
      </c>
      <c r="H5789" s="18" t="s">
        <v>34</v>
      </c>
      <c r="I5789" s="19" t="str">
        <f>IFERROR(__xludf.DUMMYFUNCTION("IFERROR(TO_DATE(H5789), """")"),"NA")</f>
        <v>NA</v>
      </c>
      <c r="J5789" s="19" t="s">
        <v>10</v>
      </c>
      <c r="K5789" s="22">
        <f t="shared" si="2"/>
        <v>0</v>
      </c>
    </row>
    <row r="5790">
      <c r="A5790" s="18">
        <v>4678.0</v>
      </c>
      <c r="B5790" s="18" t="s">
        <v>32</v>
      </c>
      <c r="C5790" s="18" t="s">
        <v>34</v>
      </c>
      <c r="D5790" s="18" t="s">
        <v>35</v>
      </c>
      <c r="E5790" s="27">
        <v>42565.53425925926</v>
      </c>
      <c r="F5790" s="19">
        <f>IFERROR(__xludf.DUMMYFUNCTION("IFERROR(TO_DATE(E5790), """")"),42565.53425925926)</f>
        <v>42565.53426</v>
      </c>
      <c r="G5790" s="20">
        <f t="shared" si="1"/>
        <v>12</v>
      </c>
      <c r="H5790" s="18" t="s">
        <v>34</v>
      </c>
      <c r="I5790" s="19" t="str">
        <f>IFERROR(__xludf.DUMMYFUNCTION("IFERROR(TO_DATE(H5790), """")"),"NA")</f>
        <v>NA</v>
      </c>
      <c r="J5790" s="19" t="s">
        <v>10</v>
      </c>
      <c r="K5790" s="22">
        <f t="shared" si="2"/>
        <v>0</v>
      </c>
    </row>
    <row r="5791">
      <c r="A5791" s="18">
        <v>4688.0</v>
      </c>
      <c r="B5791" s="18" t="s">
        <v>30</v>
      </c>
      <c r="C5791" s="18" t="s">
        <v>34</v>
      </c>
      <c r="D5791" s="18" t="s">
        <v>35</v>
      </c>
      <c r="E5791" s="27">
        <v>42565.54383101852</v>
      </c>
      <c r="F5791" s="19">
        <f>IFERROR(__xludf.DUMMYFUNCTION("IFERROR(TO_DATE(E5791), """")"),42565.54383101852)</f>
        <v>42565.54383</v>
      </c>
      <c r="G5791" s="20">
        <f t="shared" si="1"/>
        <v>13</v>
      </c>
      <c r="H5791" s="18" t="s">
        <v>34</v>
      </c>
      <c r="I5791" s="19" t="str">
        <f>IFERROR(__xludf.DUMMYFUNCTION("IFERROR(TO_DATE(H5791), """")"),"NA")</f>
        <v>NA</v>
      </c>
      <c r="J5791" s="19" t="s">
        <v>10</v>
      </c>
      <c r="K5791" s="22">
        <f t="shared" si="2"/>
        <v>0</v>
      </c>
    </row>
    <row r="5792">
      <c r="A5792" s="18">
        <v>4692.0</v>
      </c>
      <c r="B5792" s="18" t="s">
        <v>32</v>
      </c>
      <c r="C5792" s="18" t="s">
        <v>34</v>
      </c>
      <c r="D5792" s="18" t="s">
        <v>35</v>
      </c>
      <c r="E5792" s="27">
        <v>42565.545115740744</v>
      </c>
      <c r="F5792" s="19">
        <f>IFERROR(__xludf.DUMMYFUNCTION("IFERROR(TO_DATE(E5792), """")"),42565.545115740744)</f>
        <v>42565.54512</v>
      </c>
      <c r="G5792" s="20">
        <f t="shared" si="1"/>
        <v>13</v>
      </c>
      <c r="H5792" s="18" t="s">
        <v>34</v>
      </c>
      <c r="I5792" s="19" t="str">
        <f>IFERROR(__xludf.DUMMYFUNCTION("IFERROR(TO_DATE(H5792), """")"),"NA")</f>
        <v>NA</v>
      </c>
      <c r="J5792" s="19" t="s">
        <v>10</v>
      </c>
      <c r="K5792" s="22">
        <f t="shared" si="2"/>
        <v>0</v>
      </c>
    </row>
    <row r="5793">
      <c r="A5793" s="18">
        <v>4689.0</v>
      </c>
      <c r="B5793" s="18" t="s">
        <v>32</v>
      </c>
      <c r="C5793" s="18" t="s">
        <v>34</v>
      </c>
      <c r="D5793" s="18" t="s">
        <v>35</v>
      </c>
      <c r="E5793" s="27">
        <v>42565.54840277778</v>
      </c>
      <c r="F5793" s="19">
        <f>IFERROR(__xludf.DUMMYFUNCTION("IFERROR(TO_DATE(E5793), """")"),42565.54840277778)</f>
        <v>42565.5484</v>
      </c>
      <c r="G5793" s="20">
        <f t="shared" si="1"/>
        <v>13</v>
      </c>
      <c r="H5793" s="18" t="s">
        <v>34</v>
      </c>
      <c r="I5793" s="19" t="str">
        <f>IFERROR(__xludf.DUMMYFUNCTION("IFERROR(TO_DATE(H5793), """")"),"NA")</f>
        <v>NA</v>
      </c>
      <c r="J5793" s="19" t="s">
        <v>10</v>
      </c>
      <c r="K5793" s="22">
        <f t="shared" si="2"/>
        <v>0</v>
      </c>
    </row>
    <row r="5794">
      <c r="A5794" s="18">
        <v>4697.0</v>
      </c>
      <c r="B5794" s="18" t="s">
        <v>32</v>
      </c>
      <c r="C5794" s="18" t="s">
        <v>34</v>
      </c>
      <c r="D5794" s="18" t="s">
        <v>35</v>
      </c>
      <c r="E5794" s="27">
        <v>42565.550625</v>
      </c>
      <c r="F5794" s="19">
        <f>IFERROR(__xludf.DUMMYFUNCTION("IFERROR(TO_DATE(E5794), """")"),42565.550625)</f>
        <v>42565.55063</v>
      </c>
      <c r="G5794" s="20">
        <f t="shared" si="1"/>
        <v>13</v>
      </c>
      <c r="H5794" s="18" t="s">
        <v>34</v>
      </c>
      <c r="I5794" s="19" t="str">
        <f>IFERROR(__xludf.DUMMYFUNCTION("IFERROR(TO_DATE(H5794), """")"),"NA")</f>
        <v>NA</v>
      </c>
      <c r="J5794" s="19" t="s">
        <v>10</v>
      </c>
      <c r="K5794" s="22">
        <f t="shared" si="2"/>
        <v>0</v>
      </c>
    </row>
    <row r="5795">
      <c r="A5795" s="18">
        <v>4705.0</v>
      </c>
      <c r="B5795" s="18" t="s">
        <v>30</v>
      </c>
      <c r="C5795" s="18" t="s">
        <v>34</v>
      </c>
      <c r="D5795" s="18" t="s">
        <v>35</v>
      </c>
      <c r="E5795" s="27">
        <v>42565.550717592596</v>
      </c>
      <c r="F5795" s="19">
        <f>IFERROR(__xludf.DUMMYFUNCTION("IFERROR(TO_DATE(E5795), """")"),42565.550717592596)</f>
        <v>42565.55072</v>
      </c>
      <c r="G5795" s="20">
        <f t="shared" si="1"/>
        <v>13</v>
      </c>
      <c r="H5795" s="18" t="s">
        <v>34</v>
      </c>
      <c r="I5795" s="19" t="str">
        <f>IFERROR(__xludf.DUMMYFUNCTION("IFERROR(TO_DATE(H5795), """")"),"NA")</f>
        <v>NA</v>
      </c>
      <c r="J5795" s="19" t="s">
        <v>10</v>
      </c>
      <c r="K5795" s="22">
        <f t="shared" si="2"/>
        <v>0</v>
      </c>
    </row>
    <row r="5796">
      <c r="A5796" s="18">
        <v>4707.0</v>
      </c>
      <c r="B5796" s="18" t="s">
        <v>32</v>
      </c>
      <c r="C5796" s="18" t="s">
        <v>34</v>
      </c>
      <c r="D5796" s="18" t="s">
        <v>35</v>
      </c>
      <c r="E5796" s="27">
        <v>42565.55101851852</v>
      </c>
      <c r="F5796" s="19">
        <f>IFERROR(__xludf.DUMMYFUNCTION("IFERROR(TO_DATE(E5796), """")"),42565.55101851852)</f>
        <v>42565.55102</v>
      </c>
      <c r="G5796" s="20">
        <f t="shared" si="1"/>
        <v>13</v>
      </c>
      <c r="H5796" s="18" t="s">
        <v>34</v>
      </c>
      <c r="I5796" s="19" t="str">
        <f>IFERROR(__xludf.DUMMYFUNCTION("IFERROR(TO_DATE(H5796), """")"),"NA")</f>
        <v>NA</v>
      </c>
      <c r="J5796" s="19" t="s">
        <v>10</v>
      </c>
      <c r="K5796" s="22">
        <f t="shared" si="2"/>
        <v>0</v>
      </c>
    </row>
    <row r="5797">
      <c r="A5797" s="18">
        <v>4704.0</v>
      </c>
      <c r="B5797" s="18" t="s">
        <v>32</v>
      </c>
      <c r="C5797" s="18" t="s">
        <v>34</v>
      </c>
      <c r="D5797" s="18" t="s">
        <v>35</v>
      </c>
      <c r="E5797" s="27">
        <v>42565.55287037037</v>
      </c>
      <c r="F5797" s="19">
        <f>IFERROR(__xludf.DUMMYFUNCTION("IFERROR(TO_DATE(E5797), """")"),42565.55287037037)</f>
        <v>42565.55287</v>
      </c>
      <c r="G5797" s="20">
        <f t="shared" si="1"/>
        <v>13</v>
      </c>
      <c r="H5797" s="18" t="s">
        <v>34</v>
      </c>
      <c r="I5797" s="19" t="str">
        <f>IFERROR(__xludf.DUMMYFUNCTION("IFERROR(TO_DATE(H5797), """")"),"NA")</f>
        <v>NA</v>
      </c>
      <c r="J5797" s="19" t="s">
        <v>10</v>
      </c>
      <c r="K5797" s="22">
        <f t="shared" si="2"/>
        <v>0</v>
      </c>
    </row>
    <row r="5798">
      <c r="A5798" s="18">
        <v>4708.0</v>
      </c>
      <c r="B5798" s="18" t="s">
        <v>32</v>
      </c>
      <c r="C5798" s="18" t="s">
        <v>34</v>
      </c>
      <c r="D5798" s="18" t="s">
        <v>35</v>
      </c>
      <c r="E5798" s="27">
        <v>42565.554398148146</v>
      </c>
      <c r="F5798" s="19">
        <f>IFERROR(__xludf.DUMMYFUNCTION("IFERROR(TO_DATE(E5798), """")"),42565.554398148146)</f>
        <v>42565.5544</v>
      </c>
      <c r="G5798" s="20">
        <f t="shared" si="1"/>
        <v>13</v>
      </c>
      <c r="H5798" s="18" t="s">
        <v>34</v>
      </c>
      <c r="I5798" s="19" t="str">
        <f>IFERROR(__xludf.DUMMYFUNCTION("IFERROR(TO_DATE(H5798), """")"),"NA")</f>
        <v>NA</v>
      </c>
      <c r="J5798" s="19" t="s">
        <v>10</v>
      </c>
      <c r="K5798" s="22">
        <f t="shared" si="2"/>
        <v>0</v>
      </c>
    </row>
    <row r="5799">
      <c r="A5799" s="18">
        <v>4703.0</v>
      </c>
      <c r="B5799" s="18" t="s">
        <v>30</v>
      </c>
      <c r="C5799" s="18" t="s">
        <v>34</v>
      </c>
      <c r="D5799" s="18" t="s">
        <v>35</v>
      </c>
      <c r="E5799" s="27">
        <v>42565.554814814815</v>
      </c>
      <c r="F5799" s="19">
        <f>IFERROR(__xludf.DUMMYFUNCTION("IFERROR(TO_DATE(E5799), """")"),42565.554814814815)</f>
        <v>42565.55481</v>
      </c>
      <c r="G5799" s="20">
        <f t="shared" si="1"/>
        <v>13</v>
      </c>
      <c r="H5799" s="18" t="s">
        <v>34</v>
      </c>
      <c r="I5799" s="19" t="str">
        <f>IFERROR(__xludf.DUMMYFUNCTION("IFERROR(TO_DATE(H5799), """")"),"NA")</f>
        <v>NA</v>
      </c>
      <c r="J5799" s="19" t="s">
        <v>10</v>
      </c>
      <c r="K5799" s="22">
        <f t="shared" si="2"/>
        <v>0</v>
      </c>
    </row>
    <row r="5800">
      <c r="A5800" s="18">
        <v>4725.0</v>
      </c>
      <c r="B5800" s="18" t="s">
        <v>30</v>
      </c>
      <c r="C5800" s="18" t="s">
        <v>34</v>
      </c>
      <c r="D5800" s="18" t="s">
        <v>35</v>
      </c>
      <c r="E5800" s="27">
        <v>42565.58100694444</v>
      </c>
      <c r="F5800" s="19">
        <f>IFERROR(__xludf.DUMMYFUNCTION("IFERROR(TO_DATE(E5800), """")"),42565.58100694444)</f>
        <v>42565.58101</v>
      </c>
      <c r="G5800" s="20">
        <f t="shared" si="1"/>
        <v>13</v>
      </c>
      <c r="H5800" s="18" t="s">
        <v>34</v>
      </c>
      <c r="I5800" s="19" t="str">
        <f>IFERROR(__xludf.DUMMYFUNCTION("IFERROR(TO_DATE(H5800), """")"),"NA")</f>
        <v>NA</v>
      </c>
      <c r="J5800" s="19" t="s">
        <v>10</v>
      </c>
      <c r="K5800" s="22">
        <f t="shared" si="2"/>
        <v>0</v>
      </c>
    </row>
    <row r="5801">
      <c r="A5801" s="18">
        <v>4734.0</v>
      </c>
      <c r="B5801" s="18" t="s">
        <v>30</v>
      </c>
      <c r="C5801" s="18" t="s">
        <v>34</v>
      </c>
      <c r="D5801" s="18" t="s">
        <v>35</v>
      </c>
      <c r="E5801" s="27">
        <v>42565.60905092592</v>
      </c>
      <c r="F5801" s="19">
        <f>IFERROR(__xludf.DUMMYFUNCTION("IFERROR(TO_DATE(E5801), """")"),42565.60905092592)</f>
        <v>42565.60905</v>
      </c>
      <c r="G5801" s="20">
        <f t="shared" si="1"/>
        <v>14</v>
      </c>
      <c r="H5801" s="18" t="s">
        <v>34</v>
      </c>
      <c r="I5801" s="19" t="str">
        <f>IFERROR(__xludf.DUMMYFUNCTION("IFERROR(TO_DATE(H5801), """")"),"NA")</f>
        <v>NA</v>
      </c>
      <c r="J5801" s="19" t="s">
        <v>10</v>
      </c>
      <c r="K5801" s="22">
        <f t="shared" si="2"/>
        <v>0</v>
      </c>
    </row>
    <row r="5802">
      <c r="A5802" s="18">
        <v>4742.0</v>
      </c>
      <c r="B5802" s="18" t="s">
        <v>30</v>
      </c>
      <c r="C5802" s="18" t="s">
        <v>34</v>
      </c>
      <c r="D5802" s="18" t="s">
        <v>35</v>
      </c>
      <c r="E5802" s="27">
        <v>42565.62541666667</v>
      </c>
      <c r="F5802" s="19">
        <f>IFERROR(__xludf.DUMMYFUNCTION("IFERROR(TO_DATE(E5802), """")"),42565.62541666667)</f>
        <v>42565.62542</v>
      </c>
      <c r="G5802" s="20">
        <f t="shared" si="1"/>
        <v>15</v>
      </c>
      <c r="H5802" s="18" t="s">
        <v>34</v>
      </c>
      <c r="I5802" s="19" t="str">
        <f>IFERROR(__xludf.DUMMYFUNCTION("IFERROR(TO_DATE(H5802), """")"),"NA")</f>
        <v>NA</v>
      </c>
      <c r="J5802" s="19" t="s">
        <v>10</v>
      </c>
      <c r="K5802" s="22">
        <f t="shared" si="2"/>
        <v>0</v>
      </c>
    </row>
    <row r="5803">
      <c r="A5803" s="18">
        <v>4744.0</v>
      </c>
      <c r="B5803" s="18" t="s">
        <v>30</v>
      </c>
      <c r="C5803" s="18" t="s">
        <v>34</v>
      </c>
      <c r="D5803" s="18" t="s">
        <v>35</v>
      </c>
      <c r="E5803" s="27">
        <v>42565.62740740741</v>
      </c>
      <c r="F5803" s="19">
        <f>IFERROR(__xludf.DUMMYFUNCTION("IFERROR(TO_DATE(E5803), """")"),42565.62740740741)</f>
        <v>42565.62741</v>
      </c>
      <c r="G5803" s="20">
        <f t="shared" si="1"/>
        <v>15</v>
      </c>
      <c r="H5803" s="18" t="s">
        <v>34</v>
      </c>
      <c r="I5803" s="19" t="str">
        <f>IFERROR(__xludf.DUMMYFUNCTION("IFERROR(TO_DATE(H5803), """")"),"NA")</f>
        <v>NA</v>
      </c>
      <c r="J5803" s="19" t="s">
        <v>10</v>
      </c>
      <c r="K5803" s="22">
        <f t="shared" si="2"/>
        <v>0</v>
      </c>
    </row>
    <row r="5804">
      <c r="A5804" s="18">
        <v>4746.0</v>
      </c>
      <c r="B5804" s="18" t="s">
        <v>32</v>
      </c>
      <c r="C5804" s="18" t="s">
        <v>34</v>
      </c>
      <c r="D5804" s="18" t="s">
        <v>35</v>
      </c>
      <c r="E5804" s="27">
        <v>42565.63228009259</v>
      </c>
      <c r="F5804" s="19">
        <f>IFERROR(__xludf.DUMMYFUNCTION("IFERROR(TO_DATE(E5804), """")"),42565.63228009259)</f>
        <v>42565.63228</v>
      </c>
      <c r="G5804" s="20">
        <f t="shared" si="1"/>
        <v>15</v>
      </c>
      <c r="H5804" s="18" t="s">
        <v>34</v>
      </c>
      <c r="I5804" s="19" t="str">
        <f>IFERROR(__xludf.DUMMYFUNCTION("IFERROR(TO_DATE(H5804), """")"),"NA")</f>
        <v>NA</v>
      </c>
      <c r="J5804" s="19" t="s">
        <v>10</v>
      </c>
      <c r="K5804" s="22">
        <f t="shared" si="2"/>
        <v>0</v>
      </c>
    </row>
    <row r="5805">
      <c r="A5805" s="18">
        <v>4749.0</v>
      </c>
      <c r="B5805" s="18" t="s">
        <v>30</v>
      </c>
      <c r="C5805" s="18" t="s">
        <v>34</v>
      </c>
      <c r="D5805" s="18" t="s">
        <v>35</v>
      </c>
      <c r="E5805" s="27">
        <v>42565.633101851854</v>
      </c>
      <c r="F5805" s="19">
        <f>IFERROR(__xludf.DUMMYFUNCTION("IFERROR(TO_DATE(E5805), """")"),42565.633101851854)</f>
        <v>42565.6331</v>
      </c>
      <c r="G5805" s="20">
        <f t="shared" si="1"/>
        <v>15</v>
      </c>
      <c r="H5805" s="18" t="s">
        <v>34</v>
      </c>
      <c r="I5805" s="19" t="str">
        <f>IFERROR(__xludf.DUMMYFUNCTION("IFERROR(TO_DATE(H5805), """")"),"NA")</f>
        <v>NA</v>
      </c>
      <c r="J5805" s="19" t="s">
        <v>10</v>
      </c>
      <c r="K5805" s="22">
        <f t="shared" si="2"/>
        <v>0</v>
      </c>
    </row>
    <row r="5806">
      <c r="A5806" s="18">
        <v>4764.0</v>
      </c>
      <c r="B5806" s="18" t="s">
        <v>32</v>
      </c>
      <c r="C5806" s="18" t="s">
        <v>34</v>
      </c>
      <c r="D5806" s="18" t="s">
        <v>35</v>
      </c>
      <c r="E5806" s="27">
        <v>42565.646365740744</v>
      </c>
      <c r="F5806" s="19">
        <f>IFERROR(__xludf.DUMMYFUNCTION("IFERROR(TO_DATE(E5806), """")"),42565.646365740744)</f>
        <v>42565.64637</v>
      </c>
      <c r="G5806" s="20">
        <f t="shared" si="1"/>
        <v>15</v>
      </c>
      <c r="H5806" s="18" t="s">
        <v>34</v>
      </c>
      <c r="I5806" s="19" t="str">
        <f>IFERROR(__xludf.DUMMYFUNCTION("IFERROR(TO_DATE(H5806), """")"),"NA")</f>
        <v>NA</v>
      </c>
      <c r="J5806" s="19" t="s">
        <v>10</v>
      </c>
      <c r="K5806" s="22">
        <f t="shared" si="2"/>
        <v>0</v>
      </c>
    </row>
    <row r="5807">
      <c r="A5807" s="18">
        <v>4763.0</v>
      </c>
      <c r="B5807" s="18" t="s">
        <v>32</v>
      </c>
      <c r="C5807" s="18" t="s">
        <v>34</v>
      </c>
      <c r="D5807" s="18" t="s">
        <v>35</v>
      </c>
      <c r="E5807" s="27">
        <v>42565.648564814815</v>
      </c>
      <c r="F5807" s="19">
        <f>IFERROR(__xludf.DUMMYFUNCTION("IFERROR(TO_DATE(E5807), """")"),42565.648564814815)</f>
        <v>42565.64856</v>
      </c>
      <c r="G5807" s="20">
        <f t="shared" si="1"/>
        <v>15</v>
      </c>
      <c r="H5807" s="18" t="s">
        <v>34</v>
      </c>
      <c r="I5807" s="19" t="str">
        <f>IFERROR(__xludf.DUMMYFUNCTION("IFERROR(TO_DATE(H5807), """")"),"NA")</f>
        <v>NA</v>
      </c>
      <c r="J5807" s="19" t="s">
        <v>10</v>
      </c>
      <c r="K5807" s="22">
        <f t="shared" si="2"/>
        <v>0</v>
      </c>
    </row>
    <row r="5808">
      <c r="A5808" s="18">
        <v>4772.0</v>
      </c>
      <c r="B5808" s="18" t="s">
        <v>32</v>
      </c>
      <c r="C5808" s="18" t="s">
        <v>34</v>
      </c>
      <c r="D5808" s="18" t="s">
        <v>35</v>
      </c>
      <c r="E5808" s="27">
        <v>42565.663298611114</v>
      </c>
      <c r="F5808" s="19">
        <f>IFERROR(__xludf.DUMMYFUNCTION("IFERROR(TO_DATE(E5808), """")"),42565.663298611114)</f>
        <v>42565.6633</v>
      </c>
      <c r="G5808" s="20">
        <f t="shared" si="1"/>
        <v>15</v>
      </c>
      <c r="H5808" s="18" t="s">
        <v>34</v>
      </c>
      <c r="I5808" s="19" t="str">
        <f>IFERROR(__xludf.DUMMYFUNCTION("IFERROR(TO_DATE(H5808), """")"),"NA")</f>
        <v>NA</v>
      </c>
      <c r="J5808" s="19" t="s">
        <v>10</v>
      </c>
      <c r="K5808" s="22">
        <f t="shared" si="2"/>
        <v>0</v>
      </c>
    </row>
    <row r="5809">
      <c r="A5809" s="18">
        <v>4778.0</v>
      </c>
      <c r="B5809" s="18" t="s">
        <v>32</v>
      </c>
      <c r="C5809" s="18" t="s">
        <v>34</v>
      </c>
      <c r="D5809" s="18" t="s">
        <v>35</v>
      </c>
      <c r="E5809" s="27">
        <v>42565.681805555556</v>
      </c>
      <c r="F5809" s="19">
        <f>IFERROR(__xludf.DUMMYFUNCTION("IFERROR(TO_DATE(E5809), """")"),42565.681805555556)</f>
        <v>42565.68181</v>
      </c>
      <c r="G5809" s="20">
        <f t="shared" si="1"/>
        <v>16</v>
      </c>
      <c r="H5809" s="18" t="s">
        <v>34</v>
      </c>
      <c r="I5809" s="19" t="str">
        <f>IFERROR(__xludf.DUMMYFUNCTION("IFERROR(TO_DATE(H5809), """")"),"NA")</f>
        <v>NA</v>
      </c>
      <c r="J5809" s="19" t="s">
        <v>12</v>
      </c>
      <c r="K5809" s="22">
        <f t="shared" si="2"/>
        <v>0</v>
      </c>
    </row>
    <row r="5810">
      <c r="A5810" s="18">
        <v>4781.0</v>
      </c>
      <c r="B5810" s="18" t="s">
        <v>30</v>
      </c>
      <c r="C5810" s="18" t="s">
        <v>34</v>
      </c>
      <c r="D5810" s="18" t="s">
        <v>35</v>
      </c>
      <c r="E5810" s="27">
        <v>42565.68707175926</v>
      </c>
      <c r="F5810" s="19">
        <f>IFERROR(__xludf.DUMMYFUNCTION("IFERROR(TO_DATE(E5810), """")"),42565.68707175926)</f>
        <v>42565.68707</v>
      </c>
      <c r="G5810" s="20">
        <f t="shared" si="1"/>
        <v>16</v>
      </c>
      <c r="H5810" s="18" t="s">
        <v>34</v>
      </c>
      <c r="I5810" s="19" t="str">
        <f>IFERROR(__xludf.DUMMYFUNCTION("IFERROR(TO_DATE(H5810), """")"),"NA")</f>
        <v>NA</v>
      </c>
      <c r="J5810" s="19" t="s">
        <v>12</v>
      </c>
      <c r="K5810" s="22">
        <f t="shared" si="2"/>
        <v>0</v>
      </c>
    </row>
    <row r="5811">
      <c r="A5811" s="18">
        <v>4782.0</v>
      </c>
      <c r="B5811" s="18" t="s">
        <v>30</v>
      </c>
      <c r="C5811" s="18" t="s">
        <v>34</v>
      </c>
      <c r="D5811" s="18" t="s">
        <v>35</v>
      </c>
      <c r="E5811" s="27">
        <v>42565.689837962964</v>
      </c>
      <c r="F5811" s="19">
        <f>IFERROR(__xludf.DUMMYFUNCTION("IFERROR(TO_DATE(E5811), """")"),42565.689837962964)</f>
        <v>42565.68984</v>
      </c>
      <c r="G5811" s="20">
        <f t="shared" si="1"/>
        <v>16</v>
      </c>
      <c r="H5811" s="18" t="s">
        <v>34</v>
      </c>
      <c r="I5811" s="19" t="str">
        <f>IFERROR(__xludf.DUMMYFUNCTION("IFERROR(TO_DATE(H5811), """")"),"NA")</f>
        <v>NA</v>
      </c>
      <c r="J5811" s="19" t="s">
        <v>12</v>
      </c>
      <c r="K5811" s="22">
        <f t="shared" si="2"/>
        <v>0</v>
      </c>
    </row>
    <row r="5812">
      <c r="A5812" s="18">
        <v>4785.0</v>
      </c>
      <c r="B5812" s="18" t="s">
        <v>32</v>
      </c>
      <c r="C5812" s="18" t="s">
        <v>34</v>
      </c>
      <c r="D5812" s="18" t="s">
        <v>35</v>
      </c>
      <c r="E5812" s="27">
        <v>42565.69644675926</v>
      </c>
      <c r="F5812" s="19">
        <f>IFERROR(__xludf.DUMMYFUNCTION("IFERROR(TO_DATE(E5812), """")"),42565.69644675926)</f>
        <v>42565.69645</v>
      </c>
      <c r="G5812" s="20">
        <f t="shared" si="1"/>
        <v>16</v>
      </c>
      <c r="H5812" s="18" t="s">
        <v>34</v>
      </c>
      <c r="I5812" s="19" t="str">
        <f>IFERROR(__xludf.DUMMYFUNCTION("IFERROR(TO_DATE(H5812), """")"),"NA")</f>
        <v>NA</v>
      </c>
      <c r="J5812" s="19" t="s">
        <v>12</v>
      </c>
      <c r="K5812" s="22">
        <f t="shared" si="2"/>
        <v>0</v>
      </c>
    </row>
    <row r="5813">
      <c r="A5813" s="18">
        <v>4789.0</v>
      </c>
      <c r="B5813" s="18" t="s">
        <v>32</v>
      </c>
      <c r="C5813" s="18" t="s">
        <v>34</v>
      </c>
      <c r="D5813" s="18" t="s">
        <v>35</v>
      </c>
      <c r="E5813" s="27">
        <v>42565.697905092595</v>
      </c>
      <c r="F5813" s="19">
        <f>IFERROR(__xludf.DUMMYFUNCTION("IFERROR(TO_DATE(E5813), """")"),42565.697905092595)</f>
        <v>42565.69791</v>
      </c>
      <c r="G5813" s="20">
        <f t="shared" si="1"/>
        <v>16</v>
      </c>
      <c r="H5813" s="18" t="s">
        <v>34</v>
      </c>
      <c r="I5813" s="19" t="str">
        <f>IFERROR(__xludf.DUMMYFUNCTION("IFERROR(TO_DATE(H5813), """")"),"NA")</f>
        <v>NA</v>
      </c>
      <c r="J5813" s="19" t="s">
        <v>12</v>
      </c>
      <c r="K5813" s="22">
        <f t="shared" si="2"/>
        <v>0</v>
      </c>
    </row>
    <row r="5814">
      <c r="A5814" s="18">
        <v>4793.0</v>
      </c>
      <c r="B5814" s="18" t="s">
        <v>32</v>
      </c>
      <c r="C5814" s="18" t="s">
        <v>34</v>
      </c>
      <c r="D5814" s="18" t="s">
        <v>35</v>
      </c>
      <c r="E5814" s="27">
        <v>42565.69965277778</v>
      </c>
      <c r="F5814" s="19">
        <f>IFERROR(__xludf.DUMMYFUNCTION("IFERROR(TO_DATE(E5814), """")"),42565.69965277778)</f>
        <v>42565.69965</v>
      </c>
      <c r="G5814" s="20">
        <f t="shared" si="1"/>
        <v>16</v>
      </c>
      <c r="H5814" s="18" t="s">
        <v>34</v>
      </c>
      <c r="I5814" s="19" t="str">
        <f>IFERROR(__xludf.DUMMYFUNCTION("IFERROR(TO_DATE(H5814), """")"),"NA")</f>
        <v>NA</v>
      </c>
      <c r="J5814" s="19" t="s">
        <v>12</v>
      </c>
      <c r="K5814" s="22">
        <f t="shared" si="2"/>
        <v>0</v>
      </c>
    </row>
    <row r="5815">
      <c r="A5815" s="18">
        <v>4794.0</v>
      </c>
      <c r="B5815" s="18" t="s">
        <v>32</v>
      </c>
      <c r="C5815" s="18" t="s">
        <v>34</v>
      </c>
      <c r="D5815" s="18" t="s">
        <v>35</v>
      </c>
      <c r="E5815" s="27">
        <v>42565.70496527778</v>
      </c>
      <c r="F5815" s="19">
        <f>IFERROR(__xludf.DUMMYFUNCTION("IFERROR(TO_DATE(E5815), """")"),42565.70496527778)</f>
        <v>42565.70497</v>
      </c>
      <c r="G5815" s="20">
        <f t="shared" si="1"/>
        <v>16</v>
      </c>
      <c r="H5815" s="18" t="s">
        <v>34</v>
      </c>
      <c r="I5815" s="19" t="str">
        <f>IFERROR(__xludf.DUMMYFUNCTION("IFERROR(TO_DATE(H5815), """")"),"NA")</f>
        <v>NA</v>
      </c>
      <c r="J5815" s="19" t="s">
        <v>12</v>
      </c>
      <c r="K5815" s="22">
        <f t="shared" si="2"/>
        <v>0</v>
      </c>
    </row>
    <row r="5816">
      <c r="A5816" s="18">
        <v>4804.0</v>
      </c>
      <c r="B5816" s="18" t="s">
        <v>32</v>
      </c>
      <c r="C5816" s="18" t="s">
        <v>34</v>
      </c>
      <c r="D5816" s="18" t="s">
        <v>35</v>
      </c>
      <c r="E5816" s="27">
        <v>42565.710324074076</v>
      </c>
      <c r="F5816" s="19">
        <f>IFERROR(__xludf.DUMMYFUNCTION("IFERROR(TO_DATE(E5816), """")"),42565.710324074076)</f>
        <v>42565.71032</v>
      </c>
      <c r="G5816" s="20">
        <f t="shared" si="1"/>
        <v>17</v>
      </c>
      <c r="H5816" s="18" t="s">
        <v>34</v>
      </c>
      <c r="I5816" s="19" t="str">
        <f>IFERROR(__xludf.DUMMYFUNCTION("IFERROR(TO_DATE(H5816), """")"),"NA")</f>
        <v>NA</v>
      </c>
      <c r="J5816" s="19" t="s">
        <v>12</v>
      </c>
      <c r="K5816" s="22">
        <f t="shared" si="2"/>
        <v>0</v>
      </c>
    </row>
    <row r="5817">
      <c r="A5817" s="18">
        <v>4806.0</v>
      </c>
      <c r="B5817" s="18" t="s">
        <v>32</v>
      </c>
      <c r="C5817" s="18" t="s">
        <v>34</v>
      </c>
      <c r="D5817" s="18" t="s">
        <v>35</v>
      </c>
      <c r="E5817" s="27">
        <v>42565.71313657407</v>
      </c>
      <c r="F5817" s="19">
        <f>IFERROR(__xludf.DUMMYFUNCTION("IFERROR(TO_DATE(E5817), """")"),42565.71313657407)</f>
        <v>42565.71314</v>
      </c>
      <c r="G5817" s="20">
        <f t="shared" si="1"/>
        <v>17</v>
      </c>
      <c r="H5817" s="18" t="s">
        <v>34</v>
      </c>
      <c r="I5817" s="19" t="str">
        <f>IFERROR(__xludf.DUMMYFUNCTION("IFERROR(TO_DATE(H5817), """")"),"NA")</f>
        <v>NA</v>
      </c>
      <c r="J5817" s="19" t="s">
        <v>12</v>
      </c>
      <c r="K5817" s="22">
        <f t="shared" si="2"/>
        <v>0</v>
      </c>
    </row>
    <row r="5818">
      <c r="A5818" s="18">
        <v>4808.0</v>
      </c>
      <c r="B5818" s="18" t="s">
        <v>30</v>
      </c>
      <c r="C5818" s="18" t="s">
        <v>34</v>
      </c>
      <c r="D5818" s="18" t="s">
        <v>35</v>
      </c>
      <c r="E5818" s="27">
        <v>42565.718310185184</v>
      </c>
      <c r="F5818" s="19">
        <f>IFERROR(__xludf.DUMMYFUNCTION("IFERROR(TO_DATE(E5818), """")"),42565.718310185184)</f>
        <v>42565.71831</v>
      </c>
      <c r="G5818" s="20">
        <f t="shared" si="1"/>
        <v>17</v>
      </c>
      <c r="H5818" s="18" t="s">
        <v>34</v>
      </c>
      <c r="I5818" s="19" t="str">
        <f>IFERROR(__xludf.DUMMYFUNCTION("IFERROR(TO_DATE(H5818), """")"),"NA")</f>
        <v>NA</v>
      </c>
      <c r="J5818" s="19" t="s">
        <v>12</v>
      </c>
      <c r="K5818" s="22">
        <f t="shared" si="2"/>
        <v>0</v>
      </c>
    </row>
    <row r="5819">
      <c r="A5819" s="18">
        <v>4809.0</v>
      </c>
      <c r="B5819" s="18" t="s">
        <v>30</v>
      </c>
      <c r="C5819" s="18" t="s">
        <v>34</v>
      </c>
      <c r="D5819" s="18" t="s">
        <v>35</v>
      </c>
      <c r="E5819" s="27">
        <v>42565.71841435185</v>
      </c>
      <c r="F5819" s="19">
        <f>IFERROR(__xludf.DUMMYFUNCTION("IFERROR(TO_DATE(E5819), """")"),42565.71841435185)</f>
        <v>42565.71841</v>
      </c>
      <c r="G5819" s="20">
        <f t="shared" si="1"/>
        <v>17</v>
      </c>
      <c r="H5819" s="18" t="s">
        <v>34</v>
      </c>
      <c r="I5819" s="19" t="str">
        <f>IFERROR(__xludf.DUMMYFUNCTION("IFERROR(TO_DATE(H5819), """")"),"NA")</f>
        <v>NA</v>
      </c>
      <c r="J5819" s="19" t="s">
        <v>12</v>
      </c>
      <c r="K5819" s="22">
        <f t="shared" si="2"/>
        <v>0</v>
      </c>
    </row>
    <row r="5820">
      <c r="A5820" s="18">
        <v>4816.0</v>
      </c>
      <c r="B5820" s="18" t="s">
        <v>30</v>
      </c>
      <c r="C5820" s="18" t="s">
        <v>34</v>
      </c>
      <c r="D5820" s="18" t="s">
        <v>35</v>
      </c>
      <c r="E5820" s="27">
        <v>42565.718622685185</v>
      </c>
      <c r="F5820" s="19">
        <f>IFERROR(__xludf.DUMMYFUNCTION("IFERROR(TO_DATE(E5820), """")"),42565.718622685185)</f>
        <v>42565.71862</v>
      </c>
      <c r="G5820" s="20">
        <f t="shared" si="1"/>
        <v>17</v>
      </c>
      <c r="H5820" s="18" t="s">
        <v>34</v>
      </c>
      <c r="I5820" s="19" t="str">
        <f>IFERROR(__xludf.DUMMYFUNCTION("IFERROR(TO_DATE(H5820), """")"),"NA")</f>
        <v>NA</v>
      </c>
      <c r="J5820" s="19" t="s">
        <v>12</v>
      </c>
      <c r="K5820" s="22">
        <f t="shared" si="2"/>
        <v>0</v>
      </c>
    </row>
    <row r="5821">
      <c r="A5821" s="18">
        <v>4807.0</v>
      </c>
      <c r="B5821" s="18" t="s">
        <v>30</v>
      </c>
      <c r="C5821" s="18" t="s">
        <v>34</v>
      </c>
      <c r="D5821" s="18" t="s">
        <v>35</v>
      </c>
      <c r="E5821" s="27">
        <v>42565.71900462963</v>
      </c>
      <c r="F5821" s="19">
        <f>IFERROR(__xludf.DUMMYFUNCTION("IFERROR(TO_DATE(E5821), """")"),42565.71900462963)</f>
        <v>42565.719</v>
      </c>
      <c r="G5821" s="20">
        <f t="shared" si="1"/>
        <v>17</v>
      </c>
      <c r="H5821" s="18" t="s">
        <v>34</v>
      </c>
      <c r="I5821" s="19" t="str">
        <f>IFERROR(__xludf.DUMMYFUNCTION("IFERROR(TO_DATE(H5821), """")"),"NA")</f>
        <v>NA</v>
      </c>
      <c r="J5821" s="19" t="s">
        <v>12</v>
      </c>
      <c r="K5821" s="22">
        <f t="shared" si="2"/>
        <v>0</v>
      </c>
    </row>
    <row r="5822">
      <c r="A5822" s="18">
        <v>4817.0</v>
      </c>
      <c r="B5822" s="18" t="s">
        <v>30</v>
      </c>
      <c r="C5822" s="18" t="s">
        <v>34</v>
      </c>
      <c r="D5822" s="18" t="s">
        <v>35</v>
      </c>
      <c r="E5822" s="27">
        <v>42565.72043981482</v>
      </c>
      <c r="F5822" s="19">
        <f>IFERROR(__xludf.DUMMYFUNCTION("IFERROR(TO_DATE(E5822), """")"),42565.72043981482)</f>
        <v>42565.72044</v>
      </c>
      <c r="G5822" s="20">
        <f t="shared" si="1"/>
        <v>17</v>
      </c>
      <c r="H5822" s="18" t="s">
        <v>34</v>
      </c>
      <c r="I5822" s="19" t="str">
        <f>IFERROR(__xludf.DUMMYFUNCTION("IFERROR(TO_DATE(H5822), """")"),"NA")</f>
        <v>NA</v>
      </c>
      <c r="J5822" s="19" t="s">
        <v>12</v>
      </c>
      <c r="K5822" s="22">
        <f t="shared" si="2"/>
        <v>0</v>
      </c>
    </row>
    <row r="5823">
      <c r="A5823" s="18">
        <v>4819.0</v>
      </c>
      <c r="B5823" s="18" t="s">
        <v>30</v>
      </c>
      <c r="C5823" s="18" t="s">
        <v>34</v>
      </c>
      <c r="D5823" s="18" t="s">
        <v>35</v>
      </c>
      <c r="E5823" s="27">
        <v>42565.72099537037</v>
      </c>
      <c r="F5823" s="19">
        <f>IFERROR(__xludf.DUMMYFUNCTION("IFERROR(TO_DATE(E5823), """")"),42565.72099537037)</f>
        <v>42565.721</v>
      </c>
      <c r="G5823" s="20">
        <f t="shared" si="1"/>
        <v>17</v>
      </c>
      <c r="H5823" s="18" t="s">
        <v>34</v>
      </c>
      <c r="I5823" s="19" t="str">
        <f>IFERROR(__xludf.DUMMYFUNCTION("IFERROR(TO_DATE(H5823), """")"),"NA")</f>
        <v>NA</v>
      </c>
      <c r="J5823" s="19" t="s">
        <v>12</v>
      </c>
      <c r="K5823" s="22">
        <f t="shared" si="2"/>
        <v>0</v>
      </c>
    </row>
    <row r="5824">
      <c r="A5824" s="18">
        <v>4811.0</v>
      </c>
      <c r="B5824" s="18" t="s">
        <v>30</v>
      </c>
      <c r="C5824" s="18" t="s">
        <v>34</v>
      </c>
      <c r="D5824" s="18" t="s">
        <v>35</v>
      </c>
      <c r="E5824" s="27">
        <v>42565.72107638889</v>
      </c>
      <c r="F5824" s="19">
        <f>IFERROR(__xludf.DUMMYFUNCTION("IFERROR(TO_DATE(E5824), """")"),42565.72107638889)</f>
        <v>42565.72108</v>
      </c>
      <c r="G5824" s="20">
        <f t="shared" si="1"/>
        <v>17</v>
      </c>
      <c r="H5824" s="18" t="s">
        <v>34</v>
      </c>
      <c r="I5824" s="19" t="str">
        <f>IFERROR(__xludf.DUMMYFUNCTION("IFERROR(TO_DATE(H5824), """")"),"NA")</f>
        <v>NA</v>
      </c>
      <c r="J5824" s="19" t="s">
        <v>12</v>
      </c>
      <c r="K5824" s="22">
        <f t="shared" si="2"/>
        <v>0</v>
      </c>
    </row>
    <row r="5825">
      <c r="A5825" s="18">
        <v>4818.0</v>
      </c>
      <c r="B5825" s="18" t="s">
        <v>30</v>
      </c>
      <c r="C5825" s="18" t="s">
        <v>34</v>
      </c>
      <c r="D5825" s="18" t="s">
        <v>35</v>
      </c>
      <c r="E5825" s="27">
        <v>42565.72287037037</v>
      </c>
      <c r="F5825" s="19">
        <f>IFERROR(__xludf.DUMMYFUNCTION("IFERROR(TO_DATE(E5825), """")"),42565.72287037037)</f>
        <v>42565.72287</v>
      </c>
      <c r="G5825" s="20">
        <f t="shared" si="1"/>
        <v>17</v>
      </c>
      <c r="H5825" s="18" t="s">
        <v>34</v>
      </c>
      <c r="I5825" s="19" t="str">
        <f>IFERROR(__xludf.DUMMYFUNCTION("IFERROR(TO_DATE(H5825), """")"),"NA")</f>
        <v>NA</v>
      </c>
      <c r="J5825" s="19" t="s">
        <v>12</v>
      </c>
      <c r="K5825" s="22">
        <f t="shared" si="2"/>
        <v>0</v>
      </c>
    </row>
    <row r="5826">
      <c r="A5826" s="18">
        <v>4836.0</v>
      </c>
      <c r="B5826" s="18" t="s">
        <v>30</v>
      </c>
      <c r="C5826" s="18" t="s">
        <v>34</v>
      </c>
      <c r="D5826" s="18" t="s">
        <v>35</v>
      </c>
      <c r="E5826" s="27">
        <v>42565.723078703704</v>
      </c>
      <c r="F5826" s="19">
        <f>IFERROR(__xludf.DUMMYFUNCTION("IFERROR(TO_DATE(E5826), """")"),42565.723078703704)</f>
        <v>42565.72308</v>
      </c>
      <c r="G5826" s="20">
        <f t="shared" si="1"/>
        <v>17</v>
      </c>
      <c r="H5826" s="18" t="s">
        <v>34</v>
      </c>
      <c r="I5826" s="19" t="str">
        <f>IFERROR(__xludf.DUMMYFUNCTION("IFERROR(TO_DATE(H5826), """")"),"NA")</f>
        <v>NA</v>
      </c>
      <c r="J5826" s="19" t="s">
        <v>12</v>
      </c>
      <c r="K5826" s="22">
        <f t="shared" si="2"/>
        <v>0</v>
      </c>
    </row>
    <row r="5827">
      <c r="A5827" s="18">
        <v>4821.0</v>
      </c>
      <c r="B5827" s="18" t="s">
        <v>30</v>
      </c>
      <c r="C5827" s="18" t="s">
        <v>34</v>
      </c>
      <c r="D5827" s="18" t="s">
        <v>35</v>
      </c>
      <c r="E5827" s="27">
        <v>42565.72347222222</v>
      </c>
      <c r="F5827" s="19">
        <f>IFERROR(__xludf.DUMMYFUNCTION("IFERROR(TO_DATE(E5827), """")"),42565.72347222222)</f>
        <v>42565.72347</v>
      </c>
      <c r="G5827" s="20">
        <f t="shared" si="1"/>
        <v>17</v>
      </c>
      <c r="H5827" s="18" t="s">
        <v>34</v>
      </c>
      <c r="I5827" s="19" t="str">
        <f>IFERROR(__xludf.DUMMYFUNCTION("IFERROR(TO_DATE(H5827), """")"),"NA")</f>
        <v>NA</v>
      </c>
      <c r="J5827" s="19" t="s">
        <v>12</v>
      </c>
      <c r="K5827" s="22">
        <f t="shared" si="2"/>
        <v>0</v>
      </c>
    </row>
    <row r="5828">
      <c r="A5828" s="18">
        <v>4826.0</v>
      </c>
      <c r="B5828" s="18" t="s">
        <v>30</v>
      </c>
      <c r="C5828" s="18" t="s">
        <v>34</v>
      </c>
      <c r="D5828" s="18" t="s">
        <v>35</v>
      </c>
      <c r="E5828" s="27">
        <v>42565.72550925926</v>
      </c>
      <c r="F5828" s="19">
        <f>IFERROR(__xludf.DUMMYFUNCTION("IFERROR(TO_DATE(E5828), """")"),42565.72550925926)</f>
        <v>42565.72551</v>
      </c>
      <c r="G5828" s="20">
        <f t="shared" si="1"/>
        <v>17</v>
      </c>
      <c r="H5828" s="18" t="s">
        <v>34</v>
      </c>
      <c r="I5828" s="19" t="str">
        <f>IFERROR(__xludf.DUMMYFUNCTION("IFERROR(TO_DATE(H5828), """")"),"NA")</f>
        <v>NA</v>
      </c>
      <c r="J5828" s="19" t="s">
        <v>12</v>
      </c>
      <c r="K5828" s="22">
        <f t="shared" si="2"/>
        <v>0</v>
      </c>
    </row>
    <row r="5829">
      <c r="A5829" s="18">
        <v>4824.0</v>
      </c>
      <c r="B5829" s="18" t="s">
        <v>30</v>
      </c>
      <c r="C5829" s="18" t="s">
        <v>34</v>
      </c>
      <c r="D5829" s="18" t="s">
        <v>35</v>
      </c>
      <c r="E5829" s="27">
        <v>42565.72561342592</v>
      </c>
      <c r="F5829" s="19">
        <f>IFERROR(__xludf.DUMMYFUNCTION("IFERROR(TO_DATE(E5829), """")"),42565.72561342592)</f>
        <v>42565.72561</v>
      </c>
      <c r="G5829" s="20">
        <f t="shared" si="1"/>
        <v>17</v>
      </c>
      <c r="H5829" s="18" t="s">
        <v>34</v>
      </c>
      <c r="I5829" s="19" t="str">
        <f>IFERROR(__xludf.DUMMYFUNCTION("IFERROR(TO_DATE(H5829), """")"),"NA")</f>
        <v>NA</v>
      </c>
      <c r="J5829" s="19" t="s">
        <v>12</v>
      </c>
      <c r="K5829" s="22">
        <f t="shared" si="2"/>
        <v>0</v>
      </c>
    </row>
    <row r="5830">
      <c r="A5830" s="18">
        <v>4820.0</v>
      </c>
      <c r="B5830" s="18" t="s">
        <v>30</v>
      </c>
      <c r="C5830" s="18" t="s">
        <v>34</v>
      </c>
      <c r="D5830" s="18" t="s">
        <v>35</v>
      </c>
      <c r="E5830" s="27">
        <v>42565.72571759259</v>
      </c>
      <c r="F5830" s="19">
        <f>IFERROR(__xludf.DUMMYFUNCTION("IFERROR(TO_DATE(E5830), """")"),42565.72571759259)</f>
        <v>42565.72572</v>
      </c>
      <c r="G5830" s="20">
        <f t="shared" si="1"/>
        <v>17</v>
      </c>
      <c r="H5830" s="18" t="s">
        <v>34</v>
      </c>
      <c r="I5830" s="19" t="str">
        <f>IFERROR(__xludf.DUMMYFUNCTION("IFERROR(TO_DATE(H5830), """")"),"NA")</f>
        <v>NA</v>
      </c>
      <c r="J5830" s="19" t="s">
        <v>12</v>
      </c>
      <c r="K5830" s="22">
        <f t="shared" si="2"/>
        <v>0</v>
      </c>
    </row>
    <row r="5831">
      <c r="A5831" s="18">
        <v>4827.0</v>
      </c>
      <c r="B5831" s="18" t="s">
        <v>30</v>
      </c>
      <c r="C5831" s="18" t="s">
        <v>34</v>
      </c>
      <c r="D5831" s="18" t="s">
        <v>35</v>
      </c>
      <c r="E5831" s="27">
        <v>42565.72604166667</v>
      </c>
      <c r="F5831" s="19">
        <f>IFERROR(__xludf.DUMMYFUNCTION("IFERROR(TO_DATE(E5831), """")"),42565.72604166667)</f>
        <v>42565.72604</v>
      </c>
      <c r="G5831" s="20">
        <f t="shared" si="1"/>
        <v>17</v>
      </c>
      <c r="H5831" s="18" t="s">
        <v>34</v>
      </c>
      <c r="I5831" s="19" t="str">
        <f>IFERROR(__xludf.DUMMYFUNCTION("IFERROR(TO_DATE(H5831), """")"),"NA")</f>
        <v>NA</v>
      </c>
      <c r="J5831" s="19" t="s">
        <v>12</v>
      </c>
      <c r="K5831" s="22">
        <f t="shared" si="2"/>
        <v>0</v>
      </c>
    </row>
    <row r="5832">
      <c r="A5832" s="18">
        <v>4832.0</v>
      </c>
      <c r="B5832" s="18" t="s">
        <v>30</v>
      </c>
      <c r="C5832" s="18" t="s">
        <v>34</v>
      </c>
      <c r="D5832" s="18" t="s">
        <v>35</v>
      </c>
      <c r="E5832" s="27">
        <v>42565.72696759259</v>
      </c>
      <c r="F5832" s="19">
        <f>IFERROR(__xludf.DUMMYFUNCTION("IFERROR(TO_DATE(E5832), """")"),42565.72696759259)</f>
        <v>42565.72697</v>
      </c>
      <c r="G5832" s="20">
        <f t="shared" si="1"/>
        <v>17</v>
      </c>
      <c r="H5832" s="18" t="s">
        <v>34</v>
      </c>
      <c r="I5832" s="19" t="str">
        <f>IFERROR(__xludf.DUMMYFUNCTION("IFERROR(TO_DATE(H5832), """")"),"NA")</f>
        <v>NA</v>
      </c>
      <c r="J5832" s="19" t="s">
        <v>12</v>
      </c>
      <c r="K5832" s="22">
        <f t="shared" si="2"/>
        <v>0</v>
      </c>
    </row>
    <row r="5833">
      <c r="A5833" s="18">
        <v>4838.0</v>
      </c>
      <c r="B5833" s="18" t="s">
        <v>30</v>
      </c>
      <c r="C5833" s="18" t="s">
        <v>34</v>
      </c>
      <c r="D5833" s="18" t="s">
        <v>35</v>
      </c>
      <c r="E5833" s="27">
        <v>42565.727268518516</v>
      </c>
      <c r="F5833" s="19">
        <f>IFERROR(__xludf.DUMMYFUNCTION("IFERROR(TO_DATE(E5833), """")"),42565.727268518516)</f>
        <v>42565.72727</v>
      </c>
      <c r="G5833" s="20">
        <f t="shared" si="1"/>
        <v>17</v>
      </c>
      <c r="H5833" s="18" t="s">
        <v>34</v>
      </c>
      <c r="I5833" s="19" t="str">
        <f>IFERROR(__xludf.DUMMYFUNCTION("IFERROR(TO_DATE(H5833), """")"),"NA")</f>
        <v>NA</v>
      </c>
      <c r="J5833" s="19" t="s">
        <v>12</v>
      </c>
      <c r="K5833" s="22">
        <f t="shared" si="2"/>
        <v>0</v>
      </c>
    </row>
    <row r="5834">
      <c r="A5834" s="18">
        <v>4840.0</v>
      </c>
      <c r="B5834" s="18" t="s">
        <v>30</v>
      </c>
      <c r="C5834" s="18" t="s">
        <v>34</v>
      </c>
      <c r="D5834" s="18" t="s">
        <v>35</v>
      </c>
      <c r="E5834" s="27">
        <v>42565.72744212963</v>
      </c>
      <c r="F5834" s="19">
        <f>IFERROR(__xludf.DUMMYFUNCTION("IFERROR(TO_DATE(E5834), """")"),42565.72744212963)</f>
        <v>42565.72744</v>
      </c>
      <c r="G5834" s="20">
        <f t="shared" si="1"/>
        <v>17</v>
      </c>
      <c r="H5834" s="18" t="s">
        <v>34</v>
      </c>
      <c r="I5834" s="19" t="str">
        <f>IFERROR(__xludf.DUMMYFUNCTION("IFERROR(TO_DATE(H5834), """")"),"NA")</f>
        <v>NA</v>
      </c>
      <c r="J5834" s="19" t="s">
        <v>12</v>
      </c>
      <c r="K5834" s="22">
        <f t="shared" si="2"/>
        <v>0</v>
      </c>
    </row>
    <row r="5835">
      <c r="A5835" s="18">
        <v>4835.0</v>
      </c>
      <c r="B5835" s="18" t="s">
        <v>30</v>
      </c>
      <c r="C5835" s="18" t="s">
        <v>34</v>
      </c>
      <c r="D5835" s="18" t="s">
        <v>35</v>
      </c>
      <c r="E5835" s="27">
        <v>42565.72760416667</v>
      </c>
      <c r="F5835" s="19">
        <f>IFERROR(__xludf.DUMMYFUNCTION("IFERROR(TO_DATE(E5835), """")"),42565.72760416667)</f>
        <v>42565.7276</v>
      </c>
      <c r="G5835" s="20">
        <f t="shared" si="1"/>
        <v>17</v>
      </c>
      <c r="H5835" s="18" t="s">
        <v>34</v>
      </c>
      <c r="I5835" s="19" t="str">
        <f>IFERROR(__xludf.DUMMYFUNCTION("IFERROR(TO_DATE(H5835), """")"),"NA")</f>
        <v>NA</v>
      </c>
      <c r="J5835" s="19" t="s">
        <v>12</v>
      </c>
      <c r="K5835" s="22">
        <f t="shared" si="2"/>
        <v>0</v>
      </c>
    </row>
    <row r="5836">
      <c r="A5836" s="18">
        <v>4841.0</v>
      </c>
      <c r="B5836" s="18" t="s">
        <v>30</v>
      </c>
      <c r="C5836" s="18" t="s">
        <v>34</v>
      </c>
      <c r="D5836" s="18" t="s">
        <v>35</v>
      </c>
      <c r="E5836" s="27">
        <v>42565.72761574074</v>
      </c>
      <c r="F5836" s="19">
        <f>IFERROR(__xludf.DUMMYFUNCTION("IFERROR(TO_DATE(E5836), """")"),42565.72761574074)</f>
        <v>42565.72762</v>
      </c>
      <c r="G5836" s="20">
        <f t="shared" si="1"/>
        <v>17</v>
      </c>
      <c r="H5836" s="18" t="s">
        <v>34</v>
      </c>
      <c r="I5836" s="19" t="str">
        <f>IFERROR(__xludf.DUMMYFUNCTION("IFERROR(TO_DATE(H5836), """")"),"NA")</f>
        <v>NA</v>
      </c>
      <c r="J5836" s="19" t="s">
        <v>12</v>
      </c>
      <c r="K5836" s="22">
        <f t="shared" si="2"/>
        <v>0</v>
      </c>
    </row>
    <row r="5837">
      <c r="A5837" s="18">
        <v>4843.0</v>
      </c>
      <c r="B5837" s="18" t="s">
        <v>30</v>
      </c>
      <c r="C5837" s="18" t="s">
        <v>34</v>
      </c>
      <c r="D5837" s="18" t="s">
        <v>35</v>
      </c>
      <c r="E5837" s="27">
        <v>42565.72820601852</v>
      </c>
      <c r="F5837" s="19">
        <f>IFERROR(__xludf.DUMMYFUNCTION("IFERROR(TO_DATE(E5837), """")"),42565.72820601852)</f>
        <v>42565.72821</v>
      </c>
      <c r="G5837" s="20">
        <f t="shared" si="1"/>
        <v>17</v>
      </c>
      <c r="H5837" s="18" t="s">
        <v>34</v>
      </c>
      <c r="I5837" s="19" t="str">
        <f>IFERROR(__xludf.DUMMYFUNCTION("IFERROR(TO_DATE(H5837), """")"),"NA")</f>
        <v>NA</v>
      </c>
      <c r="J5837" s="19" t="s">
        <v>12</v>
      </c>
      <c r="K5837" s="22">
        <f t="shared" si="2"/>
        <v>0</v>
      </c>
    </row>
    <row r="5838">
      <c r="A5838" s="18">
        <v>4839.0</v>
      </c>
      <c r="B5838" s="18" t="s">
        <v>30</v>
      </c>
      <c r="C5838" s="18" t="s">
        <v>34</v>
      </c>
      <c r="D5838" s="18" t="s">
        <v>35</v>
      </c>
      <c r="E5838" s="27">
        <v>42565.72844907407</v>
      </c>
      <c r="F5838" s="19">
        <f>IFERROR(__xludf.DUMMYFUNCTION("IFERROR(TO_DATE(E5838), """")"),42565.72844907407)</f>
        <v>42565.72845</v>
      </c>
      <c r="G5838" s="20">
        <f t="shared" si="1"/>
        <v>17</v>
      </c>
      <c r="H5838" s="18" t="s">
        <v>34</v>
      </c>
      <c r="I5838" s="19" t="str">
        <f>IFERROR(__xludf.DUMMYFUNCTION("IFERROR(TO_DATE(H5838), """")"),"NA")</f>
        <v>NA</v>
      </c>
      <c r="J5838" s="19" t="s">
        <v>12</v>
      </c>
      <c r="K5838" s="22">
        <f t="shared" si="2"/>
        <v>0</v>
      </c>
    </row>
    <row r="5839">
      <c r="A5839" s="18">
        <v>4844.0</v>
      </c>
      <c r="B5839" s="18" t="s">
        <v>30</v>
      </c>
      <c r="C5839" s="18" t="s">
        <v>34</v>
      </c>
      <c r="D5839" s="18" t="s">
        <v>35</v>
      </c>
      <c r="E5839" s="27">
        <v>42565.72957175926</v>
      </c>
      <c r="F5839" s="19">
        <f>IFERROR(__xludf.DUMMYFUNCTION("IFERROR(TO_DATE(E5839), """")"),42565.72957175926)</f>
        <v>42565.72957</v>
      </c>
      <c r="G5839" s="20">
        <f t="shared" si="1"/>
        <v>17</v>
      </c>
      <c r="H5839" s="18" t="s">
        <v>34</v>
      </c>
      <c r="I5839" s="19" t="str">
        <f>IFERROR(__xludf.DUMMYFUNCTION("IFERROR(TO_DATE(H5839), """")"),"NA")</f>
        <v>NA</v>
      </c>
      <c r="J5839" s="19" t="s">
        <v>12</v>
      </c>
      <c r="K5839" s="22">
        <f t="shared" si="2"/>
        <v>0</v>
      </c>
    </row>
    <row r="5840">
      <c r="A5840" s="18">
        <v>4833.0</v>
      </c>
      <c r="B5840" s="18" t="s">
        <v>30</v>
      </c>
      <c r="C5840" s="18" t="s">
        <v>34</v>
      </c>
      <c r="D5840" s="18" t="s">
        <v>35</v>
      </c>
      <c r="E5840" s="27">
        <v>42565.72971064815</v>
      </c>
      <c r="F5840" s="19">
        <f>IFERROR(__xludf.DUMMYFUNCTION("IFERROR(TO_DATE(E5840), """")"),42565.72971064815)</f>
        <v>42565.72971</v>
      </c>
      <c r="G5840" s="20">
        <f t="shared" si="1"/>
        <v>17</v>
      </c>
      <c r="H5840" s="18" t="s">
        <v>34</v>
      </c>
      <c r="I5840" s="19" t="str">
        <f>IFERROR(__xludf.DUMMYFUNCTION("IFERROR(TO_DATE(H5840), """")"),"NA")</f>
        <v>NA</v>
      </c>
      <c r="J5840" s="19" t="s">
        <v>12</v>
      </c>
      <c r="K5840" s="22">
        <f t="shared" si="2"/>
        <v>0</v>
      </c>
    </row>
    <row r="5841">
      <c r="A5841" s="18">
        <v>4837.0</v>
      </c>
      <c r="B5841" s="18" t="s">
        <v>30</v>
      </c>
      <c r="C5841" s="18" t="s">
        <v>34</v>
      </c>
      <c r="D5841" s="18" t="s">
        <v>35</v>
      </c>
      <c r="E5841" s="27">
        <v>42565.72975694444</v>
      </c>
      <c r="F5841" s="19">
        <f>IFERROR(__xludf.DUMMYFUNCTION("IFERROR(TO_DATE(E5841), """")"),42565.72975694444)</f>
        <v>42565.72976</v>
      </c>
      <c r="G5841" s="20">
        <f t="shared" si="1"/>
        <v>17</v>
      </c>
      <c r="H5841" s="18" t="s">
        <v>34</v>
      </c>
      <c r="I5841" s="19" t="str">
        <f>IFERROR(__xludf.DUMMYFUNCTION("IFERROR(TO_DATE(H5841), """")"),"NA")</f>
        <v>NA</v>
      </c>
      <c r="J5841" s="19" t="s">
        <v>12</v>
      </c>
      <c r="K5841" s="22">
        <f t="shared" si="2"/>
        <v>0</v>
      </c>
    </row>
    <row r="5842">
      <c r="A5842" s="18">
        <v>4853.0</v>
      </c>
      <c r="B5842" s="18" t="s">
        <v>30</v>
      </c>
      <c r="C5842" s="18" t="s">
        <v>34</v>
      </c>
      <c r="D5842" s="18" t="s">
        <v>35</v>
      </c>
      <c r="E5842" s="27">
        <v>42565.731782407405</v>
      </c>
      <c r="F5842" s="19">
        <f>IFERROR(__xludf.DUMMYFUNCTION("IFERROR(TO_DATE(E5842), """")"),42565.731782407405)</f>
        <v>42565.73178</v>
      </c>
      <c r="G5842" s="20">
        <f t="shared" si="1"/>
        <v>17</v>
      </c>
      <c r="H5842" s="18" t="s">
        <v>34</v>
      </c>
      <c r="I5842" s="19" t="str">
        <f>IFERROR(__xludf.DUMMYFUNCTION("IFERROR(TO_DATE(H5842), """")"),"NA")</f>
        <v>NA</v>
      </c>
      <c r="J5842" s="19" t="s">
        <v>12</v>
      </c>
      <c r="K5842" s="22">
        <f t="shared" si="2"/>
        <v>0</v>
      </c>
    </row>
    <row r="5843">
      <c r="A5843" s="18">
        <v>4852.0</v>
      </c>
      <c r="B5843" s="18" t="s">
        <v>32</v>
      </c>
      <c r="C5843" s="18" t="s">
        <v>34</v>
      </c>
      <c r="D5843" s="18" t="s">
        <v>35</v>
      </c>
      <c r="E5843" s="27">
        <v>42565.73201388889</v>
      </c>
      <c r="F5843" s="19">
        <f>IFERROR(__xludf.DUMMYFUNCTION("IFERROR(TO_DATE(E5843), """")"),42565.73201388889)</f>
        <v>42565.73201</v>
      </c>
      <c r="G5843" s="20">
        <f t="shared" si="1"/>
        <v>17</v>
      </c>
      <c r="H5843" s="18" t="s">
        <v>34</v>
      </c>
      <c r="I5843" s="19" t="str">
        <f>IFERROR(__xludf.DUMMYFUNCTION("IFERROR(TO_DATE(H5843), """")"),"NA")</f>
        <v>NA</v>
      </c>
      <c r="J5843" s="19" t="s">
        <v>12</v>
      </c>
      <c r="K5843" s="22">
        <f t="shared" si="2"/>
        <v>0</v>
      </c>
    </row>
    <row r="5844">
      <c r="A5844" s="18">
        <v>4856.0</v>
      </c>
      <c r="B5844" s="18" t="s">
        <v>30</v>
      </c>
      <c r="C5844" s="18" t="s">
        <v>34</v>
      </c>
      <c r="D5844" s="18" t="s">
        <v>35</v>
      </c>
      <c r="E5844" s="27">
        <v>42565.73233796296</v>
      </c>
      <c r="F5844" s="19">
        <f>IFERROR(__xludf.DUMMYFUNCTION("IFERROR(TO_DATE(E5844), """")"),42565.73233796296)</f>
        <v>42565.73234</v>
      </c>
      <c r="G5844" s="20">
        <f t="shared" si="1"/>
        <v>17</v>
      </c>
      <c r="H5844" s="18" t="s">
        <v>34</v>
      </c>
      <c r="I5844" s="19" t="str">
        <f>IFERROR(__xludf.DUMMYFUNCTION("IFERROR(TO_DATE(H5844), """")"),"NA")</f>
        <v>NA</v>
      </c>
      <c r="J5844" s="19" t="s">
        <v>12</v>
      </c>
      <c r="K5844" s="22">
        <f t="shared" si="2"/>
        <v>0</v>
      </c>
    </row>
    <row r="5845">
      <c r="A5845" s="18">
        <v>4855.0</v>
      </c>
      <c r="B5845" s="18" t="s">
        <v>30</v>
      </c>
      <c r="C5845" s="18" t="s">
        <v>34</v>
      </c>
      <c r="D5845" s="18" t="s">
        <v>35</v>
      </c>
      <c r="E5845" s="27">
        <v>42565.73236111111</v>
      </c>
      <c r="F5845" s="19">
        <f>IFERROR(__xludf.DUMMYFUNCTION("IFERROR(TO_DATE(E5845), """")"),42565.73236111111)</f>
        <v>42565.73236</v>
      </c>
      <c r="G5845" s="20">
        <f t="shared" si="1"/>
        <v>17</v>
      </c>
      <c r="H5845" s="18" t="s">
        <v>34</v>
      </c>
      <c r="I5845" s="19" t="str">
        <f>IFERROR(__xludf.DUMMYFUNCTION("IFERROR(TO_DATE(H5845), """")"),"NA")</f>
        <v>NA</v>
      </c>
      <c r="J5845" s="19" t="s">
        <v>12</v>
      </c>
      <c r="K5845" s="22">
        <f t="shared" si="2"/>
        <v>0</v>
      </c>
    </row>
    <row r="5846">
      <c r="A5846" s="18">
        <v>4861.0</v>
      </c>
      <c r="B5846" s="18" t="s">
        <v>30</v>
      </c>
      <c r="C5846" s="18" t="s">
        <v>34</v>
      </c>
      <c r="D5846" s="18" t="s">
        <v>35</v>
      </c>
      <c r="E5846" s="27">
        <v>42565.73247685185</v>
      </c>
      <c r="F5846" s="19">
        <f>IFERROR(__xludf.DUMMYFUNCTION("IFERROR(TO_DATE(E5846), """")"),42565.73247685185)</f>
        <v>42565.73248</v>
      </c>
      <c r="G5846" s="20">
        <f t="shared" si="1"/>
        <v>17</v>
      </c>
      <c r="H5846" s="18" t="s">
        <v>34</v>
      </c>
      <c r="I5846" s="19" t="str">
        <f>IFERROR(__xludf.DUMMYFUNCTION("IFERROR(TO_DATE(H5846), """")"),"NA")</f>
        <v>NA</v>
      </c>
      <c r="J5846" s="19" t="s">
        <v>12</v>
      </c>
      <c r="K5846" s="22">
        <f t="shared" si="2"/>
        <v>0</v>
      </c>
    </row>
    <row r="5847">
      <c r="A5847" s="18">
        <v>4846.0</v>
      </c>
      <c r="B5847" s="18" t="s">
        <v>30</v>
      </c>
      <c r="C5847" s="18" t="s">
        <v>34</v>
      </c>
      <c r="D5847" s="18" t="s">
        <v>35</v>
      </c>
      <c r="E5847" s="27">
        <v>42565.73266203704</v>
      </c>
      <c r="F5847" s="19">
        <f>IFERROR(__xludf.DUMMYFUNCTION("IFERROR(TO_DATE(E5847), """")"),42565.73266203704)</f>
        <v>42565.73266</v>
      </c>
      <c r="G5847" s="20">
        <f t="shared" si="1"/>
        <v>17</v>
      </c>
      <c r="H5847" s="18" t="s">
        <v>34</v>
      </c>
      <c r="I5847" s="19" t="str">
        <f>IFERROR(__xludf.DUMMYFUNCTION("IFERROR(TO_DATE(H5847), """")"),"NA")</f>
        <v>NA</v>
      </c>
      <c r="J5847" s="19" t="s">
        <v>12</v>
      </c>
      <c r="K5847" s="22">
        <f t="shared" si="2"/>
        <v>0</v>
      </c>
    </row>
    <row r="5848">
      <c r="A5848" s="18">
        <v>4864.0</v>
      </c>
      <c r="B5848" s="18" t="s">
        <v>30</v>
      </c>
      <c r="C5848" s="18" t="s">
        <v>34</v>
      </c>
      <c r="D5848" s="18" t="s">
        <v>35</v>
      </c>
      <c r="E5848" s="27">
        <v>42565.73332175926</v>
      </c>
      <c r="F5848" s="19">
        <f>IFERROR(__xludf.DUMMYFUNCTION("IFERROR(TO_DATE(E5848), """")"),42565.73332175926)</f>
        <v>42565.73332</v>
      </c>
      <c r="G5848" s="20">
        <f t="shared" si="1"/>
        <v>17</v>
      </c>
      <c r="H5848" s="18" t="s">
        <v>34</v>
      </c>
      <c r="I5848" s="19" t="str">
        <f>IFERROR(__xludf.DUMMYFUNCTION("IFERROR(TO_DATE(H5848), """")"),"NA")</f>
        <v>NA</v>
      </c>
      <c r="J5848" s="19" t="s">
        <v>12</v>
      </c>
      <c r="K5848" s="22">
        <f t="shared" si="2"/>
        <v>0</v>
      </c>
    </row>
    <row r="5849">
      <c r="A5849" s="18">
        <v>4842.0</v>
      </c>
      <c r="B5849" s="18" t="s">
        <v>30</v>
      </c>
      <c r="C5849" s="18" t="s">
        <v>34</v>
      </c>
      <c r="D5849" s="18" t="s">
        <v>35</v>
      </c>
      <c r="E5849" s="27">
        <v>42565.73342592592</v>
      </c>
      <c r="F5849" s="19">
        <f>IFERROR(__xludf.DUMMYFUNCTION("IFERROR(TO_DATE(E5849), """")"),42565.73342592592)</f>
        <v>42565.73343</v>
      </c>
      <c r="G5849" s="20">
        <f t="shared" si="1"/>
        <v>17</v>
      </c>
      <c r="H5849" s="18" t="s">
        <v>34</v>
      </c>
      <c r="I5849" s="19" t="str">
        <f>IFERROR(__xludf.DUMMYFUNCTION("IFERROR(TO_DATE(H5849), """")"),"NA")</f>
        <v>NA</v>
      </c>
      <c r="J5849" s="19" t="s">
        <v>12</v>
      </c>
      <c r="K5849" s="22">
        <f t="shared" si="2"/>
        <v>0</v>
      </c>
    </row>
    <row r="5850">
      <c r="A5850" s="18">
        <v>4851.0</v>
      </c>
      <c r="B5850" s="18" t="s">
        <v>30</v>
      </c>
      <c r="C5850" s="18" t="s">
        <v>34</v>
      </c>
      <c r="D5850" s="18" t="s">
        <v>35</v>
      </c>
      <c r="E5850" s="27">
        <v>42565.73385416667</v>
      </c>
      <c r="F5850" s="19">
        <f>IFERROR(__xludf.DUMMYFUNCTION("IFERROR(TO_DATE(E5850), """")"),42565.73385416667)</f>
        <v>42565.73385</v>
      </c>
      <c r="G5850" s="20">
        <f t="shared" si="1"/>
        <v>17</v>
      </c>
      <c r="H5850" s="18" t="s">
        <v>34</v>
      </c>
      <c r="I5850" s="19" t="str">
        <f>IFERROR(__xludf.DUMMYFUNCTION("IFERROR(TO_DATE(H5850), """")"),"NA")</f>
        <v>NA</v>
      </c>
      <c r="J5850" s="19" t="s">
        <v>12</v>
      </c>
      <c r="K5850" s="22">
        <f t="shared" si="2"/>
        <v>0</v>
      </c>
    </row>
    <row r="5851">
      <c r="A5851" s="18">
        <v>4845.0</v>
      </c>
      <c r="B5851" s="18" t="s">
        <v>30</v>
      </c>
      <c r="C5851" s="18" t="s">
        <v>34</v>
      </c>
      <c r="D5851" s="18" t="s">
        <v>35</v>
      </c>
      <c r="E5851" s="27">
        <v>42565.73453703704</v>
      </c>
      <c r="F5851" s="19">
        <f>IFERROR(__xludf.DUMMYFUNCTION("IFERROR(TO_DATE(E5851), """")"),42565.73453703704)</f>
        <v>42565.73454</v>
      </c>
      <c r="G5851" s="20">
        <f t="shared" si="1"/>
        <v>17</v>
      </c>
      <c r="H5851" s="18" t="s">
        <v>34</v>
      </c>
      <c r="I5851" s="19" t="str">
        <f>IFERROR(__xludf.DUMMYFUNCTION("IFERROR(TO_DATE(H5851), """")"),"NA")</f>
        <v>NA</v>
      </c>
      <c r="J5851" s="19" t="s">
        <v>12</v>
      </c>
      <c r="K5851" s="22">
        <f t="shared" si="2"/>
        <v>0</v>
      </c>
    </row>
    <row r="5852">
      <c r="A5852" s="18">
        <v>4860.0</v>
      </c>
      <c r="B5852" s="18" t="s">
        <v>30</v>
      </c>
      <c r="C5852" s="18" t="s">
        <v>34</v>
      </c>
      <c r="D5852" s="18" t="s">
        <v>35</v>
      </c>
      <c r="E5852" s="27">
        <v>42565.73537037037</v>
      </c>
      <c r="F5852" s="19">
        <f>IFERROR(__xludf.DUMMYFUNCTION("IFERROR(TO_DATE(E5852), """")"),42565.73537037037)</f>
        <v>42565.73537</v>
      </c>
      <c r="G5852" s="20">
        <f t="shared" si="1"/>
        <v>17</v>
      </c>
      <c r="H5852" s="18" t="s">
        <v>34</v>
      </c>
      <c r="I5852" s="19" t="str">
        <f>IFERROR(__xludf.DUMMYFUNCTION("IFERROR(TO_DATE(H5852), """")"),"NA")</f>
        <v>NA</v>
      </c>
      <c r="J5852" s="19" t="s">
        <v>12</v>
      </c>
      <c r="K5852" s="22">
        <f t="shared" si="2"/>
        <v>0</v>
      </c>
    </row>
    <row r="5853">
      <c r="A5853" s="18">
        <v>4871.0</v>
      </c>
      <c r="B5853" s="18" t="s">
        <v>30</v>
      </c>
      <c r="C5853" s="18" t="s">
        <v>34</v>
      </c>
      <c r="D5853" s="18" t="s">
        <v>35</v>
      </c>
      <c r="E5853" s="27">
        <v>42565.73824074074</v>
      </c>
      <c r="F5853" s="19">
        <f>IFERROR(__xludf.DUMMYFUNCTION("IFERROR(TO_DATE(E5853), """")"),42565.73824074074)</f>
        <v>42565.73824</v>
      </c>
      <c r="G5853" s="20">
        <f t="shared" si="1"/>
        <v>17</v>
      </c>
      <c r="H5853" s="18" t="s">
        <v>34</v>
      </c>
      <c r="I5853" s="19" t="str">
        <f>IFERROR(__xludf.DUMMYFUNCTION("IFERROR(TO_DATE(H5853), """")"),"NA")</f>
        <v>NA</v>
      </c>
      <c r="J5853" s="19" t="s">
        <v>12</v>
      </c>
      <c r="K5853" s="22">
        <f t="shared" si="2"/>
        <v>0</v>
      </c>
    </row>
    <row r="5854">
      <c r="A5854" s="18">
        <v>4870.0</v>
      </c>
      <c r="B5854" s="18" t="s">
        <v>30</v>
      </c>
      <c r="C5854" s="18" t="s">
        <v>34</v>
      </c>
      <c r="D5854" s="18" t="s">
        <v>35</v>
      </c>
      <c r="E5854" s="27">
        <v>42565.738703703704</v>
      </c>
      <c r="F5854" s="19">
        <f>IFERROR(__xludf.DUMMYFUNCTION("IFERROR(TO_DATE(E5854), """")"),42565.738703703704)</f>
        <v>42565.7387</v>
      </c>
      <c r="G5854" s="20">
        <f t="shared" si="1"/>
        <v>17</v>
      </c>
      <c r="H5854" s="18" t="s">
        <v>34</v>
      </c>
      <c r="I5854" s="19" t="str">
        <f>IFERROR(__xludf.DUMMYFUNCTION("IFERROR(TO_DATE(H5854), """")"),"NA")</f>
        <v>NA</v>
      </c>
      <c r="J5854" s="19" t="s">
        <v>12</v>
      </c>
      <c r="K5854" s="22">
        <f t="shared" si="2"/>
        <v>0</v>
      </c>
    </row>
    <row r="5855">
      <c r="A5855" s="18">
        <v>4873.0</v>
      </c>
      <c r="B5855" s="18" t="s">
        <v>30</v>
      </c>
      <c r="C5855" s="18" t="s">
        <v>34</v>
      </c>
      <c r="D5855" s="18" t="s">
        <v>35</v>
      </c>
      <c r="E5855" s="27">
        <v>42565.73920138889</v>
      </c>
      <c r="F5855" s="19">
        <f>IFERROR(__xludf.DUMMYFUNCTION("IFERROR(TO_DATE(E5855), """")"),42565.73920138889)</f>
        <v>42565.7392</v>
      </c>
      <c r="G5855" s="20">
        <f t="shared" si="1"/>
        <v>17</v>
      </c>
      <c r="H5855" s="18" t="s">
        <v>34</v>
      </c>
      <c r="I5855" s="19" t="str">
        <f>IFERROR(__xludf.DUMMYFUNCTION("IFERROR(TO_DATE(H5855), """")"),"NA")</f>
        <v>NA</v>
      </c>
      <c r="J5855" s="19" t="s">
        <v>12</v>
      </c>
      <c r="K5855" s="22">
        <f t="shared" si="2"/>
        <v>0</v>
      </c>
    </row>
    <row r="5856">
      <c r="A5856" s="18">
        <v>4868.0</v>
      </c>
      <c r="B5856" s="18" t="s">
        <v>30</v>
      </c>
      <c r="C5856" s="18" t="s">
        <v>34</v>
      </c>
      <c r="D5856" s="18" t="s">
        <v>35</v>
      </c>
      <c r="E5856" s="27">
        <v>42565.739340277774</v>
      </c>
      <c r="F5856" s="19">
        <f>IFERROR(__xludf.DUMMYFUNCTION("IFERROR(TO_DATE(E5856), """")"),42565.739340277774)</f>
        <v>42565.73934</v>
      </c>
      <c r="G5856" s="20">
        <f t="shared" si="1"/>
        <v>17</v>
      </c>
      <c r="H5856" s="18" t="s">
        <v>34</v>
      </c>
      <c r="I5856" s="19" t="str">
        <f>IFERROR(__xludf.DUMMYFUNCTION("IFERROR(TO_DATE(H5856), """")"),"NA")</f>
        <v>NA</v>
      </c>
      <c r="J5856" s="19" t="s">
        <v>12</v>
      </c>
      <c r="K5856" s="22">
        <f t="shared" si="2"/>
        <v>0</v>
      </c>
    </row>
    <row r="5857">
      <c r="A5857" s="18">
        <v>4874.0</v>
      </c>
      <c r="B5857" s="18" t="s">
        <v>30</v>
      </c>
      <c r="C5857" s="18" t="s">
        <v>34</v>
      </c>
      <c r="D5857" s="18" t="s">
        <v>35</v>
      </c>
      <c r="E5857" s="27">
        <v>42565.74099537037</v>
      </c>
      <c r="F5857" s="19">
        <f>IFERROR(__xludf.DUMMYFUNCTION("IFERROR(TO_DATE(E5857), """")"),42565.74099537037)</f>
        <v>42565.741</v>
      </c>
      <c r="G5857" s="20">
        <f t="shared" si="1"/>
        <v>17</v>
      </c>
      <c r="H5857" s="18" t="s">
        <v>34</v>
      </c>
      <c r="I5857" s="19" t="str">
        <f>IFERROR(__xludf.DUMMYFUNCTION("IFERROR(TO_DATE(H5857), """")"),"NA")</f>
        <v>NA</v>
      </c>
      <c r="J5857" s="19" t="s">
        <v>12</v>
      </c>
      <c r="K5857" s="22">
        <f t="shared" si="2"/>
        <v>0</v>
      </c>
    </row>
    <row r="5858">
      <c r="A5858" s="18">
        <v>4867.0</v>
      </c>
      <c r="B5858" s="18" t="s">
        <v>30</v>
      </c>
      <c r="C5858" s="18" t="s">
        <v>34</v>
      </c>
      <c r="D5858" s="18" t="s">
        <v>35</v>
      </c>
      <c r="E5858" s="27">
        <v>42565.74101851852</v>
      </c>
      <c r="F5858" s="19">
        <f>IFERROR(__xludf.DUMMYFUNCTION("IFERROR(TO_DATE(E5858), """")"),42565.74101851852)</f>
        <v>42565.74102</v>
      </c>
      <c r="G5858" s="20">
        <f t="shared" si="1"/>
        <v>17</v>
      </c>
      <c r="H5858" s="18" t="s">
        <v>34</v>
      </c>
      <c r="I5858" s="19" t="str">
        <f>IFERROR(__xludf.DUMMYFUNCTION("IFERROR(TO_DATE(H5858), """")"),"NA")</f>
        <v>NA</v>
      </c>
      <c r="J5858" s="19" t="s">
        <v>12</v>
      </c>
      <c r="K5858" s="22">
        <f t="shared" si="2"/>
        <v>0</v>
      </c>
    </row>
    <row r="5859">
      <c r="A5859" s="18">
        <v>4878.0</v>
      </c>
      <c r="B5859" s="18" t="s">
        <v>30</v>
      </c>
      <c r="C5859" s="18" t="s">
        <v>34</v>
      </c>
      <c r="D5859" s="18" t="s">
        <v>35</v>
      </c>
      <c r="E5859" s="27">
        <v>42565.74222222222</v>
      </c>
      <c r="F5859" s="19">
        <f>IFERROR(__xludf.DUMMYFUNCTION("IFERROR(TO_DATE(E5859), """")"),42565.74222222222)</f>
        <v>42565.74222</v>
      </c>
      <c r="G5859" s="20">
        <f t="shared" si="1"/>
        <v>17</v>
      </c>
      <c r="H5859" s="18" t="s">
        <v>34</v>
      </c>
      <c r="I5859" s="19" t="str">
        <f>IFERROR(__xludf.DUMMYFUNCTION("IFERROR(TO_DATE(H5859), """")"),"NA")</f>
        <v>NA</v>
      </c>
      <c r="J5859" s="19" t="s">
        <v>12</v>
      </c>
      <c r="K5859" s="22">
        <f t="shared" si="2"/>
        <v>0</v>
      </c>
    </row>
    <row r="5860">
      <c r="A5860" s="18">
        <v>4872.0</v>
      </c>
      <c r="B5860" s="18" t="s">
        <v>30</v>
      </c>
      <c r="C5860" s="18" t="s">
        <v>34</v>
      </c>
      <c r="D5860" s="18" t="s">
        <v>35</v>
      </c>
      <c r="E5860" s="27">
        <v>42565.74366898148</v>
      </c>
      <c r="F5860" s="19">
        <f>IFERROR(__xludf.DUMMYFUNCTION("IFERROR(TO_DATE(E5860), """")"),42565.74366898148)</f>
        <v>42565.74367</v>
      </c>
      <c r="G5860" s="20">
        <f t="shared" si="1"/>
        <v>17</v>
      </c>
      <c r="H5860" s="18" t="s">
        <v>34</v>
      </c>
      <c r="I5860" s="19" t="str">
        <f>IFERROR(__xludf.DUMMYFUNCTION("IFERROR(TO_DATE(H5860), """")"),"NA")</f>
        <v>NA</v>
      </c>
      <c r="J5860" s="19" t="s">
        <v>12</v>
      </c>
      <c r="K5860" s="22">
        <f t="shared" si="2"/>
        <v>0</v>
      </c>
    </row>
    <row r="5861">
      <c r="A5861" s="18">
        <v>4877.0</v>
      </c>
      <c r="B5861" s="18" t="s">
        <v>30</v>
      </c>
      <c r="C5861" s="18" t="s">
        <v>34</v>
      </c>
      <c r="D5861" s="18" t="s">
        <v>35</v>
      </c>
      <c r="E5861" s="27">
        <v>42565.74407407407</v>
      </c>
      <c r="F5861" s="19">
        <f>IFERROR(__xludf.DUMMYFUNCTION("IFERROR(TO_DATE(E5861), """")"),42565.74407407407)</f>
        <v>42565.74407</v>
      </c>
      <c r="G5861" s="20">
        <f t="shared" si="1"/>
        <v>17</v>
      </c>
      <c r="H5861" s="18" t="s">
        <v>34</v>
      </c>
      <c r="I5861" s="19" t="str">
        <f>IFERROR(__xludf.DUMMYFUNCTION("IFERROR(TO_DATE(H5861), """")"),"NA")</f>
        <v>NA</v>
      </c>
      <c r="J5861" s="19" t="s">
        <v>12</v>
      </c>
      <c r="K5861" s="22">
        <f t="shared" si="2"/>
        <v>0</v>
      </c>
    </row>
    <row r="5862">
      <c r="A5862" s="18">
        <v>4888.0</v>
      </c>
      <c r="B5862" s="18" t="s">
        <v>30</v>
      </c>
      <c r="C5862" s="18" t="s">
        <v>34</v>
      </c>
      <c r="D5862" s="18" t="s">
        <v>35</v>
      </c>
      <c r="E5862" s="27">
        <v>42565.74451388889</v>
      </c>
      <c r="F5862" s="19">
        <f>IFERROR(__xludf.DUMMYFUNCTION("IFERROR(TO_DATE(E5862), """")"),42565.74451388889)</f>
        <v>42565.74451</v>
      </c>
      <c r="G5862" s="20">
        <f t="shared" si="1"/>
        <v>17</v>
      </c>
      <c r="H5862" s="18" t="s">
        <v>34</v>
      </c>
      <c r="I5862" s="19" t="str">
        <f>IFERROR(__xludf.DUMMYFUNCTION("IFERROR(TO_DATE(H5862), """")"),"NA")</f>
        <v>NA</v>
      </c>
      <c r="J5862" s="19" t="s">
        <v>12</v>
      </c>
      <c r="K5862" s="22">
        <f t="shared" si="2"/>
        <v>0</v>
      </c>
    </row>
    <row r="5863">
      <c r="A5863" s="18">
        <v>4882.0</v>
      </c>
      <c r="B5863" s="18" t="s">
        <v>30</v>
      </c>
      <c r="C5863" s="18" t="s">
        <v>34</v>
      </c>
      <c r="D5863" s="18" t="s">
        <v>35</v>
      </c>
      <c r="E5863" s="27">
        <v>42565.745729166665</v>
      </c>
      <c r="F5863" s="19">
        <f>IFERROR(__xludf.DUMMYFUNCTION("IFERROR(TO_DATE(E5863), """")"),42565.745729166665)</f>
        <v>42565.74573</v>
      </c>
      <c r="G5863" s="20">
        <f t="shared" si="1"/>
        <v>17</v>
      </c>
      <c r="H5863" s="18" t="s">
        <v>34</v>
      </c>
      <c r="I5863" s="19" t="str">
        <f>IFERROR(__xludf.DUMMYFUNCTION("IFERROR(TO_DATE(H5863), """")"),"NA")</f>
        <v>NA</v>
      </c>
      <c r="J5863" s="19" t="s">
        <v>12</v>
      </c>
      <c r="K5863" s="22">
        <f t="shared" si="2"/>
        <v>0</v>
      </c>
    </row>
    <row r="5864">
      <c r="A5864" s="18">
        <v>4891.0</v>
      </c>
      <c r="B5864" s="18" t="s">
        <v>30</v>
      </c>
      <c r="C5864" s="18" t="s">
        <v>34</v>
      </c>
      <c r="D5864" s="18" t="s">
        <v>35</v>
      </c>
      <c r="E5864" s="27">
        <v>42565.74695601852</v>
      </c>
      <c r="F5864" s="19">
        <f>IFERROR(__xludf.DUMMYFUNCTION("IFERROR(TO_DATE(E5864), """")"),42565.74695601852)</f>
        <v>42565.74696</v>
      </c>
      <c r="G5864" s="20">
        <f t="shared" si="1"/>
        <v>17</v>
      </c>
      <c r="H5864" s="18" t="s">
        <v>34</v>
      </c>
      <c r="I5864" s="19" t="str">
        <f>IFERROR(__xludf.DUMMYFUNCTION("IFERROR(TO_DATE(H5864), """")"),"NA")</f>
        <v>NA</v>
      </c>
      <c r="J5864" s="19" t="s">
        <v>12</v>
      </c>
      <c r="K5864" s="22">
        <f t="shared" si="2"/>
        <v>0</v>
      </c>
    </row>
    <row r="5865">
      <c r="A5865" s="18">
        <v>4881.0</v>
      </c>
      <c r="B5865" s="18" t="s">
        <v>30</v>
      </c>
      <c r="C5865" s="18" t="s">
        <v>34</v>
      </c>
      <c r="D5865" s="18" t="s">
        <v>35</v>
      </c>
      <c r="E5865" s="27">
        <v>42565.747245370374</v>
      </c>
      <c r="F5865" s="19">
        <f>IFERROR(__xludf.DUMMYFUNCTION("IFERROR(TO_DATE(E5865), """")"),42565.747245370374)</f>
        <v>42565.74725</v>
      </c>
      <c r="G5865" s="20">
        <f t="shared" si="1"/>
        <v>17</v>
      </c>
      <c r="H5865" s="18" t="s">
        <v>34</v>
      </c>
      <c r="I5865" s="19" t="str">
        <f>IFERROR(__xludf.DUMMYFUNCTION("IFERROR(TO_DATE(H5865), """")"),"NA")</f>
        <v>NA</v>
      </c>
      <c r="J5865" s="19" t="s">
        <v>12</v>
      </c>
      <c r="K5865" s="22">
        <f t="shared" si="2"/>
        <v>0</v>
      </c>
    </row>
    <row r="5866">
      <c r="A5866" s="18">
        <v>4883.0</v>
      </c>
      <c r="B5866" s="18" t="s">
        <v>30</v>
      </c>
      <c r="C5866" s="18" t="s">
        <v>34</v>
      </c>
      <c r="D5866" s="18" t="s">
        <v>35</v>
      </c>
      <c r="E5866" s="27">
        <v>42565.74744212963</v>
      </c>
      <c r="F5866" s="19">
        <f>IFERROR(__xludf.DUMMYFUNCTION("IFERROR(TO_DATE(E5866), """")"),42565.74744212963)</f>
        <v>42565.74744</v>
      </c>
      <c r="G5866" s="20">
        <f t="shared" si="1"/>
        <v>17</v>
      </c>
      <c r="H5866" s="18" t="s">
        <v>34</v>
      </c>
      <c r="I5866" s="19" t="str">
        <f>IFERROR(__xludf.DUMMYFUNCTION("IFERROR(TO_DATE(H5866), """")"),"NA")</f>
        <v>NA</v>
      </c>
      <c r="J5866" s="19" t="s">
        <v>12</v>
      </c>
      <c r="K5866" s="22">
        <f t="shared" si="2"/>
        <v>0</v>
      </c>
    </row>
    <row r="5867">
      <c r="A5867" s="18">
        <v>4887.0</v>
      </c>
      <c r="B5867" s="18" t="s">
        <v>30</v>
      </c>
      <c r="C5867" s="18" t="s">
        <v>34</v>
      </c>
      <c r="D5867" s="18" t="s">
        <v>35</v>
      </c>
      <c r="E5867" s="27">
        <v>42565.748877314814</v>
      </c>
      <c r="F5867" s="19">
        <f>IFERROR(__xludf.DUMMYFUNCTION("IFERROR(TO_DATE(E5867), """")"),42565.748877314814)</f>
        <v>42565.74888</v>
      </c>
      <c r="G5867" s="20">
        <f t="shared" si="1"/>
        <v>17</v>
      </c>
      <c r="H5867" s="18" t="s">
        <v>34</v>
      </c>
      <c r="I5867" s="19" t="str">
        <f>IFERROR(__xludf.DUMMYFUNCTION("IFERROR(TO_DATE(H5867), """")"),"NA")</f>
        <v>NA</v>
      </c>
      <c r="J5867" s="19" t="s">
        <v>12</v>
      </c>
      <c r="K5867" s="22">
        <f t="shared" si="2"/>
        <v>0</v>
      </c>
    </row>
    <row r="5868">
      <c r="A5868" s="18">
        <v>4896.0</v>
      </c>
      <c r="B5868" s="18" t="s">
        <v>30</v>
      </c>
      <c r="C5868" s="18" t="s">
        <v>34</v>
      </c>
      <c r="D5868" s="18" t="s">
        <v>35</v>
      </c>
      <c r="E5868" s="27">
        <v>42565.74890046296</v>
      </c>
      <c r="F5868" s="19">
        <f>IFERROR(__xludf.DUMMYFUNCTION("IFERROR(TO_DATE(E5868), """")"),42565.74890046296)</f>
        <v>42565.7489</v>
      </c>
      <c r="G5868" s="20">
        <f t="shared" si="1"/>
        <v>17</v>
      </c>
      <c r="H5868" s="18" t="s">
        <v>34</v>
      </c>
      <c r="I5868" s="19" t="str">
        <f>IFERROR(__xludf.DUMMYFUNCTION("IFERROR(TO_DATE(H5868), """")"),"NA")</f>
        <v>NA</v>
      </c>
      <c r="J5868" s="19" t="s">
        <v>12</v>
      </c>
      <c r="K5868" s="22">
        <f t="shared" si="2"/>
        <v>0</v>
      </c>
    </row>
    <row r="5869">
      <c r="A5869" s="18">
        <v>4893.0</v>
      </c>
      <c r="B5869" s="18" t="s">
        <v>30</v>
      </c>
      <c r="C5869" s="18" t="s">
        <v>34</v>
      </c>
      <c r="D5869" s="18" t="s">
        <v>35</v>
      </c>
      <c r="E5869" s="27">
        <v>42565.75034722222</v>
      </c>
      <c r="F5869" s="19">
        <f>IFERROR(__xludf.DUMMYFUNCTION("IFERROR(TO_DATE(E5869), """")"),42565.75034722222)</f>
        <v>42565.75035</v>
      </c>
      <c r="G5869" s="20">
        <f t="shared" si="1"/>
        <v>18</v>
      </c>
      <c r="H5869" s="18" t="s">
        <v>34</v>
      </c>
      <c r="I5869" s="19" t="str">
        <f>IFERROR(__xludf.DUMMYFUNCTION("IFERROR(TO_DATE(H5869), """")"),"NA")</f>
        <v>NA</v>
      </c>
      <c r="J5869" s="19" t="s">
        <v>12</v>
      </c>
      <c r="K5869" s="22">
        <f t="shared" si="2"/>
        <v>0</v>
      </c>
    </row>
    <row r="5870">
      <c r="A5870" s="18">
        <v>4897.0</v>
      </c>
      <c r="B5870" s="18" t="s">
        <v>30</v>
      </c>
      <c r="C5870" s="18" t="s">
        <v>34</v>
      </c>
      <c r="D5870" s="18" t="s">
        <v>35</v>
      </c>
      <c r="E5870" s="27">
        <v>42565.750763888886</v>
      </c>
      <c r="F5870" s="19">
        <f>IFERROR(__xludf.DUMMYFUNCTION("IFERROR(TO_DATE(E5870), """")"),42565.750763888886)</f>
        <v>42565.75076</v>
      </c>
      <c r="G5870" s="20">
        <f t="shared" si="1"/>
        <v>18</v>
      </c>
      <c r="H5870" s="18" t="s">
        <v>34</v>
      </c>
      <c r="I5870" s="19" t="str">
        <f>IFERROR(__xludf.DUMMYFUNCTION("IFERROR(TO_DATE(H5870), """")"),"NA")</f>
        <v>NA</v>
      </c>
      <c r="J5870" s="19" t="s">
        <v>12</v>
      </c>
      <c r="K5870" s="22">
        <f t="shared" si="2"/>
        <v>0</v>
      </c>
    </row>
    <row r="5871">
      <c r="A5871" s="18">
        <v>4910.0</v>
      </c>
      <c r="B5871" s="18" t="s">
        <v>30</v>
      </c>
      <c r="C5871" s="18" t="s">
        <v>34</v>
      </c>
      <c r="D5871" s="18" t="s">
        <v>35</v>
      </c>
      <c r="E5871" s="27">
        <v>42565.75163194445</v>
      </c>
      <c r="F5871" s="19">
        <f>IFERROR(__xludf.DUMMYFUNCTION("IFERROR(TO_DATE(E5871), """")"),42565.75163194445)</f>
        <v>42565.75163</v>
      </c>
      <c r="G5871" s="20">
        <f t="shared" si="1"/>
        <v>18</v>
      </c>
      <c r="H5871" s="18" t="s">
        <v>34</v>
      </c>
      <c r="I5871" s="19" t="str">
        <f>IFERROR(__xludf.DUMMYFUNCTION("IFERROR(TO_DATE(H5871), """")"),"NA")</f>
        <v>NA</v>
      </c>
      <c r="J5871" s="19" t="s">
        <v>12</v>
      </c>
      <c r="K5871" s="22">
        <f t="shared" si="2"/>
        <v>0</v>
      </c>
    </row>
    <row r="5872">
      <c r="A5872" s="18">
        <v>4900.0</v>
      </c>
      <c r="B5872" s="18" t="s">
        <v>30</v>
      </c>
      <c r="C5872" s="18" t="s">
        <v>34</v>
      </c>
      <c r="D5872" s="18" t="s">
        <v>35</v>
      </c>
      <c r="E5872" s="27">
        <v>42565.7528125</v>
      </c>
      <c r="F5872" s="19">
        <f>IFERROR(__xludf.DUMMYFUNCTION("IFERROR(TO_DATE(E5872), """")"),42565.7528125)</f>
        <v>42565.75281</v>
      </c>
      <c r="G5872" s="20">
        <f t="shared" si="1"/>
        <v>18</v>
      </c>
      <c r="H5872" s="18" t="s">
        <v>34</v>
      </c>
      <c r="I5872" s="19" t="str">
        <f>IFERROR(__xludf.DUMMYFUNCTION("IFERROR(TO_DATE(H5872), """")"),"NA")</f>
        <v>NA</v>
      </c>
      <c r="J5872" s="19" t="s">
        <v>12</v>
      </c>
      <c r="K5872" s="22">
        <f t="shared" si="2"/>
        <v>0</v>
      </c>
    </row>
    <row r="5873">
      <c r="A5873" s="18">
        <v>4894.0</v>
      </c>
      <c r="B5873" s="18" t="s">
        <v>30</v>
      </c>
      <c r="C5873" s="18" t="s">
        <v>34</v>
      </c>
      <c r="D5873" s="18" t="s">
        <v>35</v>
      </c>
      <c r="E5873" s="27">
        <v>42565.7534375</v>
      </c>
      <c r="F5873" s="19">
        <f>IFERROR(__xludf.DUMMYFUNCTION("IFERROR(TO_DATE(E5873), """")"),42565.7534375)</f>
        <v>42565.75344</v>
      </c>
      <c r="G5873" s="20">
        <f t="shared" si="1"/>
        <v>18</v>
      </c>
      <c r="H5873" s="18" t="s">
        <v>34</v>
      </c>
      <c r="I5873" s="19" t="str">
        <f>IFERROR(__xludf.DUMMYFUNCTION("IFERROR(TO_DATE(H5873), """")"),"NA")</f>
        <v>NA</v>
      </c>
      <c r="J5873" s="19" t="s">
        <v>12</v>
      </c>
      <c r="K5873" s="22">
        <f t="shared" si="2"/>
        <v>0</v>
      </c>
    </row>
    <row r="5874">
      <c r="A5874" s="18">
        <v>4895.0</v>
      </c>
      <c r="B5874" s="18" t="s">
        <v>30</v>
      </c>
      <c r="C5874" s="18" t="s">
        <v>34</v>
      </c>
      <c r="D5874" s="18" t="s">
        <v>35</v>
      </c>
      <c r="E5874" s="27">
        <v>42565.7546875</v>
      </c>
      <c r="F5874" s="19">
        <f>IFERROR(__xludf.DUMMYFUNCTION("IFERROR(TO_DATE(E5874), """")"),42565.7546875)</f>
        <v>42565.75469</v>
      </c>
      <c r="G5874" s="20">
        <f t="shared" si="1"/>
        <v>18</v>
      </c>
      <c r="H5874" s="18" t="s">
        <v>34</v>
      </c>
      <c r="I5874" s="19" t="str">
        <f>IFERROR(__xludf.DUMMYFUNCTION("IFERROR(TO_DATE(H5874), """")"),"NA")</f>
        <v>NA</v>
      </c>
      <c r="J5874" s="19" t="s">
        <v>12</v>
      </c>
      <c r="K5874" s="22">
        <f t="shared" si="2"/>
        <v>0</v>
      </c>
    </row>
    <row r="5875">
      <c r="A5875" s="18">
        <v>4914.0</v>
      </c>
      <c r="B5875" s="18" t="s">
        <v>30</v>
      </c>
      <c r="C5875" s="18" t="s">
        <v>34</v>
      </c>
      <c r="D5875" s="18" t="s">
        <v>35</v>
      </c>
      <c r="E5875" s="27">
        <v>42565.756944444445</v>
      </c>
      <c r="F5875" s="19">
        <f>IFERROR(__xludf.DUMMYFUNCTION("IFERROR(TO_DATE(E5875), """")"),42565.756944444445)</f>
        <v>42565.75694</v>
      </c>
      <c r="G5875" s="20">
        <f t="shared" si="1"/>
        <v>18</v>
      </c>
      <c r="H5875" s="18" t="s">
        <v>34</v>
      </c>
      <c r="I5875" s="19" t="str">
        <f>IFERROR(__xludf.DUMMYFUNCTION("IFERROR(TO_DATE(H5875), """")"),"NA")</f>
        <v>NA</v>
      </c>
      <c r="J5875" s="19" t="s">
        <v>12</v>
      </c>
      <c r="K5875" s="22">
        <f t="shared" si="2"/>
        <v>0</v>
      </c>
    </row>
    <row r="5876">
      <c r="A5876" s="18">
        <v>4907.0</v>
      </c>
      <c r="B5876" s="18" t="s">
        <v>30</v>
      </c>
      <c r="C5876" s="18" t="s">
        <v>34</v>
      </c>
      <c r="D5876" s="18" t="s">
        <v>35</v>
      </c>
      <c r="E5876" s="27">
        <v>42565.75708333333</v>
      </c>
      <c r="F5876" s="19">
        <f>IFERROR(__xludf.DUMMYFUNCTION("IFERROR(TO_DATE(E5876), """")"),42565.75708333333)</f>
        <v>42565.75708</v>
      </c>
      <c r="G5876" s="20">
        <f t="shared" si="1"/>
        <v>18</v>
      </c>
      <c r="H5876" s="18" t="s">
        <v>34</v>
      </c>
      <c r="I5876" s="19" t="str">
        <f>IFERROR(__xludf.DUMMYFUNCTION("IFERROR(TO_DATE(H5876), """")"),"NA")</f>
        <v>NA</v>
      </c>
      <c r="J5876" s="19" t="s">
        <v>12</v>
      </c>
      <c r="K5876" s="22">
        <f t="shared" si="2"/>
        <v>0</v>
      </c>
    </row>
    <row r="5877">
      <c r="A5877" s="18">
        <v>4903.0</v>
      </c>
      <c r="B5877" s="18" t="s">
        <v>30</v>
      </c>
      <c r="C5877" s="18" t="s">
        <v>34</v>
      </c>
      <c r="D5877" s="18" t="s">
        <v>35</v>
      </c>
      <c r="E5877" s="27">
        <v>42565.75728009259</v>
      </c>
      <c r="F5877" s="19">
        <f>IFERROR(__xludf.DUMMYFUNCTION("IFERROR(TO_DATE(E5877), """")"),42565.75728009259)</f>
        <v>42565.75728</v>
      </c>
      <c r="G5877" s="20">
        <f t="shared" si="1"/>
        <v>18</v>
      </c>
      <c r="H5877" s="18" t="s">
        <v>34</v>
      </c>
      <c r="I5877" s="19" t="str">
        <f>IFERROR(__xludf.DUMMYFUNCTION("IFERROR(TO_DATE(H5877), """")"),"NA")</f>
        <v>NA</v>
      </c>
      <c r="J5877" s="19" t="s">
        <v>12</v>
      </c>
      <c r="K5877" s="22">
        <f t="shared" si="2"/>
        <v>0</v>
      </c>
    </row>
    <row r="5878">
      <c r="A5878" s="18">
        <v>4913.0</v>
      </c>
      <c r="B5878" s="18" t="s">
        <v>30</v>
      </c>
      <c r="C5878" s="18" t="s">
        <v>34</v>
      </c>
      <c r="D5878" s="18" t="s">
        <v>35</v>
      </c>
      <c r="E5878" s="27">
        <v>42565.75747685185</v>
      </c>
      <c r="F5878" s="19">
        <f>IFERROR(__xludf.DUMMYFUNCTION("IFERROR(TO_DATE(E5878), """")"),42565.75747685185)</f>
        <v>42565.75748</v>
      </c>
      <c r="G5878" s="20">
        <f t="shared" si="1"/>
        <v>18</v>
      </c>
      <c r="H5878" s="18" t="s">
        <v>34</v>
      </c>
      <c r="I5878" s="19" t="str">
        <f>IFERROR(__xludf.DUMMYFUNCTION("IFERROR(TO_DATE(H5878), """")"),"NA")</f>
        <v>NA</v>
      </c>
      <c r="J5878" s="19" t="s">
        <v>12</v>
      </c>
      <c r="K5878" s="22">
        <f t="shared" si="2"/>
        <v>0</v>
      </c>
    </row>
    <row r="5879">
      <c r="A5879" s="18">
        <v>4912.0</v>
      </c>
      <c r="B5879" s="18" t="s">
        <v>30</v>
      </c>
      <c r="C5879" s="18" t="s">
        <v>34</v>
      </c>
      <c r="D5879" s="18" t="s">
        <v>35</v>
      </c>
      <c r="E5879" s="27">
        <v>42565.75780092592</v>
      </c>
      <c r="F5879" s="19">
        <f>IFERROR(__xludf.DUMMYFUNCTION("IFERROR(TO_DATE(E5879), """")"),42565.75780092592)</f>
        <v>42565.7578</v>
      </c>
      <c r="G5879" s="20">
        <f t="shared" si="1"/>
        <v>18</v>
      </c>
      <c r="H5879" s="18" t="s">
        <v>34</v>
      </c>
      <c r="I5879" s="19" t="str">
        <f>IFERROR(__xludf.DUMMYFUNCTION("IFERROR(TO_DATE(H5879), """")"),"NA")</f>
        <v>NA</v>
      </c>
      <c r="J5879" s="19" t="s">
        <v>12</v>
      </c>
      <c r="K5879" s="22">
        <f t="shared" si="2"/>
        <v>0</v>
      </c>
    </row>
    <row r="5880">
      <c r="A5880" s="18">
        <v>4917.0</v>
      </c>
      <c r="B5880" s="18" t="s">
        <v>30</v>
      </c>
      <c r="C5880" s="18" t="s">
        <v>34</v>
      </c>
      <c r="D5880" s="18" t="s">
        <v>35</v>
      </c>
      <c r="E5880" s="27">
        <v>42565.75939814815</v>
      </c>
      <c r="F5880" s="19">
        <f>IFERROR(__xludf.DUMMYFUNCTION("IFERROR(TO_DATE(E5880), """")"),42565.75939814815)</f>
        <v>42565.7594</v>
      </c>
      <c r="G5880" s="20">
        <f t="shared" si="1"/>
        <v>18</v>
      </c>
      <c r="H5880" s="18" t="s">
        <v>34</v>
      </c>
      <c r="I5880" s="19" t="str">
        <f>IFERROR(__xludf.DUMMYFUNCTION("IFERROR(TO_DATE(H5880), """")"),"NA")</f>
        <v>NA</v>
      </c>
      <c r="J5880" s="19" t="s">
        <v>12</v>
      </c>
      <c r="K5880" s="22">
        <f t="shared" si="2"/>
        <v>0</v>
      </c>
    </row>
    <row r="5881">
      <c r="A5881" s="18">
        <v>4918.0</v>
      </c>
      <c r="B5881" s="18" t="s">
        <v>30</v>
      </c>
      <c r="C5881" s="18" t="s">
        <v>34</v>
      </c>
      <c r="D5881" s="18" t="s">
        <v>35</v>
      </c>
      <c r="E5881" s="27">
        <v>42565.7602662037</v>
      </c>
      <c r="F5881" s="19">
        <f>IFERROR(__xludf.DUMMYFUNCTION("IFERROR(TO_DATE(E5881), """")"),42565.7602662037)</f>
        <v>42565.76027</v>
      </c>
      <c r="G5881" s="20">
        <f t="shared" si="1"/>
        <v>18</v>
      </c>
      <c r="H5881" s="18" t="s">
        <v>34</v>
      </c>
      <c r="I5881" s="19" t="str">
        <f>IFERROR(__xludf.DUMMYFUNCTION("IFERROR(TO_DATE(H5881), """")"),"NA")</f>
        <v>NA</v>
      </c>
      <c r="J5881" s="19" t="s">
        <v>12</v>
      </c>
      <c r="K5881" s="22">
        <f t="shared" si="2"/>
        <v>0</v>
      </c>
    </row>
    <row r="5882">
      <c r="A5882" s="18">
        <v>4923.0</v>
      </c>
      <c r="B5882" s="18" t="s">
        <v>30</v>
      </c>
      <c r="C5882" s="18" t="s">
        <v>34</v>
      </c>
      <c r="D5882" s="18" t="s">
        <v>35</v>
      </c>
      <c r="E5882" s="27">
        <v>42565.7605787037</v>
      </c>
      <c r="F5882" s="19">
        <f>IFERROR(__xludf.DUMMYFUNCTION("IFERROR(TO_DATE(E5882), """")"),42565.7605787037)</f>
        <v>42565.76058</v>
      </c>
      <c r="G5882" s="20">
        <f t="shared" si="1"/>
        <v>18</v>
      </c>
      <c r="H5882" s="18" t="s">
        <v>34</v>
      </c>
      <c r="I5882" s="19" t="str">
        <f>IFERROR(__xludf.DUMMYFUNCTION("IFERROR(TO_DATE(H5882), """")"),"NA")</f>
        <v>NA</v>
      </c>
      <c r="J5882" s="19" t="s">
        <v>12</v>
      </c>
      <c r="K5882" s="22">
        <f t="shared" si="2"/>
        <v>0</v>
      </c>
    </row>
    <row r="5883">
      <c r="A5883" s="18">
        <v>4916.0</v>
      </c>
      <c r="B5883" s="18" t="s">
        <v>30</v>
      </c>
      <c r="C5883" s="18" t="s">
        <v>34</v>
      </c>
      <c r="D5883" s="18" t="s">
        <v>35</v>
      </c>
      <c r="E5883" s="27">
        <v>42565.76063657407</v>
      </c>
      <c r="F5883" s="19">
        <f>IFERROR(__xludf.DUMMYFUNCTION("IFERROR(TO_DATE(E5883), """")"),42565.76063657407)</f>
        <v>42565.76064</v>
      </c>
      <c r="G5883" s="20">
        <f t="shared" si="1"/>
        <v>18</v>
      </c>
      <c r="H5883" s="18" t="s">
        <v>34</v>
      </c>
      <c r="I5883" s="19" t="str">
        <f>IFERROR(__xludf.DUMMYFUNCTION("IFERROR(TO_DATE(H5883), """")"),"NA")</f>
        <v>NA</v>
      </c>
      <c r="J5883" s="19" t="s">
        <v>12</v>
      </c>
      <c r="K5883" s="22">
        <f t="shared" si="2"/>
        <v>0</v>
      </c>
    </row>
    <row r="5884">
      <c r="A5884" s="18">
        <v>4924.0</v>
      </c>
      <c r="B5884" s="18" t="s">
        <v>30</v>
      </c>
      <c r="C5884" s="18" t="s">
        <v>34</v>
      </c>
      <c r="D5884" s="18" t="s">
        <v>35</v>
      </c>
      <c r="E5884" s="27">
        <v>42565.760925925926</v>
      </c>
      <c r="F5884" s="19">
        <f>IFERROR(__xludf.DUMMYFUNCTION("IFERROR(TO_DATE(E5884), """")"),42565.760925925926)</f>
        <v>42565.76093</v>
      </c>
      <c r="G5884" s="20">
        <f t="shared" si="1"/>
        <v>18</v>
      </c>
      <c r="H5884" s="18" t="s">
        <v>34</v>
      </c>
      <c r="I5884" s="19" t="str">
        <f>IFERROR(__xludf.DUMMYFUNCTION("IFERROR(TO_DATE(H5884), """")"),"NA")</f>
        <v>NA</v>
      </c>
      <c r="J5884" s="19" t="s">
        <v>12</v>
      </c>
      <c r="K5884" s="22">
        <f t="shared" si="2"/>
        <v>0</v>
      </c>
    </row>
    <row r="5885">
      <c r="A5885" s="18">
        <v>4920.0</v>
      </c>
      <c r="B5885" s="18" t="s">
        <v>30</v>
      </c>
      <c r="C5885" s="18" t="s">
        <v>34</v>
      </c>
      <c r="D5885" s="18" t="s">
        <v>35</v>
      </c>
      <c r="E5885" s="27">
        <v>42565.760983796295</v>
      </c>
      <c r="F5885" s="19">
        <f>IFERROR(__xludf.DUMMYFUNCTION("IFERROR(TO_DATE(E5885), """")"),42565.760983796295)</f>
        <v>42565.76098</v>
      </c>
      <c r="G5885" s="20">
        <f t="shared" si="1"/>
        <v>18</v>
      </c>
      <c r="H5885" s="18" t="s">
        <v>34</v>
      </c>
      <c r="I5885" s="19" t="str">
        <f>IFERROR(__xludf.DUMMYFUNCTION("IFERROR(TO_DATE(H5885), """")"),"NA")</f>
        <v>NA</v>
      </c>
      <c r="J5885" s="19" t="s">
        <v>12</v>
      </c>
      <c r="K5885" s="22">
        <f t="shared" si="2"/>
        <v>0</v>
      </c>
    </row>
    <row r="5886">
      <c r="A5886" s="18">
        <v>4922.0</v>
      </c>
      <c r="B5886" s="18" t="s">
        <v>30</v>
      </c>
      <c r="C5886" s="18" t="s">
        <v>34</v>
      </c>
      <c r="D5886" s="18" t="s">
        <v>35</v>
      </c>
      <c r="E5886" s="27">
        <v>42565.76138888889</v>
      </c>
      <c r="F5886" s="19">
        <f>IFERROR(__xludf.DUMMYFUNCTION("IFERROR(TO_DATE(E5886), """")"),42565.76138888889)</f>
        <v>42565.76139</v>
      </c>
      <c r="G5886" s="20">
        <f t="shared" si="1"/>
        <v>18</v>
      </c>
      <c r="H5886" s="18" t="s">
        <v>34</v>
      </c>
      <c r="I5886" s="19" t="str">
        <f>IFERROR(__xludf.DUMMYFUNCTION("IFERROR(TO_DATE(H5886), """")"),"NA")</f>
        <v>NA</v>
      </c>
      <c r="J5886" s="19" t="s">
        <v>12</v>
      </c>
      <c r="K5886" s="22">
        <f t="shared" si="2"/>
        <v>0</v>
      </c>
    </row>
    <row r="5887">
      <c r="A5887" s="18">
        <v>4927.0</v>
      </c>
      <c r="B5887" s="18" t="s">
        <v>30</v>
      </c>
      <c r="C5887" s="18" t="s">
        <v>34</v>
      </c>
      <c r="D5887" s="18" t="s">
        <v>35</v>
      </c>
      <c r="E5887" s="27">
        <v>42565.761608796296</v>
      </c>
      <c r="F5887" s="19">
        <f>IFERROR(__xludf.DUMMYFUNCTION("IFERROR(TO_DATE(E5887), """")"),42565.761608796296)</f>
        <v>42565.76161</v>
      </c>
      <c r="G5887" s="20">
        <f t="shared" si="1"/>
        <v>18</v>
      </c>
      <c r="H5887" s="18" t="s">
        <v>34</v>
      </c>
      <c r="I5887" s="19" t="str">
        <f>IFERROR(__xludf.DUMMYFUNCTION("IFERROR(TO_DATE(H5887), """")"),"NA")</f>
        <v>NA</v>
      </c>
      <c r="J5887" s="19" t="s">
        <v>12</v>
      </c>
      <c r="K5887" s="22">
        <f t="shared" si="2"/>
        <v>0</v>
      </c>
    </row>
    <row r="5888">
      <c r="A5888" s="18">
        <v>4925.0</v>
      </c>
      <c r="B5888" s="18" t="s">
        <v>30</v>
      </c>
      <c r="C5888" s="18" t="s">
        <v>34</v>
      </c>
      <c r="D5888" s="18" t="s">
        <v>35</v>
      </c>
      <c r="E5888" s="27">
        <v>42565.76207175926</v>
      </c>
      <c r="F5888" s="19">
        <f>IFERROR(__xludf.DUMMYFUNCTION("IFERROR(TO_DATE(E5888), """")"),42565.76207175926)</f>
        <v>42565.76207</v>
      </c>
      <c r="G5888" s="20">
        <f t="shared" si="1"/>
        <v>18</v>
      </c>
      <c r="H5888" s="18" t="s">
        <v>34</v>
      </c>
      <c r="I5888" s="19" t="str">
        <f>IFERROR(__xludf.DUMMYFUNCTION("IFERROR(TO_DATE(H5888), """")"),"NA")</f>
        <v>NA</v>
      </c>
      <c r="J5888" s="19" t="s">
        <v>12</v>
      </c>
      <c r="K5888" s="22">
        <f t="shared" si="2"/>
        <v>0</v>
      </c>
    </row>
    <row r="5889">
      <c r="A5889" s="18">
        <v>4934.0</v>
      </c>
      <c r="B5889" s="18" t="s">
        <v>30</v>
      </c>
      <c r="C5889" s="18" t="s">
        <v>34</v>
      </c>
      <c r="D5889" s="18" t="s">
        <v>35</v>
      </c>
      <c r="E5889" s="27">
        <v>42565.76226851852</v>
      </c>
      <c r="F5889" s="19">
        <f>IFERROR(__xludf.DUMMYFUNCTION("IFERROR(TO_DATE(E5889), """")"),42565.76226851852)</f>
        <v>42565.76227</v>
      </c>
      <c r="G5889" s="20">
        <f t="shared" si="1"/>
        <v>18</v>
      </c>
      <c r="H5889" s="18" t="s">
        <v>34</v>
      </c>
      <c r="I5889" s="19" t="str">
        <f>IFERROR(__xludf.DUMMYFUNCTION("IFERROR(TO_DATE(H5889), """")"),"NA")</f>
        <v>NA</v>
      </c>
      <c r="J5889" s="19" t="s">
        <v>12</v>
      </c>
      <c r="K5889" s="22">
        <f t="shared" si="2"/>
        <v>0</v>
      </c>
    </row>
    <row r="5890">
      <c r="A5890" s="18">
        <v>4930.0</v>
      </c>
      <c r="B5890" s="18" t="s">
        <v>30</v>
      </c>
      <c r="C5890" s="18" t="s">
        <v>34</v>
      </c>
      <c r="D5890" s="18" t="s">
        <v>35</v>
      </c>
      <c r="E5890" s="27">
        <v>42565.76547453704</v>
      </c>
      <c r="F5890" s="19">
        <f>IFERROR(__xludf.DUMMYFUNCTION("IFERROR(TO_DATE(E5890), """")"),42565.76547453704)</f>
        <v>42565.76547</v>
      </c>
      <c r="G5890" s="20">
        <f t="shared" si="1"/>
        <v>18</v>
      </c>
      <c r="H5890" s="18" t="s">
        <v>34</v>
      </c>
      <c r="I5890" s="19" t="str">
        <f>IFERROR(__xludf.DUMMYFUNCTION("IFERROR(TO_DATE(H5890), """")"),"NA")</f>
        <v>NA</v>
      </c>
      <c r="J5890" s="19" t="s">
        <v>12</v>
      </c>
      <c r="K5890" s="22">
        <f t="shared" si="2"/>
        <v>0</v>
      </c>
    </row>
    <row r="5891">
      <c r="A5891" s="18">
        <v>4935.0</v>
      </c>
      <c r="B5891" s="18" t="s">
        <v>30</v>
      </c>
      <c r="C5891" s="18" t="s">
        <v>34</v>
      </c>
      <c r="D5891" s="18" t="s">
        <v>35</v>
      </c>
      <c r="E5891" s="27">
        <v>42565.765497685185</v>
      </c>
      <c r="F5891" s="19">
        <f>IFERROR(__xludf.DUMMYFUNCTION("IFERROR(TO_DATE(E5891), """")"),42565.765497685185)</f>
        <v>42565.7655</v>
      </c>
      <c r="G5891" s="20">
        <f t="shared" si="1"/>
        <v>18</v>
      </c>
      <c r="H5891" s="18" t="s">
        <v>34</v>
      </c>
      <c r="I5891" s="19" t="str">
        <f>IFERROR(__xludf.DUMMYFUNCTION("IFERROR(TO_DATE(H5891), """")"),"NA")</f>
        <v>NA</v>
      </c>
      <c r="J5891" s="19" t="s">
        <v>12</v>
      </c>
      <c r="K5891" s="22">
        <f t="shared" si="2"/>
        <v>0</v>
      </c>
    </row>
    <row r="5892">
      <c r="A5892" s="18">
        <v>4946.0</v>
      </c>
      <c r="B5892" s="18" t="s">
        <v>30</v>
      </c>
      <c r="C5892" s="18" t="s">
        <v>34</v>
      </c>
      <c r="D5892" s="18" t="s">
        <v>35</v>
      </c>
      <c r="E5892" s="27">
        <v>42565.76782407407</v>
      </c>
      <c r="F5892" s="19">
        <f>IFERROR(__xludf.DUMMYFUNCTION("IFERROR(TO_DATE(E5892), """")"),42565.76782407407)</f>
        <v>42565.76782</v>
      </c>
      <c r="G5892" s="20">
        <f t="shared" si="1"/>
        <v>18</v>
      </c>
      <c r="H5892" s="18" t="s">
        <v>34</v>
      </c>
      <c r="I5892" s="19" t="str">
        <f>IFERROR(__xludf.DUMMYFUNCTION("IFERROR(TO_DATE(H5892), """")"),"NA")</f>
        <v>NA</v>
      </c>
      <c r="J5892" s="19" t="s">
        <v>12</v>
      </c>
      <c r="K5892" s="22">
        <f t="shared" si="2"/>
        <v>0</v>
      </c>
    </row>
    <row r="5893">
      <c r="A5893" s="18">
        <v>4942.0</v>
      </c>
      <c r="B5893" s="18" t="s">
        <v>30</v>
      </c>
      <c r="C5893" s="18" t="s">
        <v>34</v>
      </c>
      <c r="D5893" s="18" t="s">
        <v>35</v>
      </c>
      <c r="E5893" s="27">
        <v>42565.768159722225</v>
      </c>
      <c r="F5893" s="19">
        <f>IFERROR(__xludf.DUMMYFUNCTION("IFERROR(TO_DATE(E5893), """")"),42565.768159722225)</f>
        <v>42565.76816</v>
      </c>
      <c r="G5893" s="20">
        <f t="shared" si="1"/>
        <v>18</v>
      </c>
      <c r="H5893" s="18" t="s">
        <v>34</v>
      </c>
      <c r="I5893" s="19" t="str">
        <f>IFERROR(__xludf.DUMMYFUNCTION("IFERROR(TO_DATE(H5893), """")"),"NA")</f>
        <v>NA</v>
      </c>
      <c r="J5893" s="19" t="s">
        <v>12</v>
      </c>
      <c r="K5893" s="22">
        <f t="shared" si="2"/>
        <v>0</v>
      </c>
    </row>
    <row r="5894">
      <c r="A5894" s="18">
        <v>4939.0</v>
      </c>
      <c r="B5894" s="18" t="s">
        <v>30</v>
      </c>
      <c r="C5894" s="18" t="s">
        <v>34</v>
      </c>
      <c r="D5894" s="18" t="s">
        <v>35</v>
      </c>
      <c r="E5894" s="27">
        <v>42565.76988425926</v>
      </c>
      <c r="F5894" s="19">
        <f>IFERROR(__xludf.DUMMYFUNCTION("IFERROR(TO_DATE(E5894), """")"),42565.76988425926)</f>
        <v>42565.76988</v>
      </c>
      <c r="G5894" s="20">
        <f t="shared" si="1"/>
        <v>18</v>
      </c>
      <c r="H5894" s="18" t="s">
        <v>34</v>
      </c>
      <c r="I5894" s="19" t="str">
        <f>IFERROR(__xludf.DUMMYFUNCTION("IFERROR(TO_DATE(H5894), """")"),"NA")</f>
        <v>NA</v>
      </c>
      <c r="J5894" s="19" t="s">
        <v>12</v>
      </c>
      <c r="K5894" s="22">
        <f t="shared" si="2"/>
        <v>0</v>
      </c>
    </row>
    <row r="5895">
      <c r="A5895" s="18">
        <v>4945.0</v>
      </c>
      <c r="B5895" s="18" t="s">
        <v>30</v>
      </c>
      <c r="C5895" s="18" t="s">
        <v>34</v>
      </c>
      <c r="D5895" s="18" t="s">
        <v>35</v>
      </c>
      <c r="E5895" s="27">
        <v>42565.77054398148</v>
      </c>
      <c r="F5895" s="19">
        <f>IFERROR(__xludf.DUMMYFUNCTION("IFERROR(TO_DATE(E5895), """")"),42565.77054398148)</f>
        <v>42565.77054</v>
      </c>
      <c r="G5895" s="20">
        <f t="shared" si="1"/>
        <v>18</v>
      </c>
      <c r="H5895" s="18" t="s">
        <v>34</v>
      </c>
      <c r="I5895" s="19" t="str">
        <f>IFERROR(__xludf.DUMMYFUNCTION("IFERROR(TO_DATE(H5895), """")"),"NA")</f>
        <v>NA</v>
      </c>
      <c r="J5895" s="19" t="s">
        <v>12</v>
      </c>
      <c r="K5895" s="22">
        <f t="shared" si="2"/>
        <v>0</v>
      </c>
    </row>
    <row r="5896">
      <c r="A5896" s="18">
        <v>4952.0</v>
      </c>
      <c r="B5896" s="18" t="s">
        <v>30</v>
      </c>
      <c r="C5896" s="18" t="s">
        <v>34</v>
      </c>
      <c r="D5896" s="18" t="s">
        <v>35</v>
      </c>
      <c r="E5896" s="27">
        <v>42565.77064814815</v>
      </c>
      <c r="F5896" s="19">
        <f>IFERROR(__xludf.DUMMYFUNCTION("IFERROR(TO_DATE(E5896), """")"),42565.77064814815)</f>
        <v>42565.77065</v>
      </c>
      <c r="G5896" s="20">
        <f t="shared" si="1"/>
        <v>18</v>
      </c>
      <c r="H5896" s="18" t="s">
        <v>34</v>
      </c>
      <c r="I5896" s="19" t="str">
        <f>IFERROR(__xludf.DUMMYFUNCTION("IFERROR(TO_DATE(H5896), """")"),"NA")</f>
        <v>NA</v>
      </c>
      <c r="J5896" s="19" t="s">
        <v>12</v>
      </c>
      <c r="K5896" s="22">
        <f t="shared" si="2"/>
        <v>0</v>
      </c>
    </row>
    <row r="5897">
      <c r="A5897" s="18">
        <v>4956.0</v>
      </c>
      <c r="B5897" s="18" t="s">
        <v>30</v>
      </c>
      <c r="C5897" s="18" t="s">
        <v>34</v>
      </c>
      <c r="D5897" s="18" t="s">
        <v>35</v>
      </c>
      <c r="E5897" s="27">
        <v>42565.771053240744</v>
      </c>
      <c r="F5897" s="19">
        <f>IFERROR(__xludf.DUMMYFUNCTION("IFERROR(TO_DATE(E5897), """")"),42565.771053240744)</f>
        <v>42565.77105</v>
      </c>
      <c r="G5897" s="20">
        <f t="shared" si="1"/>
        <v>18</v>
      </c>
      <c r="H5897" s="18" t="s">
        <v>34</v>
      </c>
      <c r="I5897" s="19" t="str">
        <f>IFERROR(__xludf.DUMMYFUNCTION("IFERROR(TO_DATE(H5897), """")"),"NA")</f>
        <v>NA</v>
      </c>
      <c r="J5897" s="19" t="s">
        <v>12</v>
      </c>
      <c r="K5897" s="22">
        <f t="shared" si="2"/>
        <v>0</v>
      </c>
    </row>
    <row r="5898">
      <c r="A5898" s="18">
        <v>4947.0</v>
      </c>
      <c r="B5898" s="18" t="s">
        <v>30</v>
      </c>
      <c r="C5898" s="18" t="s">
        <v>34</v>
      </c>
      <c r="D5898" s="18" t="s">
        <v>35</v>
      </c>
      <c r="E5898" s="27">
        <v>42565.77148148148</v>
      </c>
      <c r="F5898" s="19">
        <f>IFERROR(__xludf.DUMMYFUNCTION("IFERROR(TO_DATE(E5898), """")"),42565.77148148148)</f>
        <v>42565.77148</v>
      </c>
      <c r="G5898" s="20">
        <f t="shared" si="1"/>
        <v>18</v>
      </c>
      <c r="H5898" s="18" t="s">
        <v>34</v>
      </c>
      <c r="I5898" s="19" t="str">
        <f>IFERROR(__xludf.DUMMYFUNCTION("IFERROR(TO_DATE(H5898), """")"),"NA")</f>
        <v>NA</v>
      </c>
      <c r="J5898" s="19" t="s">
        <v>12</v>
      </c>
      <c r="K5898" s="22">
        <f t="shared" si="2"/>
        <v>0</v>
      </c>
    </row>
    <row r="5899">
      <c r="A5899" s="18">
        <v>4955.0</v>
      </c>
      <c r="B5899" s="18" t="s">
        <v>30</v>
      </c>
      <c r="C5899" s="18" t="s">
        <v>34</v>
      </c>
      <c r="D5899" s="18" t="s">
        <v>35</v>
      </c>
      <c r="E5899" s="27">
        <v>42565.7716087963</v>
      </c>
      <c r="F5899" s="19">
        <f>IFERROR(__xludf.DUMMYFUNCTION("IFERROR(TO_DATE(E5899), """")"),42565.7716087963)</f>
        <v>42565.77161</v>
      </c>
      <c r="G5899" s="20">
        <f t="shared" si="1"/>
        <v>18</v>
      </c>
      <c r="H5899" s="18" t="s">
        <v>34</v>
      </c>
      <c r="I5899" s="19" t="str">
        <f>IFERROR(__xludf.DUMMYFUNCTION("IFERROR(TO_DATE(H5899), """")"),"NA")</f>
        <v>NA</v>
      </c>
      <c r="J5899" s="19" t="s">
        <v>12</v>
      </c>
      <c r="K5899" s="22">
        <f t="shared" si="2"/>
        <v>0</v>
      </c>
    </row>
    <row r="5900">
      <c r="A5900" s="18">
        <v>4959.0</v>
      </c>
      <c r="B5900" s="18" t="s">
        <v>30</v>
      </c>
      <c r="C5900" s="18" t="s">
        <v>34</v>
      </c>
      <c r="D5900" s="18" t="s">
        <v>35</v>
      </c>
      <c r="E5900" s="27">
        <v>42565.772569444445</v>
      </c>
      <c r="F5900" s="19">
        <f>IFERROR(__xludf.DUMMYFUNCTION("IFERROR(TO_DATE(E5900), """")"),42565.772569444445)</f>
        <v>42565.77257</v>
      </c>
      <c r="G5900" s="20">
        <f t="shared" si="1"/>
        <v>18</v>
      </c>
      <c r="H5900" s="18" t="s">
        <v>34</v>
      </c>
      <c r="I5900" s="19" t="str">
        <f>IFERROR(__xludf.DUMMYFUNCTION("IFERROR(TO_DATE(H5900), """")"),"NA")</f>
        <v>NA</v>
      </c>
      <c r="J5900" s="19" t="s">
        <v>12</v>
      </c>
      <c r="K5900" s="22">
        <f t="shared" si="2"/>
        <v>0</v>
      </c>
    </row>
    <row r="5901">
      <c r="A5901" s="18">
        <v>4962.0</v>
      </c>
      <c r="B5901" s="18" t="s">
        <v>30</v>
      </c>
      <c r="C5901" s="18" t="s">
        <v>34</v>
      </c>
      <c r="D5901" s="18" t="s">
        <v>35</v>
      </c>
      <c r="E5901" s="27">
        <v>42565.77342592592</v>
      </c>
      <c r="F5901" s="19">
        <f>IFERROR(__xludf.DUMMYFUNCTION("IFERROR(TO_DATE(E5901), """")"),42565.77342592592)</f>
        <v>42565.77343</v>
      </c>
      <c r="G5901" s="20">
        <f t="shared" si="1"/>
        <v>18</v>
      </c>
      <c r="H5901" s="18" t="s">
        <v>34</v>
      </c>
      <c r="I5901" s="19" t="str">
        <f>IFERROR(__xludf.DUMMYFUNCTION("IFERROR(TO_DATE(H5901), """")"),"NA")</f>
        <v>NA</v>
      </c>
      <c r="J5901" s="19" t="s">
        <v>12</v>
      </c>
      <c r="K5901" s="22">
        <f t="shared" si="2"/>
        <v>0</v>
      </c>
    </row>
    <row r="5902">
      <c r="A5902" s="18">
        <v>4961.0</v>
      </c>
      <c r="B5902" s="18" t="s">
        <v>30</v>
      </c>
      <c r="C5902" s="18" t="s">
        <v>34</v>
      </c>
      <c r="D5902" s="18" t="s">
        <v>35</v>
      </c>
      <c r="E5902" s="27">
        <v>42565.774143518516</v>
      </c>
      <c r="F5902" s="19">
        <f>IFERROR(__xludf.DUMMYFUNCTION("IFERROR(TO_DATE(E5902), """")"),42565.774143518516)</f>
        <v>42565.77414</v>
      </c>
      <c r="G5902" s="20">
        <f t="shared" si="1"/>
        <v>18</v>
      </c>
      <c r="H5902" s="18" t="s">
        <v>34</v>
      </c>
      <c r="I5902" s="19" t="str">
        <f>IFERROR(__xludf.DUMMYFUNCTION("IFERROR(TO_DATE(H5902), """")"),"NA")</f>
        <v>NA</v>
      </c>
      <c r="J5902" s="19" t="s">
        <v>12</v>
      </c>
      <c r="K5902" s="22">
        <f t="shared" si="2"/>
        <v>0</v>
      </c>
    </row>
    <row r="5903">
      <c r="A5903" s="18">
        <v>4957.0</v>
      </c>
      <c r="B5903" s="18" t="s">
        <v>30</v>
      </c>
      <c r="C5903" s="18" t="s">
        <v>34</v>
      </c>
      <c r="D5903" s="18" t="s">
        <v>35</v>
      </c>
      <c r="E5903" s="27">
        <v>42565.77416666667</v>
      </c>
      <c r="F5903" s="19">
        <f>IFERROR(__xludf.DUMMYFUNCTION("IFERROR(TO_DATE(E5903), """")"),42565.77416666667)</f>
        <v>42565.77417</v>
      </c>
      <c r="G5903" s="20">
        <f t="shared" si="1"/>
        <v>18</v>
      </c>
      <c r="H5903" s="18" t="s">
        <v>34</v>
      </c>
      <c r="I5903" s="19" t="str">
        <f>IFERROR(__xludf.DUMMYFUNCTION("IFERROR(TO_DATE(H5903), """")"),"NA")</f>
        <v>NA</v>
      </c>
      <c r="J5903" s="19" t="s">
        <v>12</v>
      </c>
      <c r="K5903" s="22">
        <f t="shared" si="2"/>
        <v>0</v>
      </c>
    </row>
    <row r="5904">
      <c r="A5904" s="18">
        <v>4960.0</v>
      </c>
      <c r="B5904" s="18" t="s">
        <v>30</v>
      </c>
      <c r="C5904" s="18" t="s">
        <v>34</v>
      </c>
      <c r="D5904" s="18" t="s">
        <v>35</v>
      </c>
      <c r="E5904" s="27">
        <v>42565.775</v>
      </c>
      <c r="F5904" s="19">
        <f>IFERROR(__xludf.DUMMYFUNCTION("IFERROR(TO_DATE(E5904), """")"),42565.775)</f>
        <v>42565.775</v>
      </c>
      <c r="G5904" s="20">
        <f t="shared" si="1"/>
        <v>18</v>
      </c>
      <c r="H5904" s="18" t="s">
        <v>34</v>
      </c>
      <c r="I5904" s="19" t="str">
        <f>IFERROR(__xludf.DUMMYFUNCTION("IFERROR(TO_DATE(H5904), """")"),"NA")</f>
        <v>NA</v>
      </c>
      <c r="J5904" s="19" t="s">
        <v>12</v>
      </c>
      <c r="K5904" s="22">
        <f t="shared" si="2"/>
        <v>0</v>
      </c>
    </row>
    <row r="5905">
      <c r="A5905" s="18">
        <v>4953.0</v>
      </c>
      <c r="B5905" s="18" t="s">
        <v>30</v>
      </c>
      <c r="C5905" s="18" t="s">
        <v>34</v>
      </c>
      <c r="D5905" s="18" t="s">
        <v>35</v>
      </c>
      <c r="E5905" s="27">
        <v>42565.77517361111</v>
      </c>
      <c r="F5905" s="19">
        <f>IFERROR(__xludf.DUMMYFUNCTION("IFERROR(TO_DATE(E5905), """")"),42565.77517361111)</f>
        <v>42565.77517</v>
      </c>
      <c r="G5905" s="20">
        <f t="shared" si="1"/>
        <v>18</v>
      </c>
      <c r="H5905" s="18" t="s">
        <v>34</v>
      </c>
      <c r="I5905" s="19" t="str">
        <f>IFERROR(__xludf.DUMMYFUNCTION("IFERROR(TO_DATE(H5905), """")"),"NA")</f>
        <v>NA</v>
      </c>
      <c r="J5905" s="19" t="s">
        <v>12</v>
      </c>
      <c r="K5905" s="22">
        <f t="shared" si="2"/>
        <v>0</v>
      </c>
    </row>
    <row r="5906">
      <c r="A5906" s="18">
        <v>4951.0</v>
      </c>
      <c r="B5906" s="18" t="s">
        <v>30</v>
      </c>
      <c r="C5906" s="18" t="s">
        <v>34</v>
      </c>
      <c r="D5906" s="18" t="s">
        <v>35</v>
      </c>
      <c r="E5906" s="27">
        <v>42565.775289351855</v>
      </c>
      <c r="F5906" s="19">
        <f>IFERROR(__xludf.DUMMYFUNCTION("IFERROR(TO_DATE(E5906), """")"),42565.775289351855)</f>
        <v>42565.77529</v>
      </c>
      <c r="G5906" s="20">
        <f t="shared" si="1"/>
        <v>18</v>
      </c>
      <c r="H5906" s="18" t="s">
        <v>34</v>
      </c>
      <c r="I5906" s="19" t="str">
        <f>IFERROR(__xludf.DUMMYFUNCTION("IFERROR(TO_DATE(H5906), """")"),"NA")</f>
        <v>NA</v>
      </c>
      <c r="J5906" s="19" t="s">
        <v>12</v>
      </c>
      <c r="K5906" s="22">
        <f t="shared" si="2"/>
        <v>0</v>
      </c>
    </row>
    <row r="5907">
      <c r="A5907" s="18">
        <v>4967.0</v>
      </c>
      <c r="B5907" s="18" t="s">
        <v>30</v>
      </c>
      <c r="C5907" s="18" t="s">
        <v>34</v>
      </c>
      <c r="D5907" s="18" t="s">
        <v>35</v>
      </c>
      <c r="E5907" s="27">
        <v>42565.775416666664</v>
      </c>
      <c r="F5907" s="19">
        <f>IFERROR(__xludf.DUMMYFUNCTION("IFERROR(TO_DATE(E5907), """")"),42565.775416666664)</f>
        <v>42565.77542</v>
      </c>
      <c r="G5907" s="20">
        <f t="shared" si="1"/>
        <v>18</v>
      </c>
      <c r="H5907" s="18" t="s">
        <v>34</v>
      </c>
      <c r="I5907" s="19" t="str">
        <f>IFERROR(__xludf.DUMMYFUNCTION("IFERROR(TO_DATE(H5907), """")"),"NA")</f>
        <v>NA</v>
      </c>
      <c r="J5907" s="19" t="s">
        <v>12</v>
      </c>
      <c r="K5907" s="22">
        <f t="shared" si="2"/>
        <v>0</v>
      </c>
    </row>
    <row r="5908">
      <c r="A5908" s="18">
        <v>4954.0</v>
      </c>
      <c r="B5908" s="18" t="s">
        <v>30</v>
      </c>
      <c r="C5908" s="18" t="s">
        <v>34</v>
      </c>
      <c r="D5908" s="18" t="s">
        <v>35</v>
      </c>
      <c r="E5908" s="27">
        <v>42565.77599537037</v>
      </c>
      <c r="F5908" s="19">
        <f>IFERROR(__xludf.DUMMYFUNCTION("IFERROR(TO_DATE(E5908), """")"),42565.77599537037)</f>
        <v>42565.776</v>
      </c>
      <c r="G5908" s="20">
        <f t="shared" si="1"/>
        <v>18</v>
      </c>
      <c r="H5908" s="18" t="s">
        <v>34</v>
      </c>
      <c r="I5908" s="19" t="str">
        <f>IFERROR(__xludf.DUMMYFUNCTION("IFERROR(TO_DATE(H5908), """")"),"NA")</f>
        <v>NA</v>
      </c>
      <c r="J5908" s="19" t="s">
        <v>12</v>
      </c>
      <c r="K5908" s="22">
        <f t="shared" si="2"/>
        <v>0</v>
      </c>
    </row>
    <row r="5909">
      <c r="A5909" s="18">
        <v>4965.0</v>
      </c>
      <c r="B5909" s="18" t="s">
        <v>30</v>
      </c>
      <c r="C5909" s="18" t="s">
        <v>34</v>
      </c>
      <c r="D5909" s="18" t="s">
        <v>35</v>
      </c>
      <c r="E5909" s="27">
        <v>42565.776400462964</v>
      </c>
      <c r="F5909" s="19">
        <f>IFERROR(__xludf.DUMMYFUNCTION("IFERROR(TO_DATE(E5909), """")"),42565.776400462964)</f>
        <v>42565.7764</v>
      </c>
      <c r="G5909" s="20">
        <f t="shared" si="1"/>
        <v>18</v>
      </c>
      <c r="H5909" s="18" t="s">
        <v>34</v>
      </c>
      <c r="I5909" s="19" t="str">
        <f>IFERROR(__xludf.DUMMYFUNCTION("IFERROR(TO_DATE(H5909), """")"),"NA")</f>
        <v>NA</v>
      </c>
      <c r="J5909" s="19" t="s">
        <v>12</v>
      </c>
      <c r="K5909" s="22">
        <f t="shared" si="2"/>
        <v>0</v>
      </c>
    </row>
    <row r="5910">
      <c r="A5910" s="18">
        <v>4972.0</v>
      </c>
      <c r="B5910" s="18" t="s">
        <v>30</v>
      </c>
      <c r="C5910" s="18" t="s">
        <v>34</v>
      </c>
      <c r="D5910" s="18" t="s">
        <v>35</v>
      </c>
      <c r="E5910" s="27">
        <v>42565.78072916667</v>
      </c>
      <c r="F5910" s="19">
        <f>IFERROR(__xludf.DUMMYFUNCTION("IFERROR(TO_DATE(E5910), """")"),42565.78072916667)</f>
        <v>42565.78073</v>
      </c>
      <c r="G5910" s="20">
        <f t="shared" si="1"/>
        <v>18</v>
      </c>
      <c r="H5910" s="18" t="s">
        <v>34</v>
      </c>
      <c r="I5910" s="19" t="str">
        <f>IFERROR(__xludf.DUMMYFUNCTION("IFERROR(TO_DATE(H5910), """")"),"NA")</f>
        <v>NA</v>
      </c>
      <c r="J5910" s="19" t="s">
        <v>12</v>
      </c>
      <c r="K5910" s="22">
        <f t="shared" si="2"/>
        <v>0</v>
      </c>
    </row>
    <row r="5911">
      <c r="A5911" s="18">
        <v>4983.0</v>
      </c>
      <c r="B5911" s="18" t="s">
        <v>32</v>
      </c>
      <c r="C5911" s="18" t="s">
        <v>34</v>
      </c>
      <c r="D5911" s="18" t="s">
        <v>35</v>
      </c>
      <c r="E5911" s="27">
        <v>42565.78074074074</v>
      </c>
      <c r="F5911" s="19">
        <f>IFERROR(__xludf.DUMMYFUNCTION("IFERROR(TO_DATE(E5911), """")"),42565.78074074074)</f>
        <v>42565.78074</v>
      </c>
      <c r="G5911" s="20">
        <f t="shared" si="1"/>
        <v>18</v>
      </c>
      <c r="H5911" s="18" t="s">
        <v>34</v>
      </c>
      <c r="I5911" s="19" t="str">
        <f>IFERROR(__xludf.DUMMYFUNCTION("IFERROR(TO_DATE(H5911), """")"),"NA")</f>
        <v>NA</v>
      </c>
      <c r="J5911" s="19" t="s">
        <v>12</v>
      </c>
      <c r="K5911" s="22">
        <f t="shared" si="2"/>
        <v>0</v>
      </c>
    </row>
    <row r="5912">
      <c r="A5912" s="18">
        <v>4989.0</v>
      </c>
      <c r="B5912" s="18" t="s">
        <v>30</v>
      </c>
      <c r="C5912" s="18" t="s">
        <v>34</v>
      </c>
      <c r="D5912" s="18" t="s">
        <v>35</v>
      </c>
      <c r="E5912" s="27">
        <v>42565.78138888889</v>
      </c>
      <c r="F5912" s="19">
        <f>IFERROR(__xludf.DUMMYFUNCTION("IFERROR(TO_DATE(E5912), """")"),42565.78138888889)</f>
        <v>42565.78139</v>
      </c>
      <c r="G5912" s="20">
        <f t="shared" si="1"/>
        <v>18</v>
      </c>
      <c r="H5912" s="18" t="s">
        <v>34</v>
      </c>
      <c r="I5912" s="19" t="str">
        <f>IFERROR(__xludf.DUMMYFUNCTION("IFERROR(TO_DATE(H5912), """")"),"NA")</f>
        <v>NA</v>
      </c>
      <c r="J5912" s="19" t="s">
        <v>12</v>
      </c>
      <c r="K5912" s="22">
        <f t="shared" si="2"/>
        <v>0</v>
      </c>
    </row>
    <row r="5913">
      <c r="A5913" s="18">
        <v>4973.0</v>
      </c>
      <c r="B5913" s="18" t="s">
        <v>30</v>
      </c>
      <c r="C5913" s="18" t="s">
        <v>34</v>
      </c>
      <c r="D5913" s="18" t="s">
        <v>35</v>
      </c>
      <c r="E5913" s="27">
        <v>42565.78144675926</v>
      </c>
      <c r="F5913" s="19">
        <f>IFERROR(__xludf.DUMMYFUNCTION("IFERROR(TO_DATE(E5913), """")"),42565.78144675926)</f>
        <v>42565.78145</v>
      </c>
      <c r="G5913" s="20">
        <f t="shared" si="1"/>
        <v>18</v>
      </c>
      <c r="H5913" s="18" t="s">
        <v>34</v>
      </c>
      <c r="I5913" s="19" t="str">
        <f>IFERROR(__xludf.DUMMYFUNCTION("IFERROR(TO_DATE(H5913), """")"),"NA")</f>
        <v>NA</v>
      </c>
      <c r="J5913" s="19" t="s">
        <v>12</v>
      </c>
      <c r="K5913" s="22">
        <f t="shared" si="2"/>
        <v>0</v>
      </c>
    </row>
    <row r="5914">
      <c r="A5914" s="18">
        <v>4980.0</v>
      </c>
      <c r="B5914" s="18" t="s">
        <v>30</v>
      </c>
      <c r="C5914" s="18" t="s">
        <v>34</v>
      </c>
      <c r="D5914" s="18" t="s">
        <v>35</v>
      </c>
      <c r="E5914" s="27">
        <v>42565.78289351852</v>
      </c>
      <c r="F5914" s="19">
        <f>IFERROR(__xludf.DUMMYFUNCTION("IFERROR(TO_DATE(E5914), """")"),42565.78289351852)</f>
        <v>42565.78289</v>
      </c>
      <c r="G5914" s="20">
        <f t="shared" si="1"/>
        <v>18</v>
      </c>
      <c r="H5914" s="18" t="s">
        <v>34</v>
      </c>
      <c r="I5914" s="19" t="str">
        <f>IFERROR(__xludf.DUMMYFUNCTION("IFERROR(TO_DATE(H5914), """")"),"NA")</f>
        <v>NA</v>
      </c>
      <c r="J5914" s="19" t="s">
        <v>12</v>
      </c>
      <c r="K5914" s="22">
        <f t="shared" si="2"/>
        <v>0</v>
      </c>
    </row>
    <row r="5915">
      <c r="A5915" s="18">
        <v>4982.0</v>
      </c>
      <c r="B5915" s="18" t="s">
        <v>30</v>
      </c>
      <c r="C5915" s="18" t="s">
        <v>34</v>
      </c>
      <c r="D5915" s="18" t="s">
        <v>35</v>
      </c>
      <c r="E5915" s="27">
        <v>42565.782905092594</v>
      </c>
      <c r="F5915" s="19">
        <f>IFERROR(__xludf.DUMMYFUNCTION("IFERROR(TO_DATE(E5915), """")"),42565.782905092594)</f>
        <v>42565.78291</v>
      </c>
      <c r="G5915" s="20">
        <f t="shared" si="1"/>
        <v>18</v>
      </c>
      <c r="H5915" s="18" t="s">
        <v>34</v>
      </c>
      <c r="I5915" s="19" t="str">
        <f>IFERROR(__xludf.DUMMYFUNCTION("IFERROR(TO_DATE(H5915), """")"),"NA")</f>
        <v>NA</v>
      </c>
      <c r="J5915" s="19" t="s">
        <v>12</v>
      </c>
      <c r="K5915" s="22">
        <f t="shared" si="2"/>
        <v>0</v>
      </c>
    </row>
    <row r="5916">
      <c r="A5916" s="18">
        <v>4970.0</v>
      </c>
      <c r="B5916" s="18" t="s">
        <v>30</v>
      </c>
      <c r="C5916" s="18" t="s">
        <v>34</v>
      </c>
      <c r="D5916" s="18" t="s">
        <v>35</v>
      </c>
      <c r="E5916" s="27">
        <v>42565.78306712963</v>
      </c>
      <c r="F5916" s="19">
        <f>IFERROR(__xludf.DUMMYFUNCTION("IFERROR(TO_DATE(E5916), """")"),42565.78306712963)</f>
        <v>42565.78307</v>
      </c>
      <c r="G5916" s="20">
        <f t="shared" si="1"/>
        <v>18</v>
      </c>
      <c r="H5916" s="18" t="s">
        <v>34</v>
      </c>
      <c r="I5916" s="19" t="str">
        <f>IFERROR(__xludf.DUMMYFUNCTION("IFERROR(TO_DATE(H5916), """")"),"NA")</f>
        <v>NA</v>
      </c>
      <c r="J5916" s="19" t="s">
        <v>12</v>
      </c>
      <c r="K5916" s="22">
        <f t="shared" si="2"/>
        <v>0</v>
      </c>
    </row>
    <row r="5917">
      <c r="A5917" s="18">
        <v>4984.0</v>
      </c>
      <c r="B5917" s="18" t="s">
        <v>30</v>
      </c>
      <c r="C5917" s="18" t="s">
        <v>34</v>
      </c>
      <c r="D5917" s="18" t="s">
        <v>35</v>
      </c>
      <c r="E5917" s="27">
        <v>42565.78365740741</v>
      </c>
      <c r="F5917" s="19">
        <f>IFERROR(__xludf.DUMMYFUNCTION("IFERROR(TO_DATE(E5917), """")"),42565.78365740741)</f>
        <v>42565.78366</v>
      </c>
      <c r="G5917" s="20">
        <f t="shared" si="1"/>
        <v>18</v>
      </c>
      <c r="H5917" s="18" t="s">
        <v>34</v>
      </c>
      <c r="I5917" s="19" t="str">
        <f>IFERROR(__xludf.DUMMYFUNCTION("IFERROR(TO_DATE(H5917), """")"),"NA")</f>
        <v>NA</v>
      </c>
      <c r="J5917" s="19" t="s">
        <v>12</v>
      </c>
      <c r="K5917" s="22">
        <f t="shared" si="2"/>
        <v>0</v>
      </c>
    </row>
    <row r="5918">
      <c r="A5918" s="18">
        <v>4990.0</v>
      </c>
      <c r="B5918" s="18" t="s">
        <v>30</v>
      </c>
      <c r="C5918" s="18" t="s">
        <v>34</v>
      </c>
      <c r="D5918" s="18" t="s">
        <v>35</v>
      </c>
      <c r="E5918" s="27">
        <v>42565.78375</v>
      </c>
      <c r="F5918" s="19">
        <f>IFERROR(__xludf.DUMMYFUNCTION("IFERROR(TO_DATE(E5918), """")"),42565.78375)</f>
        <v>42565.78375</v>
      </c>
      <c r="G5918" s="20">
        <f t="shared" si="1"/>
        <v>18</v>
      </c>
      <c r="H5918" s="18" t="s">
        <v>34</v>
      </c>
      <c r="I5918" s="19" t="str">
        <f>IFERROR(__xludf.DUMMYFUNCTION("IFERROR(TO_DATE(H5918), """")"),"NA")</f>
        <v>NA</v>
      </c>
      <c r="J5918" s="19" t="s">
        <v>12</v>
      </c>
      <c r="K5918" s="22">
        <f t="shared" si="2"/>
        <v>0</v>
      </c>
    </row>
    <row r="5919">
      <c r="A5919" s="18">
        <v>4985.0</v>
      </c>
      <c r="B5919" s="18" t="s">
        <v>30</v>
      </c>
      <c r="C5919" s="18" t="s">
        <v>34</v>
      </c>
      <c r="D5919" s="18" t="s">
        <v>35</v>
      </c>
      <c r="E5919" s="27">
        <v>42565.783854166664</v>
      </c>
      <c r="F5919" s="19">
        <f>IFERROR(__xludf.DUMMYFUNCTION("IFERROR(TO_DATE(E5919), """")"),42565.783854166664)</f>
        <v>42565.78385</v>
      </c>
      <c r="G5919" s="20">
        <f t="shared" si="1"/>
        <v>18</v>
      </c>
      <c r="H5919" s="18" t="s">
        <v>34</v>
      </c>
      <c r="I5919" s="19" t="str">
        <f>IFERROR(__xludf.DUMMYFUNCTION("IFERROR(TO_DATE(H5919), """")"),"NA")</f>
        <v>NA</v>
      </c>
      <c r="J5919" s="19" t="s">
        <v>12</v>
      </c>
      <c r="K5919" s="22">
        <f t="shared" si="2"/>
        <v>0</v>
      </c>
    </row>
    <row r="5920">
      <c r="A5920" s="18">
        <v>4992.0</v>
      </c>
      <c r="B5920" s="18" t="s">
        <v>30</v>
      </c>
      <c r="C5920" s="18" t="s">
        <v>34</v>
      </c>
      <c r="D5920" s="18" t="s">
        <v>35</v>
      </c>
      <c r="E5920" s="27">
        <v>42565.7840162037</v>
      </c>
      <c r="F5920" s="19">
        <f>IFERROR(__xludf.DUMMYFUNCTION("IFERROR(TO_DATE(E5920), """")"),42565.7840162037)</f>
        <v>42565.78402</v>
      </c>
      <c r="G5920" s="20">
        <f t="shared" si="1"/>
        <v>18</v>
      </c>
      <c r="H5920" s="18" t="s">
        <v>34</v>
      </c>
      <c r="I5920" s="19" t="str">
        <f>IFERROR(__xludf.DUMMYFUNCTION("IFERROR(TO_DATE(H5920), """")"),"NA")</f>
        <v>NA</v>
      </c>
      <c r="J5920" s="19" t="s">
        <v>12</v>
      </c>
      <c r="K5920" s="22">
        <f t="shared" si="2"/>
        <v>0</v>
      </c>
    </row>
    <row r="5921">
      <c r="A5921" s="18">
        <v>4991.0</v>
      </c>
      <c r="B5921" s="18" t="s">
        <v>30</v>
      </c>
      <c r="C5921" s="18" t="s">
        <v>34</v>
      </c>
      <c r="D5921" s="18" t="s">
        <v>35</v>
      </c>
      <c r="E5921" s="27">
        <v>42565.784583333334</v>
      </c>
      <c r="F5921" s="19">
        <f>IFERROR(__xludf.DUMMYFUNCTION("IFERROR(TO_DATE(E5921), """")"),42565.784583333334)</f>
        <v>42565.78458</v>
      </c>
      <c r="G5921" s="20">
        <f t="shared" si="1"/>
        <v>18</v>
      </c>
      <c r="H5921" s="18" t="s">
        <v>34</v>
      </c>
      <c r="I5921" s="19" t="str">
        <f>IFERROR(__xludf.DUMMYFUNCTION("IFERROR(TO_DATE(H5921), """")"),"NA")</f>
        <v>NA</v>
      </c>
      <c r="J5921" s="19" t="s">
        <v>12</v>
      </c>
      <c r="K5921" s="22">
        <f t="shared" si="2"/>
        <v>0</v>
      </c>
    </row>
    <row r="5922">
      <c r="A5922" s="18">
        <v>4979.0</v>
      </c>
      <c r="B5922" s="18" t="s">
        <v>30</v>
      </c>
      <c r="C5922" s="18" t="s">
        <v>34</v>
      </c>
      <c r="D5922" s="18" t="s">
        <v>35</v>
      </c>
      <c r="E5922" s="27">
        <v>42565.78460648148</v>
      </c>
      <c r="F5922" s="19">
        <f>IFERROR(__xludf.DUMMYFUNCTION("IFERROR(TO_DATE(E5922), """")"),42565.78460648148)</f>
        <v>42565.78461</v>
      </c>
      <c r="G5922" s="20">
        <f t="shared" si="1"/>
        <v>18</v>
      </c>
      <c r="H5922" s="18" t="s">
        <v>34</v>
      </c>
      <c r="I5922" s="19" t="str">
        <f>IFERROR(__xludf.DUMMYFUNCTION("IFERROR(TO_DATE(H5922), """")"),"NA")</f>
        <v>NA</v>
      </c>
      <c r="J5922" s="19" t="s">
        <v>12</v>
      </c>
      <c r="K5922" s="22">
        <f t="shared" si="2"/>
        <v>0</v>
      </c>
    </row>
    <row r="5923">
      <c r="A5923" s="18">
        <v>4994.0</v>
      </c>
      <c r="B5923" s="18" t="s">
        <v>30</v>
      </c>
      <c r="C5923" s="18" t="s">
        <v>34</v>
      </c>
      <c r="D5923" s="18" t="s">
        <v>35</v>
      </c>
      <c r="E5923" s="27">
        <v>42565.78635416667</v>
      </c>
      <c r="F5923" s="19">
        <f>IFERROR(__xludf.DUMMYFUNCTION("IFERROR(TO_DATE(E5923), """")"),42565.78635416667)</f>
        <v>42565.78635</v>
      </c>
      <c r="G5923" s="20">
        <f t="shared" si="1"/>
        <v>18</v>
      </c>
      <c r="H5923" s="18" t="s">
        <v>34</v>
      </c>
      <c r="I5923" s="19" t="str">
        <f>IFERROR(__xludf.DUMMYFUNCTION("IFERROR(TO_DATE(H5923), """")"),"NA")</f>
        <v>NA</v>
      </c>
      <c r="J5923" s="19" t="s">
        <v>12</v>
      </c>
      <c r="K5923" s="22">
        <f t="shared" si="2"/>
        <v>0</v>
      </c>
    </row>
    <row r="5924">
      <c r="A5924" s="18">
        <v>4993.0</v>
      </c>
      <c r="B5924" s="18" t="s">
        <v>30</v>
      </c>
      <c r="C5924" s="18" t="s">
        <v>34</v>
      </c>
      <c r="D5924" s="18" t="s">
        <v>35</v>
      </c>
      <c r="E5924" s="27">
        <v>42565.78685185185</v>
      </c>
      <c r="F5924" s="19">
        <f>IFERROR(__xludf.DUMMYFUNCTION("IFERROR(TO_DATE(E5924), """")"),42565.78685185185)</f>
        <v>42565.78685</v>
      </c>
      <c r="G5924" s="20">
        <f t="shared" si="1"/>
        <v>18</v>
      </c>
      <c r="H5924" s="18" t="s">
        <v>34</v>
      </c>
      <c r="I5924" s="19" t="str">
        <f>IFERROR(__xludf.DUMMYFUNCTION("IFERROR(TO_DATE(H5924), """")"),"NA")</f>
        <v>NA</v>
      </c>
      <c r="J5924" s="19" t="s">
        <v>12</v>
      </c>
      <c r="K5924" s="22">
        <f t="shared" si="2"/>
        <v>0</v>
      </c>
    </row>
    <row r="5925">
      <c r="A5925" s="18">
        <v>4988.0</v>
      </c>
      <c r="B5925" s="18" t="s">
        <v>30</v>
      </c>
      <c r="C5925" s="18" t="s">
        <v>34</v>
      </c>
      <c r="D5925" s="18" t="s">
        <v>35</v>
      </c>
      <c r="E5925" s="27">
        <v>42565.78748842593</v>
      </c>
      <c r="F5925" s="19">
        <f>IFERROR(__xludf.DUMMYFUNCTION("IFERROR(TO_DATE(E5925), """")"),42565.78748842593)</f>
        <v>42565.78749</v>
      </c>
      <c r="G5925" s="20">
        <f t="shared" si="1"/>
        <v>18</v>
      </c>
      <c r="H5925" s="18" t="s">
        <v>34</v>
      </c>
      <c r="I5925" s="19" t="str">
        <f>IFERROR(__xludf.DUMMYFUNCTION("IFERROR(TO_DATE(H5925), """")"),"NA")</f>
        <v>NA</v>
      </c>
      <c r="J5925" s="19" t="s">
        <v>12</v>
      </c>
      <c r="K5925" s="22">
        <f t="shared" si="2"/>
        <v>0</v>
      </c>
    </row>
    <row r="5926">
      <c r="A5926" s="18">
        <v>4995.0</v>
      </c>
      <c r="B5926" s="18" t="s">
        <v>30</v>
      </c>
      <c r="C5926" s="18" t="s">
        <v>34</v>
      </c>
      <c r="D5926" s="18" t="s">
        <v>35</v>
      </c>
      <c r="E5926" s="27">
        <v>42565.78833333333</v>
      </c>
      <c r="F5926" s="19">
        <f>IFERROR(__xludf.DUMMYFUNCTION("IFERROR(TO_DATE(E5926), """")"),42565.78833333333)</f>
        <v>42565.78833</v>
      </c>
      <c r="G5926" s="20">
        <f t="shared" si="1"/>
        <v>18</v>
      </c>
      <c r="H5926" s="18" t="s">
        <v>34</v>
      </c>
      <c r="I5926" s="19" t="str">
        <f>IFERROR(__xludf.DUMMYFUNCTION("IFERROR(TO_DATE(H5926), """")"),"NA")</f>
        <v>NA</v>
      </c>
      <c r="J5926" s="19" t="s">
        <v>12</v>
      </c>
      <c r="K5926" s="22">
        <f t="shared" si="2"/>
        <v>0</v>
      </c>
    </row>
    <row r="5927">
      <c r="A5927" s="18">
        <v>5000.0</v>
      </c>
      <c r="B5927" s="18" t="s">
        <v>30</v>
      </c>
      <c r="C5927" s="18" t="s">
        <v>34</v>
      </c>
      <c r="D5927" s="18" t="s">
        <v>35</v>
      </c>
      <c r="E5927" s="27">
        <v>42565.78940972222</v>
      </c>
      <c r="F5927" s="19">
        <f>IFERROR(__xludf.DUMMYFUNCTION("IFERROR(TO_DATE(E5927), """")"),42565.78940972222)</f>
        <v>42565.78941</v>
      </c>
      <c r="G5927" s="20">
        <f t="shared" si="1"/>
        <v>18</v>
      </c>
      <c r="H5927" s="18" t="s">
        <v>34</v>
      </c>
      <c r="I5927" s="19" t="str">
        <f>IFERROR(__xludf.DUMMYFUNCTION("IFERROR(TO_DATE(H5927), """")"),"NA")</f>
        <v>NA</v>
      </c>
      <c r="J5927" s="19" t="s">
        <v>12</v>
      </c>
      <c r="K5927" s="22">
        <f t="shared" si="2"/>
        <v>0</v>
      </c>
    </row>
    <row r="5928">
      <c r="A5928" s="18">
        <v>5002.0</v>
      </c>
      <c r="B5928" s="18" t="s">
        <v>30</v>
      </c>
      <c r="C5928" s="18" t="s">
        <v>34</v>
      </c>
      <c r="D5928" s="18" t="s">
        <v>35</v>
      </c>
      <c r="E5928" s="27">
        <v>42565.78952546296</v>
      </c>
      <c r="F5928" s="19">
        <f>IFERROR(__xludf.DUMMYFUNCTION("IFERROR(TO_DATE(E5928), """")"),42565.78952546296)</f>
        <v>42565.78953</v>
      </c>
      <c r="G5928" s="20">
        <f t="shared" si="1"/>
        <v>18</v>
      </c>
      <c r="H5928" s="18" t="s">
        <v>34</v>
      </c>
      <c r="I5928" s="19" t="str">
        <f>IFERROR(__xludf.DUMMYFUNCTION("IFERROR(TO_DATE(H5928), """")"),"NA")</f>
        <v>NA</v>
      </c>
      <c r="J5928" s="19" t="s">
        <v>12</v>
      </c>
      <c r="K5928" s="22">
        <f t="shared" si="2"/>
        <v>0</v>
      </c>
    </row>
    <row r="5929">
      <c r="A5929" s="18">
        <v>5004.0</v>
      </c>
      <c r="B5929" s="18" t="s">
        <v>30</v>
      </c>
      <c r="C5929" s="18" t="s">
        <v>34</v>
      </c>
      <c r="D5929" s="18" t="s">
        <v>35</v>
      </c>
      <c r="E5929" s="27">
        <v>42565.789814814816</v>
      </c>
      <c r="F5929" s="19">
        <f>IFERROR(__xludf.DUMMYFUNCTION("IFERROR(TO_DATE(E5929), """")"),42565.789814814816)</f>
        <v>42565.78981</v>
      </c>
      <c r="G5929" s="20">
        <f t="shared" si="1"/>
        <v>18</v>
      </c>
      <c r="H5929" s="18" t="s">
        <v>34</v>
      </c>
      <c r="I5929" s="19" t="str">
        <f>IFERROR(__xludf.DUMMYFUNCTION("IFERROR(TO_DATE(H5929), """")"),"NA")</f>
        <v>NA</v>
      </c>
      <c r="J5929" s="19" t="s">
        <v>12</v>
      </c>
      <c r="K5929" s="22">
        <f t="shared" si="2"/>
        <v>0</v>
      </c>
    </row>
    <row r="5930">
      <c r="A5930" s="18">
        <v>5006.0</v>
      </c>
      <c r="B5930" s="18" t="s">
        <v>30</v>
      </c>
      <c r="C5930" s="18" t="s">
        <v>34</v>
      </c>
      <c r="D5930" s="18" t="s">
        <v>35</v>
      </c>
      <c r="E5930" s="27">
        <v>42565.79020833333</v>
      </c>
      <c r="F5930" s="19">
        <f>IFERROR(__xludf.DUMMYFUNCTION("IFERROR(TO_DATE(E5930), """")"),42565.79020833333)</f>
        <v>42565.79021</v>
      </c>
      <c r="G5930" s="20">
        <f t="shared" si="1"/>
        <v>18</v>
      </c>
      <c r="H5930" s="18" t="s">
        <v>34</v>
      </c>
      <c r="I5930" s="19" t="str">
        <f>IFERROR(__xludf.DUMMYFUNCTION("IFERROR(TO_DATE(H5930), """")"),"NA")</f>
        <v>NA</v>
      </c>
      <c r="J5930" s="19" t="s">
        <v>12</v>
      </c>
      <c r="K5930" s="22">
        <f t="shared" si="2"/>
        <v>0</v>
      </c>
    </row>
    <row r="5931">
      <c r="A5931" s="18">
        <v>5007.0</v>
      </c>
      <c r="B5931" s="18" t="s">
        <v>30</v>
      </c>
      <c r="C5931" s="18" t="s">
        <v>34</v>
      </c>
      <c r="D5931" s="18" t="s">
        <v>35</v>
      </c>
      <c r="E5931" s="27">
        <v>42565.79047453704</v>
      </c>
      <c r="F5931" s="19">
        <f>IFERROR(__xludf.DUMMYFUNCTION("IFERROR(TO_DATE(E5931), """")"),42565.79047453704)</f>
        <v>42565.79047</v>
      </c>
      <c r="G5931" s="20">
        <f t="shared" si="1"/>
        <v>18</v>
      </c>
      <c r="H5931" s="18" t="s">
        <v>34</v>
      </c>
      <c r="I5931" s="19" t="str">
        <f>IFERROR(__xludf.DUMMYFUNCTION("IFERROR(TO_DATE(H5931), """")"),"NA")</f>
        <v>NA</v>
      </c>
      <c r="J5931" s="19" t="s">
        <v>12</v>
      </c>
      <c r="K5931" s="22">
        <f t="shared" si="2"/>
        <v>0</v>
      </c>
    </row>
    <row r="5932">
      <c r="A5932" s="18">
        <v>5003.0</v>
      </c>
      <c r="B5932" s="18" t="s">
        <v>30</v>
      </c>
      <c r="C5932" s="18" t="s">
        <v>34</v>
      </c>
      <c r="D5932" s="18" t="s">
        <v>35</v>
      </c>
      <c r="E5932" s="27">
        <v>42565.79063657407</v>
      </c>
      <c r="F5932" s="19">
        <f>IFERROR(__xludf.DUMMYFUNCTION("IFERROR(TO_DATE(E5932), """")"),42565.79063657407)</f>
        <v>42565.79064</v>
      </c>
      <c r="G5932" s="20">
        <f t="shared" si="1"/>
        <v>18</v>
      </c>
      <c r="H5932" s="18" t="s">
        <v>34</v>
      </c>
      <c r="I5932" s="19" t="str">
        <f>IFERROR(__xludf.DUMMYFUNCTION("IFERROR(TO_DATE(H5932), """")"),"NA")</f>
        <v>NA</v>
      </c>
      <c r="J5932" s="19" t="s">
        <v>12</v>
      </c>
      <c r="K5932" s="22">
        <f t="shared" si="2"/>
        <v>0</v>
      </c>
    </row>
    <row r="5933">
      <c r="A5933" s="18">
        <v>5009.0</v>
      </c>
      <c r="B5933" s="18" t="s">
        <v>30</v>
      </c>
      <c r="C5933" s="18" t="s">
        <v>34</v>
      </c>
      <c r="D5933" s="18" t="s">
        <v>35</v>
      </c>
      <c r="E5933" s="27">
        <v>42565.79194444444</v>
      </c>
      <c r="F5933" s="19">
        <f>IFERROR(__xludf.DUMMYFUNCTION("IFERROR(TO_DATE(E5933), """")"),42565.79194444444)</f>
        <v>42565.79194</v>
      </c>
      <c r="G5933" s="20">
        <f t="shared" si="1"/>
        <v>19</v>
      </c>
      <c r="H5933" s="18" t="s">
        <v>34</v>
      </c>
      <c r="I5933" s="19" t="str">
        <f>IFERROR(__xludf.DUMMYFUNCTION("IFERROR(TO_DATE(H5933), """")"),"NA")</f>
        <v>NA</v>
      </c>
      <c r="J5933" s="19" t="s">
        <v>12</v>
      </c>
      <c r="K5933" s="22">
        <f t="shared" si="2"/>
        <v>0</v>
      </c>
    </row>
    <row r="5934">
      <c r="A5934" s="18">
        <v>4999.0</v>
      </c>
      <c r="B5934" s="18" t="s">
        <v>30</v>
      </c>
      <c r="C5934" s="18" t="s">
        <v>34</v>
      </c>
      <c r="D5934" s="18" t="s">
        <v>35</v>
      </c>
      <c r="E5934" s="27">
        <v>42565.79243055556</v>
      </c>
      <c r="F5934" s="19">
        <f>IFERROR(__xludf.DUMMYFUNCTION("IFERROR(TO_DATE(E5934), """")"),42565.79243055556)</f>
        <v>42565.79243</v>
      </c>
      <c r="G5934" s="20">
        <f t="shared" si="1"/>
        <v>19</v>
      </c>
      <c r="H5934" s="18" t="s">
        <v>34</v>
      </c>
      <c r="I5934" s="19" t="str">
        <f>IFERROR(__xludf.DUMMYFUNCTION("IFERROR(TO_DATE(H5934), """")"),"NA")</f>
        <v>NA</v>
      </c>
      <c r="J5934" s="19" t="s">
        <v>12</v>
      </c>
      <c r="K5934" s="22">
        <f t="shared" si="2"/>
        <v>0</v>
      </c>
    </row>
    <row r="5935">
      <c r="A5935" s="18">
        <v>5008.0</v>
      </c>
      <c r="B5935" s="18" t="s">
        <v>30</v>
      </c>
      <c r="C5935" s="18" t="s">
        <v>34</v>
      </c>
      <c r="D5935" s="18" t="s">
        <v>35</v>
      </c>
      <c r="E5935" s="27">
        <v>42565.793287037035</v>
      </c>
      <c r="F5935" s="19">
        <f>IFERROR(__xludf.DUMMYFUNCTION("IFERROR(TO_DATE(E5935), """")"),42565.793287037035)</f>
        <v>42565.79329</v>
      </c>
      <c r="G5935" s="20">
        <f t="shared" si="1"/>
        <v>19</v>
      </c>
      <c r="H5935" s="18" t="s">
        <v>34</v>
      </c>
      <c r="I5935" s="19" t="str">
        <f>IFERROR(__xludf.DUMMYFUNCTION("IFERROR(TO_DATE(H5935), """")"),"NA")</f>
        <v>NA</v>
      </c>
      <c r="J5935" s="19" t="s">
        <v>12</v>
      </c>
      <c r="K5935" s="22">
        <f t="shared" si="2"/>
        <v>0</v>
      </c>
    </row>
    <row r="5936">
      <c r="A5936" s="18">
        <v>5011.0</v>
      </c>
      <c r="B5936" s="18" t="s">
        <v>30</v>
      </c>
      <c r="C5936" s="18" t="s">
        <v>34</v>
      </c>
      <c r="D5936" s="18" t="s">
        <v>35</v>
      </c>
      <c r="E5936" s="27">
        <v>42565.793287037035</v>
      </c>
      <c r="F5936" s="19">
        <f>IFERROR(__xludf.DUMMYFUNCTION("IFERROR(TO_DATE(E5936), """")"),42565.793287037035)</f>
        <v>42565.79329</v>
      </c>
      <c r="G5936" s="20">
        <f t="shared" si="1"/>
        <v>19</v>
      </c>
      <c r="H5936" s="18" t="s">
        <v>34</v>
      </c>
      <c r="I5936" s="19" t="str">
        <f>IFERROR(__xludf.DUMMYFUNCTION("IFERROR(TO_DATE(H5936), """")"),"NA")</f>
        <v>NA</v>
      </c>
      <c r="J5936" s="19" t="s">
        <v>12</v>
      </c>
      <c r="K5936" s="22">
        <f t="shared" si="2"/>
        <v>0</v>
      </c>
    </row>
    <row r="5937">
      <c r="A5937" s="18">
        <v>5014.0</v>
      </c>
      <c r="B5937" s="18" t="s">
        <v>32</v>
      </c>
      <c r="C5937" s="18" t="s">
        <v>34</v>
      </c>
      <c r="D5937" s="18" t="s">
        <v>35</v>
      </c>
      <c r="E5937" s="27">
        <v>42565.79340277778</v>
      </c>
      <c r="F5937" s="19">
        <f>IFERROR(__xludf.DUMMYFUNCTION("IFERROR(TO_DATE(E5937), """")"),42565.79340277778)</f>
        <v>42565.7934</v>
      </c>
      <c r="G5937" s="20">
        <f t="shared" si="1"/>
        <v>19</v>
      </c>
      <c r="H5937" s="18" t="s">
        <v>34</v>
      </c>
      <c r="I5937" s="19" t="str">
        <f>IFERROR(__xludf.DUMMYFUNCTION("IFERROR(TO_DATE(H5937), """")"),"NA")</f>
        <v>NA</v>
      </c>
      <c r="J5937" s="19" t="s">
        <v>12</v>
      </c>
      <c r="K5937" s="22">
        <f t="shared" si="2"/>
        <v>0</v>
      </c>
    </row>
    <row r="5938">
      <c r="A5938" s="18">
        <v>5015.0</v>
      </c>
      <c r="B5938" s="18" t="s">
        <v>30</v>
      </c>
      <c r="C5938" s="18" t="s">
        <v>34</v>
      </c>
      <c r="D5938" s="18" t="s">
        <v>35</v>
      </c>
      <c r="E5938" s="27">
        <v>42565.79450231481</v>
      </c>
      <c r="F5938" s="19">
        <f>IFERROR(__xludf.DUMMYFUNCTION("IFERROR(TO_DATE(E5938), """")"),42565.79450231481)</f>
        <v>42565.7945</v>
      </c>
      <c r="G5938" s="20">
        <f t="shared" si="1"/>
        <v>19</v>
      </c>
      <c r="H5938" s="18" t="s">
        <v>34</v>
      </c>
      <c r="I5938" s="19" t="str">
        <f>IFERROR(__xludf.DUMMYFUNCTION("IFERROR(TO_DATE(H5938), """")"),"NA")</f>
        <v>NA</v>
      </c>
      <c r="J5938" s="19" t="s">
        <v>12</v>
      </c>
      <c r="K5938" s="22">
        <f t="shared" si="2"/>
        <v>0</v>
      </c>
    </row>
    <row r="5939">
      <c r="A5939" s="18">
        <v>5005.0</v>
      </c>
      <c r="B5939" s="18" t="s">
        <v>30</v>
      </c>
      <c r="C5939" s="18" t="s">
        <v>34</v>
      </c>
      <c r="D5939" s="18" t="s">
        <v>35</v>
      </c>
      <c r="E5939" s="27">
        <v>42565.794652777775</v>
      </c>
      <c r="F5939" s="19">
        <f>IFERROR(__xludf.DUMMYFUNCTION("IFERROR(TO_DATE(E5939), """")"),42565.794652777775)</f>
        <v>42565.79465</v>
      </c>
      <c r="G5939" s="20">
        <f t="shared" si="1"/>
        <v>19</v>
      </c>
      <c r="H5939" s="18" t="s">
        <v>34</v>
      </c>
      <c r="I5939" s="19" t="str">
        <f>IFERROR(__xludf.DUMMYFUNCTION("IFERROR(TO_DATE(H5939), """")"),"NA")</f>
        <v>NA</v>
      </c>
      <c r="J5939" s="19" t="s">
        <v>12</v>
      </c>
      <c r="K5939" s="22">
        <f t="shared" si="2"/>
        <v>0</v>
      </c>
    </row>
    <row r="5940">
      <c r="A5940" s="18">
        <v>5010.0</v>
      </c>
      <c r="B5940" s="18" t="s">
        <v>30</v>
      </c>
      <c r="C5940" s="18" t="s">
        <v>34</v>
      </c>
      <c r="D5940" s="18" t="s">
        <v>35</v>
      </c>
      <c r="E5940" s="27">
        <v>42565.79546296296</v>
      </c>
      <c r="F5940" s="19">
        <f>IFERROR(__xludf.DUMMYFUNCTION("IFERROR(TO_DATE(E5940), """")"),42565.79546296296)</f>
        <v>42565.79546</v>
      </c>
      <c r="G5940" s="20">
        <f t="shared" si="1"/>
        <v>19</v>
      </c>
      <c r="H5940" s="18" t="s">
        <v>34</v>
      </c>
      <c r="I5940" s="19" t="str">
        <f>IFERROR(__xludf.DUMMYFUNCTION("IFERROR(TO_DATE(H5940), """")"),"NA")</f>
        <v>NA</v>
      </c>
      <c r="J5940" s="19" t="s">
        <v>12</v>
      </c>
      <c r="K5940" s="22">
        <f t="shared" si="2"/>
        <v>0</v>
      </c>
    </row>
    <row r="5941">
      <c r="A5941" s="18">
        <v>5026.0</v>
      </c>
      <c r="B5941" s="18" t="s">
        <v>30</v>
      </c>
      <c r="C5941" s="18" t="s">
        <v>34</v>
      </c>
      <c r="D5941" s="18" t="s">
        <v>35</v>
      </c>
      <c r="E5941" s="27">
        <v>42565.79568287037</v>
      </c>
      <c r="F5941" s="19">
        <f>IFERROR(__xludf.DUMMYFUNCTION("IFERROR(TO_DATE(E5941), """")"),42565.79568287037)</f>
        <v>42565.79568</v>
      </c>
      <c r="G5941" s="20">
        <f t="shared" si="1"/>
        <v>19</v>
      </c>
      <c r="H5941" s="18" t="s">
        <v>34</v>
      </c>
      <c r="I5941" s="19" t="str">
        <f>IFERROR(__xludf.DUMMYFUNCTION("IFERROR(TO_DATE(H5941), """")"),"NA")</f>
        <v>NA</v>
      </c>
      <c r="J5941" s="19" t="s">
        <v>12</v>
      </c>
      <c r="K5941" s="22">
        <f t="shared" si="2"/>
        <v>0</v>
      </c>
    </row>
    <row r="5942">
      <c r="A5942" s="18">
        <v>5022.0</v>
      </c>
      <c r="B5942" s="18" t="s">
        <v>30</v>
      </c>
      <c r="C5942" s="18" t="s">
        <v>34</v>
      </c>
      <c r="D5942" s="18" t="s">
        <v>35</v>
      </c>
      <c r="E5942" s="27">
        <v>42565.7959375</v>
      </c>
      <c r="F5942" s="19">
        <f>IFERROR(__xludf.DUMMYFUNCTION("IFERROR(TO_DATE(E5942), """")"),42565.7959375)</f>
        <v>42565.79594</v>
      </c>
      <c r="G5942" s="20">
        <f t="shared" si="1"/>
        <v>19</v>
      </c>
      <c r="H5942" s="18" t="s">
        <v>34</v>
      </c>
      <c r="I5942" s="19" t="str">
        <f>IFERROR(__xludf.DUMMYFUNCTION("IFERROR(TO_DATE(H5942), """")"),"NA")</f>
        <v>NA</v>
      </c>
      <c r="J5942" s="19" t="s">
        <v>12</v>
      </c>
      <c r="K5942" s="22">
        <f t="shared" si="2"/>
        <v>0</v>
      </c>
    </row>
    <row r="5943">
      <c r="A5943" s="18">
        <v>5016.0</v>
      </c>
      <c r="B5943" s="18" t="s">
        <v>30</v>
      </c>
      <c r="C5943" s="18" t="s">
        <v>34</v>
      </c>
      <c r="D5943" s="18" t="s">
        <v>35</v>
      </c>
      <c r="E5943" s="27">
        <v>42565.7959837963</v>
      </c>
      <c r="F5943" s="19">
        <f>IFERROR(__xludf.DUMMYFUNCTION("IFERROR(TO_DATE(E5943), """")"),42565.7959837963)</f>
        <v>42565.79598</v>
      </c>
      <c r="G5943" s="20">
        <f t="shared" si="1"/>
        <v>19</v>
      </c>
      <c r="H5943" s="18" t="s">
        <v>34</v>
      </c>
      <c r="I5943" s="19" t="str">
        <f>IFERROR(__xludf.DUMMYFUNCTION("IFERROR(TO_DATE(H5943), """")"),"NA")</f>
        <v>NA</v>
      </c>
      <c r="J5943" s="19" t="s">
        <v>12</v>
      </c>
      <c r="K5943" s="22">
        <f t="shared" si="2"/>
        <v>0</v>
      </c>
    </row>
    <row r="5944">
      <c r="A5944" s="18">
        <v>5021.0</v>
      </c>
      <c r="B5944" s="18" t="s">
        <v>30</v>
      </c>
      <c r="C5944" s="18" t="s">
        <v>34</v>
      </c>
      <c r="D5944" s="18" t="s">
        <v>35</v>
      </c>
      <c r="E5944" s="27">
        <v>42565.796331018515</v>
      </c>
      <c r="F5944" s="19">
        <f>IFERROR(__xludf.DUMMYFUNCTION("IFERROR(TO_DATE(E5944), """")"),42565.796331018515)</f>
        <v>42565.79633</v>
      </c>
      <c r="G5944" s="20">
        <f t="shared" si="1"/>
        <v>19</v>
      </c>
      <c r="H5944" s="18" t="s">
        <v>34</v>
      </c>
      <c r="I5944" s="19" t="str">
        <f>IFERROR(__xludf.DUMMYFUNCTION("IFERROR(TO_DATE(H5944), """")"),"NA")</f>
        <v>NA</v>
      </c>
      <c r="J5944" s="19" t="s">
        <v>12</v>
      </c>
      <c r="K5944" s="22">
        <f t="shared" si="2"/>
        <v>0</v>
      </c>
    </row>
    <row r="5945">
      <c r="A5945" s="18">
        <v>5020.0</v>
      </c>
      <c r="B5945" s="18" t="s">
        <v>30</v>
      </c>
      <c r="C5945" s="18" t="s">
        <v>34</v>
      </c>
      <c r="D5945" s="18" t="s">
        <v>35</v>
      </c>
      <c r="E5945" s="27">
        <v>42565.797372685185</v>
      </c>
      <c r="F5945" s="19">
        <f>IFERROR(__xludf.DUMMYFUNCTION("IFERROR(TO_DATE(E5945), """")"),42565.797372685185)</f>
        <v>42565.79737</v>
      </c>
      <c r="G5945" s="20">
        <f t="shared" si="1"/>
        <v>19</v>
      </c>
      <c r="H5945" s="18" t="s">
        <v>34</v>
      </c>
      <c r="I5945" s="19" t="str">
        <f>IFERROR(__xludf.DUMMYFUNCTION("IFERROR(TO_DATE(H5945), """")"),"NA")</f>
        <v>NA</v>
      </c>
      <c r="J5945" s="19" t="s">
        <v>12</v>
      </c>
      <c r="K5945" s="22">
        <f t="shared" si="2"/>
        <v>0</v>
      </c>
    </row>
    <row r="5946">
      <c r="A5946" s="18">
        <v>5018.0</v>
      </c>
      <c r="B5946" s="18" t="s">
        <v>30</v>
      </c>
      <c r="C5946" s="18" t="s">
        <v>34</v>
      </c>
      <c r="D5946" s="18" t="s">
        <v>35</v>
      </c>
      <c r="E5946" s="27">
        <v>42565.798171296294</v>
      </c>
      <c r="F5946" s="19">
        <f>IFERROR(__xludf.DUMMYFUNCTION("IFERROR(TO_DATE(E5946), """")"),42565.798171296294)</f>
        <v>42565.79817</v>
      </c>
      <c r="G5946" s="20">
        <f t="shared" si="1"/>
        <v>19</v>
      </c>
      <c r="H5946" s="18" t="s">
        <v>34</v>
      </c>
      <c r="I5946" s="19" t="str">
        <f>IFERROR(__xludf.DUMMYFUNCTION("IFERROR(TO_DATE(H5946), """")"),"NA")</f>
        <v>NA</v>
      </c>
      <c r="J5946" s="19" t="s">
        <v>12</v>
      </c>
      <c r="K5946" s="22">
        <f t="shared" si="2"/>
        <v>0</v>
      </c>
    </row>
    <row r="5947">
      <c r="A5947" s="18">
        <v>5037.0</v>
      </c>
      <c r="B5947" s="18" t="s">
        <v>30</v>
      </c>
      <c r="C5947" s="18" t="s">
        <v>34</v>
      </c>
      <c r="D5947" s="18" t="s">
        <v>35</v>
      </c>
      <c r="E5947" s="27">
        <v>42565.798622685186</v>
      </c>
      <c r="F5947" s="19">
        <f>IFERROR(__xludf.DUMMYFUNCTION("IFERROR(TO_DATE(E5947), """")"),42565.798622685186)</f>
        <v>42565.79862</v>
      </c>
      <c r="G5947" s="20">
        <f t="shared" si="1"/>
        <v>19</v>
      </c>
      <c r="H5947" s="18" t="s">
        <v>34</v>
      </c>
      <c r="I5947" s="19" t="str">
        <f>IFERROR(__xludf.DUMMYFUNCTION("IFERROR(TO_DATE(H5947), """")"),"NA")</f>
        <v>NA</v>
      </c>
      <c r="J5947" s="19" t="s">
        <v>12</v>
      </c>
      <c r="K5947" s="22">
        <f t="shared" si="2"/>
        <v>0</v>
      </c>
    </row>
    <row r="5948">
      <c r="A5948" s="18">
        <v>5027.0</v>
      </c>
      <c r="B5948" s="18" t="s">
        <v>30</v>
      </c>
      <c r="C5948" s="18" t="s">
        <v>34</v>
      </c>
      <c r="D5948" s="18" t="s">
        <v>35</v>
      </c>
      <c r="E5948" s="27">
        <v>42565.79908564815</v>
      </c>
      <c r="F5948" s="19">
        <f>IFERROR(__xludf.DUMMYFUNCTION("IFERROR(TO_DATE(E5948), """")"),42565.79908564815)</f>
        <v>42565.79909</v>
      </c>
      <c r="G5948" s="20">
        <f t="shared" si="1"/>
        <v>19</v>
      </c>
      <c r="H5948" s="18" t="s">
        <v>34</v>
      </c>
      <c r="I5948" s="19" t="str">
        <f>IFERROR(__xludf.DUMMYFUNCTION("IFERROR(TO_DATE(H5948), """")"),"NA")</f>
        <v>NA</v>
      </c>
      <c r="J5948" s="19" t="s">
        <v>12</v>
      </c>
      <c r="K5948" s="22">
        <f t="shared" si="2"/>
        <v>0</v>
      </c>
    </row>
    <row r="5949">
      <c r="A5949" s="18">
        <v>5030.0</v>
      </c>
      <c r="B5949" s="18" t="s">
        <v>30</v>
      </c>
      <c r="C5949" s="18" t="s">
        <v>34</v>
      </c>
      <c r="D5949" s="18" t="s">
        <v>35</v>
      </c>
      <c r="E5949" s="27">
        <v>42565.79988425926</v>
      </c>
      <c r="F5949" s="19">
        <f>IFERROR(__xludf.DUMMYFUNCTION("IFERROR(TO_DATE(E5949), """")"),42565.79988425926)</f>
        <v>42565.79988</v>
      </c>
      <c r="G5949" s="20">
        <f t="shared" si="1"/>
        <v>19</v>
      </c>
      <c r="H5949" s="18" t="s">
        <v>34</v>
      </c>
      <c r="I5949" s="19" t="str">
        <f>IFERROR(__xludf.DUMMYFUNCTION("IFERROR(TO_DATE(H5949), """")"),"NA")</f>
        <v>NA</v>
      </c>
      <c r="J5949" s="19" t="s">
        <v>12</v>
      </c>
      <c r="K5949" s="22">
        <f t="shared" si="2"/>
        <v>0</v>
      </c>
    </row>
    <row r="5950">
      <c r="A5950" s="18">
        <v>5034.0</v>
      </c>
      <c r="B5950" s="18" t="s">
        <v>30</v>
      </c>
      <c r="C5950" s="18" t="s">
        <v>34</v>
      </c>
      <c r="D5950" s="18" t="s">
        <v>35</v>
      </c>
      <c r="E5950" s="27">
        <v>42565.80003472222</v>
      </c>
      <c r="F5950" s="19">
        <f>IFERROR(__xludf.DUMMYFUNCTION("IFERROR(TO_DATE(E5950), """")"),42565.80003472222)</f>
        <v>42565.80003</v>
      </c>
      <c r="G5950" s="20">
        <f t="shared" si="1"/>
        <v>19</v>
      </c>
      <c r="H5950" s="18" t="s">
        <v>34</v>
      </c>
      <c r="I5950" s="19" t="str">
        <f>IFERROR(__xludf.DUMMYFUNCTION("IFERROR(TO_DATE(H5950), """")"),"NA")</f>
        <v>NA</v>
      </c>
      <c r="J5950" s="19" t="s">
        <v>12</v>
      </c>
      <c r="K5950" s="22">
        <f t="shared" si="2"/>
        <v>0</v>
      </c>
    </row>
    <row r="5951">
      <c r="A5951" s="18">
        <v>5028.0</v>
      </c>
      <c r="B5951" s="18" t="s">
        <v>30</v>
      </c>
      <c r="C5951" s="18" t="s">
        <v>34</v>
      </c>
      <c r="D5951" s="18" t="s">
        <v>35</v>
      </c>
      <c r="E5951" s="27">
        <v>42565.80105324074</v>
      </c>
      <c r="F5951" s="19">
        <f>IFERROR(__xludf.DUMMYFUNCTION("IFERROR(TO_DATE(E5951), """")"),42565.80105324074)</f>
        <v>42565.80105</v>
      </c>
      <c r="G5951" s="20">
        <f t="shared" si="1"/>
        <v>19</v>
      </c>
      <c r="H5951" s="18" t="s">
        <v>34</v>
      </c>
      <c r="I5951" s="19" t="str">
        <f>IFERROR(__xludf.DUMMYFUNCTION("IFERROR(TO_DATE(H5951), """")"),"NA")</f>
        <v>NA</v>
      </c>
      <c r="J5951" s="19" t="s">
        <v>12</v>
      </c>
      <c r="K5951" s="22">
        <f t="shared" si="2"/>
        <v>0</v>
      </c>
    </row>
    <row r="5952">
      <c r="A5952" s="18">
        <v>5036.0</v>
      </c>
      <c r="B5952" s="18" t="s">
        <v>30</v>
      </c>
      <c r="C5952" s="18" t="s">
        <v>34</v>
      </c>
      <c r="D5952" s="18" t="s">
        <v>35</v>
      </c>
      <c r="E5952" s="27">
        <v>42565.80395833333</v>
      </c>
      <c r="F5952" s="19">
        <f>IFERROR(__xludf.DUMMYFUNCTION("IFERROR(TO_DATE(E5952), """")"),42565.80395833333)</f>
        <v>42565.80396</v>
      </c>
      <c r="G5952" s="20">
        <f t="shared" si="1"/>
        <v>19</v>
      </c>
      <c r="H5952" s="18" t="s">
        <v>34</v>
      </c>
      <c r="I5952" s="19" t="str">
        <f>IFERROR(__xludf.DUMMYFUNCTION("IFERROR(TO_DATE(H5952), """")"),"NA")</f>
        <v>NA</v>
      </c>
      <c r="J5952" s="19" t="s">
        <v>12</v>
      </c>
      <c r="K5952" s="22">
        <f t="shared" si="2"/>
        <v>0</v>
      </c>
    </row>
    <row r="5953">
      <c r="A5953" s="18">
        <v>5048.0</v>
      </c>
      <c r="B5953" s="18" t="s">
        <v>30</v>
      </c>
      <c r="C5953" s="18" t="s">
        <v>34</v>
      </c>
      <c r="D5953" s="18" t="s">
        <v>35</v>
      </c>
      <c r="E5953" s="27">
        <v>42565.804502314815</v>
      </c>
      <c r="F5953" s="19">
        <f>IFERROR(__xludf.DUMMYFUNCTION("IFERROR(TO_DATE(E5953), """")"),42565.804502314815)</f>
        <v>42565.8045</v>
      </c>
      <c r="G5953" s="20">
        <f t="shared" si="1"/>
        <v>19</v>
      </c>
      <c r="H5953" s="18" t="s">
        <v>34</v>
      </c>
      <c r="I5953" s="19" t="str">
        <f>IFERROR(__xludf.DUMMYFUNCTION("IFERROR(TO_DATE(H5953), """")"),"NA")</f>
        <v>NA</v>
      </c>
      <c r="J5953" s="19" t="s">
        <v>12</v>
      </c>
      <c r="K5953" s="22">
        <f t="shared" si="2"/>
        <v>0</v>
      </c>
    </row>
    <row r="5954">
      <c r="A5954" s="18">
        <v>5035.0</v>
      </c>
      <c r="B5954" s="18" t="s">
        <v>30</v>
      </c>
      <c r="C5954" s="18" t="s">
        <v>34</v>
      </c>
      <c r="D5954" s="18" t="s">
        <v>35</v>
      </c>
      <c r="E5954" s="27">
        <v>42565.804664351854</v>
      </c>
      <c r="F5954" s="19">
        <f>IFERROR(__xludf.DUMMYFUNCTION("IFERROR(TO_DATE(E5954), """")"),42565.804664351854)</f>
        <v>42565.80466</v>
      </c>
      <c r="G5954" s="20">
        <f t="shared" si="1"/>
        <v>19</v>
      </c>
      <c r="H5954" s="18" t="s">
        <v>34</v>
      </c>
      <c r="I5954" s="19" t="str">
        <f>IFERROR(__xludf.DUMMYFUNCTION("IFERROR(TO_DATE(H5954), """")"),"NA")</f>
        <v>NA</v>
      </c>
      <c r="J5954" s="19" t="s">
        <v>12</v>
      </c>
      <c r="K5954" s="22">
        <f t="shared" si="2"/>
        <v>0</v>
      </c>
    </row>
    <row r="5955">
      <c r="A5955" s="18">
        <v>5040.0</v>
      </c>
      <c r="B5955" s="18" t="s">
        <v>30</v>
      </c>
      <c r="C5955" s="18" t="s">
        <v>34</v>
      </c>
      <c r="D5955" s="18" t="s">
        <v>35</v>
      </c>
      <c r="E5955" s="27">
        <v>42565.805763888886</v>
      </c>
      <c r="F5955" s="19">
        <f>IFERROR(__xludf.DUMMYFUNCTION("IFERROR(TO_DATE(E5955), """")"),42565.805763888886)</f>
        <v>42565.80576</v>
      </c>
      <c r="G5955" s="20">
        <f t="shared" si="1"/>
        <v>19</v>
      </c>
      <c r="H5955" s="18" t="s">
        <v>34</v>
      </c>
      <c r="I5955" s="19" t="str">
        <f>IFERROR(__xludf.DUMMYFUNCTION("IFERROR(TO_DATE(H5955), """")"),"NA")</f>
        <v>NA</v>
      </c>
      <c r="J5955" s="19" t="s">
        <v>12</v>
      </c>
      <c r="K5955" s="22">
        <f t="shared" si="2"/>
        <v>0</v>
      </c>
    </row>
    <row r="5956">
      <c r="A5956" s="18">
        <v>5043.0</v>
      </c>
      <c r="B5956" s="18" t="s">
        <v>30</v>
      </c>
      <c r="C5956" s="18" t="s">
        <v>34</v>
      </c>
      <c r="D5956" s="18" t="s">
        <v>35</v>
      </c>
      <c r="E5956" s="27">
        <v>42565.806238425925</v>
      </c>
      <c r="F5956" s="19">
        <f>IFERROR(__xludf.DUMMYFUNCTION("IFERROR(TO_DATE(E5956), """")"),42565.806238425925)</f>
        <v>42565.80624</v>
      </c>
      <c r="G5956" s="20">
        <f t="shared" si="1"/>
        <v>19</v>
      </c>
      <c r="H5956" s="18" t="s">
        <v>34</v>
      </c>
      <c r="I5956" s="19" t="str">
        <f>IFERROR(__xludf.DUMMYFUNCTION("IFERROR(TO_DATE(H5956), """")"),"NA")</f>
        <v>NA</v>
      </c>
      <c r="J5956" s="19" t="s">
        <v>12</v>
      </c>
      <c r="K5956" s="22">
        <f t="shared" si="2"/>
        <v>0</v>
      </c>
    </row>
    <row r="5957">
      <c r="A5957" s="18">
        <v>5059.0</v>
      </c>
      <c r="B5957" s="18" t="s">
        <v>30</v>
      </c>
      <c r="C5957" s="18" t="s">
        <v>34</v>
      </c>
      <c r="D5957" s="18" t="s">
        <v>35</v>
      </c>
      <c r="E5957" s="27">
        <v>42565.80642361111</v>
      </c>
      <c r="F5957" s="19">
        <f>IFERROR(__xludf.DUMMYFUNCTION("IFERROR(TO_DATE(E5957), """")"),42565.80642361111)</f>
        <v>42565.80642</v>
      </c>
      <c r="G5957" s="20">
        <f t="shared" si="1"/>
        <v>19</v>
      </c>
      <c r="H5957" s="18" t="s">
        <v>34</v>
      </c>
      <c r="I5957" s="19" t="str">
        <f>IFERROR(__xludf.DUMMYFUNCTION("IFERROR(TO_DATE(H5957), """")"),"NA")</f>
        <v>NA</v>
      </c>
      <c r="J5957" s="19" t="s">
        <v>12</v>
      </c>
      <c r="K5957" s="22">
        <f t="shared" si="2"/>
        <v>0</v>
      </c>
    </row>
    <row r="5958">
      <c r="A5958" s="18">
        <v>5047.0</v>
      </c>
      <c r="B5958" s="18" t="s">
        <v>30</v>
      </c>
      <c r="C5958" s="18" t="s">
        <v>34</v>
      </c>
      <c r="D5958" s="18" t="s">
        <v>35</v>
      </c>
      <c r="E5958" s="27">
        <v>42565.807118055556</v>
      </c>
      <c r="F5958" s="19">
        <f>IFERROR(__xludf.DUMMYFUNCTION("IFERROR(TO_DATE(E5958), """")"),42565.807118055556)</f>
        <v>42565.80712</v>
      </c>
      <c r="G5958" s="20">
        <f t="shared" si="1"/>
        <v>19</v>
      </c>
      <c r="H5958" s="18" t="s">
        <v>34</v>
      </c>
      <c r="I5958" s="19" t="str">
        <f>IFERROR(__xludf.DUMMYFUNCTION("IFERROR(TO_DATE(H5958), """")"),"NA")</f>
        <v>NA</v>
      </c>
      <c r="J5958" s="19" t="s">
        <v>12</v>
      </c>
      <c r="K5958" s="22">
        <f t="shared" si="2"/>
        <v>0</v>
      </c>
    </row>
    <row r="5959">
      <c r="A5959" s="18">
        <v>5045.0</v>
      </c>
      <c r="B5959" s="18" t="s">
        <v>30</v>
      </c>
      <c r="C5959" s="18" t="s">
        <v>34</v>
      </c>
      <c r="D5959" s="18" t="s">
        <v>35</v>
      </c>
      <c r="E5959" s="27">
        <v>42565.80752314815</v>
      </c>
      <c r="F5959" s="19">
        <f>IFERROR(__xludf.DUMMYFUNCTION("IFERROR(TO_DATE(E5959), """")"),42565.80752314815)</f>
        <v>42565.80752</v>
      </c>
      <c r="G5959" s="20">
        <f t="shared" si="1"/>
        <v>19</v>
      </c>
      <c r="H5959" s="18" t="s">
        <v>34</v>
      </c>
      <c r="I5959" s="19" t="str">
        <f>IFERROR(__xludf.DUMMYFUNCTION("IFERROR(TO_DATE(H5959), """")"),"NA")</f>
        <v>NA</v>
      </c>
      <c r="J5959" s="19" t="s">
        <v>12</v>
      </c>
      <c r="K5959" s="22">
        <f t="shared" si="2"/>
        <v>0</v>
      </c>
    </row>
    <row r="5960">
      <c r="A5960" s="18">
        <v>5055.0</v>
      </c>
      <c r="B5960" s="18" t="s">
        <v>30</v>
      </c>
      <c r="C5960" s="18" t="s">
        <v>34</v>
      </c>
      <c r="D5960" s="18" t="s">
        <v>35</v>
      </c>
      <c r="E5960" s="27">
        <v>42565.808541666665</v>
      </c>
      <c r="F5960" s="19">
        <f>IFERROR(__xludf.DUMMYFUNCTION("IFERROR(TO_DATE(E5960), """")"),42565.808541666665)</f>
        <v>42565.80854</v>
      </c>
      <c r="G5960" s="20">
        <f t="shared" si="1"/>
        <v>19</v>
      </c>
      <c r="H5960" s="18" t="s">
        <v>34</v>
      </c>
      <c r="I5960" s="19" t="str">
        <f>IFERROR(__xludf.DUMMYFUNCTION("IFERROR(TO_DATE(H5960), """")"),"NA")</f>
        <v>NA</v>
      </c>
      <c r="J5960" s="19" t="s">
        <v>12</v>
      </c>
      <c r="K5960" s="22">
        <f t="shared" si="2"/>
        <v>0</v>
      </c>
    </row>
    <row r="5961">
      <c r="A5961" s="18">
        <v>5044.0</v>
      </c>
      <c r="B5961" s="18" t="s">
        <v>30</v>
      </c>
      <c r="C5961" s="18" t="s">
        <v>34</v>
      </c>
      <c r="D5961" s="18" t="s">
        <v>35</v>
      </c>
      <c r="E5961" s="27">
        <v>42565.80861111111</v>
      </c>
      <c r="F5961" s="19">
        <f>IFERROR(__xludf.DUMMYFUNCTION("IFERROR(TO_DATE(E5961), """")"),42565.80861111111)</f>
        <v>42565.80861</v>
      </c>
      <c r="G5961" s="20">
        <f t="shared" si="1"/>
        <v>19</v>
      </c>
      <c r="H5961" s="18" t="s">
        <v>34</v>
      </c>
      <c r="I5961" s="19" t="str">
        <f>IFERROR(__xludf.DUMMYFUNCTION("IFERROR(TO_DATE(H5961), """")"),"NA")</f>
        <v>NA</v>
      </c>
      <c r="J5961" s="19" t="s">
        <v>12</v>
      </c>
      <c r="K5961" s="22">
        <f t="shared" si="2"/>
        <v>0</v>
      </c>
    </row>
    <row r="5962">
      <c r="A5962" s="18">
        <v>5062.0</v>
      </c>
      <c r="B5962" s="18" t="s">
        <v>30</v>
      </c>
      <c r="C5962" s="18" t="s">
        <v>34</v>
      </c>
      <c r="D5962" s="18" t="s">
        <v>35</v>
      </c>
      <c r="E5962" s="27">
        <v>42565.80872685185</v>
      </c>
      <c r="F5962" s="19">
        <f>IFERROR(__xludf.DUMMYFUNCTION("IFERROR(TO_DATE(E5962), """")"),42565.80872685185)</f>
        <v>42565.80873</v>
      </c>
      <c r="G5962" s="20">
        <f t="shared" si="1"/>
        <v>19</v>
      </c>
      <c r="H5962" s="18" t="s">
        <v>34</v>
      </c>
      <c r="I5962" s="19" t="str">
        <f>IFERROR(__xludf.DUMMYFUNCTION("IFERROR(TO_DATE(H5962), """")"),"NA")</f>
        <v>NA</v>
      </c>
      <c r="J5962" s="19" t="s">
        <v>12</v>
      </c>
      <c r="K5962" s="22">
        <f t="shared" si="2"/>
        <v>0</v>
      </c>
    </row>
    <row r="5963">
      <c r="A5963" s="18">
        <v>5057.0</v>
      </c>
      <c r="B5963" s="18" t="s">
        <v>30</v>
      </c>
      <c r="C5963" s="18" t="s">
        <v>34</v>
      </c>
      <c r="D5963" s="18" t="s">
        <v>35</v>
      </c>
      <c r="E5963" s="27">
        <v>42565.808912037035</v>
      </c>
      <c r="F5963" s="19">
        <f>IFERROR(__xludf.DUMMYFUNCTION("IFERROR(TO_DATE(E5963), """")"),42565.808912037035)</f>
        <v>42565.80891</v>
      </c>
      <c r="G5963" s="20">
        <f t="shared" si="1"/>
        <v>19</v>
      </c>
      <c r="H5963" s="18" t="s">
        <v>34</v>
      </c>
      <c r="I5963" s="19" t="str">
        <f>IFERROR(__xludf.DUMMYFUNCTION("IFERROR(TO_DATE(H5963), """")"),"NA")</f>
        <v>NA</v>
      </c>
      <c r="J5963" s="19" t="s">
        <v>12</v>
      </c>
      <c r="K5963" s="22">
        <f t="shared" si="2"/>
        <v>0</v>
      </c>
    </row>
    <row r="5964">
      <c r="A5964" s="18">
        <v>5049.0</v>
      </c>
      <c r="B5964" s="18" t="s">
        <v>30</v>
      </c>
      <c r="C5964" s="18" t="s">
        <v>34</v>
      </c>
      <c r="D5964" s="18" t="s">
        <v>35</v>
      </c>
      <c r="E5964" s="27">
        <v>42565.80950231481</v>
      </c>
      <c r="F5964" s="19">
        <f>IFERROR(__xludf.DUMMYFUNCTION("IFERROR(TO_DATE(E5964), """")"),42565.80950231481)</f>
        <v>42565.8095</v>
      </c>
      <c r="G5964" s="20">
        <f t="shared" si="1"/>
        <v>19</v>
      </c>
      <c r="H5964" s="18" t="s">
        <v>34</v>
      </c>
      <c r="I5964" s="19" t="str">
        <f>IFERROR(__xludf.DUMMYFUNCTION("IFERROR(TO_DATE(H5964), """")"),"NA")</f>
        <v>NA</v>
      </c>
      <c r="J5964" s="19" t="s">
        <v>12</v>
      </c>
      <c r="K5964" s="22">
        <f t="shared" si="2"/>
        <v>0</v>
      </c>
    </row>
    <row r="5965">
      <c r="A5965" s="18">
        <v>5054.0</v>
      </c>
      <c r="B5965" s="18" t="s">
        <v>30</v>
      </c>
      <c r="C5965" s="18" t="s">
        <v>34</v>
      </c>
      <c r="D5965" s="18" t="s">
        <v>35</v>
      </c>
      <c r="E5965" s="27">
        <v>42565.81018518518</v>
      </c>
      <c r="F5965" s="19">
        <f>IFERROR(__xludf.DUMMYFUNCTION("IFERROR(TO_DATE(E5965), """")"),42565.81018518518)</f>
        <v>42565.81019</v>
      </c>
      <c r="G5965" s="20">
        <f t="shared" si="1"/>
        <v>19</v>
      </c>
      <c r="H5965" s="18" t="s">
        <v>34</v>
      </c>
      <c r="I5965" s="19" t="str">
        <f>IFERROR(__xludf.DUMMYFUNCTION("IFERROR(TO_DATE(H5965), """")"),"NA")</f>
        <v>NA</v>
      </c>
      <c r="J5965" s="19" t="s">
        <v>12</v>
      </c>
      <c r="K5965" s="22">
        <f t="shared" si="2"/>
        <v>0</v>
      </c>
    </row>
    <row r="5966">
      <c r="A5966" s="18">
        <v>5052.0</v>
      </c>
      <c r="B5966" s="18" t="s">
        <v>30</v>
      </c>
      <c r="C5966" s="18" t="s">
        <v>34</v>
      </c>
      <c r="D5966" s="18" t="s">
        <v>35</v>
      </c>
      <c r="E5966" s="27">
        <v>42565.81019675926</v>
      </c>
      <c r="F5966" s="19">
        <f>IFERROR(__xludf.DUMMYFUNCTION("IFERROR(TO_DATE(E5966), """")"),42565.81019675926)</f>
        <v>42565.8102</v>
      </c>
      <c r="G5966" s="20">
        <f t="shared" si="1"/>
        <v>19</v>
      </c>
      <c r="H5966" s="18" t="s">
        <v>34</v>
      </c>
      <c r="I5966" s="19" t="str">
        <f>IFERROR(__xludf.DUMMYFUNCTION("IFERROR(TO_DATE(H5966), """")"),"NA")</f>
        <v>NA</v>
      </c>
      <c r="J5966" s="19" t="s">
        <v>12</v>
      </c>
      <c r="K5966" s="22">
        <f t="shared" si="2"/>
        <v>0</v>
      </c>
    </row>
    <row r="5967">
      <c r="A5967" s="18">
        <v>5046.0</v>
      </c>
      <c r="B5967" s="18" t="s">
        <v>30</v>
      </c>
      <c r="C5967" s="18" t="s">
        <v>34</v>
      </c>
      <c r="D5967" s="18" t="s">
        <v>35</v>
      </c>
      <c r="E5967" s="27">
        <v>42565.81071759259</v>
      </c>
      <c r="F5967" s="19">
        <f>IFERROR(__xludf.DUMMYFUNCTION("IFERROR(TO_DATE(E5967), """")"),42565.81071759259)</f>
        <v>42565.81072</v>
      </c>
      <c r="G5967" s="20">
        <f t="shared" si="1"/>
        <v>19</v>
      </c>
      <c r="H5967" s="18" t="s">
        <v>34</v>
      </c>
      <c r="I5967" s="19" t="str">
        <f>IFERROR(__xludf.DUMMYFUNCTION("IFERROR(TO_DATE(H5967), """")"),"NA")</f>
        <v>NA</v>
      </c>
      <c r="J5967" s="19" t="s">
        <v>12</v>
      </c>
      <c r="K5967" s="22">
        <f t="shared" si="2"/>
        <v>0</v>
      </c>
    </row>
    <row r="5968">
      <c r="A5968" s="18">
        <v>5058.0</v>
      </c>
      <c r="B5968" s="18" t="s">
        <v>30</v>
      </c>
      <c r="C5968" s="18" t="s">
        <v>34</v>
      </c>
      <c r="D5968" s="18" t="s">
        <v>35</v>
      </c>
      <c r="E5968" s="27">
        <v>42565.81082175926</v>
      </c>
      <c r="F5968" s="19">
        <f>IFERROR(__xludf.DUMMYFUNCTION("IFERROR(TO_DATE(E5968), """")"),42565.81082175926)</f>
        <v>42565.81082</v>
      </c>
      <c r="G5968" s="20">
        <f t="shared" si="1"/>
        <v>19</v>
      </c>
      <c r="H5968" s="18" t="s">
        <v>34</v>
      </c>
      <c r="I5968" s="19" t="str">
        <f>IFERROR(__xludf.DUMMYFUNCTION("IFERROR(TO_DATE(H5968), """")"),"NA")</f>
        <v>NA</v>
      </c>
      <c r="J5968" s="19" t="s">
        <v>12</v>
      </c>
      <c r="K5968" s="22">
        <f t="shared" si="2"/>
        <v>0</v>
      </c>
    </row>
    <row r="5969">
      <c r="A5969" s="18">
        <v>5053.0</v>
      </c>
      <c r="B5969" s="18" t="s">
        <v>30</v>
      </c>
      <c r="C5969" s="18" t="s">
        <v>34</v>
      </c>
      <c r="D5969" s="18" t="s">
        <v>35</v>
      </c>
      <c r="E5969" s="27">
        <v>42565.81125</v>
      </c>
      <c r="F5969" s="19">
        <f>IFERROR(__xludf.DUMMYFUNCTION("IFERROR(TO_DATE(E5969), """")"),42565.81125)</f>
        <v>42565.81125</v>
      </c>
      <c r="G5969" s="20">
        <f t="shared" si="1"/>
        <v>19</v>
      </c>
      <c r="H5969" s="18" t="s">
        <v>34</v>
      </c>
      <c r="I5969" s="19" t="str">
        <f>IFERROR(__xludf.DUMMYFUNCTION("IFERROR(TO_DATE(H5969), """")"),"NA")</f>
        <v>NA</v>
      </c>
      <c r="J5969" s="19" t="s">
        <v>12</v>
      </c>
      <c r="K5969" s="22">
        <f t="shared" si="2"/>
        <v>0</v>
      </c>
    </row>
    <row r="5970">
      <c r="A5970" s="18">
        <v>5063.0</v>
      </c>
      <c r="B5970" s="18" t="s">
        <v>30</v>
      </c>
      <c r="C5970" s="18" t="s">
        <v>34</v>
      </c>
      <c r="D5970" s="18" t="s">
        <v>35</v>
      </c>
      <c r="E5970" s="27">
        <v>42565.8122337963</v>
      </c>
      <c r="F5970" s="19">
        <f>IFERROR(__xludf.DUMMYFUNCTION("IFERROR(TO_DATE(E5970), """")"),42565.8122337963)</f>
        <v>42565.81223</v>
      </c>
      <c r="G5970" s="20">
        <f t="shared" si="1"/>
        <v>19</v>
      </c>
      <c r="H5970" s="18" t="s">
        <v>34</v>
      </c>
      <c r="I5970" s="19" t="str">
        <f>IFERROR(__xludf.DUMMYFUNCTION("IFERROR(TO_DATE(H5970), """")"),"NA")</f>
        <v>NA</v>
      </c>
      <c r="J5970" s="19" t="s">
        <v>12</v>
      </c>
      <c r="K5970" s="22">
        <f t="shared" si="2"/>
        <v>0</v>
      </c>
    </row>
    <row r="5971">
      <c r="A5971" s="18">
        <v>5068.0</v>
      </c>
      <c r="B5971" s="18" t="s">
        <v>30</v>
      </c>
      <c r="C5971" s="18" t="s">
        <v>34</v>
      </c>
      <c r="D5971" s="18" t="s">
        <v>35</v>
      </c>
      <c r="E5971" s="27">
        <v>42565.81303240741</v>
      </c>
      <c r="F5971" s="19">
        <f>IFERROR(__xludf.DUMMYFUNCTION("IFERROR(TO_DATE(E5971), """")"),42565.81303240741)</f>
        <v>42565.81303</v>
      </c>
      <c r="G5971" s="20">
        <f t="shared" si="1"/>
        <v>19</v>
      </c>
      <c r="H5971" s="18" t="s">
        <v>34</v>
      </c>
      <c r="I5971" s="19" t="str">
        <f>IFERROR(__xludf.DUMMYFUNCTION("IFERROR(TO_DATE(H5971), """")"),"NA")</f>
        <v>NA</v>
      </c>
      <c r="J5971" s="19" t="s">
        <v>12</v>
      </c>
      <c r="K5971" s="22">
        <f t="shared" si="2"/>
        <v>0</v>
      </c>
    </row>
    <row r="5972">
      <c r="A5972" s="18">
        <v>5065.0</v>
      </c>
      <c r="B5972" s="18" t="s">
        <v>30</v>
      </c>
      <c r="C5972" s="18" t="s">
        <v>34</v>
      </c>
      <c r="D5972" s="18" t="s">
        <v>35</v>
      </c>
      <c r="E5972" s="27">
        <v>42565.81369212963</v>
      </c>
      <c r="F5972" s="19">
        <f>IFERROR(__xludf.DUMMYFUNCTION("IFERROR(TO_DATE(E5972), """")"),42565.81369212963)</f>
        <v>42565.81369</v>
      </c>
      <c r="G5972" s="20">
        <f t="shared" si="1"/>
        <v>19</v>
      </c>
      <c r="H5972" s="18" t="s">
        <v>34</v>
      </c>
      <c r="I5972" s="19" t="str">
        <f>IFERROR(__xludf.DUMMYFUNCTION("IFERROR(TO_DATE(H5972), """")"),"NA")</f>
        <v>NA</v>
      </c>
      <c r="J5972" s="19" t="s">
        <v>12</v>
      </c>
      <c r="K5972" s="22">
        <f t="shared" si="2"/>
        <v>0</v>
      </c>
    </row>
    <row r="5973">
      <c r="A5973" s="18">
        <v>5069.0</v>
      </c>
      <c r="B5973" s="18" t="s">
        <v>30</v>
      </c>
      <c r="C5973" s="18" t="s">
        <v>34</v>
      </c>
      <c r="D5973" s="18" t="s">
        <v>35</v>
      </c>
      <c r="E5973" s="27">
        <v>42565.81460648148</v>
      </c>
      <c r="F5973" s="19">
        <f>IFERROR(__xludf.DUMMYFUNCTION("IFERROR(TO_DATE(E5973), """")"),42565.81460648148)</f>
        <v>42565.81461</v>
      </c>
      <c r="G5973" s="20">
        <f t="shared" si="1"/>
        <v>19</v>
      </c>
      <c r="H5973" s="18" t="s">
        <v>34</v>
      </c>
      <c r="I5973" s="19" t="str">
        <f>IFERROR(__xludf.DUMMYFUNCTION("IFERROR(TO_DATE(H5973), """")"),"NA")</f>
        <v>NA</v>
      </c>
      <c r="J5973" s="19" t="s">
        <v>12</v>
      </c>
      <c r="K5973" s="22">
        <f t="shared" si="2"/>
        <v>0</v>
      </c>
    </row>
    <row r="5974">
      <c r="A5974" s="18">
        <v>5067.0</v>
      </c>
      <c r="B5974" s="18" t="s">
        <v>30</v>
      </c>
      <c r="C5974" s="18" t="s">
        <v>34</v>
      </c>
      <c r="D5974" s="18" t="s">
        <v>35</v>
      </c>
      <c r="E5974" s="27">
        <v>42565.81592592593</v>
      </c>
      <c r="F5974" s="19">
        <f>IFERROR(__xludf.DUMMYFUNCTION("IFERROR(TO_DATE(E5974), """")"),42565.81592592593)</f>
        <v>42565.81593</v>
      </c>
      <c r="G5974" s="20">
        <f t="shared" si="1"/>
        <v>19</v>
      </c>
      <c r="H5974" s="18" t="s">
        <v>34</v>
      </c>
      <c r="I5974" s="19" t="str">
        <f>IFERROR(__xludf.DUMMYFUNCTION("IFERROR(TO_DATE(H5974), """")"),"NA")</f>
        <v>NA</v>
      </c>
      <c r="J5974" s="19" t="s">
        <v>12</v>
      </c>
      <c r="K5974" s="22">
        <f t="shared" si="2"/>
        <v>0</v>
      </c>
    </row>
    <row r="5975">
      <c r="A5975" s="18">
        <v>5074.0</v>
      </c>
      <c r="B5975" s="18" t="s">
        <v>30</v>
      </c>
      <c r="C5975" s="18" t="s">
        <v>34</v>
      </c>
      <c r="D5975" s="18" t="s">
        <v>35</v>
      </c>
      <c r="E5975" s="27">
        <v>42565.81668981481</v>
      </c>
      <c r="F5975" s="19">
        <f>IFERROR(__xludf.DUMMYFUNCTION("IFERROR(TO_DATE(E5975), """")"),42565.81668981481)</f>
        <v>42565.81669</v>
      </c>
      <c r="G5975" s="20">
        <f t="shared" si="1"/>
        <v>19</v>
      </c>
      <c r="H5975" s="18" t="s">
        <v>34</v>
      </c>
      <c r="I5975" s="19" t="str">
        <f>IFERROR(__xludf.DUMMYFUNCTION("IFERROR(TO_DATE(H5975), """")"),"NA")</f>
        <v>NA</v>
      </c>
      <c r="J5975" s="19" t="s">
        <v>12</v>
      </c>
      <c r="K5975" s="22">
        <f t="shared" si="2"/>
        <v>0</v>
      </c>
    </row>
    <row r="5976">
      <c r="A5976" s="18">
        <v>5073.0</v>
      </c>
      <c r="B5976" s="18" t="s">
        <v>30</v>
      </c>
      <c r="C5976" s="18" t="s">
        <v>34</v>
      </c>
      <c r="D5976" s="18" t="s">
        <v>35</v>
      </c>
      <c r="E5976" s="27">
        <v>42565.81706018518</v>
      </c>
      <c r="F5976" s="19">
        <f>IFERROR(__xludf.DUMMYFUNCTION("IFERROR(TO_DATE(E5976), """")"),42565.81706018518)</f>
        <v>42565.81706</v>
      </c>
      <c r="G5976" s="20">
        <f t="shared" si="1"/>
        <v>19</v>
      </c>
      <c r="H5976" s="18" t="s">
        <v>34</v>
      </c>
      <c r="I5976" s="19" t="str">
        <f>IFERROR(__xludf.DUMMYFUNCTION("IFERROR(TO_DATE(H5976), """")"),"NA")</f>
        <v>NA</v>
      </c>
      <c r="J5976" s="19" t="s">
        <v>12</v>
      </c>
      <c r="K5976" s="22">
        <f t="shared" si="2"/>
        <v>0</v>
      </c>
    </row>
    <row r="5977">
      <c r="A5977" s="18">
        <v>5072.0</v>
      </c>
      <c r="B5977" s="18" t="s">
        <v>30</v>
      </c>
      <c r="C5977" s="18" t="s">
        <v>34</v>
      </c>
      <c r="D5977" s="18" t="s">
        <v>35</v>
      </c>
      <c r="E5977" s="27">
        <v>42565.81842592593</v>
      </c>
      <c r="F5977" s="19">
        <f>IFERROR(__xludf.DUMMYFUNCTION("IFERROR(TO_DATE(E5977), """")"),42565.81842592593)</f>
        <v>42565.81843</v>
      </c>
      <c r="G5977" s="20">
        <f t="shared" si="1"/>
        <v>19</v>
      </c>
      <c r="H5977" s="18" t="s">
        <v>34</v>
      </c>
      <c r="I5977" s="19" t="str">
        <f>IFERROR(__xludf.DUMMYFUNCTION("IFERROR(TO_DATE(H5977), """")"),"NA")</f>
        <v>NA</v>
      </c>
      <c r="J5977" s="19" t="s">
        <v>12</v>
      </c>
      <c r="K5977" s="22">
        <f t="shared" si="2"/>
        <v>0</v>
      </c>
    </row>
    <row r="5978">
      <c r="A5978" s="18">
        <v>5078.0</v>
      </c>
      <c r="B5978" s="18" t="s">
        <v>30</v>
      </c>
      <c r="C5978" s="18" t="s">
        <v>34</v>
      </c>
      <c r="D5978" s="18" t="s">
        <v>35</v>
      </c>
      <c r="E5978" s="27">
        <v>42565.8190625</v>
      </c>
      <c r="F5978" s="19">
        <f>IFERROR(__xludf.DUMMYFUNCTION("IFERROR(TO_DATE(E5978), """")"),42565.8190625)</f>
        <v>42565.81906</v>
      </c>
      <c r="G5978" s="20">
        <f t="shared" si="1"/>
        <v>19</v>
      </c>
      <c r="H5978" s="18" t="s">
        <v>34</v>
      </c>
      <c r="I5978" s="19" t="str">
        <f>IFERROR(__xludf.DUMMYFUNCTION("IFERROR(TO_DATE(H5978), """")"),"NA")</f>
        <v>NA</v>
      </c>
      <c r="J5978" s="19" t="s">
        <v>12</v>
      </c>
      <c r="K5978" s="22">
        <f t="shared" si="2"/>
        <v>0</v>
      </c>
    </row>
    <row r="5979">
      <c r="A5979" s="18">
        <v>5083.0</v>
      </c>
      <c r="B5979" s="18" t="s">
        <v>30</v>
      </c>
      <c r="C5979" s="18" t="s">
        <v>34</v>
      </c>
      <c r="D5979" s="18" t="s">
        <v>35</v>
      </c>
      <c r="E5979" s="27">
        <v>42565.82045138889</v>
      </c>
      <c r="F5979" s="19">
        <f>IFERROR(__xludf.DUMMYFUNCTION("IFERROR(TO_DATE(E5979), """")"),42565.82045138889)</f>
        <v>42565.82045</v>
      </c>
      <c r="G5979" s="20">
        <f t="shared" si="1"/>
        <v>19</v>
      </c>
      <c r="H5979" s="18" t="s">
        <v>34</v>
      </c>
      <c r="I5979" s="19" t="str">
        <f>IFERROR(__xludf.DUMMYFUNCTION("IFERROR(TO_DATE(H5979), """")"),"NA")</f>
        <v>NA</v>
      </c>
      <c r="J5979" s="19" t="s">
        <v>12</v>
      </c>
      <c r="K5979" s="22">
        <f t="shared" si="2"/>
        <v>0</v>
      </c>
    </row>
    <row r="5980">
      <c r="A5980" s="18">
        <v>5080.0</v>
      </c>
      <c r="B5980" s="18" t="s">
        <v>30</v>
      </c>
      <c r="C5980" s="18" t="s">
        <v>34</v>
      </c>
      <c r="D5980" s="18" t="s">
        <v>35</v>
      </c>
      <c r="E5980" s="27">
        <v>42565.822222222225</v>
      </c>
      <c r="F5980" s="19">
        <f>IFERROR(__xludf.DUMMYFUNCTION("IFERROR(TO_DATE(E5980), """")"),42565.822222222225)</f>
        <v>42565.82222</v>
      </c>
      <c r="G5980" s="20">
        <f t="shared" si="1"/>
        <v>19</v>
      </c>
      <c r="H5980" s="18" t="s">
        <v>34</v>
      </c>
      <c r="I5980" s="19" t="str">
        <f>IFERROR(__xludf.DUMMYFUNCTION("IFERROR(TO_DATE(H5980), """")"),"NA")</f>
        <v>NA</v>
      </c>
      <c r="J5980" s="19" t="s">
        <v>12</v>
      </c>
      <c r="K5980" s="22">
        <f t="shared" si="2"/>
        <v>0</v>
      </c>
    </row>
    <row r="5981">
      <c r="A5981" s="18">
        <v>5085.0</v>
      </c>
      <c r="B5981" s="18" t="s">
        <v>30</v>
      </c>
      <c r="C5981" s="18" t="s">
        <v>34</v>
      </c>
      <c r="D5981" s="18" t="s">
        <v>35</v>
      </c>
      <c r="E5981" s="27">
        <v>42565.822743055556</v>
      </c>
      <c r="F5981" s="19">
        <f>IFERROR(__xludf.DUMMYFUNCTION("IFERROR(TO_DATE(E5981), """")"),42565.822743055556)</f>
        <v>42565.82274</v>
      </c>
      <c r="G5981" s="20">
        <f t="shared" si="1"/>
        <v>19</v>
      </c>
      <c r="H5981" s="18" t="s">
        <v>34</v>
      </c>
      <c r="I5981" s="19" t="str">
        <f>IFERROR(__xludf.DUMMYFUNCTION("IFERROR(TO_DATE(H5981), """")"),"NA")</f>
        <v>NA</v>
      </c>
      <c r="J5981" s="19" t="s">
        <v>12</v>
      </c>
      <c r="K5981" s="22">
        <f t="shared" si="2"/>
        <v>0</v>
      </c>
    </row>
    <row r="5982">
      <c r="A5982" s="18">
        <v>5077.0</v>
      </c>
      <c r="B5982" s="18" t="s">
        <v>30</v>
      </c>
      <c r="C5982" s="18" t="s">
        <v>34</v>
      </c>
      <c r="D5982" s="18" t="s">
        <v>35</v>
      </c>
      <c r="E5982" s="27">
        <v>42565.82334490741</v>
      </c>
      <c r="F5982" s="19">
        <f>IFERROR(__xludf.DUMMYFUNCTION("IFERROR(TO_DATE(E5982), """")"),42565.82334490741)</f>
        <v>42565.82334</v>
      </c>
      <c r="G5982" s="20">
        <f t="shared" si="1"/>
        <v>19</v>
      </c>
      <c r="H5982" s="18" t="s">
        <v>34</v>
      </c>
      <c r="I5982" s="19" t="str">
        <f>IFERROR(__xludf.DUMMYFUNCTION("IFERROR(TO_DATE(H5982), """")"),"NA")</f>
        <v>NA</v>
      </c>
      <c r="J5982" s="19" t="s">
        <v>12</v>
      </c>
      <c r="K5982" s="22">
        <f t="shared" si="2"/>
        <v>0</v>
      </c>
    </row>
    <row r="5983">
      <c r="A5983" s="18">
        <v>5084.0</v>
      </c>
      <c r="B5983" s="18" t="s">
        <v>30</v>
      </c>
      <c r="C5983" s="18" t="s">
        <v>34</v>
      </c>
      <c r="D5983" s="18" t="s">
        <v>35</v>
      </c>
      <c r="E5983" s="27">
        <v>42565.82377314815</v>
      </c>
      <c r="F5983" s="19">
        <f>IFERROR(__xludf.DUMMYFUNCTION("IFERROR(TO_DATE(E5983), """")"),42565.82377314815)</f>
        <v>42565.82377</v>
      </c>
      <c r="G5983" s="20">
        <f t="shared" si="1"/>
        <v>19</v>
      </c>
      <c r="H5983" s="18" t="s">
        <v>34</v>
      </c>
      <c r="I5983" s="19" t="str">
        <f>IFERROR(__xludf.DUMMYFUNCTION("IFERROR(TO_DATE(H5983), """")"),"NA")</f>
        <v>NA</v>
      </c>
      <c r="J5983" s="19" t="s">
        <v>12</v>
      </c>
      <c r="K5983" s="22">
        <f t="shared" si="2"/>
        <v>0</v>
      </c>
    </row>
    <row r="5984">
      <c r="A5984" s="18">
        <v>5090.0</v>
      </c>
      <c r="B5984" s="18" t="s">
        <v>30</v>
      </c>
      <c r="C5984" s="18" t="s">
        <v>34</v>
      </c>
      <c r="D5984" s="18" t="s">
        <v>35</v>
      </c>
      <c r="E5984" s="27">
        <v>42565.82451388889</v>
      </c>
      <c r="F5984" s="19">
        <f>IFERROR(__xludf.DUMMYFUNCTION("IFERROR(TO_DATE(E5984), """")"),42565.82451388889)</f>
        <v>42565.82451</v>
      </c>
      <c r="G5984" s="20">
        <f t="shared" si="1"/>
        <v>19</v>
      </c>
      <c r="H5984" s="18" t="s">
        <v>34</v>
      </c>
      <c r="I5984" s="19" t="str">
        <f>IFERROR(__xludf.DUMMYFUNCTION("IFERROR(TO_DATE(H5984), """")"),"NA")</f>
        <v>NA</v>
      </c>
      <c r="J5984" s="19" t="s">
        <v>12</v>
      </c>
      <c r="K5984" s="22">
        <f t="shared" si="2"/>
        <v>0</v>
      </c>
    </row>
    <row r="5985">
      <c r="A5985" s="18">
        <v>5092.0</v>
      </c>
      <c r="B5985" s="18" t="s">
        <v>30</v>
      </c>
      <c r="C5985" s="18" t="s">
        <v>34</v>
      </c>
      <c r="D5985" s="18" t="s">
        <v>35</v>
      </c>
      <c r="E5985" s="27">
        <v>42565.82465277778</v>
      </c>
      <c r="F5985" s="19">
        <f>IFERROR(__xludf.DUMMYFUNCTION("IFERROR(TO_DATE(E5985), """")"),42565.82465277778)</f>
        <v>42565.82465</v>
      </c>
      <c r="G5985" s="20">
        <f t="shared" si="1"/>
        <v>19</v>
      </c>
      <c r="H5985" s="18" t="s">
        <v>34</v>
      </c>
      <c r="I5985" s="19" t="str">
        <f>IFERROR(__xludf.DUMMYFUNCTION("IFERROR(TO_DATE(H5985), """")"),"NA")</f>
        <v>NA</v>
      </c>
      <c r="J5985" s="19" t="s">
        <v>12</v>
      </c>
      <c r="K5985" s="22">
        <f t="shared" si="2"/>
        <v>0</v>
      </c>
    </row>
    <row r="5986">
      <c r="A5986" s="18">
        <v>5082.0</v>
      </c>
      <c r="B5986" s="18" t="s">
        <v>30</v>
      </c>
      <c r="C5986" s="18" t="s">
        <v>34</v>
      </c>
      <c r="D5986" s="18" t="s">
        <v>35</v>
      </c>
      <c r="E5986" s="27">
        <v>42565.8259837963</v>
      </c>
      <c r="F5986" s="19">
        <f>IFERROR(__xludf.DUMMYFUNCTION("IFERROR(TO_DATE(E5986), """")"),42565.8259837963)</f>
        <v>42565.82598</v>
      </c>
      <c r="G5986" s="20">
        <f t="shared" si="1"/>
        <v>19</v>
      </c>
      <c r="H5986" s="18" t="s">
        <v>34</v>
      </c>
      <c r="I5986" s="19" t="str">
        <f>IFERROR(__xludf.DUMMYFUNCTION("IFERROR(TO_DATE(H5986), """")"),"NA")</f>
        <v>NA</v>
      </c>
      <c r="J5986" s="19" t="s">
        <v>12</v>
      </c>
      <c r="K5986" s="22">
        <f t="shared" si="2"/>
        <v>0</v>
      </c>
    </row>
    <row r="5987">
      <c r="A5987" s="18">
        <v>5091.0</v>
      </c>
      <c r="B5987" s="18" t="s">
        <v>30</v>
      </c>
      <c r="C5987" s="18" t="s">
        <v>34</v>
      </c>
      <c r="D5987" s="18" t="s">
        <v>35</v>
      </c>
      <c r="E5987" s="27">
        <v>42565.82601851852</v>
      </c>
      <c r="F5987" s="19">
        <f>IFERROR(__xludf.DUMMYFUNCTION("IFERROR(TO_DATE(E5987), """")"),42565.82601851852)</f>
        <v>42565.82602</v>
      </c>
      <c r="G5987" s="20">
        <f t="shared" si="1"/>
        <v>19</v>
      </c>
      <c r="H5987" s="18" t="s">
        <v>34</v>
      </c>
      <c r="I5987" s="19" t="str">
        <f>IFERROR(__xludf.DUMMYFUNCTION("IFERROR(TO_DATE(H5987), """")"),"NA")</f>
        <v>NA</v>
      </c>
      <c r="J5987" s="19" t="s">
        <v>12</v>
      </c>
      <c r="K5987" s="22">
        <f t="shared" si="2"/>
        <v>0</v>
      </c>
    </row>
    <row r="5988">
      <c r="A5988" s="18">
        <v>5087.0</v>
      </c>
      <c r="B5988" s="18" t="s">
        <v>30</v>
      </c>
      <c r="C5988" s="18" t="s">
        <v>34</v>
      </c>
      <c r="D5988" s="18" t="s">
        <v>35</v>
      </c>
      <c r="E5988" s="27">
        <v>42565.82644675926</v>
      </c>
      <c r="F5988" s="19">
        <f>IFERROR(__xludf.DUMMYFUNCTION("IFERROR(TO_DATE(E5988), """")"),42565.82644675926)</f>
        <v>42565.82645</v>
      </c>
      <c r="G5988" s="20">
        <f t="shared" si="1"/>
        <v>19</v>
      </c>
      <c r="H5988" s="18" t="s">
        <v>34</v>
      </c>
      <c r="I5988" s="19" t="str">
        <f>IFERROR(__xludf.DUMMYFUNCTION("IFERROR(TO_DATE(H5988), """")"),"NA")</f>
        <v>NA</v>
      </c>
      <c r="J5988" s="19" t="s">
        <v>12</v>
      </c>
      <c r="K5988" s="22">
        <f t="shared" si="2"/>
        <v>0</v>
      </c>
    </row>
    <row r="5989">
      <c r="A5989" s="18">
        <v>5093.0</v>
      </c>
      <c r="B5989" s="18" t="s">
        <v>30</v>
      </c>
      <c r="C5989" s="18" t="s">
        <v>34</v>
      </c>
      <c r="D5989" s="18" t="s">
        <v>35</v>
      </c>
      <c r="E5989" s="27">
        <v>42565.827893518515</v>
      </c>
      <c r="F5989" s="19">
        <f>IFERROR(__xludf.DUMMYFUNCTION("IFERROR(TO_DATE(E5989), """")"),42565.827893518515)</f>
        <v>42565.82789</v>
      </c>
      <c r="G5989" s="20">
        <f t="shared" si="1"/>
        <v>19</v>
      </c>
      <c r="H5989" s="18" t="s">
        <v>34</v>
      </c>
      <c r="I5989" s="19" t="str">
        <f>IFERROR(__xludf.DUMMYFUNCTION("IFERROR(TO_DATE(H5989), """")"),"NA")</f>
        <v>NA</v>
      </c>
      <c r="J5989" s="19" t="s">
        <v>12</v>
      </c>
      <c r="K5989" s="22">
        <f t="shared" si="2"/>
        <v>0</v>
      </c>
    </row>
    <row r="5990">
      <c r="A5990" s="18">
        <v>5081.0</v>
      </c>
      <c r="B5990" s="18" t="s">
        <v>30</v>
      </c>
      <c r="C5990" s="18" t="s">
        <v>34</v>
      </c>
      <c r="D5990" s="18" t="s">
        <v>35</v>
      </c>
      <c r="E5990" s="27">
        <v>42565.82827546296</v>
      </c>
      <c r="F5990" s="19">
        <f>IFERROR(__xludf.DUMMYFUNCTION("IFERROR(TO_DATE(E5990), """")"),42565.82827546296)</f>
        <v>42565.82828</v>
      </c>
      <c r="G5990" s="20">
        <f t="shared" si="1"/>
        <v>19</v>
      </c>
      <c r="H5990" s="18" t="s">
        <v>34</v>
      </c>
      <c r="I5990" s="19" t="str">
        <f>IFERROR(__xludf.DUMMYFUNCTION("IFERROR(TO_DATE(H5990), """")"),"NA")</f>
        <v>NA</v>
      </c>
      <c r="J5990" s="19" t="s">
        <v>12</v>
      </c>
      <c r="K5990" s="22">
        <f t="shared" si="2"/>
        <v>0</v>
      </c>
    </row>
    <row r="5991">
      <c r="A5991" s="18">
        <v>5102.0</v>
      </c>
      <c r="B5991" s="18" t="s">
        <v>30</v>
      </c>
      <c r="C5991" s="18" t="s">
        <v>34</v>
      </c>
      <c r="D5991" s="18" t="s">
        <v>35</v>
      </c>
      <c r="E5991" s="27">
        <v>42565.828935185185</v>
      </c>
      <c r="F5991" s="19">
        <f>IFERROR(__xludf.DUMMYFUNCTION("IFERROR(TO_DATE(E5991), """")"),42565.828935185185)</f>
        <v>42565.82894</v>
      </c>
      <c r="G5991" s="20">
        <f t="shared" si="1"/>
        <v>19</v>
      </c>
      <c r="H5991" s="18" t="s">
        <v>34</v>
      </c>
      <c r="I5991" s="19" t="str">
        <f>IFERROR(__xludf.DUMMYFUNCTION("IFERROR(TO_DATE(H5991), """")"),"NA")</f>
        <v>NA</v>
      </c>
      <c r="J5991" s="19" t="s">
        <v>12</v>
      </c>
      <c r="K5991" s="22">
        <f t="shared" si="2"/>
        <v>0</v>
      </c>
    </row>
    <row r="5992">
      <c r="A5992" s="18">
        <v>5114.0</v>
      </c>
      <c r="B5992" s="18" t="s">
        <v>30</v>
      </c>
      <c r="C5992" s="18" t="s">
        <v>34</v>
      </c>
      <c r="D5992" s="18" t="s">
        <v>35</v>
      </c>
      <c r="E5992" s="27">
        <v>42565.82928240741</v>
      </c>
      <c r="F5992" s="19">
        <f>IFERROR(__xludf.DUMMYFUNCTION("IFERROR(TO_DATE(E5992), """")"),42565.82928240741)</f>
        <v>42565.82928</v>
      </c>
      <c r="G5992" s="20">
        <f t="shared" si="1"/>
        <v>19</v>
      </c>
      <c r="H5992" s="18" t="s">
        <v>34</v>
      </c>
      <c r="I5992" s="19" t="str">
        <f>IFERROR(__xludf.DUMMYFUNCTION("IFERROR(TO_DATE(H5992), """")"),"NA")</f>
        <v>NA</v>
      </c>
      <c r="J5992" s="19" t="s">
        <v>12</v>
      </c>
      <c r="K5992" s="22">
        <f t="shared" si="2"/>
        <v>0</v>
      </c>
    </row>
    <row r="5993">
      <c r="A5993" s="18">
        <v>5094.0</v>
      </c>
      <c r="B5993" s="18" t="s">
        <v>30</v>
      </c>
      <c r="C5993" s="18" t="s">
        <v>34</v>
      </c>
      <c r="D5993" s="18" t="s">
        <v>35</v>
      </c>
      <c r="E5993" s="27">
        <v>42565.82950231482</v>
      </c>
      <c r="F5993" s="19">
        <f>IFERROR(__xludf.DUMMYFUNCTION("IFERROR(TO_DATE(E5993), """")"),42565.82950231482)</f>
        <v>42565.8295</v>
      </c>
      <c r="G5993" s="20">
        <f t="shared" si="1"/>
        <v>19</v>
      </c>
      <c r="H5993" s="18" t="s">
        <v>34</v>
      </c>
      <c r="I5993" s="19" t="str">
        <f>IFERROR(__xludf.DUMMYFUNCTION("IFERROR(TO_DATE(H5993), """")"),"NA")</f>
        <v>NA</v>
      </c>
      <c r="J5993" s="19" t="s">
        <v>12</v>
      </c>
      <c r="K5993" s="22">
        <f t="shared" si="2"/>
        <v>0</v>
      </c>
    </row>
    <row r="5994">
      <c r="A5994" s="18">
        <v>5103.0</v>
      </c>
      <c r="B5994" s="18" t="s">
        <v>30</v>
      </c>
      <c r="C5994" s="18" t="s">
        <v>34</v>
      </c>
      <c r="D5994" s="18" t="s">
        <v>35</v>
      </c>
      <c r="E5994" s="27">
        <v>42565.83075231482</v>
      </c>
      <c r="F5994" s="19">
        <f>IFERROR(__xludf.DUMMYFUNCTION("IFERROR(TO_DATE(E5994), """")"),42565.83075231482)</f>
        <v>42565.83075</v>
      </c>
      <c r="G5994" s="20">
        <f t="shared" si="1"/>
        <v>19</v>
      </c>
      <c r="H5994" s="18" t="s">
        <v>34</v>
      </c>
      <c r="I5994" s="19" t="str">
        <f>IFERROR(__xludf.DUMMYFUNCTION("IFERROR(TO_DATE(H5994), """")"),"NA")</f>
        <v>NA</v>
      </c>
      <c r="J5994" s="19" t="s">
        <v>12</v>
      </c>
      <c r="K5994" s="22">
        <f t="shared" si="2"/>
        <v>0</v>
      </c>
    </row>
    <row r="5995">
      <c r="A5995" s="18">
        <v>5101.0</v>
      </c>
      <c r="B5995" s="18" t="s">
        <v>32</v>
      </c>
      <c r="C5995" s="18" t="s">
        <v>34</v>
      </c>
      <c r="D5995" s="18" t="s">
        <v>35</v>
      </c>
      <c r="E5995" s="27">
        <v>42565.83079861111</v>
      </c>
      <c r="F5995" s="19">
        <f>IFERROR(__xludf.DUMMYFUNCTION("IFERROR(TO_DATE(E5995), """")"),42565.83079861111)</f>
        <v>42565.8308</v>
      </c>
      <c r="G5995" s="20">
        <f t="shared" si="1"/>
        <v>19</v>
      </c>
      <c r="H5995" s="18" t="s">
        <v>34</v>
      </c>
      <c r="I5995" s="19" t="str">
        <f>IFERROR(__xludf.DUMMYFUNCTION("IFERROR(TO_DATE(H5995), """")"),"NA")</f>
        <v>NA</v>
      </c>
      <c r="J5995" s="19" t="s">
        <v>12</v>
      </c>
      <c r="K5995" s="22">
        <f t="shared" si="2"/>
        <v>0</v>
      </c>
    </row>
    <row r="5996">
      <c r="A5996" s="18">
        <v>5107.0</v>
      </c>
      <c r="B5996" s="18" t="s">
        <v>32</v>
      </c>
      <c r="C5996" s="18" t="s">
        <v>34</v>
      </c>
      <c r="D5996" s="18" t="s">
        <v>35</v>
      </c>
      <c r="E5996" s="27">
        <v>42565.83131944444</v>
      </c>
      <c r="F5996" s="19">
        <f>IFERROR(__xludf.DUMMYFUNCTION("IFERROR(TO_DATE(E5996), """")"),42565.83131944444)</f>
        <v>42565.83132</v>
      </c>
      <c r="G5996" s="20">
        <f t="shared" si="1"/>
        <v>19</v>
      </c>
      <c r="H5996" s="18" t="s">
        <v>34</v>
      </c>
      <c r="I5996" s="19" t="str">
        <f>IFERROR(__xludf.DUMMYFUNCTION("IFERROR(TO_DATE(H5996), """")"),"NA")</f>
        <v>NA</v>
      </c>
      <c r="J5996" s="19" t="s">
        <v>12</v>
      </c>
      <c r="K5996" s="22">
        <f t="shared" si="2"/>
        <v>0</v>
      </c>
    </row>
    <row r="5997">
      <c r="A5997" s="18">
        <v>5119.0</v>
      </c>
      <c r="B5997" s="18" t="s">
        <v>30</v>
      </c>
      <c r="C5997" s="18" t="s">
        <v>34</v>
      </c>
      <c r="D5997" s="18" t="s">
        <v>35</v>
      </c>
      <c r="E5997" s="27">
        <v>42565.83185185185</v>
      </c>
      <c r="F5997" s="19">
        <f>IFERROR(__xludf.DUMMYFUNCTION("IFERROR(TO_DATE(E5997), """")"),42565.83185185185)</f>
        <v>42565.83185</v>
      </c>
      <c r="G5997" s="20">
        <f t="shared" si="1"/>
        <v>19</v>
      </c>
      <c r="H5997" s="18" t="s">
        <v>34</v>
      </c>
      <c r="I5997" s="19" t="str">
        <f>IFERROR(__xludf.DUMMYFUNCTION("IFERROR(TO_DATE(H5997), """")"),"NA")</f>
        <v>NA</v>
      </c>
      <c r="J5997" s="19" t="s">
        <v>12</v>
      </c>
      <c r="K5997" s="22">
        <f t="shared" si="2"/>
        <v>0</v>
      </c>
    </row>
    <row r="5998">
      <c r="A5998" s="18">
        <v>5104.0</v>
      </c>
      <c r="B5998" s="18" t="s">
        <v>30</v>
      </c>
      <c r="C5998" s="18" t="s">
        <v>34</v>
      </c>
      <c r="D5998" s="18" t="s">
        <v>35</v>
      </c>
      <c r="E5998" s="27">
        <v>42565.83231481481</v>
      </c>
      <c r="F5998" s="19">
        <f>IFERROR(__xludf.DUMMYFUNCTION("IFERROR(TO_DATE(E5998), """")"),42565.83231481481)</f>
        <v>42565.83231</v>
      </c>
      <c r="G5998" s="20">
        <f t="shared" si="1"/>
        <v>19</v>
      </c>
      <c r="H5998" s="18" t="s">
        <v>34</v>
      </c>
      <c r="I5998" s="19" t="str">
        <f>IFERROR(__xludf.DUMMYFUNCTION("IFERROR(TO_DATE(H5998), """")"),"NA")</f>
        <v>NA</v>
      </c>
      <c r="J5998" s="19" t="s">
        <v>12</v>
      </c>
      <c r="K5998" s="22">
        <f t="shared" si="2"/>
        <v>0</v>
      </c>
    </row>
    <row r="5999">
      <c r="A5999" s="18">
        <v>5109.0</v>
      </c>
      <c r="B5999" s="18" t="s">
        <v>30</v>
      </c>
      <c r="C5999" s="18" t="s">
        <v>34</v>
      </c>
      <c r="D5999" s="18" t="s">
        <v>35</v>
      </c>
      <c r="E5999" s="27">
        <v>42565.83284722222</v>
      </c>
      <c r="F5999" s="19">
        <f>IFERROR(__xludf.DUMMYFUNCTION("IFERROR(TO_DATE(E5999), """")"),42565.83284722222)</f>
        <v>42565.83285</v>
      </c>
      <c r="G5999" s="20">
        <f t="shared" si="1"/>
        <v>19</v>
      </c>
      <c r="H5999" s="18" t="s">
        <v>34</v>
      </c>
      <c r="I5999" s="19" t="str">
        <f>IFERROR(__xludf.DUMMYFUNCTION("IFERROR(TO_DATE(H5999), """")"),"NA")</f>
        <v>NA</v>
      </c>
      <c r="J5999" s="19" t="s">
        <v>12</v>
      </c>
      <c r="K5999" s="22">
        <f t="shared" si="2"/>
        <v>0</v>
      </c>
    </row>
    <row r="6000">
      <c r="A6000" s="18">
        <v>5112.0</v>
      </c>
      <c r="B6000" s="18" t="s">
        <v>30</v>
      </c>
      <c r="C6000" s="18" t="s">
        <v>34</v>
      </c>
      <c r="D6000" s="18" t="s">
        <v>35</v>
      </c>
      <c r="E6000" s="27">
        <v>42565.83319444444</v>
      </c>
      <c r="F6000" s="19">
        <f>IFERROR(__xludf.DUMMYFUNCTION("IFERROR(TO_DATE(E6000), """")"),42565.83319444444)</f>
        <v>42565.83319</v>
      </c>
      <c r="G6000" s="20">
        <f t="shared" si="1"/>
        <v>19</v>
      </c>
      <c r="H6000" s="18" t="s">
        <v>34</v>
      </c>
      <c r="I6000" s="19" t="str">
        <f>IFERROR(__xludf.DUMMYFUNCTION("IFERROR(TO_DATE(H6000), """")"),"NA")</f>
        <v>NA</v>
      </c>
      <c r="J6000" s="19" t="s">
        <v>12</v>
      </c>
      <c r="K6000" s="22">
        <f t="shared" si="2"/>
        <v>0</v>
      </c>
    </row>
    <row r="6001">
      <c r="A6001" s="18">
        <v>5117.0</v>
      </c>
      <c r="B6001" s="18" t="s">
        <v>30</v>
      </c>
      <c r="C6001" s="18" t="s">
        <v>34</v>
      </c>
      <c r="D6001" s="18" t="s">
        <v>35</v>
      </c>
      <c r="E6001" s="27">
        <v>42565.83319444444</v>
      </c>
      <c r="F6001" s="19">
        <f>IFERROR(__xludf.DUMMYFUNCTION("IFERROR(TO_DATE(E6001), """")"),42565.83319444444)</f>
        <v>42565.83319</v>
      </c>
      <c r="G6001" s="20">
        <f t="shared" si="1"/>
        <v>19</v>
      </c>
      <c r="H6001" s="18" t="s">
        <v>34</v>
      </c>
      <c r="I6001" s="19" t="str">
        <f>IFERROR(__xludf.DUMMYFUNCTION("IFERROR(TO_DATE(H6001), """")"),"NA")</f>
        <v>NA</v>
      </c>
      <c r="J6001" s="19" t="s">
        <v>12</v>
      </c>
      <c r="K6001" s="22">
        <f t="shared" si="2"/>
        <v>0</v>
      </c>
    </row>
    <row r="6002">
      <c r="A6002" s="18">
        <v>5099.0</v>
      </c>
      <c r="B6002" s="18" t="s">
        <v>30</v>
      </c>
      <c r="C6002" s="18" t="s">
        <v>34</v>
      </c>
      <c r="D6002" s="18" t="s">
        <v>35</v>
      </c>
      <c r="E6002" s="27">
        <v>42565.83331018518</v>
      </c>
      <c r="F6002" s="19">
        <f>IFERROR(__xludf.DUMMYFUNCTION("IFERROR(TO_DATE(E6002), """")"),42565.83331018518)</f>
        <v>42565.83331</v>
      </c>
      <c r="G6002" s="20">
        <f t="shared" si="1"/>
        <v>19</v>
      </c>
      <c r="H6002" s="18" t="s">
        <v>34</v>
      </c>
      <c r="I6002" s="19" t="str">
        <f>IFERROR(__xludf.DUMMYFUNCTION("IFERROR(TO_DATE(H6002), """")"),"NA")</f>
        <v>NA</v>
      </c>
      <c r="J6002" s="19" t="s">
        <v>12</v>
      </c>
      <c r="K6002" s="22">
        <f t="shared" si="2"/>
        <v>0</v>
      </c>
    </row>
    <row r="6003">
      <c r="A6003" s="18">
        <v>5118.0</v>
      </c>
      <c r="B6003" s="18" t="s">
        <v>32</v>
      </c>
      <c r="C6003" s="18" t="s">
        <v>34</v>
      </c>
      <c r="D6003" s="18" t="s">
        <v>35</v>
      </c>
      <c r="E6003" s="27">
        <v>42565.83388888889</v>
      </c>
      <c r="F6003" s="19">
        <f>IFERROR(__xludf.DUMMYFUNCTION("IFERROR(TO_DATE(E6003), """")"),42565.83388888889)</f>
        <v>42565.83389</v>
      </c>
      <c r="G6003" s="20">
        <f t="shared" si="1"/>
        <v>20</v>
      </c>
      <c r="H6003" s="18" t="s">
        <v>34</v>
      </c>
      <c r="I6003" s="19" t="str">
        <f>IFERROR(__xludf.DUMMYFUNCTION("IFERROR(TO_DATE(H6003), """")"),"NA")</f>
        <v>NA</v>
      </c>
      <c r="J6003" s="19" t="s">
        <v>13</v>
      </c>
      <c r="K6003" s="22">
        <f t="shared" si="2"/>
        <v>0</v>
      </c>
    </row>
    <row r="6004">
      <c r="A6004" s="18">
        <v>5106.0</v>
      </c>
      <c r="B6004" s="18" t="s">
        <v>30</v>
      </c>
      <c r="C6004" s="18" t="s">
        <v>34</v>
      </c>
      <c r="D6004" s="18" t="s">
        <v>35</v>
      </c>
      <c r="E6004" s="27">
        <v>42565.833969907406</v>
      </c>
      <c r="F6004" s="19">
        <f>IFERROR(__xludf.DUMMYFUNCTION("IFERROR(TO_DATE(E6004), """")"),42565.833969907406)</f>
        <v>42565.83397</v>
      </c>
      <c r="G6004" s="20">
        <f t="shared" si="1"/>
        <v>20</v>
      </c>
      <c r="H6004" s="18" t="s">
        <v>34</v>
      </c>
      <c r="I6004" s="19" t="str">
        <f>IFERROR(__xludf.DUMMYFUNCTION("IFERROR(TO_DATE(H6004), """")"),"NA")</f>
        <v>NA</v>
      </c>
      <c r="J6004" s="19" t="s">
        <v>13</v>
      </c>
      <c r="K6004" s="22">
        <f t="shared" si="2"/>
        <v>0</v>
      </c>
    </row>
    <row r="6005">
      <c r="A6005" s="18">
        <v>5110.0</v>
      </c>
      <c r="B6005" s="18" t="s">
        <v>30</v>
      </c>
      <c r="C6005" s="18" t="s">
        <v>34</v>
      </c>
      <c r="D6005" s="18" t="s">
        <v>35</v>
      </c>
      <c r="E6005" s="27">
        <v>42565.83498842592</v>
      </c>
      <c r="F6005" s="19">
        <f>IFERROR(__xludf.DUMMYFUNCTION("IFERROR(TO_DATE(E6005), """")"),42565.83498842592)</f>
        <v>42565.83499</v>
      </c>
      <c r="G6005" s="20">
        <f t="shared" si="1"/>
        <v>20</v>
      </c>
      <c r="H6005" s="18" t="s">
        <v>34</v>
      </c>
      <c r="I6005" s="19" t="str">
        <f>IFERROR(__xludf.DUMMYFUNCTION("IFERROR(TO_DATE(H6005), """")"),"NA")</f>
        <v>NA</v>
      </c>
      <c r="J6005" s="19" t="s">
        <v>13</v>
      </c>
      <c r="K6005" s="22">
        <f t="shared" si="2"/>
        <v>0</v>
      </c>
    </row>
    <row r="6006">
      <c r="A6006" s="18">
        <v>5111.0</v>
      </c>
      <c r="B6006" s="18" t="s">
        <v>30</v>
      </c>
      <c r="C6006" s="18" t="s">
        <v>34</v>
      </c>
      <c r="D6006" s="18" t="s">
        <v>35</v>
      </c>
      <c r="E6006" s="27">
        <v>42565.83599537037</v>
      </c>
      <c r="F6006" s="19">
        <f>IFERROR(__xludf.DUMMYFUNCTION("IFERROR(TO_DATE(E6006), """")"),42565.83599537037)</f>
        <v>42565.836</v>
      </c>
      <c r="G6006" s="20">
        <f t="shared" si="1"/>
        <v>20</v>
      </c>
      <c r="H6006" s="18" t="s">
        <v>34</v>
      </c>
      <c r="I6006" s="19" t="str">
        <f>IFERROR(__xludf.DUMMYFUNCTION("IFERROR(TO_DATE(H6006), """")"),"NA")</f>
        <v>NA</v>
      </c>
      <c r="J6006" s="19" t="s">
        <v>13</v>
      </c>
      <c r="K6006" s="22">
        <f t="shared" si="2"/>
        <v>0</v>
      </c>
    </row>
    <row r="6007">
      <c r="A6007" s="18">
        <v>5120.0</v>
      </c>
      <c r="B6007" s="18" t="s">
        <v>30</v>
      </c>
      <c r="C6007" s="18" t="s">
        <v>34</v>
      </c>
      <c r="D6007" s="18" t="s">
        <v>35</v>
      </c>
      <c r="E6007" s="27">
        <v>42565.836747685185</v>
      </c>
      <c r="F6007" s="19">
        <f>IFERROR(__xludf.DUMMYFUNCTION("IFERROR(TO_DATE(E6007), """")"),42565.836747685185)</f>
        <v>42565.83675</v>
      </c>
      <c r="G6007" s="20">
        <f t="shared" si="1"/>
        <v>20</v>
      </c>
      <c r="H6007" s="18" t="s">
        <v>34</v>
      </c>
      <c r="I6007" s="19" t="str">
        <f>IFERROR(__xludf.DUMMYFUNCTION("IFERROR(TO_DATE(H6007), """")"),"NA")</f>
        <v>NA</v>
      </c>
      <c r="J6007" s="19" t="s">
        <v>13</v>
      </c>
      <c r="K6007" s="22">
        <f t="shared" si="2"/>
        <v>0</v>
      </c>
    </row>
    <row r="6008">
      <c r="A6008" s="18">
        <v>5121.0</v>
      </c>
      <c r="B6008" s="18" t="s">
        <v>30</v>
      </c>
      <c r="C6008" s="18" t="s">
        <v>34</v>
      </c>
      <c r="D6008" s="18" t="s">
        <v>35</v>
      </c>
      <c r="E6008" s="27">
        <v>42565.837905092594</v>
      </c>
      <c r="F6008" s="19">
        <f>IFERROR(__xludf.DUMMYFUNCTION("IFERROR(TO_DATE(E6008), """")"),42565.837905092594)</f>
        <v>42565.83791</v>
      </c>
      <c r="G6008" s="20">
        <f t="shared" si="1"/>
        <v>20</v>
      </c>
      <c r="H6008" s="18" t="s">
        <v>34</v>
      </c>
      <c r="I6008" s="19" t="str">
        <f>IFERROR(__xludf.DUMMYFUNCTION("IFERROR(TO_DATE(H6008), """")"),"NA")</f>
        <v>NA</v>
      </c>
      <c r="J6008" s="19" t="s">
        <v>13</v>
      </c>
      <c r="K6008" s="22">
        <f t="shared" si="2"/>
        <v>0</v>
      </c>
    </row>
    <row r="6009">
      <c r="A6009" s="18">
        <v>5123.0</v>
      </c>
      <c r="B6009" s="18" t="s">
        <v>30</v>
      </c>
      <c r="C6009" s="18" t="s">
        <v>34</v>
      </c>
      <c r="D6009" s="18" t="s">
        <v>35</v>
      </c>
      <c r="E6009" s="27">
        <v>42565.83796296296</v>
      </c>
      <c r="F6009" s="19">
        <f>IFERROR(__xludf.DUMMYFUNCTION("IFERROR(TO_DATE(E6009), """")"),42565.83796296296)</f>
        <v>42565.83796</v>
      </c>
      <c r="G6009" s="20">
        <f t="shared" si="1"/>
        <v>20</v>
      </c>
      <c r="H6009" s="18" t="s">
        <v>34</v>
      </c>
      <c r="I6009" s="19" t="str">
        <f>IFERROR(__xludf.DUMMYFUNCTION("IFERROR(TO_DATE(H6009), """")"),"NA")</f>
        <v>NA</v>
      </c>
      <c r="J6009" s="19" t="s">
        <v>13</v>
      </c>
      <c r="K6009" s="22">
        <f t="shared" si="2"/>
        <v>0</v>
      </c>
    </row>
    <row r="6010">
      <c r="A6010" s="18">
        <v>5124.0</v>
      </c>
      <c r="B6010" s="18" t="s">
        <v>30</v>
      </c>
      <c r="C6010" s="18" t="s">
        <v>34</v>
      </c>
      <c r="D6010" s="18" t="s">
        <v>35</v>
      </c>
      <c r="E6010" s="27">
        <v>42565.83886574074</v>
      </c>
      <c r="F6010" s="19">
        <f>IFERROR(__xludf.DUMMYFUNCTION("IFERROR(TO_DATE(E6010), """")"),42565.83886574074)</f>
        <v>42565.83887</v>
      </c>
      <c r="G6010" s="20">
        <f t="shared" si="1"/>
        <v>20</v>
      </c>
      <c r="H6010" s="18" t="s">
        <v>34</v>
      </c>
      <c r="I6010" s="19" t="str">
        <f>IFERROR(__xludf.DUMMYFUNCTION("IFERROR(TO_DATE(H6010), """")"),"NA")</f>
        <v>NA</v>
      </c>
      <c r="J6010" s="19" t="s">
        <v>13</v>
      </c>
      <c r="K6010" s="22">
        <f t="shared" si="2"/>
        <v>0</v>
      </c>
    </row>
    <row r="6011">
      <c r="A6011" s="18">
        <v>5127.0</v>
      </c>
      <c r="B6011" s="18" t="s">
        <v>30</v>
      </c>
      <c r="C6011" s="18" t="s">
        <v>34</v>
      </c>
      <c r="D6011" s="18" t="s">
        <v>35</v>
      </c>
      <c r="E6011" s="27">
        <v>42565.83928240741</v>
      </c>
      <c r="F6011" s="19">
        <f>IFERROR(__xludf.DUMMYFUNCTION("IFERROR(TO_DATE(E6011), """")"),42565.83928240741)</f>
        <v>42565.83928</v>
      </c>
      <c r="G6011" s="20">
        <f t="shared" si="1"/>
        <v>20</v>
      </c>
      <c r="H6011" s="18" t="s">
        <v>34</v>
      </c>
      <c r="I6011" s="19" t="str">
        <f>IFERROR(__xludf.DUMMYFUNCTION("IFERROR(TO_DATE(H6011), """")"),"NA")</f>
        <v>NA</v>
      </c>
      <c r="J6011" s="19" t="s">
        <v>13</v>
      </c>
      <c r="K6011" s="22">
        <f t="shared" si="2"/>
        <v>0</v>
      </c>
    </row>
    <row r="6012">
      <c r="A6012" s="18">
        <v>5126.0</v>
      </c>
      <c r="B6012" s="18" t="s">
        <v>30</v>
      </c>
      <c r="C6012" s="18" t="s">
        <v>34</v>
      </c>
      <c r="D6012" s="18" t="s">
        <v>35</v>
      </c>
      <c r="E6012" s="27">
        <v>42565.83965277778</v>
      </c>
      <c r="F6012" s="19">
        <f>IFERROR(__xludf.DUMMYFUNCTION("IFERROR(TO_DATE(E6012), """")"),42565.83965277778)</f>
        <v>42565.83965</v>
      </c>
      <c r="G6012" s="20">
        <f t="shared" si="1"/>
        <v>20</v>
      </c>
      <c r="H6012" s="18" t="s">
        <v>34</v>
      </c>
      <c r="I6012" s="19" t="str">
        <f>IFERROR(__xludf.DUMMYFUNCTION("IFERROR(TO_DATE(H6012), """")"),"NA")</f>
        <v>NA</v>
      </c>
      <c r="J6012" s="19" t="s">
        <v>13</v>
      </c>
      <c r="K6012" s="22">
        <f t="shared" si="2"/>
        <v>0</v>
      </c>
    </row>
    <row r="6013">
      <c r="A6013" s="18">
        <v>5125.0</v>
      </c>
      <c r="B6013" s="18" t="s">
        <v>30</v>
      </c>
      <c r="C6013" s="18" t="s">
        <v>34</v>
      </c>
      <c r="D6013" s="18" t="s">
        <v>35</v>
      </c>
      <c r="E6013" s="27">
        <v>42565.839733796296</v>
      </c>
      <c r="F6013" s="19">
        <f>IFERROR(__xludf.DUMMYFUNCTION("IFERROR(TO_DATE(E6013), """")"),42565.839733796296)</f>
        <v>42565.83973</v>
      </c>
      <c r="G6013" s="20">
        <f t="shared" si="1"/>
        <v>20</v>
      </c>
      <c r="H6013" s="18" t="s">
        <v>34</v>
      </c>
      <c r="I6013" s="19" t="str">
        <f>IFERROR(__xludf.DUMMYFUNCTION("IFERROR(TO_DATE(H6013), """")"),"NA")</f>
        <v>NA</v>
      </c>
      <c r="J6013" s="19" t="s">
        <v>13</v>
      </c>
      <c r="K6013" s="22">
        <f t="shared" si="2"/>
        <v>0</v>
      </c>
    </row>
    <row r="6014">
      <c r="A6014" s="18">
        <v>5113.0</v>
      </c>
      <c r="B6014" s="18" t="s">
        <v>32</v>
      </c>
      <c r="C6014" s="18" t="s">
        <v>34</v>
      </c>
      <c r="D6014" s="18" t="s">
        <v>35</v>
      </c>
      <c r="E6014" s="27">
        <v>42565.840150462966</v>
      </c>
      <c r="F6014" s="19">
        <f>IFERROR(__xludf.DUMMYFUNCTION("IFERROR(TO_DATE(E6014), """")"),42565.840150462966)</f>
        <v>42565.84015</v>
      </c>
      <c r="G6014" s="20">
        <f t="shared" si="1"/>
        <v>20</v>
      </c>
      <c r="H6014" s="18" t="s">
        <v>34</v>
      </c>
      <c r="I6014" s="19" t="str">
        <f>IFERROR(__xludf.DUMMYFUNCTION("IFERROR(TO_DATE(H6014), """")"),"NA")</f>
        <v>NA</v>
      </c>
      <c r="J6014" s="19" t="s">
        <v>13</v>
      </c>
      <c r="K6014" s="22">
        <f t="shared" si="2"/>
        <v>0</v>
      </c>
    </row>
    <row r="6015">
      <c r="A6015" s="18">
        <v>5130.0</v>
      </c>
      <c r="B6015" s="18" t="s">
        <v>30</v>
      </c>
      <c r="C6015" s="18" t="s">
        <v>34</v>
      </c>
      <c r="D6015" s="18" t="s">
        <v>35</v>
      </c>
      <c r="E6015" s="27">
        <v>42565.84040509259</v>
      </c>
      <c r="F6015" s="19">
        <f>IFERROR(__xludf.DUMMYFUNCTION("IFERROR(TO_DATE(E6015), """")"),42565.84040509259)</f>
        <v>42565.84041</v>
      </c>
      <c r="G6015" s="20">
        <f t="shared" si="1"/>
        <v>20</v>
      </c>
      <c r="H6015" s="18" t="s">
        <v>34</v>
      </c>
      <c r="I6015" s="19" t="str">
        <f>IFERROR(__xludf.DUMMYFUNCTION("IFERROR(TO_DATE(H6015), """")"),"NA")</f>
        <v>NA</v>
      </c>
      <c r="J6015" s="19" t="s">
        <v>13</v>
      </c>
      <c r="K6015" s="22">
        <f t="shared" si="2"/>
        <v>0</v>
      </c>
    </row>
    <row r="6016">
      <c r="A6016" s="18">
        <v>5129.0</v>
      </c>
      <c r="B6016" s="18" t="s">
        <v>30</v>
      </c>
      <c r="C6016" s="18" t="s">
        <v>34</v>
      </c>
      <c r="D6016" s="18" t="s">
        <v>35</v>
      </c>
      <c r="E6016" s="27">
        <v>42565.840636574074</v>
      </c>
      <c r="F6016" s="19">
        <f>IFERROR(__xludf.DUMMYFUNCTION("IFERROR(TO_DATE(E6016), """")"),42565.840636574074)</f>
        <v>42565.84064</v>
      </c>
      <c r="G6016" s="20">
        <f t="shared" si="1"/>
        <v>20</v>
      </c>
      <c r="H6016" s="18" t="s">
        <v>34</v>
      </c>
      <c r="I6016" s="19" t="str">
        <f>IFERROR(__xludf.DUMMYFUNCTION("IFERROR(TO_DATE(H6016), """")"),"NA")</f>
        <v>NA</v>
      </c>
      <c r="J6016" s="19" t="s">
        <v>13</v>
      </c>
      <c r="K6016" s="22">
        <f t="shared" si="2"/>
        <v>0</v>
      </c>
    </row>
    <row r="6017">
      <c r="A6017" s="18">
        <v>5138.0</v>
      </c>
      <c r="B6017" s="18" t="s">
        <v>30</v>
      </c>
      <c r="C6017" s="18" t="s">
        <v>34</v>
      </c>
      <c r="D6017" s="18" t="s">
        <v>35</v>
      </c>
      <c r="E6017" s="27">
        <v>42565.842141203706</v>
      </c>
      <c r="F6017" s="19">
        <f>IFERROR(__xludf.DUMMYFUNCTION("IFERROR(TO_DATE(E6017), """")"),42565.842141203706)</f>
        <v>42565.84214</v>
      </c>
      <c r="G6017" s="20">
        <f t="shared" si="1"/>
        <v>20</v>
      </c>
      <c r="H6017" s="18" t="s">
        <v>34</v>
      </c>
      <c r="I6017" s="19" t="str">
        <f>IFERROR(__xludf.DUMMYFUNCTION("IFERROR(TO_DATE(H6017), """")"),"NA")</f>
        <v>NA</v>
      </c>
      <c r="J6017" s="19" t="s">
        <v>13</v>
      </c>
      <c r="K6017" s="22">
        <f t="shared" si="2"/>
        <v>0</v>
      </c>
    </row>
    <row r="6018">
      <c r="A6018" s="18">
        <v>5128.0</v>
      </c>
      <c r="B6018" s="18" t="s">
        <v>30</v>
      </c>
      <c r="C6018" s="18" t="s">
        <v>34</v>
      </c>
      <c r="D6018" s="18" t="s">
        <v>35</v>
      </c>
      <c r="E6018" s="27">
        <v>42565.842199074075</v>
      </c>
      <c r="F6018" s="19">
        <f>IFERROR(__xludf.DUMMYFUNCTION("IFERROR(TO_DATE(E6018), """")"),42565.842199074075)</f>
        <v>42565.8422</v>
      </c>
      <c r="G6018" s="20">
        <f t="shared" si="1"/>
        <v>20</v>
      </c>
      <c r="H6018" s="18" t="s">
        <v>34</v>
      </c>
      <c r="I6018" s="19" t="str">
        <f>IFERROR(__xludf.DUMMYFUNCTION("IFERROR(TO_DATE(H6018), """")"),"NA")</f>
        <v>NA</v>
      </c>
      <c r="J6018" s="19" t="s">
        <v>13</v>
      </c>
      <c r="K6018" s="22">
        <f t="shared" si="2"/>
        <v>0</v>
      </c>
    </row>
    <row r="6019">
      <c r="A6019" s="18">
        <v>5131.0</v>
      </c>
      <c r="B6019" s="18" t="s">
        <v>32</v>
      </c>
      <c r="C6019" s="18" t="s">
        <v>34</v>
      </c>
      <c r="D6019" s="18" t="s">
        <v>35</v>
      </c>
      <c r="E6019" s="27">
        <v>42565.8425</v>
      </c>
      <c r="F6019" s="19">
        <f>IFERROR(__xludf.DUMMYFUNCTION("IFERROR(TO_DATE(E6019), """")"),42565.8425)</f>
        <v>42565.8425</v>
      </c>
      <c r="G6019" s="20">
        <f t="shared" si="1"/>
        <v>20</v>
      </c>
      <c r="H6019" s="18" t="s">
        <v>34</v>
      </c>
      <c r="I6019" s="19" t="str">
        <f>IFERROR(__xludf.DUMMYFUNCTION("IFERROR(TO_DATE(H6019), """")"),"NA")</f>
        <v>NA</v>
      </c>
      <c r="J6019" s="19" t="s">
        <v>13</v>
      </c>
      <c r="K6019" s="22">
        <f t="shared" si="2"/>
        <v>0</v>
      </c>
    </row>
    <row r="6020">
      <c r="A6020" s="18">
        <v>5134.0</v>
      </c>
      <c r="B6020" s="18" t="s">
        <v>30</v>
      </c>
      <c r="C6020" s="18" t="s">
        <v>34</v>
      </c>
      <c r="D6020" s="18" t="s">
        <v>35</v>
      </c>
      <c r="E6020" s="27">
        <v>42565.84273148148</v>
      </c>
      <c r="F6020" s="19">
        <f>IFERROR(__xludf.DUMMYFUNCTION("IFERROR(TO_DATE(E6020), """")"),42565.84273148148)</f>
        <v>42565.84273</v>
      </c>
      <c r="G6020" s="20">
        <f t="shared" si="1"/>
        <v>20</v>
      </c>
      <c r="H6020" s="18" t="s">
        <v>34</v>
      </c>
      <c r="I6020" s="19" t="str">
        <f>IFERROR(__xludf.DUMMYFUNCTION("IFERROR(TO_DATE(H6020), """")"),"NA")</f>
        <v>NA</v>
      </c>
      <c r="J6020" s="19" t="s">
        <v>13</v>
      </c>
      <c r="K6020" s="22">
        <f t="shared" si="2"/>
        <v>0</v>
      </c>
    </row>
    <row r="6021">
      <c r="A6021" s="18">
        <v>5137.0</v>
      </c>
      <c r="B6021" s="18" t="s">
        <v>30</v>
      </c>
      <c r="C6021" s="18" t="s">
        <v>34</v>
      </c>
      <c r="D6021" s="18" t="s">
        <v>35</v>
      </c>
      <c r="E6021" s="27">
        <v>42565.84276620371</v>
      </c>
      <c r="F6021" s="19">
        <f>IFERROR(__xludf.DUMMYFUNCTION("IFERROR(TO_DATE(E6021), """")"),42565.84276620371)</f>
        <v>42565.84277</v>
      </c>
      <c r="G6021" s="20">
        <f t="shared" si="1"/>
        <v>20</v>
      </c>
      <c r="H6021" s="18" t="s">
        <v>34</v>
      </c>
      <c r="I6021" s="19" t="str">
        <f>IFERROR(__xludf.DUMMYFUNCTION("IFERROR(TO_DATE(H6021), """")"),"NA")</f>
        <v>NA</v>
      </c>
      <c r="J6021" s="19" t="s">
        <v>13</v>
      </c>
      <c r="K6021" s="22">
        <f t="shared" si="2"/>
        <v>0</v>
      </c>
    </row>
    <row r="6022">
      <c r="A6022" s="18">
        <v>5143.0</v>
      </c>
      <c r="B6022" s="18" t="s">
        <v>30</v>
      </c>
      <c r="C6022" s="18" t="s">
        <v>34</v>
      </c>
      <c r="D6022" s="18" t="s">
        <v>35</v>
      </c>
      <c r="E6022" s="27">
        <v>42565.843460648146</v>
      </c>
      <c r="F6022" s="19">
        <f>IFERROR(__xludf.DUMMYFUNCTION("IFERROR(TO_DATE(E6022), """")"),42565.843460648146)</f>
        <v>42565.84346</v>
      </c>
      <c r="G6022" s="20">
        <f t="shared" si="1"/>
        <v>20</v>
      </c>
      <c r="H6022" s="18" t="s">
        <v>34</v>
      </c>
      <c r="I6022" s="19" t="str">
        <f>IFERROR(__xludf.DUMMYFUNCTION("IFERROR(TO_DATE(H6022), """")"),"NA")</f>
        <v>NA</v>
      </c>
      <c r="J6022" s="19" t="s">
        <v>13</v>
      </c>
      <c r="K6022" s="22">
        <f t="shared" si="2"/>
        <v>0</v>
      </c>
    </row>
    <row r="6023">
      <c r="A6023" s="18">
        <v>5140.0</v>
      </c>
      <c r="B6023" s="18" t="s">
        <v>30</v>
      </c>
      <c r="C6023" s="18" t="s">
        <v>34</v>
      </c>
      <c r="D6023" s="18" t="s">
        <v>35</v>
      </c>
      <c r="E6023" s="27">
        <v>42565.84363425926</v>
      </c>
      <c r="F6023" s="19">
        <f>IFERROR(__xludf.DUMMYFUNCTION("IFERROR(TO_DATE(E6023), """")"),42565.84363425926)</f>
        <v>42565.84363</v>
      </c>
      <c r="G6023" s="20">
        <f t="shared" si="1"/>
        <v>20</v>
      </c>
      <c r="H6023" s="18" t="s">
        <v>34</v>
      </c>
      <c r="I6023" s="19" t="str">
        <f>IFERROR(__xludf.DUMMYFUNCTION("IFERROR(TO_DATE(H6023), """")"),"NA")</f>
        <v>NA</v>
      </c>
      <c r="J6023" s="19" t="s">
        <v>13</v>
      </c>
      <c r="K6023" s="22">
        <f t="shared" si="2"/>
        <v>0</v>
      </c>
    </row>
    <row r="6024">
      <c r="A6024" s="18">
        <v>5139.0</v>
      </c>
      <c r="B6024" s="18" t="s">
        <v>30</v>
      </c>
      <c r="C6024" s="18" t="s">
        <v>34</v>
      </c>
      <c r="D6024" s="18" t="s">
        <v>35</v>
      </c>
      <c r="E6024" s="27">
        <v>42565.8443287037</v>
      </c>
      <c r="F6024" s="19">
        <f>IFERROR(__xludf.DUMMYFUNCTION("IFERROR(TO_DATE(E6024), """")"),42565.8443287037)</f>
        <v>42565.84433</v>
      </c>
      <c r="G6024" s="20">
        <f t="shared" si="1"/>
        <v>20</v>
      </c>
      <c r="H6024" s="18" t="s">
        <v>34</v>
      </c>
      <c r="I6024" s="19" t="str">
        <f>IFERROR(__xludf.DUMMYFUNCTION("IFERROR(TO_DATE(H6024), """")"),"NA")</f>
        <v>NA</v>
      </c>
      <c r="J6024" s="19" t="s">
        <v>13</v>
      </c>
      <c r="K6024" s="22">
        <f t="shared" si="2"/>
        <v>0</v>
      </c>
    </row>
    <row r="6025">
      <c r="A6025" s="18">
        <v>5135.0</v>
      </c>
      <c r="B6025" s="18" t="s">
        <v>30</v>
      </c>
      <c r="C6025" s="18" t="s">
        <v>34</v>
      </c>
      <c r="D6025" s="18" t="s">
        <v>35</v>
      </c>
      <c r="E6025" s="27">
        <v>42565.84473379629</v>
      </c>
      <c r="F6025" s="19">
        <f>IFERROR(__xludf.DUMMYFUNCTION("IFERROR(TO_DATE(E6025), """")"),42565.84473379629)</f>
        <v>42565.84473</v>
      </c>
      <c r="G6025" s="20">
        <f t="shared" si="1"/>
        <v>20</v>
      </c>
      <c r="H6025" s="18" t="s">
        <v>34</v>
      </c>
      <c r="I6025" s="19" t="str">
        <f>IFERROR(__xludf.DUMMYFUNCTION("IFERROR(TO_DATE(H6025), """")"),"NA")</f>
        <v>NA</v>
      </c>
      <c r="J6025" s="19" t="s">
        <v>13</v>
      </c>
      <c r="K6025" s="22">
        <f t="shared" si="2"/>
        <v>0</v>
      </c>
    </row>
    <row r="6026">
      <c r="A6026" s="18">
        <v>5146.0</v>
      </c>
      <c r="B6026" s="18" t="s">
        <v>30</v>
      </c>
      <c r="C6026" s="18" t="s">
        <v>34</v>
      </c>
      <c r="D6026" s="18" t="s">
        <v>35</v>
      </c>
      <c r="E6026" s="27">
        <v>42565.84496527778</v>
      </c>
      <c r="F6026" s="19">
        <f>IFERROR(__xludf.DUMMYFUNCTION("IFERROR(TO_DATE(E6026), """")"),42565.84496527778)</f>
        <v>42565.84497</v>
      </c>
      <c r="G6026" s="20">
        <f t="shared" si="1"/>
        <v>20</v>
      </c>
      <c r="H6026" s="18" t="s">
        <v>34</v>
      </c>
      <c r="I6026" s="19" t="str">
        <f>IFERROR(__xludf.DUMMYFUNCTION("IFERROR(TO_DATE(H6026), """")"),"NA")</f>
        <v>NA</v>
      </c>
      <c r="J6026" s="19" t="s">
        <v>13</v>
      </c>
      <c r="K6026" s="22">
        <f t="shared" si="2"/>
        <v>0</v>
      </c>
    </row>
    <row r="6027">
      <c r="A6027" s="18">
        <v>5148.0</v>
      </c>
      <c r="B6027" s="18" t="s">
        <v>30</v>
      </c>
      <c r="C6027" s="18" t="s">
        <v>34</v>
      </c>
      <c r="D6027" s="18" t="s">
        <v>35</v>
      </c>
      <c r="E6027" s="27">
        <v>42565.846030092594</v>
      </c>
      <c r="F6027" s="19">
        <f>IFERROR(__xludf.DUMMYFUNCTION("IFERROR(TO_DATE(E6027), """")"),42565.846030092594)</f>
        <v>42565.84603</v>
      </c>
      <c r="G6027" s="20">
        <f t="shared" si="1"/>
        <v>20</v>
      </c>
      <c r="H6027" s="18" t="s">
        <v>34</v>
      </c>
      <c r="I6027" s="19" t="str">
        <f>IFERROR(__xludf.DUMMYFUNCTION("IFERROR(TO_DATE(H6027), """")"),"NA")</f>
        <v>NA</v>
      </c>
      <c r="J6027" s="19" t="s">
        <v>13</v>
      </c>
      <c r="K6027" s="22">
        <f t="shared" si="2"/>
        <v>0</v>
      </c>
    </row>
    <row r="6028">
      <c r="A6028" s="18">
        <v>5151.0</v>
      </c>
      <c r="B6028" s="18" t="s">
        <v>30</v>
      </c>
      <c r="C6028" s="18" t="s">
        <v>34</v>
      </c>
      <c r="D6028" s="18" t="s">
        <v>35</v>
      </c>
      <c r="E6028" s="27">
        <v>42565.847083333334</v>
      </c>
      <c r="F6028" s="19">
        <f>IFERROR(__xludf.DUMMYFUNCTION("IFERROR(TO_DATE(E6028), """")"),42565.847083333334)</f>
        <v>42565.84708</v>
      </c>
      <c r="G6028" s="20">
        <f t="shared" si="1"/>
        <v>20</v>
      </c>
      <c r="H6028" s="18" t="s">
        <v>34</v>
      </c>
      <c r="I6028" s="19" t="str">
        <f>IFERROR(__xludf.DUMMYFUNCTION("IFERROR(TO_DATE(H6028), """")"),"NA")</f>
        <v>NA</v>
      </c>
      <c r="J6028" s="19" t="s">
        <v>13</v>
      </c>
      <c r="K6028" s="22">
        <f t="shared" si="2"/>
        <v>0</v>
      </c>
    </row>
    <row r="6029">
      <c r="A6029" s="18">
        <v>5136.0</v>
      </c>
      <c r="B6029" s="18" t="s">
        <v>30</v>
      </c>
      <c r="C6029" s="18" t="s">
        <v>34</v>
      </c>
      <c r="D6029" s="18" t="s">
        <v>35</v>
      </c>
      <c r="E6029" s="27">
        <v>42565.84767361111</v>
      </c>
      <c r="F6029" s="19">
        <f>IFERROR(__xludf.DUMMYFUNCTION("IFERROR(TO_DATE(E6029), """")"),42565.84767361111)</f>
        <v>42565.84767</v>
      </c>
      <c r="G6029" s="20">
        <f t="shared" si="1"/>
        <v>20</v>
      </c>
      <c r="H6029" s="18" t="s">
        <v>34</v>
      </c>
      <c r="I6029" s="19" t="str">
        <f>IFERROR(__xludf.DUMMYFUNCTION("IFERROR(TO_DATE(H6029), """")"),"NA")</f>
        <v>NA</v>
      </c>
      <c r="J6029" s="19" t="s">
        <v>13</v>
      </c>
      <c r="K6029" s="22">
        <f t="shared" si="2"/>
        <v>0</v>
      </c>
    </row>
    <row r="6030">
      <c r="A6030" s="18">
        <v>5147.0</v>
      </c>
      <c r="B6030" s="18" t="s">
        <v>30</v>
      </c>
      <c r="C6030" s="18" t="s">
        <v>34</v>
      </c>
      <c r="D6030" s="18" t="s">
        <v>35</v>
      </c>
      <c r="E6030" s="27">
        <v>42565.84826388889</v>
      </c>
      <c r="F6030" s="19">
        <f>IFERROR(__xludf.DUMMYFUNCTION("IFERROR(TO_DATE(E6030), """")"),42565.84826388889)</f>
        <v>42565.84826</v>
      </c>
      <c r="G6030" s="20">
        <f t="shared" si="1"/>
        <v>20</v>
      </c>
      <c r="H6030" s="18" t="s">
        <v>34</v>
      </c>
      <c r="I6030" s="19" t="str">
        <f>IFERROR(__xludf.DUMMYFUNCTION("IFERROR(TO_DATE(H6030), """")"),"NA")</f>
        <v>NA</v>
      </c>
      <c r="J6030" s="19" t="s">
        <v>13</v>
      </c>
      <c r="K6030" s="22">
        <f t="shared" si="2"/>
        <v>0</v>
      </c>
    </row>
    <row r="6031">
      <c r="A6031" s="18">
        <v>5159.0</v>
      </c>
      <c r="B6031" s="18" t="s">
        <v>30</v>
      </c>
      <c r="C6031" s="18" t="s">
        <v>34</v>
      </c>
      <c r="D6031" s="18" t="s">
        <v>35</v>
      </c>
      <c r="E6031" s="27">
        <v>42565.84912037037</v>
      </c>
      <c r="F6031" s="19">
        <f>IFERROR(__xludf.DUMMYFUNCTION("IFERROR(TO_DATE(E6031), """")"),42565.84912037037)</f>
        <v>42565.84912</v>
      </c>
      <c r="G6031" s="20">
        <f t="shared" si="1"/>
        <v>20</v>
      </c>
      <c r="H6031" s="18" t="s">
        <v>34</v>
      </c>
      <c r="I6031" s="19" t="str">
        <f>IFERROR(__xludf.DUMMYFUNCTION("IFERROR(TO_DATE(H6031), """")"),"NA")</f>
        <v>NA</v>
      </c>
      <c r="J6031" s="19" t="s">
        <v>13</v>
      </c>
      <c r="K6031" s="22">
        <f t="shared" si="2"/>
        <v>0</v>
      </c>
    </row>
    <row r="6032">
      <c r="A6032" s="18">
        <v>5152.0</v>
      </c>
      <c r="B6032" s="18" t="s">
        <v>30</v>
      </c>
      <c r="C6032" s="18" t="s">
        <v>34</v>
      </c>
      <c r="D6032" s="18" t="s">
        <v>35</v>
      </c>
      <c r="E6032" s="27">
        <v>42565.84952546296</v>
      </c>
      <c r="F6032" s="19">
        <f>IFERROR(__xludf.DUMMYFUNCTION("IFERROR(TO_DATE(E6032), """")"),42565.84952546296)</f>
        <v>42565.84953</v>
      </c>
      <c r="G6032" s="20">
        <f t="shared" si="1"/>
        <v>20</v>
      </c>
      <c r="H6032" s="18" t="s">
        <v>34</v>
      </c>
      <c r="I6032" s="19" t="str">
        <f>IFERROR(__xludf.DUMMYFUNCTION("IFERROR(TO_DATE(H6032), """")"),"NA")</f>
        <v>NA</v>
      </c>
      <c r="J6032" s="19" t="s">
        <v>13</v>
      </c>
      <c r="K6032" s="22">
        <f t="shared" si="2"/>
        <v>0</v>
      </c>
    </row>
    <row r="6033">
      <c r="A6033" s="18">
        <v>5162.0</v>
      </c>
      <c r="B6033" s="18" t="s">
        <v>30</v>
      </c>
      <c r="C6033" s="18" t="s">
        <v>34</v>
      </c>
      <c r="D6033" s="18" t="s">
        <v>35</v>
      </c>
      <c r="E6033" s="27">
        <v>42565.85023148148</v>
      </c>
      <c r="F6033" s="19">
        <f>IFERROR(__xludf.DUMMYFUNCTION("IFERROR(TO_DATE(E6033), """")"),42565.85023148148)</f>
        <v>42565.85023</v>
      </c>
      <c r="G6033" s="20">
        <f t="shared" si="1"/>
        <v>20</v>
      </c>
      <c r="H6033" s="18" t="s">
        <v>34</v>
      </c>
      <c r="I6033" s="19" t="str">
        <f>IFERROR(__xludf.DUMMYFUNCTION("IFERROR(TO_DATE(H6033), """")"),"NA")</f>
        <v>NA</v>
      </c>
      <c r="J6033" s="19" t="s">
        <v>13</v>
      </c>
      <c r="K6033" s="22">
        <f t="shared" si="2"/>
        <v>0</v>
      </c>
    </row>
    <row r="6034">
      <c r="A6034" s="18">
        <v>5161.0</v>
      </c>
      <c r="B6034" s="18" t="s">
        <v>30</v>
      </c>
      <c r="C6034" s="18" t="s">
        <v>34</v>
      </c>
      <c r="D6034" s="18" t="s">
        <v>35</v>
      </c>
      <c r="E6034" s="27">
        <v>42565.850381944445</v>
      </c>
      <c r="F6034" s="19">
        <f>IFERROR(__xludf.DUMMYFUNCTION("IFERROR(TO_DATE(E6034), """")"),42565.850381944445)</f>
        <v>42565.85038</v>
      </c>
      <c r="G6034" s="20">
        <f t="shared" si="1"/>
        <v>20</v>
      </c>
      <c r="H6034" s="18" t="s">
        <v>34</v>
      </c>
      <c r="I6034" s="19" t="str">
        <f>IFERROR(__xludf.DUMMYFUNCTION("IFERROR(TO_DATE(H6034), """")"),"NA")</f>
        <v>NA</v>
      </c>
      <c r="J6034" s="19" t="s">
        <v>13</v>
      </c>
      <c r="K6034" s="22">
        <f t="shared" si="2"/>
        <v>0</v>
      </c>
    </row>
    <row r="6035">
      <c r="A6035" s="18">
        <v>5150.0</v>
      </c>
      <c r="B6035" s="18" t="s">
        <v>30</v>
      </c>
      <c r="C6035" s="18" t="s">
        <v>34</v>
      </c>
      <c r="D6035" s="18" t="s">
        <v>35</v>
      </c>
      <c r="E6035" s="27">
        <v>42565.85142361111</v>
      </c>
      <c r="F6035" s="19">
        <f>IFERROR(__xludf.DUMMYFUNCTION("IFERROR(TO_DATE(E6035), """")"),42565.85142361111)</f>
        <v>42565.85142</v>
      </c>
      <c r="G6035" s="20">
        <f t="shared" si="1"/>
        <v>20</v>
      </c>
      <c r="H6035" s="18" t="s">
        <v>34</v>
      </c>
      <c r="I6035" s="19" t="str">
        <f>IFERROR(__xludf.DUMMYFUNCTION("IFERROR(TO_DATE(H6035), """")"),"NA")</f>
        <v>NA</v>
      </c>
      <c r="J6035" s="19" t="s">
        <v>13</v>
      </c>
      <c r="K6035" s="22">
        <f t="shared" si="2"/>
        <v>0</v>
      </c>
    </row>
    <row r="6036">
      <c r="A6036" s="18">
        <v>5156.0</v>
      </c>
      <c r="B6036" s="18" t="s">
        <v>30</v>
      </c>
      <c r="C6036" s="18" t="s">
        <v>34</v>
      </c>
      <c r="D6036" s="18" t="s">
        <v>35</v>
      </c>
      <c r="E6036" s="27">
        <v>42565.85155092592</v>
      </c>
      <c r="F6036" s="19">
        <f>IFERROR(__xludf.DUMMYFUNCTION("IFERROR(TO_DATE(E6036), """")"),42565.85155092592)</f>
        <v>42565.85155</v>
      </c>
      <c r="G6036" s="20">
        <f t="shared" si="1"/>
        <v>20</v>
      </c>
      <c r="H6036" s="18" t="s">
        <v>34</v>
      </c>
      <c r="I6036" s="19" t="str">
        <f>IFERROR(__xludf.DUMMYFUNCTION("IFERROR(TO_DATE(H6036), """")"),"NA")</f>
        <v>NA</v>
      </c>
      <c r="J6036" s="19" t="s">
        <v>13</v>
      </c>
      <c r="K6036" s="22">
        <f t="shared" si="2"/>
        <v>0</v>
      </c>
    </row>
    <row r="6037">
      <c r="A6037" s="18">
        <v>5155.0</v>
      </c>
      <c r="B6037" s="18" t="s">
        <v>30</v>
      </c>
      <c r="C6037" s="18" t="s">
        <v>34</v>
      </c>
      <c r="D6037" s="18" t="s">
        <v>35</v>
      </c>
      <c r="E6037" s="27">
        <v>42565.851643518516</v>
      </c>
      <c r="F6037" s="19">
        <f>IFERROR(__xludf.DUMMYFUNCTION("IFERROR(TO_DATE(E6037), """")"),42565.851643518516)</f>
        <v>42565.85164</v>
      </c>
      <c r="G6037" s="20">
        <f t="shared" si="1"/>
        <v>20</v>
      </c>
      <c r="H6037" s="18" t="s">
        <v>34</v>
      </c>
      <c r="I6037" s="19" t="str">
        <f>IFERROR(__xludf.DUMMYFUNCTION("IFERROR(TO_DATE(H6037), """")"),"NA")</f>
        <v>NA</v>
      </c>
      <c r="J6037" s="19" t="s">
        <v>13</v>
      </c>
      <c r="K6037" s="22">
        <f t="shared" si="2"/>
        <v>0</v>
      </c>
    </row>
    <row r="6038">
      <c r="A6038" s="18">
        <v>5158.0</v>
      </c>
      <c r="B6038" s="18" t="s">
        <v>30</v>
      </c>
      <c r="C6038" s="18" t="s">
        <v>34</v>
      </c>
      <c r="D6038" s="18" t="s">
        <v>35</v>
      </c>
      <c r="E6038" s="27">
        <v>42565.85219907408</v>
      </c>
      <c r="F6038" s="19">
        <f>IFERROR(__xludf.DUMMYFUNCTION("IFERROR(TO_DATE(E6038), """")"),42565.85219907408)</f>
        <v>42565.8522</v>
      </c>
      <c r="G6038" s="20">
        <f t="shared" si="1"/>
        <v>20</v>
      </c>
      <c r="H6038" s="18" t="s">
        <v>34</v>
      </c>
      <c r="I6038" s="19" t="str">
        <f>IFERROR(__xludf.DUMMYFUNCTION("IFERROR(TO_DATE(H6038), """")"),"NA")</f>
        <v>NA</v>
      </c>
      <c r="J6038" s="19" t="s">
        <v>13</v>
      </c>
      <c r="K6038" s="22">
        <f t="shared" si="2"/>
        <v>0</v>
      </c>
    </row>
    <row r="6039">
      <c r="A6039" s="18">
        <v>5170.0</v>
      </c>
      <c r="B6039" s="18" t="s">
        <v>30</v>
      </c>
      <c r="C6039" s="18" t="s">
        <v>34</v>
      </c>
      <c r="D6039" s="18" t="s">
        <v>35</v>
      </c>
      <c r="E6039" s="27">
        <v>42565.853483796294</v>
      </c>
      <c r="F6039" s="19">
        <f>IFERROR(__xludf.DUMMYFUNCTION("IFERROR(TO_DATE(E6039), """")"),42565.853483796294)</f>
        <v>42565.85348</v>
      </c>
      <c r="G6039" s="20">
        <f t="shared" si="1"/>
        <v>20</v>
      </c>
      <c r="H6039" s="18" t="s">
        <v>34</v>
      </c>
      <c r="I6039" s="19" t="str">
        <f>IFERROR(__xludf.DUMMYFUNCTION("IFERROR(TO_DATE(H6039), """")"),"NA")</f>
        <v>NA</v>
      </c>
      <c r="J6039" s="19" t="s">
        <v>13</v>
      </c>
      <c r="K6039" s="22">
        <f t="shared" si="2"/>
        <v>0</v>
      </c>
    </row>
    <row r="6040">
      <c r="A6040" s="18">
        <v>5165.0</v>
      </c>
      <c r="B6040" s="18" t="s">
        <v>30</v>
      </c>
      <c r="C6040" s="18" t="s">
        <v>34</v>
      </c>
      <c r="D6040" s="18" t="s">
        <v>35</v>
      </c>
      <c r="E6040" s="27">
        <v>42565.85480324074</v>
      </c>
      <c r="F6040" s="19">
        <f>IFERROR(__xludf.DUMMYFUNCTION("IFERROR(TO_DATE(E6040), """")"),42565.85480324074)</f>
        <v>42565.8548</v>
      </c>
      <c r="G6040" s="20">
        <f t="shared" si="1"/>
        <v>20</v>
      </c>
      <c r="H6040" s="18" t="s">
        <v>34</v>
      </c>
      <c r="I6040" s="19" t="str">
        <f>IFERROR(__xludf.DUMMYFUNCTION("IFERROR(TO_DATE(H6040), """")"),"NA")</f>
        <v>NA</v>
      </c>
      <c r="J6040" s="19" t="s">
        <v>13</v>
      </c>
      <c r="K6040" s="22">
        <f t="shared" si="2"/>
        <v>0</v>
      </c>
    </row>
    <row r="6041">
      <c r="A6041" s="18">
        <v>5169.0</v>
      </c>
      <c r="B6041" s="18" t="s">
        <v>30</v>
      </c>
      <c r="C6041" s="18" t="s">
        <v>34</v>
      </c>
      <c r="D6041" s="18" t="s">
        <v>35</v>
      </c>
      <c r="E6041" s="27">
        <v>42565.85519675926</v>
      </c>
      <c r="F6041" s="19">
        <f>IFERROR(__xludf.DUMMYFUNCTION("IFERROR(TO_DATE(E6041), """")"),42565.85519675926)</f>
        <v>42565.8552</v>
      </c>
      <c r="G6041" s="20">
        <f t="shared" si="1"/>
        <v>20</v>
      </c>
      <c r="H6041" s="18" t="s">
        <v>34</v>
      </c>
      <c r="I6041" s="19" t="str">
        <f>IFERROR(__xludf.DUMMYFUNCTION("IFERROR(TO_DATE(H6041), """")"),"NA")</f>
        <v>NA</v>
      </c>
      <c r="J6041" s="19" t="s">
        <v>13</v>
      </c>
      <c r="K6041" s="22">
        <f t="shared" si="2"/>
        <v>0</v>
      </c>
    </row>
    <row r="6042">
      <c r="A6042" s="18">
        <v>5157.0</v>
      </c>
      <c r="B6042" s="18" t="s">
        <v>30</v>
      </c>
      <c r="C6042" s="18" t="s">
        <v>34</v>
      </c>
      <c r="D6042" s="18" t="s">
        <v>35</v>
      </c>
      <c r="E6042" s="27">
        <v>42565.85550925926</v>
      </c>
      <c r="F6042" s="19">
        <f>IFERROR(__xludf.DUMMYFUNCTION("IFERROR(TO_DATE(E6042), """")"),42565.85550925926)</f>
        <v>42565.85551</v>
      </c>
      <c r="G6042" s="20">
        <f t="shared" si="1"/>
        <v>20</v>
      </c>
      <c r="H6042" s="18" t="s">
        <v>34</v>
      </c>
      <c r="I6042" s="19" t="str">
        <f>IFERROR(__xludf.DUMMYFUNCTION("IFERROR(TO_DATE(H6042), """")"),"NA")</f>
        <v>NA</v>
      </c>
      <c r="J6042" s="19" t="s">
        <v>13</v>
      </c>
      <c r="K6042" s="22">
        <f t="shared" si="2"/>
        <v>0</v>
      </c>
    </row>
    <row r="6043">
      <c r="A6043" s="18">
        <v>5177.0</v>
      </c>
      <c r="B6043" s="18" t="s">
        <v>30</v>
      </c>
      <c r="C6043" s="18" t="s">
        <v>34</v>
      </c>
      <c r="D6043" s="18" t="s">
        <v>35</v>
      </c>
      <c r="E6043" s="27">
        <v>42565.85633101852</v>
      </c>
      <c r="F6043" s="19">
        <f>IFERROR(__xludf.DUMMYFUNCTION("IFERROR(TO_DATE(E6043), """")"),42565.85633101852)</f>
        <v>42565.85633</v>
      </c>
      <c r="G6043" s="20">
        <f t="shared" si="1"/>
        <v>20</v>
      </c>
      <c r="H6043" s="18" t="s">
        <v>34</v>
      </c>
      <c r="I6043" s="19" t="str">
        <f>IFERROR(__xludf.DUMMYFUNCTION("IFERROR(TO_DATE(H6043), """")"),"NA")</f>
        <v>NA</v>
      </c>
      <c r="J6043" s="19" t="s">
        <v>13</v>
      </c>
      <c r="K6043" s="22">
        <f t="shared" si="2"/>
        <v>0</v>
      </c>
    </row>
    <row r="6044">
      <c r="A6044" s="18">
        <v>5167.0</v>
      </c>
      <c r="B6044" s="18" t="s">
        <v>30</v>
      </c>
      <c r="C6044" s="18" t="s">
        <v>34</v>
      </c>
      <c r="D6044" s="18" t="s">
        <v>35</v>
      </c>
      <c r="E6044" s="27">
        <v>42565.85658564815</v>
      </c>
      <c r="F6044" s="19">
        <f>IFERROR(__xludf.DUMMYFUNCTION("IFERROR(TO_DATE(E6044), """")"),42565.85658564815)</f>
        <v>42565.85659</v>
      </c>
      <c r="G6044" s="20">
        <f t="shared" si="1"/>
        <v>20</v>
      </c>
      <c r="H6044" s="18" t="s">
        <v>34</v>
      </c>
      <c r="I6044" s="19" t="str">
        <f>IFERROR(__xludf.DUMMYFUNCTION("IFERROR(TO_DATE(H6044), """")"),"NA")</f>
        <v>NA</v>
      </c>
      <c r="J6044" s="19" t="s">
        <v>13</v>
      </c>
      <c r="K6044" s="22">
        <f t="shared" si="2"/>
        <v>0</v>
      </c>
    </row>
    <row r="6045">
      <c r="A6045" s="18">
        <v>5173.0</v>
      </c>
      <c r="B6045" s="18" t="s">
        <v>30</v>
      </c>
      <c r="C6045" s="18" t="s">
        <v>34</v>
      </c>
      <c r="D6045" s="18" t="s">
        <v>35</v>
      </c>
      <c r="E6045" s="27">
        <v>42565.85680555556</v>
      </c>
      <c r="F6045" s="19">
        <f>IFERROR(__xludf.DUMMYFUNCTION("IFERROR(TO_DATE(E6045), """")"),42565.85680555556)</f>
        <v>42565.85681</v>
      </c>
      <c r="G6045" s="20">
        <f t="shared" si="1"/>
        <v>20</v>
      </c>
      <c r="H6045" s="18" t="s">
        <v>34</v>
      </c>
      <c r="I6045" s="19" t="str">
        <f>IFERROR(__xludf.DUMMYFUNCTION("IFERROR(TO_DATE(H6045), """")"),"NA")</f>
        <v>NA</v>
      </c>
      <c r="J6045" s="19" t="s">
        <v>13</v>
      </c>
      <c r="K6045" s="22">
        <f t="shared" si="2"/>
        <v>0</v>
      </c>
    </row>
    <row r="6046">
      <c r="A6046" s="18">
        <v>5168.0</v>
      </c>
      <c r="B6046" s="18" t="s">
        <v>30</v>
      </c>
      <c r="C6046" s="18" t="s">
        <v>34</v>
      </c>
      <c r="D6046" s="18" t="s">
        <v>35</v>
      </c>
      <c r="E6046" s="27">
        <v>42565.85686342593</v>
      </c>
      <c r="F6046" s="19">
        <f>IFERROR(__xludf.DUMMYFUNCTION("IFERROR(TO_DATE(E6046), """")"),42565.85686342593)</f>
        <v>42565.85686</v>
      </c>
      <c r="G6046" s="20">
        <f t="shared" si="1"/>
        <v>20</v>
      </c>
      <c r="H6046" s="18" t="s">
        <v>34</v>
      </c>
      <c r="I6046" s="19" t="str">
        <f>IFERROR(__xludf.DUMMYFUNCTION("IFERROR(TO_DATE(H6046), """")"),"NA")</f>
        <v>NA</v>
      </c>
      <c r="J6046" s="19" t="s">
        <v>13</v>
      </c>
      <c r="K6046" s="22">
        <f t="shared" si="2"/>
        <v>0</v>
      </c>
    </row>
    <row r="6047">
      <c r="A6047" s="18">
        <v>5166.0</v>
      </c>
      <c r="B6047" s="18" t="s">
        <v>30</v>
      </c>
      <c r="C6047" s="18" t="s">
        <v>34</v>
      </c>
      <c r="D6047" s="18" t="s">
        <v>35</v>
      </c>
      <c r="E6047" s="27">
        <v>42565.85726851852</v>
      </c>
      <c r="F6047" s="19">
        <f>IFERROR(__xludf.DUMMYFUNCTION("IFERROR(TO_DATE(E6047), """")"),42565.85726851852)</f>
        <v>42565.85727</v>
      </c>
      <c r="G6047" s="20">
        <f t="shared" si="1"/>
        <v>20</v>
      </c>
      <c r="H6047" s="18" t="s">
        <v>34</v>
      </c>
      <c r="I6047" s="19" t="str">
        <f>IFERROR(__xludf.DUMMYFUNCTION("IFERROR(TO_DATE(H6047), """")"),"NA")</f>
        <v>NA</v>
      </c>
      <c r="J6047" s="19" t="s">
        <v>13</v>
      </c>
      <c r="K6047" s="22">
        <f t="shared" si="2"/>
        <v>0</v>
      </c>
    </row>
    <row r="6048">
      <c r="A6048" s="18">
        <v>5183.0</v>
      </c>
      <c r="B6048" s="18" t="s">
        <v>30</v>
      </c>
      <c r="C6048" s="18" t="s">
        <v>34</v>
      </c>
      <c r="D6048" s="18" t="s">
        <v>35</v>
      </c>
      <c r="E6048" s="27">
        <v>42565.85758101852</v>
      </c>
      <c r="F6048" s="19">
        <f>IFERROR(__xludf.DUMMYFUNCTION("IFERROR(TO_DATE(E6048), """")"),42565.85758101852)</f>
        <v>42565.85758</v>
      </c>
      <c r="G6048" s="20">
        <f t="shared" si="1"/>
        <v>20</v>
      </c>
      <c r="H6048" s="18" t="s">
        <v>34</v>
      </c>
      <c r="I6048" s="19" t="str">
        <f>IFERROR(__xludf.DUMMYFUNCTION("IFERROR(TO_DATE(H6048), """")"),"NA")</f>
        <v>NA</v>
      </c>
      <c r="J6048" s="19" t="s">
        <v>13</v>
      </c>
      <c r="K6048" s="22">
        <f t="shared" si="2"/>
        <v>0</v>
      </c>
    </row>
    <row r="6049">
      <c r="A6049" s="18">
        <v>5178.0</v>
      </c>
      <c r="B6049" s="18" t="s">
        <v>30</v>
      </c>
      <c r="C6049" s="18" t="s">
        <v>34</v>
      </c>
      <c r="D6049" s="18" t="s">
        <v>35</v>
      </c>
      <c r="E6049" s="27">
        <v>42565.857986111114</v>
      </c>
      <c r="F6049" s="19">
        <f>IFERROR(__xludf.DUMMYFUNCTION("IFERROR(TO_DATE(E6049), """")"),42565.857986111114)</f>
        <v>42565.85799</v>
      </c>
      <c r="G6049" s="20">
        <f t="shared" si="1"/>
        <v>20</v>
      </c>
      <c r="H6049" s="18" t="s">
        <v>34</v>
      </c>
      <c r="I6049" s="19" t="str">
        <f>IFERROR(__xludf.DUMMYFUNCTION("IFERROR(TO_DATE(H6049), """")"),"NA")</f>
        <v>NA</v>
      </c>
      <c r="J6049" s="19" t="s">
        <v>13</v>
      </c>
      <c r="K6049" s="22">
        <f t="shared" si="2"/>
        <v>0</v>
      </c>
    </row>
    <row r="6050">
      <c r="A6050" s="18">
        <v>5180.0</v>
      </c>
      <c r="B6050" s="18" t="s">
        <v>30</v>
      </c>
      <c r="C6050" s="18" t="s">
        <v>34</v>
      </c>
      <c r="D6050" s="18" t="s">
        <v>35</v>
      </c>
      <c r="E6050" s="27">
        <v>42565.858773148146</v>
      </c>
      <c r="F6050" s="19">
        <f>IFERROR(__xludf.DUMMYFUNCTION("IFERROR(TO_DATE(E6050), """")"),42565.858773148146)</f>
        <v>42565.85877</v>
      </c>
      <c r="G6050" s="20">
        <f t="shared" si="1"/>
        <v>20</v>
      </c>
      <c r="H6050" s="18" t="s">
        <v>34</v>
      </c>
      <c r="I6050" s="19" t="str">
        <f>IFERROR(__xludf.DUMMYFUNCTION("IFERROR(TO_DATE(H6050), """")"),"NA")</f>
        <v>NA</v>
      </c>
      <c r="J6050" s="19" t="s">
        <v>13</v>
      </c>
      <c r="K6050" s="22">
        <f t="shared" si="2"/>
        <v>0</v>
      </c>
    </row>
    <row r="6051">
      <c r="A6051" s="18">
        <v>5179.0</v>
      </c>
      <c r="B6051" s="18" t="s">
        <v>30</v>
      </c>
      <c r="C6051" s="18" t="s">
        <v>34</v>
      </c>
      <c r="D6051" s="18" t="s">
        <v>35</v>
      </c>
      <c r="E6051" s="27">
        <v>42565.85928240741</v>
      </c>
      <c r="F6051" s="19">
        <f>IFERROR(__xludf.DUMMYFUNCTION("IFERROR(TO_DATE(E6051), """")"),42565.85928240741)</f>
        <v>42565.85928</v>
      </c>
      <c r="G6051" s="20">
        <f t="shared" si="1"/>
        <v>20</v>
      </c>
      <c r="H6051" s="18" t="s">
        <v>34</v>
      </c>
      <c r="I6051" s="19" t="str">
        <f>IFERROR(__xludf.DUMMYFUNCTION("IFERROR(TO_DATE(H6051), """")"),"NA")</f>
        <v>NA</v>
      </c>
      <c r="J6051" s="19" t="s">
        <v>13</v>
      </c>
      <c r="K6051" s="22">
        <f t="shared" si="2"/>
        <v>0</v>
      </c>
    </row>
    <row r="6052">
      <c r="A6052" s="18">
        <v>5172.0</v>
      </c>
      <c r="B6052" s="18" t="s">
        <v>30</v>
      </c>
      <c r="C6052" s="18" t="s">
        <v>34</v>
      </c>
      <c r="D6052" s="18" t="s">
        <v>35</v>
      </c>
      <c r="E6052" s="27">
        <v>42565.85959490741</v>
      </c>
      <c r="F6052" s="19">
        <f>IFERROR(__xludf.DUMMYFUNCTION("IFERROR(TO_DATE(E6052), """")"),42565.85959490741)</f>
        <v>42565.85959</v>
      </c>
      <c r="G6052" s="20">
        <f t="shared" si="1"/>
        <v>20</v>
      </c>
      <c r="H6052" s="18" t="s">
        <v>34</v>
      </c>
      <c r="I6052" s="19" t="str">
        <f>IFERROR(__xludf.DUMMYFUNCTION("IFERROR(TO_DATE(H6052), """")"),"NA")</f>
        <v>NA</v>
      </c>
      <c r="J6052" s="19" t="s">
        <v>13</v>
      </c>
      <c r="K6052" s="22">
        <f t="shared" si="2"/>
        <v>0</v>
      </c>
    </row>
    <row r="6053">
      <c r="A6053" s="18">
        <v>5182.0</v>
      </c>
      <c r="B6053" s="18" t="s">
        <v>30</v>
      </c>
      <c r="C6053" s="18" t="s">
        <v>34</v>
      </c>
      <c r="D6053" s="18" t="s">
        <v>35</v>
      </c>
      <c r="E6053" s="27">
        <v>42565.85994212963</v>
      </c>
      <c r="F6053" s="19">
        <f>IFERROR(__xludf.DUMMYFUNCTION("IFERROR(TO_DATE(E6053), """")"),42565.85994212963)</f>
        <v>42565.85994</v>
      </c>
      <c r="G6053" s="20">
        <f t="shared" si="1"/>
        <v>20</v>
      </c>
      <c r="H6053" s="18" t="s">
        <v>34</v>
      </c>
      <c r="I6053" s="19" t="str">
        <f>IFERROR(__xludf.DUMMYFUNCTION("IFERROR(TO_DATE(H6053), """")"),"NA")</f>
        <v>NA</v>
      </c>
      <c r="J6053" s="19" t="s">
        <v>13</v>
      </c>
      <c r="K6053" s="22">
        <f t="shared" si="2"/>
        <v>0</v>
      </c>
    </row>
    <row r="6054">
      <c r="A6054" s="18">
        <v>5181.0</v>
      </c>
      <c r="B6054" s="18" t="s">
        <v>30</v>
      </c>
      <c r="C6054" s="18" t="s">
        <v>34</v>
      </c>
      <c r="D6054" s="18" t="s">
        <v>35</v>
      </c>
      <c r="E6054" s="27">
        <v>42565.86064814815</v>
      </c>
      <c r="F6054" s="19">
        <f>IFERROR(__xludf.DUMMYFUNCTION("IFERROR(TO_DATE(E6054), """")"),42565.86064814815)</f>
        <v>42565.86065</v>
      </c>
      <c r="G6054" s="20">
        <f t="shared" si="1"/>
        <v>20</v>
      </c>
      <c r="H6054" s="18" t="s">
        <v>34</v>
      </c>
      <c r="I6054" s="19" t="str">
        <f>IFERROR(__xludf.DUMMYFUNCTION("IFERROR(TO_DATE(H6054), """")"),"NA")</f>
        <v>NA</v>
      </c>
      <c r="J6054" s="19" t="s">
        <v>13</v>
      </c>
      <c r="K6054" s="22">
        <f t="shared" si="2"/>
        <v>0</v>
      </c>
    </row>
    <row r="6055">
      <c r="A6055" s="18">
        <v>5187.0</v>
      </c>
      <c r="B6055" s="18" t="s">
        <v>30</v>
      </c>
      <c r="C6055" s="18" t="s">
        <v>34</v>
      </c>
      <c r="D6055" s="18" t="s">
        <v>35</v>
      </c>
      <c r="E6055" s="27">
        <v>42565.862916666665</v>
      </c>
      <c r="F6055" s="19">
        <f>IFERROR(__xludf.DUMMYFUNCTION("IFERROR(TO_DATE(E6055), """")"),42565.862916666665)</f>
        <v>42565.86292</v>
      </c>
      <c r="G6055" s="20">
        <f t="shared" si="1"/>
        <v>20</v>
      </c>
      <c r="H6055" s="18" t="s">
        <v>34</v>
      </c>
      <c r="I6055" s="19" t="str">
        <f>IFERROR(__xludf.DUMMYFUNCTION("IFERROR(TO_DATE(H6055), """")"),"NA")</f>
        <v>NA</v>
      </c>
      <c r="J6055" s="19" t="s">
        <v>13</v>
      </c>
      <c r="K6055" s="22">
        <f t="shared" si="2"/>
        <v>0</v>
      </c>
    </row>
    <row r="6056">
      <c r="A6056" s="18">
        <v>5189.0</v>
      </c>
      <c r="B6056" s="18" t="s">
        <v>30</v>
      </c>
      <c r="C6056" s="18" t="s">
        <v>34</v>
      </c>
      <c r="D6056" s="18" t="s">
        <v>35</v>
      </c>
      <c r="E6056" s="27">
        <v>42565.864074074074</v>
      </c>
      <c r="F6056" s="19">
        <f>IFERROR(__xludf.DUMMYFUNCTION("IFERROR(TO_DATE(E6056), """")"),42565.864074074074)</f>
        <v>42565.86407</v>
      </c>
      <c r="G6056" s="20">
        <f t="shared" si="1"/>
        <v>20</v>
      </c>
      <c r="H6056" s="18" t="s">
        <v>34</v>
      </c>
      <c r="I6056" s="19" t="str">
        <f>IFERROR(__xludf.DUMMYFUNCTION("IFERROR(TO_DATE(H6056), """")"),"NA")</f>
        <v>NA</v>
      </c>
      <c r="J6056" s="19" t="s">
        <v>13</v>
      </c>
      <c r="K6056" s="22">
        <f t="shared" si="2"/>
        <v>0</v>
      </c>
    </row>
    <row r="6057">
      <c r="A6057" s="18">
        <v>5186.0</v>
      </c>
      <c r="B6057" s="18" t="s">
        <v>30</v>
      </c>
      <c r="C6057" s="18" t="s">
        <v>34</v>
      </c>
      <c r="D6057" s="18" t="s">
        <v>35</v>
      </c>
      <c r="E6057" s="27">
        <v>42565.86497685185</v>
      </c>
      <c r="F6057" s="19">
        <f>IFERROR(__xludf.DUMMYFUNCTION("IFERROR(TO_DATE(E6057), """")"),42565.86497685185)</f>
        <v>42565.86498</v>
      </c>
      <c r="G6057" s="20">
        <f t="shared" si="1"/>
        <v>20</v>
      </c>
      <c r="H6057" s="18" t="s">
        <v>34</v>
      </c>
      <c r="I6057" s="19" t="str">
        <f>IFERROR(__xludf.DUMMYFUNCTION("IFERROR(TO_DATE(H6057), """")"),"NA")</f>
        <v>NA</v>
      </c>
      <c r="J6057" s="19" t="s">
        <v>13</v>
      </c>
      <c r="K6057" s="22">
        <f t="shared" si="2"/>
        <v>0</v>
      </c>
    </row>
    <row r="6058">
      <c r="A6058" s="18">
        <v>5191.0</v>
      </c>
      <c r="B6058" s="18" t="s">
        <v>32</v>
      </c>
      <c r="C6058" s="18" t="s">
        <v>34</v>
      </c>
      <c r="D6058" s="18" t="s">
        <v>35</v>
      </c>
      <c r="E6058" s="27">
        <v>42565.865902777776</v>
      </c>
      <c r="F6058" s="19">
        <f>IFERROR(__xludf.DUMMYFUNCTION("IFERROR(TO_DATE(E6058), """")"),42565.865902777776)</f>
        <v>42565.8659</v>
      </c>
      <c r="G6058" s="20">
        <f t="shared" si="1"/>
        <v>20</v>
      </c>
      <c r="H6058" s="18" t="s">
        <v>34</v>
      </c>
      <c r="I6058" s="19" t="str">
        <f>IFERROR(__xludf.DUMMYFUNCTION("IFERROR(TO_DATE(H6058), """")"),"NA")</f>
        <v>NA</v>
      </c>
      <c r="J6058" s="19" t="s">
        <v>13</v>
      </c>
      <c r="K6058" s="22">
        <f t="shared" si="2"/>
        <v>0</v>
      </c>
    </row>
    <row r="6059">
      <c r="A6059" s="18">
        <v>5188.0</v>
      </c>
      <c r="B6059" s="18" t="s">
        <v>30</v>
      </c>
      <c r="C6059" s="18" t="s">
        <v>34</v>
      </c>
      <c r="D6059" s="18" t="s">
        <v>35</v>
      </c>
      <c r="E6059" s="27">
        <v>42565.86688657408</v>
      </c>
      <c r="F6059" s="19">
        <f>IFERROR(__xludf.DUMMYFUNCTION("IFERROR(TO_DATE(E6059), """")"),42565.86688657408)</f>
        <v>42565.86689</v>
      </c>
      <c r="G6059" s="20">
        <f t="shared" si="1"/>
        <v>20</v>
      </c>
      <c r="H6059" s="18" t="s">
        <v>34</v>
      </c>
      <c r="I6059" s="19" t="str">
        <f>IFERROR(__xludf.DUMMYFUNCTION("IFERROR(TO_DATE(H6059), """")"),"NA")</f>
        <v>NA</v>
      </c>
      <c r="J6059" s="19" t="s">
        <v>13</v>
      </c>
      <c r="K6059" s="22">
        <f t="shared" si="2"/>
        <v>0</v>
      </c>
    </row>
    <row r="6060">
      <c r="A6060" s="18">
        <v>5196.0</v>
      </c>
      <c r="B6060" s="18" t="s">
        <v>30</v>
      </c>
      <c r="C6060" s="18" t="s">
        <v>34</v>
      </c>
      <c r="D6060" s="18" t="s">
        <v>35</v>
      </c>
      <c r="E6060" s="27">
        <v>42565.86693287037</v>
      </c>
      <c r="F6060" s="19">
        <f>IFERROR(__xludf.DUMMYFUNCTION("IFERROR(TO_DATE(E6060), """")"),42565.86693287037)</f>
        <v>42565.86693</v>
      </c>
      <c r="G6060" s="20">
        <f t="shared" si="1"/>
        <v>20</v>
      </c>
      <c r="H6060" s="18" t="s">
        <v>34</v>
      </c>
      <c r="I6060" s="19" t="str">
        <f>IFERROR(__xludf.DUMMYFUNCTION("IFERROR(TO_DATE(H6060), """")"),"NA")</f>
        <v>NA</v>
      </c>
      <c r="J6060" s="19" t="s">
        <v>13</v>
      </c>
      <c r="K6060" s="22">
        <f t="shared" si="2"/>
        <v>0</v>
      </c>
    </row>
    <row r="6061">
      <c r="A6061" s="18">
        <v>5190.0</v>
      </c>
      <c r="B6061" s="18" t="s">
        <v>30</v>
      </c>
      <c r="C6061" s="18" t="s">
        <v>34</v>
      </c>
      <c r="D6061" s="18" t="s">
        <v>35</v>
      </c>
      <c r="E6061" s="27">
        <v>42565.867847222224</v>
      </c>
      <c r="F6061" s="19">
        <f>IFERROR(__xludf.DUMMYFUNCTION("IFERROR(TO_DATE(E6061), """")"),42565.867847222224)</f>
        <v>42565.86785</v>
      </c>
      <c r="G6061" s="20">
        <f t="shared" si="1"/>
        <v>20</v>
      </c>
      <c r="H6061" s="18" t="s">
        <v>34</v>
      </c>
      <c r="I6061" s="19" t="str">
        <f>IFERROR(__xludf.DUMMYFUNCTION("IFERROR(TO_DATE(H6061), """")"),"NA")</f>
        <v>NA</v>
      </c>
      <c r="J6061" s="19" t="s">
        <v>13</v>
      </c>
      <c r="K6061" s="22">
        <f t="shared" si="2"/>
        <v>0</v>
      </c>
    </row>
    <row r="6062">
      <c r="A6062" s="18">
        <v>5201.0</v>
      </c>
      <c r="B6062" s="18" t="s">
        <v>30</v>
      </c>
      <c r="C6062" s="18" t="s">
        <v>34</v>
      </c>
      <c r="D6062" s="18" t="s">
        <v>35</v>
      </c>
      <c r="E6062" s="27">
        <v>42565.86828703704</v>
      </c>
      <c r="F6062" s="19">
        <f>IFERROR(__xludf.DUMMYFUNCTION("IFERROR(TO_DATE(E6062), """")"),42565.86828703704)</f>
        <v>42565.86829</v>
      </c>
      <c r="G6062" s="20">
        <f t="shared" si="1"/>
        <v>20</v>
      </c>
      <c r="H6062" s="18" t="s">
        <v>34</v>
      </c>
      <c r="I6062" s="19" t="str">
        <f>IFERROR(__xludf.DUMMYFUNCTION("IFERROR(TO_DATE(H6062), """")"),"NA")</f>
        <v>NA</v>
      </c>
      <c r="J6062" s="19" t="s">
        <v>13</v>
      </c>
      <c r="K6062" s="22">
        <f t="shared" si="2"/>
        <v>0</v>
      </c>
    </row>
    <row r="6063">
      <c r="A6063" s="18">
        <v>5197.0</v>
      </c>
      <c r="B6063" s="18" t="s">
        <v>30</v>
      </c>
      <c r="C6063" s="18" t="s">
        <v>34</v>
      </c>
      <c r="D6063" s="18" t="s">
        <v>35</v>
      </c>
      <c r="E6063" s="27">
        <v>42565.86846064815</v>
      </c>
      <c r="F6063" s="19">
        <f>IFERROR(__xludf.DUMMYFUNCTION("IFERROR(TO_DATE(E6063), """")"),42565.86846064815)</f>
        <v>42565.86846</v>
      </c>
      <c r="G6063" s="20">
        <f t="shared" si="1"/>
        <v>20</v>
      </c>
      <c r="H6063" s="18" t="s">
        <v>34</v>
      </c>
      <c r="I6063" s="19" t="str">
        <f>IFERROR(__xludf.DUMMYFUNCTION("IFERROR(TO_DATE(H6063), """")"),"NA")</f>
        <v>NA</v>
      </c>
      <c r="J6063" s="19" t="s">
        <v>13</v>
      </c>
      <c r="K6063" s="22">
        <f t="shared" si="2"/>
        <v>0</v>
      </c>
    </row>
    <row r="6064">
      <c r="A6064" s="18">
        <v>5195.0</v>
      </c>
      <c r="B6064" s="18" t="s">
        <v>30</v>
      </c>
      <c r="C6064" s="18" t="s">
        <v>34</v>
      </c>
      <c r="D6064" s="18" t="s">
        <v>35</v>
      </c>
      <c r="E6064" s="27">
        <v>42565.868576388886</v>
      </c>
      <c r="F6064" s="19">
        <f>IFERROR(__xludf.DUMMYFUNCTION("IFERROR(TO_DATE(E6064), """")"),42565.868576388886)</f>
        <v>42565.86858</v>
      </c>
      <c r="G6064" s="20">
        <f t="shared" si="1"/>
        <v>20</v>
      </c>
      <c r="H6064" s="18" t="s">
        <v>34</v>
      </c>
      <c r="I6064" s="19" t="str">
        <f>IFERROR(__xludf.DUMMYFUNCTION("IFERROR(TO_DATE(H6064), """")"),"NA")</f>
        <v>NA</v>
      </c>
      <c r="J6064" s="19" t="s">
        <v>13</v>
      </c>
      <c r="K6064" s="22">
        <f t="shared" si="2"/>
        <v>0</v>
      </c>
    </row>
    <row r="6065">
      <c r="A6065" s="18">
        <v>5192.0</v>
      </c>
      <c r="B6065" s="18" t="s">
        <v>30</v>
      </c>
      <c r="C6065" s="18" t="s">
        <v>34</v>
      </c>
      <c r="D6065" s="18" t="s">
        <v>35</v>
      </c>
      <c r="E6065" s="27">
        <v>42565.86951388889</v>
      </c>
      <c r="F6065" s="19">
        <f>IFERROR(__xludf.DUMMYFUNCTION("IFERROR(TO_DATE(E6065), """")"),42565.86951388889)</f>
        <v>42565.86951</v>
      </c>
      <c r="G6065" s="20">
        <f t="shared" si="1"/>
        <v>20</v>
      </c>
      <c r="H6065" s="18" t="s">
        <v>34</v>
      </c>
      <c r="I6065" s="19" t="str">
        <f>IFERROR(__xludf.DUMMYFUNCTION("IFERROR(TO_DATE(H6065), """")"),"NA")</f>
        <v>NA</v>
      </c>
      <c r="J6065" s="19" t="s">
        <v>13</v>
      </c>
      <c r="K6065" s="22">
        <f t="shared" si="2"/>
        <v>0</v>
      </c>
    </row>
    <row r="6066">
      <c r="A6066" s="18">
        <v>5211.0</v>
      </c>
      <c r="B6066" s="18" t="s">
        <v>30</v>
      </c>
      <c r="C6066" s="18" t="s">
        <v>34</v>
      </c>
      <c r="D6066" s="18" t="s">
        <v>35</v>
      </c>
      <c r="E6066" s="27">
        <v>42565.869780092595</v>
      </c>
      <c r="F6066" s="19">
        <f>IFERROR(__xludf.DUMMYFUNCTION("IFERROR(TO_DATE(E6066), """")"),42565.869780092595)</f>
        <v>42565.86978</v>
      </c>
      <c r="G6066" s="20">
        <f t="shared" si="1"/>
        <v>20</v>
      </c>
      <c r="H6066" s="18" t="s">
        <v>34</v>
      </c>
      <c r="I6066" s="19" t="str">
        <f>IFERROR(__xludf.DUMMYFUNCTION("IFERROR(TO_DATE(H6066), """")"),"NA")</f>
        <v>NA</v>
      </c>
      <c r="J6066" s="19" t="s">
        <v>13</v>
      </c>
      <c r="K6066" s="22">
        <f t="shared" si="2"/>
        <v>0</v>
      </c>
    </row>
    <row r="6067">
      <c r="A6067" s="18">
        <v>5204.0</v>
      </c>
      <c r="B6067" s="18" t="s">
        <v>32</v>
      </c>
      <c r="C6067" s="18" t="s">
        <v>34</v>
      </c>
      <c r="D6067" s="18" t="s">
        <v>35</v>
      </c>
      <c r="E6067" s="27">
        <v>42565.87037037037</v>
      </c>
      <c r="F6067" s="19">
        <f>IFERROR(__xludf.DUMMYFUNCTION("IFERROR(TO_DATE(E6067), """")"),42565.87037037037)</f>
        <v>42565.87037</v>
      </c>
      <c r="G6067" s="20">
        <f t="shared" si="1"/>
        <v>20</v>
      </c>
      <c r="H6067" s="18" t="s">
        <v>34</v>
      </c>
      <c r="I6067" s="19" t="str">
        <f>IFERROR(__xludf.DUMMYFUNCTION("IFERROR(TO_DATE(H6067), """")"),"NA")</f>
        <v>NA</v>
      </c>
      <c r="J6067" s="19" t="s">
        <v>13</v>
      </c>
      <c r="K6067" s="22">
        <f t="shared" si="2"/>
        <v>0</v>
      </c>
    </row>
    <row r="6068">
      <c r="A6068" s="18">
        <v>5203.0</v>
      </c>
      <c r="B6068" s="18" t="s">
        <v>30</v>
      </c>
      <c r="C6068" s="18" t="s">
        <v>34</v>
      </c>
      <c r="D6068" s="18" t="s">
        <v>35</v>
      </c>
      <c r="E6068" s="27">
        <v>42565.870844907404</v>
      </c>
      <c r="F6068" s="19">
        <f>IFERROR(__xludf.DUMMYFUNCTION("IFERROR(TO_DATE(E6068), """")"),42565.870844907404)</f>
        <v>42565.87084</v>
      </c>
      <c r="G6068" s="20">
        <f t="shared" si="1"/>
        <v>20</v>
      </c>
      <c r="H6068" s="18" t="s">
        <v>34</v>
      </c>
      <c r="I6068" s="19" t="str">
        <f>IFERROR(__xludf.DUMMYFUNCTION("IFERROR(TO_DATE(H6068), """")"),"NA")</f>
        <v>NA</v>
      </c>
      <c r="J6068" s="19" t="s">
        <v>13</v>
      </c>
      <c r="K6068" s="22">
        <f t="shared" si="2"/>
        <v>0</v>
      </c>
    </row>
    <row r="6069">
      <c r="A6069" s="18">
        <v>5206.0</v>
      </c>
      <c r="B6069" s="18" t="s">
        <v>30</v>
      </c>
      <c r="C6069" s="18" t="s">
        <v>34</v>
      </c>
      <c r="D6069" s="18" t="s">
        <v>35</v>
      </c>
      <c r="E6069" s="27">
        <v>42565.87099537037</v>
      </c>
      <c r="F6069" s="19">
        <f>IFERROR(__xludf.DUMMYFUNCTION("IFERROR(TO_DATE(E6069), """")"),42565.87099537037)</f>
        <v>42565.871</v>
      </c>
      <c r="G6069" s="20">
        <f t="shared" si="1"/>
        <v>20</v>
      </c>
      <c r="H6069" s="18" t="s">
        <v>34</v>
      </c>
      <c r="I6069" s="19" t="str">
        <f>IFERROR(__xludf.DUMMYFUNCTION("IFERROR(TO_DATE(H6069), """")"),"NA")</f>
        <v>NA</v>
      </c>
      <c r="J6069" s="19" t="s">
        <v>13</v>
      </c>
      <c r="K6069" s="22">
        <f t="shared" si="2"/>
        <v>0</v>
      </c>
    </row>
    <row r="6070">
      <c r="A6070" s="18">
        <v>5212.0</v>
      </c>
      <c r="B6070" s="18" t="s">
        <v>30</v>
      </c>
      <c r="C6070" s="18" t="s">
        <v>34</v>
      </c>
      <c r="D6070" s="18" t="s">
        <v>35</v>
      </c>
      <c r="E6070" s="27">
        <v>42565.872037037036</v>
      </c>
      <c r="F6070" s="19">
        <f>IFERROR(__xludf.DUMMYFUNCTION("IFERROR(TO_DATE(E6070), """")"),42565.872037037036)</f>
        <v>42565.87204</v>
      </c>
      <c r="G6070" s="20">
        <f t="shared" si="1"/>
        <v>20</v>
      </c>
      <c r="H6070" s="18" t="s">
        <v>34</v>
      </c>
      <c r="I6070" s="19" t="str">
        <f>IFERROR(__xludf.DUMMYFUNCTION("IFERROR(TO_DATE(H6070), """")"),"NA")</f>
        <v>NA</v>
      </c>
      <c r="J6070" s="19" t="s">
        <v>13</v>
      </c>
      <c r="K6070" s="22">
        <f t="shared" si="2"/>
        <v>0</v>
      </c>
    </row>
    <row r="6071">
      <c r="A6071" s="18">
        <v>5218.0</v>
      </c>
      <c r="B6071" s="18" t="s">
        <v>30</v>
      </c>
      <c r="C6071" s="18" t="s">
        <v>34</v>
      </c>
      <c r="D6071" s="18" t="s">
        <v>35</v>
      </c>
      <c r="E6071" s="27">
        <v>42565.8722337963</v>
      </c>
      <c r="F6071" s="19">
        <f>IFERROR(__xludf.DUMMYFUNCTION("IFERROR(TO_DATE(E6071), """")"),42565.8722337963)</f>
        <v>42565.87223</v>
      </c>
      <c r="G6071" s="20">
        <f t="shared" si="1"/>
        <v>20</v>
      </c>
      <c r="H6071" s="18" t="s">
        <v>34</v>
      </c>
      <c r="I6071" s="19" t="str">
        <f>IFERROR(__xludf.DUMMYFUNCTION("IFERROR(TO_DATE(H6071), """")"),"NA")</f>
        <v>NA</v>
      </c>
      <c r="J6071" s="19" t="s">
        <v>13</v>
      </c>
      <c r="K6071" s="22">
        <f t="shared" si="2"/>
        <v>0</v>
      </c>
    </row>
    <row r="6072">
      <c r="A6072" s="18">
        <v>5205.0</v>
      </c>
      <c r="B6072" s="18" t="s">
        <v>30</v>
      </c>
      <c r="C6072" s="18" t="s">
        <v>34</v>
      </c>
      <c r="D6072" s="18" t="s">
        <v>35</v>
      </c>
      <c r="E6072" s="27">
        <v>42565.87283564815</v>
      </c>
      <c r="F6072" s="19">
        <f>IFERROR(__xludf.DUMMYFUNCTION("IFERROR(TO_DATE(E6072), """")"),42565.87283564815)</f>
        <v>42565.87284</v>
      </c>
      <c r="G6072" s="20">
        <f t="shared" si="1"/>
        <v>20</v>
      </c>
      <c r="H6072" s="18" t="s">
        <v>34</v>
      </c>
      <c r="I6072" s="19" t="str">
        <f>IFERROR(__xludf.DUMMYFUNCTION("IFERROR(TO_DATE(H6072), """")"),"NA")</f>
        <v>NA</v>
      </c>
      <c r="J6072" s="19" t="s">
        <v>13</v>
      </c>
      <c r="K6072" s="22">
        <f t="shared" si="2"/>
        <v>0</v>
      </c>
    </row>
    <row r="6073">
      <c r="A6073" s="18">
        <v>5215.0</v>
      </c>
      <c r="B6073" s="18" t="s">
        <v>30</v>
      </c>
      <c r="C6073" s="18" t="s">
        <v>34</v>
      </c>
      <c r="D6073" s="18" t="s">
        <v>35</v>
      </c>
      <c r="E6073" s="27">
        <v>42565.87385416667</v>
      </c>
      <c r="F6073" s="19">
        <f>IFERROR(__xludf.DUMMYFUNCTION("IFERROR(TO_DATE(E6073), """")"),42565.87385416667)</f>
        <v>42565.87385</v>
      </c>
      <c r="G6073" s="20">
        <f t="shared" si="1"/>
        <v>20</v>
      </c>
      <c r="H6073" s="18" t="s">
        <v>34</v>
      </c>
      <c r="I6073" s="19" t="str">
        <f>IFERROR(__xludf.DUMMYFUNCTION("IFERROR(TO_DATE(H6073), """")"),"NA")</f>
        <v>NA</v>
      </c>
      <c r="J6073" s="19" t="s">
        <v>13</v>
      </c>
      <c r="K6073" s="22">
        <f t="shared" si="2"/>
        <v>0</v>
      </c>
    </row>
    <row r="6074">
      <c r="A6074" s="18">
        <v>5213.0</v>
      </c>
      <c r="B6074" s="18" t="s">
        <v>30</v>
      </c>
      <c r="C6074" s="18" t="s">
        <v>34</v>
      </c>
      <c r="D6074" s="18" t="s">
        <v>35</v>
      </c>
      <c r="E6074" s="27">
        <v>42565.87585648148</v>
      </c>
      <c r="F6074" s="19">
        <f>IFERROR(__xludf.DUMMYFUNCTION("IFERROR(TO_DATE(E6074), """")"),42565.87585648148)</f>
        <v>42565.87586</v>
      </c>
      <c r="G6074" s="20">
        <f t="shared" si="1"/>
        <v>21</v>
      </c>
      <c r="H6074" s="18" t="s">
        <v>34</v>
      </c>
      <c r="I6074" s="19" t="str">
        <f>IFERROR(__xludf.DUMMYFUNCTION("IFERROR(TO_DATE(H6074), """")"),"NA")</f>
        <v>NA</v>
      </c>
      <c r="J6074" s="19" t="s">
        <v>13</v>
      </c>
      <c r="K6074" s="22">
        <f t="shared" si="2"/>
        <v>0</v>
      </c>
    </row>
    <row r="6075">
      <c r="A6075" s="18">
        <v>5229.0</v>
      </c>
      <c r="B6075" s="18" t="s">
        <v>30</v>
      </c>
      <c r="C6075" s="18" t="s">
        <v>34</v>
      </c>
      <c r="D6075" s="18" t="s">
        <v>35</v>
      </c>
      <c r="E6075" s="27">
        <v>42565.876875</v>
      </c>
      <c r="F6075" s="19">
        <f>IFERROR(__xludf.DUMMYFUNCTION("IFERROR(TO_DATE(E6075), """")"),42565.876875)</f>
        <v>42565.87688</v>
      </c>
      <c r="G6075" s="20">
        <f t="shared" si="1"/>
        <v>21</v>
      </c>
      <c r="H6075" s="18" t="s">
        <v>34</v>
      </c>
      <c r="I6075" s="19" t="str">
        <f>IFERROR(__xludf.DUMMYFUNCTION("IFERROR(TO_DATE(H6075), """")"),"NA")</f>
        <v>NA</v>
      </c>
      <c r="J6075" s="19" t="s">
        <v>13</v>
      </c>
      <c r="K6075" s="22">
        <f t="shared" si="2"/>
        <v>0</v>
      </c>
    </row>
    <row r="6076">
      <c r="A6076" s="18">
        <v>5223.0</v>
      </c>
      <c r="B6076" s="18" t="s">
        <v>30</v>
      </c>
      <c r="C6076" s="18" t="s">
        <v>34</v>
      </c>
      <c r="D6076" s="18" t="s">
        <v>35</v>
      </c>
      <c r="E6076" s="27">
        <v>42565.87761574074</v>
      </c>
      <c r="F6076" s="19">
        <f>IFERROR(__xludf.DUMMYFUNCTION("IFERROR(TO_DATE(E6076), """")"),42565.87761574074)</f>
        <v>42565.87762</v>
      </c>
      <c r="G6076" s="20">
        <f t="shared" si="1"/>
        <v>21</v>
      </c>
      <c r="H6076" s="18" t="s">
        <v>34</v>
      </c>
      <c r="I6076" s="19" t="str">
        <f>IFERROR(__xludf.DUMMYFUNCTION("IFERROR(TO_DATE(H6076), """")"),"NA")</f>
        <v>NA</v>
      </c>
      <c r="J6076" s="19" t="s">
        <v>13</v>
      </c>
      <c r="K6076" s="22">
        <f t="shared" si="2"/>
        <v>0</v>
      </c>
    </row>
    <row r="6077">
      <c r="A6077" s="18">
        <v>5220.0</v>
      </c>
      <c r="B6077" s="18" t="s">
        <v>30</v>
      </c>
      <c r="C6077" s="18" t="s">
        <v>34</v>
      </c>
      <c r="D6077" s="18" t="s">
        <v>35</v>
      </c>
      <c r="E6077" s="27">
        <v>42565.877847222226</v>
      </c>
      <c r="F6077" s="19">
        <f>IFERROR(__xludf.DUMMYFUNCTION("IFERROR(TO_DATE(E6077), """")"),42565.877847222226)</f>
        <v>42565.87785</v>
      </c>
      <c r="G6077" s="20">
        <f t="shared" si="1"/>
        <v>21</v>
      </c>
      <c r="H6077" s="18" t="s">
        <v>34</v>
      </c>
      <c r="I6077" s="19" t="str">
        <f>IFERROR(__xludf.DUMMYFUNCTION("IFERROR(TO_DATE(H6077), """")"),"NA")</f>
        <v>NA</v>
      </c>
      <c r="J6077" s="19" t="s">
        <v>13</v>
      </c>
      <c r="K6077" s="22">
        <f t="shared" si="2"/>
        <v>0</v>
      </c>
    </row>
    <row r="6078">
      <c r="A6078" s="18">
        <v>5222.0</v>
      </c>
      <c r="B6078" s="18" t="s">
        <v>30</v>
      </c>
      <c r="C6078" s="18" t="s">
        <v>34</v>
      </c>
      <c r="D6078" s="18" t="s">
        <v>35</v>
      </c>
      <c r="E6078" s="27">
        <v>42565.87856481481</v>
      </c>
      <c r="F6078" s="19">
        <f>IFERROR(__xludf.DUMMYFUNCTION("IFERROR(TO_DATE(E6078), """")"),42565.87856481481)</f>
        <v>42565.87856</v>
      </c>
      <c r="G6078" s="20">
        <f t="shared" si="1"/>
        <v>21</v>
      </c>
      <c r="H6078" s="18" t="s">
        <v>34</v>
      </c>
      <c r="I6078" s="19" t="str">
        <f>IFERROR(__xludf.DUMMYFUNCTION("IFERROR(TO_DATE(H6078), """")"),"NA")</f>
        <v>NA</v>
      </c>
      <c r="J6078" s="19" t="s">
        <v>13</v>
      </c>
      <c r="K6078" s="22">
        <f t="shared" si="2"/>
        <v>0</v>
      </c>
    </row>
    <row r="6079">
      <c r="A6079" s="18">
        <v>5226.0</v>
      </c>
      <c r="B6079" s="18" t="s">
        <v>30</v>
      </c>
      <c r="C6079" s="18" t="s">
        <v>34</v>
      </c>
      <c r="D6079" s="18" t="s">
        <v>35</v>
      </c>
      <c r="E6079" s="27">
        <v>42565.878900462965</v>
      </c>
      <c r="F6079" s="19">
        <f>IFERROR(__xludf.DUMMYFUNCTION("IFERROR(TO_DATE(E6079), """")"),42565.878900462965)</f>
        <v>42565.8789</v>
      </c>
      <c r="G6079" s="20">
        <f t="shared" si="1"/>
        <v>21</v>
      </c>
      <c r="H6079" s="18" t="s">
        <v>34</v>
      </c>
      <c r="I6079" s="19" t="str">
        <f>IFERROR(__xludf.DUMMYFUNCTION("IFERROR(TO_DATE(H6079), """")"),"NA")</f>
        <v>NA</v>
      </c>
      <c r="J6079" s="19" t="s">
        <v>13</v>
      </c>
      <c r="K6079" s="22">
        <f t="shared" si="2"/>
        <v>0</v>
      </c>
    </row>
    <row r="6080">
      <c r="A6080" s="18">
        <v>5238.0</v>
      </c>
      <c r="B6080" s="18" t="s">
        <v>30</v>
      </c>
      <c r="C6080" s="18" t="s">
        <v>34</v>
      </c>
      <c r="D6080" s="18" t="s">
        <v>35</v>
      </c>
      <c r="E6080" s="27">
        <v>42565.87934027778</v>
      </c>
      <c r="F6080" s="19">
        <f>IFERROR(__xludf.DUMMYFUNCTION("IFERROR(TO_DATE(E6080), """")"),42565.87934027778)</f>
        <v>42565.87934</v>
      </c>
      <c r="G6080" s="20">
        <f t="shared" si="1"/>
        <v>21</v>
      </c>
      <c r="H6080" s="18" t="s">
        <v>34</v>
      </c>
      <c r="I6080" s="19" t="str">
        <f>IFERROR(__xludf.DUMMYFUNCTION("IFERROR(TO_DATE(H6080), """")"),"NA")</f>
        <v>NA</v>
      </c>
      <c r="J6080" s="19" t="s">
        <v>13</v>
      </c>
      <c r="K6080" s="22">
        <f t="shared" si="2"/>
        <v>0</v>
      </c>
    </row>
    <row r="6081">
      <c r="A6081" s="18">
        <v>5236.0</v>
      </c>
      <c r="B6081" s="18" t="s">
        <v>30</v>
      </c>
      <c r="C6081" s="18" t="s">
        <v>34</v>
      </c>
      <c r="D6081" s="18" t="s">
        <v>35</v>
      </c>
      <c r="E6081" s="27">
        <v>42565.87962962963</v>
      </c>
      <c r="F6081" s="19">
        <f>IFERROR(__xludf.DUMMYFUNCTION("IFERROR(TO_DATE(E6081), """")"),42565.87962962963)</f>
        <v>42565.87963</v>
      </c>
      <c r="G6081" s="20">
        <f t="shared" si="1"/>
        <v>21</v>
      </c>
      <c r="H6081" s="18" t="s">
        <v>34</v>
      </c>
      <c r="I6081" s="19" t="str">
        <f>IFERROR(__xludf.DUMMYFUNCTION("IFERROR(TO_DATE(H6081), """")"),"NA")</f>
        <v>NA</v>
      </c>
      <c r="J6081" s="19" t="s">
        <v>13</v>
      </c>
      <c r="K6081" s="22">
        <f t="shared" si="2"/>
        <v>0</v>
      </c>
    </row>
    <row r="6082">
      <c r="A6082" s="18">
        <v>5231.0</v>
      </c>
      <c r="B6082" s="18" t="s">
        <v>30</v>
      </c>
      <c r="C6082" s="18" t="s">
        <v>34</v>
      </c>
      <c r="D6082" s="18" t="s">
        <v>35</v>
      </c>
      <c r="E6082" s="27">
        <v>42565.880590277775</v>
      </c>
      <c r="F6082" s="19">
        <f>IFERROR(__xludf.DUMMYFUNCTION("IFERROR(TO_DATE(E6082), """")"),42565.880590277775)</f>
        <v>42565.88059</v>
      </c>
      <c r="G6082" s="20">
        <f t="shared" si="1"/>
        <v>21</v>
      </c>
      <c r="H6082" s="18" t="s">
        <v>34</v>
      </c>
      <c r="I6082" s="19" t="str">
        <f>IFERROR(__xludf.DUMMYFUNCTION("IFERROR(TO_DATE(H6082), """")"),"NA")</f>
        <v>NA</v>
      </c>
      <c r="J6082" s="19" t="s">
        <v>13</v>
      </c>
      <c r="K6082" s="22">
        <f t="shared" si="2"/>
        <v>0</v>
      </c>
    </row>
    <row r="6083">
      <c r="A6083" s="18">
        <v>5230.0</v>
      </c>
      <c r="B6083" s="18" t="s">
        <v>30</v>
      </c>
      <c r="C6083" s="18" t="s">
        <v>34</v>
      </c>
      <c r="D6083" s="18" t="s">
        <v>35</v>
      </c>
      <c r="E6083" s="27">
        <v>42565.88136574074</v>
      </c>
      <c r="F6083" s="19">
        <f>IFERROR(__xludf.DUMMYFUNCTION("IFERROR(TO_DATE(E6083), """")"),42565.88136574074)</f>
        <v>42565.88137</v>
      </c>
      <c r="G6083" s="20">
        <f t="shared" si="1"/>
        <v>21</v>
      </c>
      <c r="H6083" s="18" t="s">
        <v>34</v>
      </c>
      <c r="I6083" s="19" t="str">
        <f>IFERROR(__xludf.DUMMYFUNCTION("IFERROR(TO_DATE(H6083), """")"),"NA")</f>
        <v>NA</v>
      </c>
      <c r="J6083" s="19" t="s">
        <v>13</v>
      </c>
      <c r="K6083" s="22">
        <f t="shared" si="2"/>
        <v>0</v>
      </c>
    </row>
    <row r="6084">
      <c r="A6084" s="18">
        <v>5237.0</v>
      </c>
      <c r="B6084" s="18" t="s">
        <v>30</v>
      </c>
      <c r="C6084" s="18" t="s">
        <v>34</v>
      </c>
      <c r="D6084" s="18" t="s">
        <v>35</v>
      </c>
      <c r="E6084" s="27">
        <v>42565.88155092593</v>
      </c>
      <c r="F6084" s="19">
        <f>IFERROR(__xludf.DUMMYFUNCTION("IFERROR(TO_DATE(E6084), """")"),42565.88155092593)</f>
        <v>42565.88155</v>
      </c>
      <c r="G6084" s="20">
        <f t="shared" si="1"/>
        <v>21</v>
      </c>
      <c r="H6084" s="18" t="s">
        <v>34</v>
      </c>
      <c r="I6084" s="19" t="str">
        <f>IFERROR(__xludf.DUMMYFUNCTION("IFERROR(TO_DATE(H6084), """")"),"NA")</f>
        <v>NA</v>
      </c>
      <c r="J6084" s="19" t="s">
        <v>13</v>
      </c>
      <c r="K6084" s="22">
        <f t="shared" si="2"/>
        <v>0</v>
      </c>
    </row>
    <row r="6085">
      <c r="A6085" s="18">
        <v>5232.0</v>
      </c>
      <c r="B6085" s="18" t="s">
        <v>30</v>
      </c>
      <c r="C6085" s="18" t="s">
        <v>34</v>
      </c>
      <c r="D6085" s="18" t="s">
        <v>35</v>
      </c>
      <c r="E6085" s="27">
        <v>42565.88199074074</v>
      </c>
      <c r="F6085" s="19">
        <f>IFERROR(__xludf.DUMMYFUNCTION("IFERROR(TO_DATE(E6085), """")"),42565.88199074074)</f>
        <v>42565.88199</v>
      </c>
      <c r="G6085" s="20">
        <f t="shared" si="1"/>
        <v>21</v>
      </c>
      <c r="H6085" s="18" t="s">
        <v>34</v>
      </c>
      <c r="I6085" s="19" t="str">
        <f>IFERROR(__xludf.DUMMYFUNCTION("IFERROR(TO_DATE(H6085), """")"),"NA")</f>
        <v>NA</v>
      </c>
      <c r="J6085" s="19" t="s">
        <v>13</v>
      </c>
      <c r="K6085" s="22">
        <f t="shared" si="2"/>
        <v>0</v>
      </c>
    </row>
    <row r="6086">
      <c r="A6086" s="18">
        <v>5240.0</v>
      </c>
      <c r="B6086" s="18" t="s">
        <v>30</v>
      </c>
      <c r="C6086" s="18" t="s">
        <v>34</v>
      </c>
      <c r="D6086" s="18" t="s">
        <v>35</v>
      </c>
      <c r="E6086" s="27">
        <v>42565.88282407408</v>
      </c>
      <c r="F6086" s="19">
        <f>IFERROR(__xludf.DUMMYFUNCTION("IFERROR(TO_DATE(E6086), """")"),42565.88282407408)</f>
        <v>42565.88282</v>
      </c>
      <c r="G6086" s="20">
        <f t="shared" si="1"/>
        <v>21</v>
      </c>
      <c r="H6086" s="18" t="s">
        <v>34</v>
      </c>
      <c r="I6086" s="19" t="str">
        <f>IFERROR(__xludf.DUMMYFUNCTION("IFERROR(TO_DATE(H6086), """")"),"NA")</f>
        <v>NA</v>
      </c>
      <c r="J6086" s="19" t="s">
        <v>13</v>
      </c>
      <c r="K6086" s="22">
        <f t="shared" si="2"/>
        <v>0</v>
      </c>
    </row>
    <row r="6087">
      <c r="A6087" s="18">
        <v>5233.0</v>
      </c>
      <c r="B6087" s="18" t="s">
        <v>32</v>
      </c>
      <c r="C6087" s="18" t="s">
        <v>34</v>
      </c>
      <c r="D6087" s="18" t="s">
        <v>35</v>
      </c>
      <c r="E6087" s="27">
        <v>42565.88284722222</v>
      </c>
      <c r="F6087" s="19">
        <f>IFERROR(__xludf.DUMMYFUNCTION("IFERROR(TO_DATE(E6087), """")"),42565.88284722222)</f>
        <v>42565.88285</v>
      </c>
      <c r="G6087" s="20">
        <f t="shared" si="1"/>
        <v>21</v>
      </c>
      <c r="H6087" s="18" t="s">
        <v>34</v>
      </c>
      <c r="I6087" s="19" t="str">
        <f>IFERROR(__xludf.DUMMYFUNCTION("IFERROR(TO_DATE(H6087), """")"),"NA")</f>
        <v>NA</v>
      </c>
      <c r="J6087" s="19" t="s">
        <v>13</v>
      </c>
      <c r="K6087" s="22">
        <f t="shared" si="2"/>
        <v>0</v>
      </c>
    </row>
    <row r="6088">
      <c r="A6088" s="18">
        <v>5239.0</v>
      </c>
      <c r="B6088" s="18" t="s">
        <v>30</v>
      </c>
      <c r="C6088" s="18" t="s">
        <v>34</v>
      </c>
      <c r="D6088" s="18" t="s">
        <v>35</v>
      </c>
      <c r="E6088" s="27">
        <v>42565.88375</v>
      </c>
      <c r="F6088" s="19">
        <f>IFERROR(__xludf.DUMMYFUNCTION("IFERROR(TO_DATE(E6088), """")"),42565.88375)</f>
        <v>42565.88375</v>
      </c>
      <c r="G6088" s="20">
        <f t="shared" si="1"/>
        <v>21</v>
      </c>
      <c r="H6088" s="18" t="s">
        <v>34</v>
      </c>
      <c r="I6088" s="19" t="str">
        <f>IFERROR(__xludf.DUMMYFUNCTION("IFERROR(TO_DATE(H6088), """")"),"NA")</f>
        <v>NA</v>
      </c>
      <c r="J6088" s="19" t="s">
        <v>13</v>
      </c>
      <c r="K6088" s="22">
        <f t="shared" si="2"/>
        <v>0</v>
      </c>
    </row>
    <row r="6089">
      <c r="A6089" s="18">
        <v>5242.0</v>
      </c>
      <c r="B6089" s="18" t="s">
        <v>30</v>
      </c>
      <c r="C6089" s="18" t="s">
        <v>34</v>
      </c>
      <c r="D6089" s="18" t="s">
        <v>35</v>
      </c>
      <c r="E6089" s="27">
        <v>42565.884050925924</v>
      </c>
      <c r="F6089" s="19">
        <f>IFERROR(__xludf.DUMMYFUNCTION("IFERROR(TO_DATE(E6089), """")"),42565.884050925924)</f>
        <v>42565.88405</v>
      </c>
      <c r="G6089" s="20">
        <f t="shared" si="1"/>
        <v>21</v>
      </c>
      <c r="H6089" s="18" t="s">
        <v>34</v>
      </c>
      <c r="I6089" s="19" t="str">
        <f>IFERROR(__xludf.DUMMYFUNCTION("IFERROR(TO_DATE(H6089), """")"),"NA")</f>
        <v>NA</v>
      </c>
      <c r="J6089" s="19" t="s">
        <v>13</v>
      </c>
      <c r="K6089" s="22">
        <f t="shared" si="2"/>
        <v>0</v>
      </c>
    </row>
    <row r="6090">
      <c r="A6090" s="18">
        <v>5246.0</v>
      </c>
      <c r="B6090" s="18" t="s">
        <v>30</v>
      </c>
      <c r="C6090" s="18" t="s">
        <v>34</v>
      </c>
      <c r="D6090" s="18" t="s">
        <v>35</v>
      </c>
      <c r="E6090" s="27">
        <v>42565.88450231482</v>
      </c>
      <c r="F6090" s="19">
        <f>IFERROR(__xludf.DUMMYFUNCTION("IFERROR(TO_DATE(E6090), """")"),42565.88450231482)</f>
        <v>42565.8845</v>
      </c>
      <c r="G6090" s="20">
        <f t="shared" si="1"/>
        <v>21</v>
      </c>
      <c r="H6090" s="18" t="s">
        <v>34</v>
      </c>
      <c r="I6090" s="19" t="str">
        <f>IFERROR(__xludf.DUMMYFUNCTION("IFERROR(TO_DATE(H6090), """")"),"NA")</f>
        <v>NA</v>
      </c>
      <c r="J6090" s="19" t="s">
        <v>13</v>
      </c>
      <c r="K6090" s="22">
        <f t="shared" si="2"/>
        <v>0</v>
      </c>
    </row>
    <row r="6091">
      <c r="A6091" s="18">
        <v>5228.0</v>
      </c>
      <c r="B6091" s="18" t="s">
        <v>30</v>
      </c>
      <c r="C6091" s="18" t="s">
        <v>34</v>
      </c>
      <c r="D6091" s="18" t="s">
        <v>35</v>
      </c>
      <c r="E6091" s="27">
        <v>42565.88528935185</v>
      </c>
      <c r="F6091" s="19">
        <f>IFERROR(__xludf.DUMMYFUNCTION("IFERROR(TO_DATE(E6091), """")"),42565.88528935185)</f>
        <v>42565.88529</v>
      </c>
      <c r="G6091" s="20">
        <f t="shared" si="1"/>
        <v>21</v>
      </c>
      <c r="H6091" s="18" t="s">
        <v>34</v>
      </c>
      <c r="I6091" s="19" t="str">
        <f>IFERROR(__xludf.DUMMYFUNCTION("IFERROR(TO_DATE(H6091), """")"),"NA")</f>
        <v>NA</v>
      </c>
      <c r="J6091" s="19" t="s">
        <v>13</v>
      </c>
      <c r="K6091" s="22">
        <f t="shared" si="2"/>
        <v>0</v>
      </c>
    </row>
    <row r="6092">
      <c r="A6092" s="18">
        <v>5249.0</v>
      </c>
      <c r="B6092" s="18" t="s">
        <v>30</v>
      </c>
      <c r="C6092" s="18" t="s">
        <v>34</v>
      </c>
      <c r="D6092" s="18" t="s">
        <v>35</v>
      </c>
      <c r="E6092" s="27">
        <v>42565.885659722226</v>
      </c>
      <c r="F6092" s="19">
        <f>IFERROR(__xludf.DUMMYFUNCTION("IFERROR(TO_DATE(E6092), """")"),42565.885659722226)</f>
        <v>42565.88566</v>
      </c>
      <c r="G6092" s="20">
        <f t="shared" si="1"/>
        <v>21</v>
      </c>
      <c r="H6092" s="18" t="s">
        <v>34</v>
      </c>
      <c r="I6092" s="19" t="str">
        <f>IFERROR(__xludf.DUMMYFUNCTION("IFERROR(TO_DATE(H6092), """")"),"NA")</f>
        <v>NA</v>
      </c>
      <c r="J6092" s="19" t="s">
        <v>13</v>
      </c>
      <c r="K6092" s="22">
        <f t="shared" si="2"/>
        <v>0</v>
      </c>
    </row>
    <row r="6093">
      <c r="A6093" s="18">
        <v>5245.0</v>
      </c>
      <c r="B6093" s="18" t="s">
        <v>30</v>
      </c>
      <c r="C6093" s="18" t="s">
        <v>34</v>
      </c>
      <c r="D6093" s="18" t="s">
        <v>35</v>
      </c>
      <c r="E6093" s="27">
        <v>42565.88686342593</v>
      </c>
      <c r="F6093" s="19">
        <f>IFERROR(__xludf.DUMMYFUNCTION("IFERROR(TO_DATE(E6093), """")"),42565.88686342593)</f>
        <v>42565.88686</v>
      </c>
      <c r="G6093" s="20">
        <f t="shared" si="1"/>
        <v>21</v>
      </c>
      <c r="H6093" s="18" t="s">
        <v>34</v>
      </c>
      <c r="I6093" s="19" t="str">
        <f>IFERROR(__xludf.DUMMYFUNCTION("IFERROR(TO_DATE(H6093), """")"),"NA")</f>
        <v>NA</v>
      </c>
      <c r="J6093" s="19" t="s">
        <v>13</v>
      </c>
      <c r="K6093" s="22">
        <f t="shared" si="2"/>
        <v>0</v>
      </c>
    </row>
    <row r="6094">
      <c r="A6094" s="18">
        <v>5257.0</v>
      </c>
      <c r="B6094" s="18" t="s">
        <v>30</v>
      </c>
      <c r="C6094" s="18" t="s">
        <v>34</v>
      </c>
      <c r="D6094" s="18" t="s">
        <v>35</v>
      </c>
      <c r="E6094" s="27">
        <v>42565.88768518518</v>
      </c>
      <c r="F6094" s="19">
        <f>IFERROR(__xludf.DUMMYFUNCTION("IFERROR(TO_DATE(E6094), """")"),42565.88768518518)</f>
        <v>42565.88769</v>
      </c>
      <c r="G6094" s="20">
        <f t="shared" si="1"/>
        <v>21</v>
      </c>
      <c r="H6094" s="18" t="s">
        <v>34</v>
      </c>
      <c r="I6094" s="19" t="str">
        <f>IFERROR(__xludf.DUMMYFUNCTION("IFERROR(TO_DATE(H6094), """")"),"NA")</f>
        <v>NA</v>
      </c>
      <c r="J6094" s="19" t="s">
        <v>13</v>
      </c>
      <c r="K6094" s="22">
        <f t="shared" si="2"/>
        <v>0</v>
      </c>
    </row>
    <row r="6095">
      <c r="A6095" s="18">
        <v>5247.0</v>
      </c>
      <c r="B6095" s="18" t="s">
        <v>30</v>
      </c>
      <c r="C6095" s="18" t="s">
        <v>34</v>
      </c>
      <c r="D6095" s="18" t="s">
        <v>35</v>
      </c>
      <c r="E6095" s="27">
        <v>42565.88778935185</v>
      </c>
      <c r="F6095" s="19">
        <f>IFERROR(__xludf.DUMMYFUNCTION("IFERROR(TO_DATE(E6095), """")"),42565.88778935185)</f>
        <v>42565.88779</v>
      </c>
      <c r="G6095" s="20">
        <f t="shared" si="1"/>
        <v>21</v>
      </c>
      <c r="H6095" s="18" t="s">
        <v>34</v>
      </c>
      <c r="I6095" s="19" t="str">
        <f>IFERROR(__xludf.DUMMYFUNCTION("IFERROR(TO_DATE(H6095), """")"),"NA")</f>
        <v>NA</v>
      </c>
      <c r="J6095" s="19" t="s">
        <v>13</v>
      </c>
      <c r="K6095" s="22">
        <f t="shared" si="2"/>
        <v>0</v>
      </c>
    </row>
    <row r="6096">
      <c r="A6096" s="18">
        <v>5244.0</v>
      </c>
      <c r="B6096" s="18" t="s">
        <v>30</v>
      </c>
      <c r="C6096" s="18" t="s">
        <v>34</v>
      </c>
      <c r="D6096" s="18" t="s">
        <v>35</v>
      </c>
      <c r="E6096" s="27">
        <v>42565.88806712963</v>
      </c>
      <c r="F6096" s="19">
        <f>IFERROR(__xludf.DUMMYFUNCTION("IFERROR(TO_DATE(E6096), """")"),42565.88806712963)</f>
        <v>42565.88807</v>
      </c>
      <c r="G6096" s="20">
        <f t="shared" si="1"/>
        <v>21</v>
      </c>
      <c r="H6096" s="18" t="s">
        <v>34</v>
      </c>
      <c r="I6096" s="19" t="str">
        <f>IFERROR(__xludf.DUMMYFUNCTION("IFERROR(TO_DATE(H6096), """")"),"NA")</f>
        <v>NA</v>
      </c>
      <c r="J6096" s="19" t="s">
        <v>13</v>
      </c>
      <c r="K6096" s="22">
        <f t="shared" si="2"/>
        <v>0</v>
      </c>
    </row>
    <row r="6097">
      <c r="A6097" s="18">
        <v>5252.0</v>
      </c>
      <c r="B6097" s="18" t="s">
        <v>30</v>
      </c>
      <c r="C6097" s="18" t="s">
        <v>34</v>
      </c>
      <c r="D6097" s="18" t="s">
        <v>35</v>
      </c>
      <c r="E6097" s="27">
        <v>42565.8909375</v>
      </c>
      <c r="F6097" s="19">
        <f>IFERROR(__xludf.DUMMYFUNCTION("IFERROR(TO_DATE(E6097), """")"),42565.8909375)</f>
        <v>42565.89094</v>
      </c>
      <c r="G6097" s="20">
        <f t="shared" si="1"/>
        <v>21</v>
      </c>
      <c r="H6097" s="18" t="s">
        <v>34</v>
      </c>
      <c r="I6097" s="19" t="str">
        <f>IFERROR(__xludf.DUMMYFUNCTION("IFERROR(TO_DATE(H6097), """")"),"NA")</f>
        <v>NA</v>
      </c>
      <c r="J6097" s="19" t="s">
        <v>13</v>
      </c>
      <c r="K6097" s="22">
        <f t="shared" si="2"/>
        <v>0</v>
      </c>
    </row>
    <row r="6098">
      <c r="A6098" s="18">
        <v>5250.0</v>
      </c>
      <c r="B6098" s="18" t="s">
        <v>30</v>
      </c>
      <c r="C6098" s="18" t="s">
        <v>34</v>
      </c>
      <c r="D6098" s="18" t="s">
        <v>35</v>
      </c>
      <c r="E6098" s="27">
        <v>42565.89141203704</v>
      </c>
      <c r="F6098" s="19">
        <f>IFERROR(__xludf.DUMMYFUNCTION("IFERROR(TO_DATE(E6098), """")"),42565.89141203704)</f>
        <v>42565.89141</v>
      </c>
      <c r="G6098" s="20">
        <f t="shared" si="1"/>
        <v>21</v>
      </c>
      <c r="H6098" s="18" t="s">
        <v>34</v>
      </c>
      <c r="I6098" s="19" t="str">
        <f>IFERROR(__xludf.DUMMYFUNCTION("IFERROR(TO_DATE(H6098), """")"),"NA")</f>
        <v>NA</v>
      </c>
      <c r="J6098" s="19" t="s">
        <v>13</v>
      </c>
      <c r="K6098" s="22">
        <f t="shared" si="2"/>
        <v>0</v>
      </c>
    </row>
    <row r="6099">
      <c r="A6099" s="18">
        <v>5253.0</v>
      </c>
      <c r="B6099" s="18" t="s">
        <v>30</v>
      </c>
      <c r="C6099" s="18" t="s">
        <v>34</v>
      </c>
      <c r="D6099" s="18" t="s">
        <v>35</v>
      </c>
      <c r="E6099" s="27">
        <v>42565.891435185185</v>
      </c>
      <c r="F6099" s="19">
        <f>IFERROR(__xludf.DUMMYFUNCTION("IFERROR(TO_DATE(E6099), """")"),42565.891435185185)</f>
        <v>42565.89144</v>
      </c>
      <c r="G6099" s="20">
        <f t="shared" si="1"/>
        <v>21</v>
      </c>
      <c r="H6099" s="18" t="s">
        <v>34</v>
      </c>
      <c r="I6099" s="19" t="str">
        <f>IFERROR(__xludf.DUMMYFUNCTION("IFERROR(TO_DATE(H6099), """")"),"NA")</f>
        <v>NA</v>
      </c>
      <c r="J6099" s="19" t="s">
        <v>13</v>
      </c>
      <c r="K6099" s="22">
        <f t="shared" si="2"/>
        <v>0</v>
      </c>
    </row>
    <row r="6100">
      <c r="A6100" s="18">
        <v>5256.0</v>
      </c>
      <c r="B6100" s="18" t="s">
        <v>30</v>
      </c>
      <c r="C6100" s="18" t="s">
        <v>34</v>
      </c>
      <c r="D6100" s="18" t="s">
        <v>35</v>
      </c>
      <c r="E6100" s="27">
        <v>42565.89167824074</v>
      </c>
      <c r="F6100" s="19">
        <f>IFERROR(__xludf.DUMMYFUNCTION("IFERROR(TO_DATE(E6100), """")"),42565.89167824074)</f>
        <v>42565.89168</v>
      </c>
      <c r="G6100" s="20">
        <f t="shared" si="1"/>
        <v>21</v>
      </c>
      <c r="H6100" s="18" t="s">
        <v>34</v>
      </c>
      <c r="I6100" s="19" t="str">
        <f>IFERROR(__xludf.DUMMYFUNCTION("IFERROR(TO_DATE(H6100), """")"),"NA")</f>
        <v>NA</v>
      </c>
      <c r="J6100" s="19" t="s">
        <v>13</v>
      </c>
      <c r="K6100" s="22">
        <f t="shared" si="2"/>
        <v>0</v>
      </c>
    </row>
    <row r="6101">
      <c r="A6101" s="18">
        <v>5261.0</v>
      </c>
      <c r="B6101" s="18" t="s">
        <v>30</v>
      </c>
      <c r="C6101" s="18" t="s">
        <v>34</v>
      </c>
      <c r="D6101" s="18" t="s">
        <v>35</v>
      </c>
      <c r="E6101" s="27">
        <v>42565.89265046296</v>
      </c>
      <c r="F6101" s="19">
        <f>IFERROR(__xludf.DUMMYFUNCTION("IFERROR(TO_DATE(E6101), """")"),42565.89265046296)</f>
        <v>42565.89265</v>
      </c>
      <c r="G6101" s="20">
        <f t="shared" si="1"/>
        <v>21</v>
      </c>
      <c r="H6101" s="18" t="s">
        <v>34</v>
      </c>
      <c r="I6101" s="19" t="str">
        <f>IFERROR(__xludf.DUMMYFUNCTION("IFERROR(TO_DATE(H6101), """")"),"NA")</f>
        <v>NA</v>
      </c>
      <c r="J6101" s="19" t="s">
        <v>13</v>
      </c>
      <c r="K6101" s="22">
        <f t="shared" si="2"/>
        <v>0</v>
      </c>
    </row>
    <row r="6102">
      <c r="A6102" s="18">
        <v>5260.0</v>
      </c>
      <c r="B6102" s="18" t="s">
        <v>30</v>
      </c>
      <c r="C6102" s="18" t="s">
        <v>34</v>
      </c>
      <c r="D6102" s="18" t="s">
        <v>35</v>
      </c>
      <c r="E6102" s="27">
        <v>42565.893541666665</v>
      </c>
      <c r="F6102" s="19">
        <f>IFERROR(__xludf.DUMMYFUNCTION("IFERROR(TO_DATE(E6102), """")"),42565.893541666665)</f>
        <v>42565.89354</v>
      </c>
      <c r="G6102" s="20">
        <f t="shared" si="1"/>
        <v>21</v>
      </c>
      <c r="H6102" s="18" t="s">
        <v>34</v>
      </c>
      <c r="I6102" s="19" t="str">
        <f>IFERROR(__xludf.DUMMYFUNCTION("IFERROR(TO_DATE(H6102), """")"),"NA")</f>
        <v>NA</v>
      </c>
      <c r="J6102" s="19" t="s">
        <v>13</v>
      </c>
      <c r="K6102" s="22">
        <f t="shared" si="2"/>
        <v>0</v>
      </c>
    </row>
    <row r="6103">
      <c r="A6103" s="18">
        <v>5258.0</v>
      </c>
      <c r="B6103" s="18" t="s">
        <v>30</v>
      </c>
      <c r="C6103" s="18" t="s">
        <v>34</v>
      </c>
      <c r="D6103" s="18" t="s">
        <v>35</v>
      </c>
      <c r="E6103" s="27">
        <v>42565.893900462965</v>
      </c>
      <c r="F6103" s="19">
        <f>IFERROR(__xludf.DUMMYFUNCTION("IFERROR(TO_DATE(E6103), """")"),42565.893900462965)</f>
        <v>42565.8939</v>
      </c>
      <c r="G6103" s="20">
        <f t="shared" si="1"/>
        <v>21</v>
      </c>
      <c r="H6103" s="18" t="s">
        <v>34</v>
      </c>
      <c r="I6103" s="19" t="str">
        <f>IFERROR(__xludf.DUMMYFUNCTION("IFERROR(TO_DATE(H6103), """")"),"NA")</f>
        <v>NA</v>
      </c>
      <c r="J6103" s="19" t="s">
        <v>13</v>
      </c>
      <c r="K6103" s="22">
        <f t="shared" si="2"/>
        <v>0</v>
      </c>
    </row>
    <row r="6104">
      <c r="A6104" s="18">
        <v>5267.0</v>
      </c>
      <c r="B6104" s="18" t="s">
        <v>30</v>
      </c>
      <c r="C6104" s="18" t="s">
        <v>34</v>
      </c>
      <c r="D6104" s="18" t="s">
        <v>35</v>
      </c>
      <c r="E6104" s="27">
        <v>42565.894594907404</v>
      </c>
      <c r="F6104" s="19">
        <f>IFERROR(__xludf.DUMMYFUNCTION("IFERROR(TO_DATE(E6104), """")"),42565.894594907404)</f>
        <v>42565.89459</v>
      </c>
      <c r="G6104" s="20">
        <f t="shared" si="1"/>
        <v>21</v>
      </c>
      <c r="H6104" s="18" t="s">
        <v>34</v>
      </c>
      <c r="I6104" s="19" t="str">
        <f>IFERROR(__xludf.DUMMYFUNCTION("IFERROR(TO_DATE(H6104), """")"),"NA")</f>
        <v>NA</v>
      </c>
      <c r="J6104" s="19" t="s">
        <v>13</v>
      </c>
      <c r="K6104" s="22">
        <f t="shared" si="2"/>
        <v>0</v>
      </c>
    </row>
    <row r="6105">
      <c r="A6105" s="18">
        <v>5262.0</v>
      </c>
      <c r="B6105" s="18" t="s">
        <v>30</v>
      </c>
      <c r="C6105" s="18" t="s">
        <v>34</v>
      </c>
      <c r="D6105" s="18" t="s">
        <v>35</v>
      </c>
      <c r="E6105" s="27">
        <v>42565.89506944444</v>
      </c>
      <c r="F6105" s="19">
        <f>IFERROR(__xludf.DUMMYFUNCTION("IFERROR(TO_DATE(E6105), """")"),42565.89506944444)</f>
        <v>42565.89507</v>
      </c>
      <c r="G6105" s="20">
        <f t="shared" si="1"/>
        <v>21</v>
      </c>
      <c r="H6105" s="18" t="s">
        <v>34</v>
      </c>
      <c r="I6105" s="19" t="str">
        <f>IFERROR(__xludf.DUMMYFUNCTION("IFERROR(TO_DATE(H6105), """")"),"NA")</f>
        <v>NA</v>
      </c>
      <c r="J6105" s="19" t="s">
        <v>13</v>
      </c>
      <c r="K6105" s="22">
        <f t="shared" si="2"/>
        <v>0</v>
      </c>
    </row>
    <row r="6106">
      <c r="A6106" s="18">
        <v>5259.0</v>
      </c>
      <c r="B6106" s="18" t="s">
        <v>30</v>
      </c>
      <c r="C6106" s="18" t="s">
        <v>34</v>
      </c>
      <c r="D6106" s="18" t="s">
        <v>35</v>
      </c>
      <c r="E6106" s="27">
        <v>42565.89606481481</v>
      </c>
      <c r="F6106" s="19">
        <f>IFERROR(__xludf.DUMMYFUNCTION("IFERROR(TO_DATE(E6106), """")"),42565.89606481481)</f>
        <v>42565.89606</v>
      </c>
      <c r="G6106" s="20">
        <f t="shared" si="1"/>
        <v>21</v>
      </c>
      <c r="H6106" s="18" t="s">
        <v>34</v>
      </c>
      <c r="I6106" s="19" t="str">
        <f>IFERROR(__xludf.DUMMYFUNCTION("IFERROR(TO_DATE(H6106), """")"),"NA")</f>
        <v>NA</v>
      </c>
      <c r="J6106" s="19" t="s">
        <v>13</v>
      </c>
      <c r="K6106" s="22">
        <f t="shared" si="2"/>
        <v>0</v>
      </c>
    </row>
    <row r="6107">
      <c r="A6107" s="18">
        <v>5265.0</v>
      </c>
      <c r="B6107" s="18" t="s">
        <v>30</v>
      </c>
      <c r="C6107" s="18" t="s">
        <v>34</v>
      </c>
      <c r="D6107" s="18" t="s">
        <v>35</v>
      </c>
      <c r="E6107" s="27">
        <v>42565.89608796296</v>
      </c>
      <c r="F6107" s="19">
        <f>IFERROR(__xludf.DUMMYFUNCTION("IFERROR(TO_DATE(E6107), """")"),42565.89608796296)</f>
        <v>42565.89609</v>
      </c>
      <c r="G6107" s="20">
        <f t="shared" si="1"/>
        <v>21</v>
      </c>
      <c r="H6107" s="18" t="s">
        <v>34</v>
      </c>
      <c r="I6107" s="19" t="str">
        <f>IFERROR(__xludf.DUMMYFUNCTION("IFERROR(TO_DATE(H6107), """")"),"NA")</f>
        <v>NA</v>
      </c>
      <c r="J6107" s="19" t="s">
        <v>13</v>
      </c>
      <c r="K6107" s="22">
        <f t="shared" si="2"/>
        <v>0</v>
      </c>
    </row>
    <row r="6108">
      <c r="A6108" s="18">
        <v>5280.0</v>
      </c>
      <c r="B6108" s="18" t="s">
        <v>30</v>
      </c>
      <c r="C6108" s="18" t="s">
        <v>34</v>
      </c>
      <c r="D6108" s="18" t="s">
        <v>35</v>
      </c>
      <c r="E6108" s="27">
        <v>42565.899189814816</v>
      </c>
      <c r="F6108" s="19">
        <f>IFERROR(__xludf.DUMMYFUNCTION("IFERROR(TO_DATE(E6108), """")"),42565.899189814816)</f>
        <v>42565.89919</v>
      </c>
      <c r="G6108" s="20">
        <f t="shared" si="1"/>
        <v>21</v>
      </c>
      <c r="H6108" s="18" t="s">
        <v>34</v>
      </c>
      <c r="I6108" s="19" t="str">
        <f>IFERROR(__xludf.DUMMYFUNCTION("IFERROR(TO_DATE(H6108), """")"),"NA")</f>
        <v>NA</v>
      </c>
      <c r="J6108" s="19" t="s">
        <v>13</v>
      </c>
      <c r="K6108" s="22">
        <f t="shared" si="2"/>
        <v>0</v>
      </c>
    </row>
    <row r="6109">
      <c r="A6109" s="18">
        <v>5279.0</v>
      </c>
      <c r="B6109" s="18" t="s">
        <v>30</v>
      </c>
      <c r="C6109" s="18" t="s">
        <v>34</v>
      </c>
      <c r="D6109" s="18" t="s">
        <v>35</v>
      </c>
      <c r="E6109" s="27">
        <v>42565.89923611111</v>
      </c>
      <c r="F6109" s="19">
        <f>IFERROR(__xludf.DUMMYFUNCTION("IFERROR(TO_DATE(E6109), """")"),42565.89923611111)</f>
        <v>42565.89924</v>
      </c>
      <c r="G6109" s="20">
        <f t="shared" si="1"/>
        <v>21</v>
      </c>
      <c r="H6109" s="18" t="s">
        <v>34</v>
      </c>
      <c r="I6109" s="19" t="str">
        <f>IFERROR(__xludf.DUMMYFUNCTION("IFERROR(TO_DATE(H6109), """")"),"NA")</f>
        <v>NA</v>
      </c>
      <c r="J6109" s="19" t="s">
        <v>13</v>
      </c>
      <c r="K6109" s="22">
        <f t="shared" si="2"/>
        <v>0</v>
      </c>
    </row>
    <row r="6110">
      <c r="A6110" s="18">
        <v>5264.0</v>
      </c>
      <c r="B6110" s="18" t="s">
        <v>30</v>
      </c>
      <c r="C6110" s="18" t="s">
        <v>34</v>
      </c>
      <c r="D6110" s="18" t="s">
        <v>35</v>
      </c>
      <c r="E6110" s="27">
        <v>42565.89925925926</v>
      </c>
      <c r="F6110" s="19">
        <f>IFERROR(__xludf.DUMMYFUNCTION("IFERROR(TO_DATE(E6110), """")"),42565.89925925926)</f>
        <v>42565.89926</v>
      </c>
      <c r="G6110" s="20">
        <f t="shared" si="1"/>
        <v>21</v>
      </c>
      <c r="H6110" s="18" t="s">
        <v>34</v>
      </c>
      <c r="I6110" s="19" t="str">
        <f>IFERROR(__xludf.DUMMYFUNCTION("IFERROR(TO_DATE(H6110), """")"),"NA")</f>
        <v>NA</v>
      </c>
      <c r="J6110" s="19" t="s">
        <v>13</v>
      </c>
      <c r="K6110" s="22">
        <f t="shared" si="2"/>
        <v>0</v>
      </c>
    </row>
    <row r="6111">
      <c r="A6111" s="18">
        <v>5281.0</v>
      </c>
      <c r="B6111" s="18" t="s">
        <v>30</v>
      </c>
      <c r="C6111" s="18" t="s">
        <v>34</v>
      </c>
      <c r="D6111" s="18" t="s">
        <v>35</v>
      </c>
      <c r="E6111" s="27">
        <v>42565.89994212963</v>
      </c>
      <c r="F6111" s="19">
        <f>IFERROR(__xludf.DUMMYFUNCTION("IFERROR(TO_DATE(E6111), """")"),42565.89994212963)</f>
        <v>42565.89994</v>
      </c>
      <c r="G6111" s="20">
        <f t="shared" si="1"/>
        <v>21</v>
      </c>
      <c r="H6111" s="18" t="s">
        <v>34</v>
      </c>
      <c r="I6111" s="19" t="str">
        <f>IFERROR(__xludf.DUMMYFUNCTION("IFERROR(TO_DATE(H6111), """")"),"NA")</f>
        <v>NA</v>
      </c>
      <c r="J6111" s="19" t="s">
        <v>13</v>
      </c>
      <c r="K6111" s="22">
        <f t="shared" si="2"/>
        <v>0</v>
      </c>
    </row>
    <row r="6112">
      <c r="A6112" s="18">
        <v>5269.0</v>
      </c>
      <c r="B6112" s="18" t="s">
        <v>30</v>
      </c>
      <c r="C6112" s="18" t="s">
        <v>34</v>
      </c>
      <c r="D6112" s="18" t="s">
        <v>35</v>
      </c>
      <c r="E6112" s="27">
        <v>42565.90038194445</v>
      </c>
      <c r="F6112" s="19">
        <f>IFERROR(__xludf.DUMMYFUNCTION("IFERROR(TO_DATE(E6112), """")"),42565.90038194445)</f>
        <v>42565.90038</v>
      </c>
      <c r="G6112" s="20">
        <f t="shared" si="1"/>
        <v>21</v>
      </c>
      <c r="H6112" s="18" t="s">
        <v>34</v>
      </c>
      <c r="I6112" s="19" t="str">
        <f>IFERROR(__xludf.DUMMYFUNCTION("IFERROR(TO_DATE(H6112), """")"),"NA")</f>
        <v>NA</v>
      </c>
      <c r="J6112" s="19" t="s">
        <v>13</v>
      </c>
      <c r="K6112" s="22">
        <f t="shared" si="2"/>
        <v>0</v>
      </c>
    </row>
    <row r="6113">
      <c r="A6113" s="18">
        <v>5277.0</v>
      </c>
      <c r="B6113" s="18" t="s">
        <v>30</v>
      </c>
      <c r="C6113" s="18" t="s">
        <v>34</v>
      </c>
      <c r="D6113" s="18" t="s">
        <v>35</v>
      </c>
      <c r="E6113" s="27">
        <v>42565.90069444444</v>
      </c>
      <c r="F6113" s="19">
        <f>IFERROR(__xludf.DUMMYFUNCTION("IFERROR(TO_DATE(E6113), """")"),42565.90069444444)</f>
        <v>42565.90069</v>
      </c>
      <c r="G6113" s="20">
        <f t="shared" si="1"/>
        <v>21</v>
      </c>
      <c r="H6113" s="18" t="s">
        <v>34</v>
      </c>
      <c r="I6113" s="19" t="str">
        <f>IFERROR(__xludf.DUMMYFUNCTION("IFERROR(TO_DATE(H6113), """")"),"NA")</f>
        <v>NA</v>
      </c>
      <c r="J6113" s="19" t="s">
        <v>13</v>
      </c>
      <c r="K6113" s="22">
        <f t="shared" si="2"/>
        <v>0</v>
      </c>
    </row>
    <row r="6114">
      <c r="A6114" s="18">
        <v>5282.0</v>
      </c>
      <c r="B6114" s="18" t="s">
        <v>30</v>
      </c>
      <c r="C6114" s="18" t="s">
        <v>34</v>
      </c>
      <c r="D6114" s="18" t="s">
        <v>35</v>
      </c>
      <c r="E6114" s="27">
        <v>42565.900717592594</v>
      </c>
      <c r="F6114" s="19">
        <f>IFERROR(__xludf.DUMMYFUNCTION("IFERROR(TO_DATE(E6114), """")"),42565.900717592594)</f>
        <v>42565.90072</v>
      </c>
      <c r="G6114" s="20">
        <f t="shared" si="1"/>
        <v>21</v>
      </c>
      <c r="H6114" s="18" t="s">
        <v>34</v>
      </c>
      <c r="I6114" s="19" t="str">
        <f>IFERROR(__xludf.DUMMYFUNCTION("IFERROR(TO_DATE(H6114), """")"),"NA")</f>
        <v>NA</v>
      </c>
      <c r="J6114" s="19" t="s">
        <v>13</v>
      </c>
      <c r="K6114" s="22">
        <f t="shared" si="2"/>
        <v>0</v>
      </c>
    </row>
    <row r="6115">
      <c r="A6115" s="18">
        <v>5278.0</v>
      </c>
      <c r="B6115" s="18" t="s">
        <v>30</v>
      </c>
      <c r="C6115" s="18" t="s">
        <v>34</v>
      </c>
      <c r="D6115" s="18" t="s">
        <v>35</v>
      </c>
      <c r="E6115" s="27">
        <v>42565.90153935185</v>
      </c>
      <c r="F6115" s="19">
        <f>IFERROR(__xludf.DUMMYFUNCTION("IFERROR(TO_DATE(E6115), """")"),42565.90153935185)</f>
        <v>42565.90154</v>
      </c>
      <c r="G6115" s="20">
        <f t="shared" si="1"/>
        <v>21</v>
      </c>
      <c r="H6115" s="18" t="s">
        <v>34</v>
      </c>
      <c r="I6115" s="19" t="str">
        <f>IFERROR(__xludf.DUMMYFUNCTION("IFERROR(TO_DATE(H6115), """")"),"NA")</f>
        <v>NA</v>
      </c>
      <c r="J6115" s="19" t="s">
        <v>13</v>
      </c>
      <c r="K6115" s="22">
        <f t="shared" si="2"/>
        <v>0</v>
      </c>
    </row>
    <row r="6116">
      <c r="A6116" s="18">
        <v>5283.0</v>
      </c>
      <c r="B6116" s="18" t="s">
        <v>30</v>
      </c>
      <c r="C6116" s="18" t="s">
        <v>34</v>
      </c>
      <c r="D6116" s="18" t="s">
        <v>35</v>
      </c>
      <c r="E6116" s="27">
        <v>42565.90225694444</v>
      </c>
      <c r="F6116" s="19">
        <f>IFERROR(__xludf.DUMMYFUNCTION("IFERROR(TO_DATE(E6116), """")"),42565.90225694444)</f>
        <v>42565.90226</v>
      </c>
      <c r="G6116" s="20">
        <f t="shared" si="1"/>
        <v>21</v>
      </c>
      <c r="H6116" s="18" t="s">
        <v>34</v>
      </c>
      <c r="I6116" s="19" t="str">
        <f>IFERROR(__xludf.DUMMYFUNCTION("IFERROR(TO_DATE(H6116), """")"),"NA")</f>
        <v>NA</v>
      </c>
      <c r="J6116" s="19" t="s">
        <v>13</v>
      </c>
      <c r="K6116" s="22">
        <f t="shared" si="2"/>
        <v>0</v>
      </c>
    </row>
    <row r="6117">
      <c r="A6117" s="18">
        <v>5274.0</v>
      </c>
      <c r="B6117" s="18" t="s">
        <v>30</v>
      </c>
      <c r="C6117" s="18" t="s">
        <v>34</v>
      </c>
      <c r="D6117" s="18" t="s">
        <v>35</v>
      </c>
      <c r="E6117" s="27">
        <v>42565.903449074074</v>
      </c>
      <c r="F6117" s="19">
        <f>IFERROR(__xludf.DUMMYFUNCTION("IFERROR(TO_DATE(E6117), """")"),42565.903449074074)</f>
        <v>42565.90345</v>
      </c>
      <c r="G6117" s="20">
        <f t="shared" si="1"/>
        <v>21</v>
      </c>
      <c r="H6117" s="18" t="s">
        <v>34</v>
      </c>
      <c r="I6117" s="19" t="str">
        <f>IFERROR(__xludf.DUMMYFUNCTION("IFERROR(TO_DATE(H6117), """")"),"NA")</f>
        <v>NA</v>
      </c>
      <c r="J6117" s="19" t="s">
        <v>13</v>
      </c>
      <c r="K6117" s="22">
        <f t="shared" si="2"/>
        <v>0</v>
      </c>
    </row>
    <row r="6118">
      <c r="A6118" s="18">
        <v>5301.0</v>
      </c>
      <c r="B6118" s="18" t="s">
        <v>30</v>
      </c>
      <c r="C6118" s="18" t="s">
        <v>34</v>
      </c>
      <c r="D6118" s="18" t="s">
        <v>35</v>
      </c>
      <c r="E6118" s="27">
        <v>42565.908530092594</v>
      </c>
      <c r="F6118" s="19">
        <f>IFERROR(__xludf.DUMMYFUNCTION("IFERROR(TO_DATE(E6118), """")"),42565.908530092594)</f>
        <v>42565.90853</v>
      </c>
      <c r="G6118" s="20">
        <f t="shared" si="1"/>
        <v>21</v>
      </c>
      <c r="H6118" s="18" t="s">
        <v>34</v>
      </c>
      <c r="I6118" s="19" t="str">
        <f>IFERROR(__xludf.DUMMYFUNCTION("IFERROR(TO_DATE(H6118), """")"),"NA")</f>
        <v>NA</v>
      </c>
      <c r="J6118" s="19" t="s">
        <v>13</v>
      </c>
      <c r="K6118" s="22">
        <f t="shared" si="2"/>
        <v>0</v>
      </c>
    </row>
    <row r="6119">
      <c r="A6119" s="18">
        <v>5296.0</v>
      </c>
      <c r="B6119" s="18" t="s">
        <v>30</v>
      </c>
      <c r="C6119" s="18" t="s">
        <v>34</v>
      </c>
      <c r="D6119" s="18" t="s">
        <v>35</v>
      </c>
      <c r="E6119" s="27">
        <v>42565.90920138889</v>
      </c>
      <c r="F6119" s="19">
        <f>IFERROR(__xludf.DUMMYFUNCTION("IFERROR(TO_DATE(E6119), """")"),42565.90920138889)</f>
        <v>42565.9092</v>
      </c>
      <c r="G6119" s="20">
        <f t="shared" si="1"/>
        <v>21</v>
      </c>
      <c r="H6119" s="18" t="s">
        <v>34</v>
      </c>
      <c r="I6119" s="19" t="str">
        <f>IFERROR(__xludf.DUMMYFUNCTION("IFERROR(TO_DATE(H6119), """")"),"NA")</f>
        <v>NA</v>
      </c>
      <c r="J6119" s="19" t="s">
        <v>13</v>
      </c>
      <c r="K6119" s="22">
        <f t="shared" si="2"/>
        <v>0</v>
      </c>
    </row>
    <row r="6120">
      <c r="A6120" s="18">
        <v>5299.0</v>
      </c>
      <c r="B6120" s="18" t="s">
        <v>30</v>
      </c>
      <c r="C6120" s="18" t="s">
        <v>34</v>
      </c>
      <c r="D6120" s="18" t="s">
        <v>35</v>
      </c>
      <c r="E6120" s="27">
        <v>42565.90925925926</v>
      </c>
      <c r="F6120" s="19">
        <f>IFERROR(__xludf.DUMMYFUNCTION("IFERROR(TO_DATE(E6120), """")"),42565.90925925926)</f>
        <v>42565.90926</v>
      </c>
      <c r="G6120" s="20">
        <f t="shared" si="1"/>
        <v>21</v>
      </c>
      <c r="H6120" s="18" t="s">
        <v>34</v>
      </c>
      <c r="I6120" s="19" t="str">
        <f>IFERROR(__xludf.DUMMYFUNCTION("IFERROR(TO_DATE(H6120), """")"),"NA")</f>
        <v>NA</v>
      </c>
      <c r="J6120" s="19" t="s">
        <v>13</v>
      </c>
      <c r="K6120" s="22">
        <f t="shared" si="2"/>
        <v>0</v>
      </c>
    </row>
    <row r="6121">
      <c r="A6121" s="18">
        <v>5293.0</v>
      </c>
      <c r="B6121" s="18" t="s">
        <v>30</v>
      </c>
      <c r="C6121" s="18" t="s">
        <v>34</v>
      </c>
      <c r="D6121" s="18" t="s">
        <v>35</v>
      </c>
      <c r="E6121" s="27">
        <v>42565.91013888889</v>
      </c>
      <c r="F6121" s="19">
        <f>IFERROR(__xludf.DUMMYFUNCTION("IFERROR(TO_DATE(E6121), """")"),42565.91013888889)</f>
        <v>42565.91014</v>
      </c>
      <c r="G6121" s="20">
        <f t="shared" si="1"/>
        <v>21</v>
      </c>
      <c r="H6121" s="18" t="s">
        <v>34</v>
      </c>
      <c r="I6121" s="19" t="str">
        <f>IFERROR(__xludf.DUMMYFUNCTION("IFERROR(TO_DATE(H6121), """")"),"NA")</f>
        <v>NA</v>
      </c>
      <c r="J6121" s="19" t="s">
        <v>13</v>
      </c>
      <c r="K6121" s="22">
        <f t="shared" si="2"/>
        <v>0</v>
      </c>
    </row>
    <row r="6122">
      <c r="A6122" s="18">
        <v>5292.0</v>
      </c>
      <c r="B6122" s="18" t="s">
        <v>30</v>
      </c>
      <c r="C6122" s="18" t="s">
        <v>34</v>
      </c>
      <c r="D6122" s="18" t="s">
        <v>35</v>
      </c>
      <c r="E6122" s="27">
        <v>42565.911261574074</v>
      </c>
      <c r="F6122" s="19">
        <f>IFERROR(__xludf.DUMMYFUNCTION("IFERROR(TO_DATE(E6122), """")"),42565.911261574074)</f>
        <v>42565.91126</v>
      </c>
      <c r="G6122" s="20">
        <f t="shared" si="1"/>
        <v>21</v>
      </c>
      <c r="H6122" s="18" t="s">
        <v>34</v>
      </c>
      <c r="I6122" s="19" t="str">
        <f>IFERROR(__xludf.DUMMYFUNCTION("IFERROR(TO_DATE(H6122), """")"),"NA")</f>
        <v>NA</v>
      </c>
      <c r="J6122" s="19" t="s">
        <v>13</v>
      </c>
      <c r="K6122" s="22">
        <f t="shared" si="2"/>
        <v>0</v>
      </c>
    </row>
    <row r="6123">
      <c r="A6123" s="18">
        <v>5302.0</v>
      </c>
      <c r="B6123" s="18" t="s">
        <v>30</v>
      </c>
      <c r="C6123" s="18" t="s">
        <v>34</v>
      </c>
      <c r="D6123" s="18" t="s">
        <v>35</v>
      </c>
      <c r="E6123" s="27">
        <v>42565.912210648145</v>
      </c>
      <c r="F6123" s="19">
        <f>IFERROR(__xludf.DUMMYFUNCTION("IFERROR(TO_DATE(E6123), """")"),42565.912210648145)</f>
        <v>42565.91221</v>
      </c>
      <c r="G6123" s="20">
        <f t="shared" si="1"/>
        <v>21</v>
      </c>
      <c r="H6123" s="18" t="s">
        <v>34</v>
      </c>
      <c r="I6123" s="19" t="str">
        <f>IFERROR(__xludf.DUMMYFUNCTION("IFERROR(TO_DATE(H6123), """")"),"NA")</f>
        <v>NA</v>
      </c>
      <c r="J6123" s="19" t="s">
        <v>13</v>
      </c>
      <c r="K6123" s="22">
        <f t="shared" si="2"/>
        <v>0</v>
      </c>
    </row>
    <row r="6124">
      <c r="A6124" s="18">
        <v>5303.0</v>
      </c>
      <c r="B6124" s="18" t="s">
        <v>30</v>
      </c>
      <c r="C6124" s="18" t="s">
        <v>34</v>
      </c>
      <c r="D6124" s="18" t="s">
        <v>35</v>
      </c>
      <c r="E6124" s="27">
        <v>42565.9125</v>
      </c>
      <c r="F6124" s="19">
        <f>IFERROR(__xludf.DUMMYFUNCTION("IFERROR(TO_DATE(E6124), """")"),42565.9125)</f>
        <v>42565.9125</v>
      </c>
      <c r="G6124" s="20">
        <f t="shared" si="1"/>
        <v>21</v>
      </c>
      <c r="H6124" s="18" t="s">
        <v>34</v>
      </c>
      <c r="I6124" s="19" t="str">
        <f>IFERROR(__xludf.DUMMYFUNCTION("IFERROR(TO_DATE(H6124), """")"),"NA")</f>
        <v>NA</v>
      </c>
      <c r="J6124" s="19" t="s">
        <v>13</v>
      </c>
      <c r="K6124" s="22">
        <f t="shared" si="2"/>
        <v>0</v>
      </c>
    </row>
    <row r="6125">
      <c r="A6125" s="18">
        <v>5298.0</v>
      </c>
      <c r="B6125" s="18" t="s">
        <v>30</v>
      </c>
      <c r="C6125" s="18" t="s">
        <v>34</v>
      </c>
      <c r="D6125" s="18" t="s">
        <v>35</v>
      </c>
      <c r="E6125" s="27">
        <v>42565.91292824074</v>
      </c>
      <c r="F6125" s="19">
        <f>IFERROR(__xludf.DUMMYFUNCTION("IFERROR(TO_DATE(E6125), """")"),42565.91292824074)</f>
        <v>42565.91293</v>
      </c>
      <c r="G6125" s="20">
        <f t="shared" si="1"/>
        <v>21</v>
      </c>
      <c r="H6125" s="18" t="s">
        <v>34</v>
      </c>
      <c r="I6125" s="19" t="str">
        <f>IFERROR(__xludf.DUMMYFUNCTION("IFERROR(TO_DATE(H6125), """")"),"NA")</f>
        <v>NA</v>
      </c>
      <c r="J6125" s="19" t="s">
        <v>13</v>
      </c>
      <c r="K6125" s="22">
        <f t="shared" si="2"/>
        <v>0</v>
      </c>
    </row>
    <row r="6126">
      <c r="A6126" s="18">
        <v>5304.0</v>
      </c>
      <c r="B6126" s="18" t="s">
        <v>30</v>
      </c>
      <c r="C6126" s="18" t="s">
        <v>34</v>
      </c>
      <c r="D6126" s="18" t="s">
        <v>35</v>
      </c>
      <c r="E6126" s="27">
        <v>42565.91388888889</v>
      </c>
      <c r="F6126" s="19">
        <f>IFERROR(__xludf.DUMMYFUNCTION("IFERROR(TO_DATE(E6126), """")"),42565.91388888889)</f>
        <v>42565.91389</v>
      </c>
      <c r="G6126" s="20">
        <f t="shared" si="1"/>
        <v>21</v>
      </c>
      <c r="H6126" s="18" t="s">
        <v>34</v>
      </c>
      <c r="I6126" s="19" t="str">
        <f>IFERROR(__xludf.DUMMYFUNCTION("IFERROR(TO_DATE(H6126), """")"),"NA")</f>
        <v>NA</v>
      </c>
      <c r="J6126" s="19" t="s">
        <v>13</v>
      </c>
      <c r="K6126" s="22">
        <f t="shared" si="2"/>
        <v>0</v>
      </c>
    </row>
    <row r="6127">
      <c r="A6127" s="18">
        <v>5305.0</v>
      </c>
      <c r="B6127" s="18" t="s">
        <v>30</v>
      </c>
      <c r="C6127" s="18" t="s">
        <v>34</v>
      </c>
      <c r="D6127" s="18" t="s">
        <v>35</v>
      </c>
      <c r="E6127" s="27">
        <v>42565.91391203704</v>
      </c>
      <c r="F6127" s="19">
        <f>IFERROR(__xludf.DUMMYFUNCTION("IFERROR(TO_DATE(E6127), """")"),42565.91391203704)</f>
        <v>42565.91391</v>
      </c>
      <c r="G6127" s="20">
        <f t="shared" si="1"/>
        <v>21</v>
      </c>
      <c r="H6127" s="18" t="s">
        <v>34</v>
      </c>
      <c r="I6127" s="19" t="str">
        <f>IFERROR(__xludf.DUMMYFUNCTION("IFERROR(TO_DATE(H6127), """")"),"NA")</f>
        <v>NA</v>
      </c>
      <c r="J6127" s="19" t="s">
        <v>13</v>
      </c>
      <c r="K6127" s="22">
        <f t="shared" si="2"/>
        <v>0</v>
      </c>
    </row>
    <row r="6128">
      <c r="A6128" s="18">
        <v>5308.0</v>
      </c>
      <c r="B6128" s="18" t="s">
        <v>30</v>
      </c>
      <c r="C6128" s="18" t="s">
        <v>34</v>
      </c>
      <c r="D6128" s="18" t="s">
        <v>35</v>
      </c>
      <c r="E6128" s="27">
        <v>42565.915358796294</v>
      </c>
      <c r="F6128" s="19">
        <f>IFERROR(__xludf.DUMMYFUNCTION("IFERROR(TO_DATE(E6128), """")"),42565.915358796294)</f>
        <v>42565.91536</v>
      </c>
      <c r="G6128" s="20">
        <f t="shared" si="1"/>
        <v>21</v>
      </c>
      <c r="H6128" s="18" t="s">
        <v>34</v>
      </c>
      <c r="I6128" s="19" t="str">
        <f>IFERROR(__xludf.DUMMYFUNCTION("IFERROR(TO_DATE(H6128), """")"),"NA")</f>
        <v>NA</v>
      </c>
      <c r="J6128" s="19" t="s">
        <v>13</v>
      </c>
      <c r="K6128" s="22">
        <f t="shared" si="2"/>
        <v>0</v>
      </c>
    </row>
    <row r="6129">
      <c r="A6129" s="18">
        <v>5309.0</v>
      </c>
      <c r="B6129" s="18" t="s">
        <v>30</v>
      </c>
      <c r="C6129" s="18" t="s">
        <v>34</v>
      </c>
      <c r="D6129" s="18" t="s">
        <v>35</v>
      </c>
      <c r="E6129" s="27">
        <v>42565.91548611111</v>
      </c>
      <c r="F6129" s="19">
        <f>IFERROR(__xludf.DUMMYFUNCTION("IFERROR(TO_DATE(E6129), """")"),42565.91548611111)</f>
        <v>42565.91549</v>
      </c>
      <c r="G6129" s="20">
        <f t="shared" si="1"/>
        <v>21</v>
      </c>
      <c r="H6129" s="18" t="s">
        <v>34</v>
      </c>
      <c r="I6129" s="19" t="str">
        <f>IFERROR(__xludf.DUMMYFUNCTION("IFERROR(TO_DATE(H6129), """")"),"NA")</f>
        <v>NA</v>
      </c>
      <c r="J6129" s="19" t="s">
        <v>13</v>
      </c>
      <c r="K6129" s="22">
        <f t="shared" si="2"/>
        <v>0</v>
      </c>
    </row>
    <row r="6130">
      <c r="A6130" s="18">
        <v>5312.0</v>
      </c>
      <c r="B6130" s="18" t="s">
        <v>30</v>
      </c>
      <c r="C6130" s="18" t="s">
        <v>34</v>
      </c>
      <c r="D6130" s="18" t="s">
        <v>35</v>
      </c>
      <c r="E6130" s="27">
        <v>42565.91574074074</v>
      </c>
      <c r="F6130" s="19">
        <f>IFERROR(__xludf.DUMMYFUNCTION("IFERROR(TO_DATE(E6130), """")"),42565.91574074074)</f>
        <v>42565.91574</v>
      </c>
      <c r="G6130" s="20">
        <f t="shared" si="1"/>
        <v>21</v>
      </c>
      <c r="H6130" s="18" t="s">
        <v>34</v>
      </c>
      <c r="I6130" s="19" t="str">
        <f>IFERROR(__xludf.DUMMYFUNCTION("IFERROR(TO_DATE(H6130), """")"),"NA")</f>
        <v>NA</v>
      </c>
      <c r="J6130" s="19" t="s">
        <v>13</v>
      </c>
      <c r="K6130" s="22">
        <f t="shared" si="2"/>
        <v>0</v>
      </c>
    </row>
    <row r="6131">
      <c r="A6131" s="18">
        <v>5311.0</v>
      </c>
      <c r="B6131" s="18" t="s">
        <v>30</v>
      </c>
      <c r="C6131" s="18" t="s">
        <v>34</v>
      </c>
      <c r="D6131" s="18" t="s">
        <v>35</v>
      </c>
      <c r="E6131" s="27">
        <v>42565.91722222222</v>
      </c>
      <c r="F6131" s="19">
        <f>IFERROR(__xludf.DUMMYFUNCTION("IFERROR(TO_DATE(E6131), """")"),42565.91722222222)</f>
        <v>42565.91722</v>
      </c>
      <c r="G6131" s="20">
        <f t="shared" si="1"/>
        <v>22</v>
      </c>
      <c r="H6131" s="18" t="s">
        <v>34</v>
      </c>
      <c r="I6131" s="19" t="str">
        <f>IFERROR(__xludf.DUMMYFUNCTION("IFERROR(TO_DATE(H6131), """")"),"NA")</f>
        <v>NA</v>
      </c>
      <c r="J6131" s="19" t="s">
        <v>13</v>
      </c>
      <c r="K6131" s="22">
        <f t="shared" si="2"/>
        <v>0</v>
      </c>
    </row>
    <row r="6132">
      <c r="A6132" s="18">
        <v>5306.0</v>
      </c>
      <c r="B6132" s="18" t="s">
        <v>30</v>
      </c>
      <c r="C6132" s="18" t="s">
        <v>34</v>
      </c>
      <c r="D6132" s="18" t="s">
        <v>35</v>
      </c>
      <c r="E6132" s="27">
        <v>42565.917916666665</v>
      </c>
      <c r="F6132" s="19">
        <f>IFERROR(__xludf.DUMMYFUNCTION("IFERROR(TO_DATE(E6132), """")"),42565.917916666665)</f>
        <v>42565.91792</v>
      </c>
      <c r="G6132" s="20">
        <f t="shared" si="1"/>
        <v>22</v>
      </c>
      <c r="H6132" s="18" t="s">
        <v>34</v>
      </c>
      <c r="I6132" s="19" t="str">
        <f>IFERROR(__xludf.DUMMYFUNCTION("IFERROR(TO_DATE(H6132), """")"),"NA")</f>
        <v>NA</v>
      </c>
      <c r="J6132" s="19" t="s">
        <v>13</v>
      </c>
      <c r="K6132" s="22">
        <f t="shared" si="2"/>
        <v>0</v>
      </c>
    </row>
    <row r="6133">
      <c r="A6133" s="18">
        <v>5307.0</v>
      </c>
      <c r="B6133" s="18" t="s">
        <v>30</v>
      </c>
      <c r="C6133" s="18" t="s">
        <v>34</v>
      </c>
      <c r="D6133" s="18" t="s">
        <v>35</v>
      </c>
      <c r="E6133" s="27">
        <v>42565.91916666667</v>
      </c>
      <c r="F6133" s="19">
        <f>IFERROR(__xludf.DUMMYFUNCTION("IFERROR(TO_DATE(E6133), """")"),42565.91916666667)</f>
        <v>42565.91917</v>
      </c>
      <c r="G6133" s="20">
        <f t="shared" si="1"/>
        <v>22</v>
      </c>
      <c r="H6133" s="18" t="s">
        <v>34</v>
      </c>
      <c r="I6133" s="19" t="str">
        <f>IFERROR(__xludf.DUMMYFUNCTION("IFERROR(TO_DATE(H6133), """")"),"NA")</f>
        <v>NA</v>
      </c>
      <c r="J6133" s="19" t="s">
        <v>13</v>
      </c>
      <c r="K6133" s="22">
        <f t="shared" si="2"/>
        <v>0</v>
      </c>
    </row>
    <row r="6134">
      <c r="A6134" s="18">
        <v>5310.0</v>
      </c>
      <c r="B6134" s="18" t="s">
        <v>30</v>
      </c>
      <c r="C6134" s="18" t="s">
        <v>34</v>
      </c>
      <c r="D6134" s="18" t="s">
        <v>35</v>
      </c>
      <c r="E6134" s="27">
        <v>42565.9196875</v>
      </c>
      <c r="F6134" s="19">
        <f>IFERROR(__xludf.DUMMYFUNCTION("IFERROR(TO_DATE(E6134), """")"),42565.9196875)</f>
        <v>42565.91969</v>
      </c>
      <c r="G6134" s="20">
        <f t="shared" si="1"/>
        <v>22</v>
      </c>
      <c r="H6134" s="18" t="s">
        <v>34</v>
      </c>
      <c r="I6134" s="19" t="str">
        <f>IFERROR(__xludf.DUMMYFUNCTION("IFERROR(TO_DATE(H6134), """")"),"NA")</f>
        <v>NA</v>
      </c>
      <c r="J6134" s="19" t="s">
        <v>13</v>
      </c>
      <c r="K6134" s="22">
        <f t="shared" si="2"/>
        <v>0</v>
      </c>
    </row>
    <row r="6135">
      <c r="A6135" s="18">
        <v>5315.0</v>
      </c>
      <c r="B6135" s="18" t="s">
        <v>30</v>
      </c>
      <c r="C6135" s="18" t="s">
        <v>34</v>
      </c>
      <c r="D6135" s="18" t="s">
        <v>35</v>
      </c>
      <c r="E6135" s="27">
        <v>42565.92053240741</v>
      </c>
      <c r="F6135" s="19">
        <f>IFERROR(__xludf.DUMMYFUNCTION("IFERROR(TO_DATE(E6135), """")"),42565.92053240741)</f>
        <v>42565.92053</v>
      </c>
      <c r="G6135" s="20">
        <f t="shared" si="1"/>
        <v>22</v>
      </c>
      <c r="H6135" s="18" t="s">
        <v>34</v>
      </c>
      <c r="I6135" s="19" t="str">
        <f>IFERROR(__xludf.DUMMYFUNCTION("IFERROR(TO_DATE(H6135), """")"),"NA")</f>
        <v>NA</v>
      </c>
      <c r="J6135" s="19" t="s">
        <v>13</v>
      </c>
      <c r="K6135" s="22">
        <f t="shared" si="2"/>
        <v>0</v>
      </c>
    </row>
    <row r="6136">
      <c r="A6136" s="18">
        <v>5314.0</v>
      </c>
      <c r="B6136" s="18" t="s">
        <v>30</v>
      </c>
      <c r="C6136" s="18" t="s">
        <v>34</v>
      </c>
      <c r="D6136" s="18" t="s">
        <v>35</v>
      </c>
      <c r="E6136" s="27">
        <v>42565.92078703704</v>
      </c>
      <c r="F6136" s="19">
        <f>IFERROR(__xludf.DUMMYFUNCTION("IFERROR(TO_DATE(E6136), """")"),42565.92078703704)</f>
        <v>42565.92079</v>
      </c>
      <c r="G6136" s="20">
        <f t="shared" si="1"/>
        <v>22</v>
      </c>
      <c r="H6136" s="18" t="s">
        <v>34</v>
      </c>
      <c r="I6136" s="19" t="str">
        <f>IFERROR(__xludf.DUMMYFUNCTION("IFERROR(TO_DATE(H6136), """")"),"NA")</f>
        <v>NA</v>
      </c>
      <c r="J6136" s="19" t="s">
        <v>13</v>
      </c>
      <c r="K6136" s="22">
        <f t="shared" si="2"/>
        <v>0</v>
      </c>
    </row>
    <row r="6137">
      <c r="A6137" s="18">
        <v>5322.0</v>
      </c>
      <c r="B6137" s="18" t="s">
        <v>30</v>
      </c>
      <c r="C6137" s="18" t="s">
        <v>34</v>
      </c>
      <c r="D6137" s="18" t="s">
        <v>35</v>
      </c>
      <c r="E6137" s="27">
        <v>42565.92109953704</v>
      </c>
      <c r="F6137" s="19">
        <f>IFERROR(__xludf.DUMMYFUNCTION("IFERROR(TO_DATE(E6137), """")"),42565.92109953704)</f>
        <v>42565.9211</v>
      </c>
      <c r="G6137" s="20">
        <f t="shared" si="1"/>
        <v>22</v>
      </c>
      <c r="H6137" s="18" t="s">
        <v>34</v>
      </c>
      <c r="I6137" s="19" t="str">
        <f>IFERROR(__xludf.DUMMYFUNCTION("IFERROR(TO_DATE(H6137), """")"),"NA")</f>
        <v>NA</v>
      </c>
      <c r="J6137" s="19" t="s">
        <v>13</v>
      </c>
      <c r="K6137" s="22">
        <f t="shared" si="2"/>
        <v>0</v>
      </c>
    </row>
    <row r="6138">
      <c r="A6138" s="18">
        <v>5316.0</v>
      </c>
      <c r="B6138" s="18" t="s">
        <v>30</v>
      </c>
      <c r="C6138" s="18" t="s">
        <v>34</v>
      </c>
      <c r="D6138" s="18" t="s">
        <v>35</v>
      </c>
      <c r="E6138" s="27">
        <v>42565.92118055555</v>
      </c>
      <c r="F6138" s="19">
        <f>IFERROR(__xludf.DUMMYFUNCTION("IFERROR(TO_DATE(E6138), """")"),42565.92118055555)</f>
        <v>42565.92118</v>
      </c>
      <c r="G6138" s="20">
        <f t="shared" si="1"/>
        <v>22</v>
      </c>
      <c r="H6138" s="18" t="s">
        <v>34</v>
      </c>
      <c r="I6138" s="19" t="str">
        <f>IFERROR(__xludf.DUMMYFUNCTION("IFERROR(TO_DATE(H6138), """")"),"NA")</f>
        <v>NA</v>
      </c>
      <c r="J6138" s="19" t="s">
        <v>13</v>
      </c>
      <c r="K6138" s="22">
        <f t="shared" si="2"/>
        <v>0</v>
      </c>
    </row>
    <row r="6139">
      <c r="A6139" s="18">
        <v>5319.0</v>
      </c>
      <c r="B6139" s="18" t="s">
        <v>30</v>
      </c>
      <c r="C6139" s="18" t="s">
        <v>34</v>
      </c>
      <c r="D6139" s="18" t="s">
        <v>35</v>
      </c>
      <c r="E6139" s="27">
        <v>42565.92225694445</v>
      </c>
      <c r="F6139" s="19">
        <f>IFERROR(__xludf.DUMMYFUNCTION("IFERROR(TO_DATE(E6139), """")"),42565.92225694445)</f>
        <v>42565.92226</v>
      </c>
      <c r="G6139" s="20">
        <f t="shared" si="1"/>
        <v>22</v>
      </c>
      <c r="H6139" s="18" t="s">
        <v>34</v>
      </c>
      <c r="I6139" s="19" t="str">
        <f>IFERROR(__xludf.DUMMYFUNCTION("IFERROR(TO_DATE(H6139), """")"),"NA")</f>
        <v>NA</v>
      </c>
      <c r="J6139" s="19" t="s">
        <v>13</v>
      </c>
      <c r="K6139" s="22">
        <f t="shared" si="2"/>
        <v>0</v>
      </c>
    </row>
    <row r="6140">
      <c r="A6140" s="18">
        <v>5317.0</v>
      </c>
      <c r="B6140" s="18" t="s">
        <v>30</v>
      </c>
      <c r="C6140" s="18" t="s">
        <v>34</v>
      </c>
      <c r="D6140" s="18" t="s">
        <v>35</v>
      </c>
      <c r="E6140" s="27">
        <v>42565.92340277778</v>
      </c>
      <c r="F6140" s="19">
        <f>IFERROR(__xludf.DUMMYFUNCTION("IFERROR(TO_DATE(E6140), """")"),42565.92340277778)</f>
        <v>42565.9234</v>
      </c>
      <c r="G6140" s="20">
        <f t="shared" si="1"/>
        <v>22</v>
      </c>
      <c r="H6140" s="18" t="s">
        <v>34</v>
      </c>
      <c r="I6140" s="19" t="str">
        <f>IFERROR(__xludf.DUMMYFUNCTION("IFERROR(TO_DATE(H6140), """")"),"NA")</f>
        <v>NA</v>
      </c>
      <c r="J6140" s="19" t="s">
        <v>13</v>
      </c>
      <c r="K6140" s="22">
        <f t="shared" si="2"/>
        <v>0</v>
      </c>
    </row>
    <row r="6141">
      <c r="A6141" s="18">
        <v>5323.0</v>
      </c>
      <c r="B6141" s="18" t="s">
        <v>30</v>
      </c>
      <c r="C6141" s="18" t="s">
        <v>34</v>
      </c>
      <c r="D6141" s="18" t="s">
        <v>35</v>
      </c>
      <c r="E6141" s="27">
        <v>42565.92622685185</v>
      </c>
      <c r="F6141" s="19">
        <f>IFERROR(__xludf.DUMMYFUNCTION("IFERROR(TO_DATE(E6141), """")"),42565.92622685185)</f>
        <v>42565.92623</v>
      </c>
      <c r="G6141" s="20">
        <f t="shared" si="1"/>
        <v>22</v>
      </c>
      <c r="H6141" s="18" t="s">
        <v>34</v>
      </c>
      <c r="I6141" s="19" t="str">
        <f>IFERROR(__xludf.DUMMYFUNCTION("IFERROR(TO_DATE(H6141), """")"),"NA")</f>
        <v>NA</v>
      </c>
      <c r="J6141" s="19" t="s">
        <v>13</v>
      </c>
      <c r="K6141" s="22">
        <f t="shared" si="2"/>
        <v>0</v>
      </c>
    </row>
    <row r="6142">
      <c r="A6142" s="18">
        <v>5320.0</v>
      </c>
      <c r="B6142" s="18" t="s">
        <v>30</v>
      </c>
      <c r="C6142" s="18" t="s">
        <v>34</v>
      </c>
      <c r="D6142" s="18" t="s">
        <v>35</v>
      </c>
      <c r="E6142" s="27">
        <v>42565.92636574074</v>
      </c>
      <c r="F6142" s="19">
        <f>IFERROR(__xludf.DUMMYFUNCTION("IFERROR(TO_DATE(E6142), """")"),42565.92636574074)</f>
        <v>42565.92637</v>
      </c>
      <c r="G6142" s="20">
        <f t="shared" si="1"/>
        <v>22</v>
      </c>
      <c r="H6142" s="18" t="s">
        <v>34</v>
      </c>
      <c r="I6142" s="19" t="str">
        <f>IFERROR(__xludf.DUMMYFUNCTION("IFERROR(TO_DATE(H6142), """")"),"NA")</f>
        <v>NA</v>
      </c>
      <c r="J6142" s="19" t="s">
        <v>13</v>
      </c>
      <c r="K6142" s="22">
        <f t="shared" si="2"/>
        <v>0</v>
      </c>
    </row>
    <row r="6143">
      <c r="A6143" s="18">
        <v>5324.0</v>
      </c>
      <c r="B6143" s="18" t="s">
        <v>30</v>
      </c>
      <c r="C6143" s="18" t="s">
        <v>34</v>
      </c>
      <c r="D6143" s="18" t="s">
        <v>35</v>
      </c>
      <c r="E6143" s="27">
        <v>42565.9269212963</v>
      </c>
      <c r="F6143" s="19">
        <f>IFERROR(__xludf.DUMMYFUNCTION("IFERROR(TO_DATE(E6143), """")"),42565.9269212963)</f>
        <v>42565.92692</v>
      </c>
      <c r="G6143" s="20">
        <f t="shared" si="1"/>
        <v>22</v>
      </c>
      <c r="H6143" s="18" t="s">
        <v>34</v>
      </c>
      <c r="I6143" s="19" t="str">
        <f>IFERROR(__xludf.DUMMYFUNCTION("IFERROR(TO_DATE(H6143), """")"),"NA")</f>
        <v>NA</v>
      </c>
      <c r="J6143" s="19" t="s">
        <v>13</v>
      </c>
      <c r="K6143" s="22">
        <f t="shared" si="2"/>
        <v>0</v>
      </c>
    </row>
    <row r="6144">
      <c r="A6144" s="18">
        <v>5329.0</v>
      </c>
      <c r="B6144" s="18" t="s">
        <v>30</v>
      </c>
      <c r="C6144" s="18" t="s">
        <v>34</v>
      </c>
      <c r="D6144" s="18" t="s">
        <v>35</v>
      </c>
      <c r="E6144" s="27">
        <v>42565.927569444444</v>
      </c>
      <c r="F6144" s="19">
        <f>IFERROR(__xludf.DUMMYFUNCTION("IFERROR(TO_DATE(E6144), """")"),42565.927569444444)</f>
        <v>42565.92757</v>
      </c>
      <c r="G6144" s="20">
        <f t="shared" si="1"/>
        <v>22</v>
      </c>
      <c r="H6144" s="18" t="s">
        <v>34</v>
      </c>
      <c r="I6144" s="19" t="str">
        <f>IFERROR(__xludf.DUMMYFUNCTION("IFERROR(TO_DATE(H6144), """")"),"NA")</f>
        <v>NA</v>
      </c>
      <c r="J6144" s="19" t="s">
        <v>13</v>
      </c>
      <c r="K6144" s="22">
        <f t="shared" si="2"/>
        <v>0</v>
      </c>
    </row>
    <row r="6145">
      <c r="A6145" s="18">
        <v>5330.0</v>
      </c>
      <c r="B6145" s="18" t="s">
        <v>30</v>
      </c>
      <c r="C6145" s="18" t="s">
        <v>34</v>
      </c>
      <c r="D6145" s="18" t="s">
        <v>35</v>
      </c>
      <c r="E6145" s="27">
        <v>42565.93050925926</v>
      </c>
      <c r="F6145" s="19">
        <f>IFERROR(__xludf.DUMMYFUNCTION("IFERROR(TO_DATE(E6145), """")"),42565.93050925926)</f>
        <v>42565.93051</v>
      </c>
      <c r="G6145" s="20">
        <f t="shared" si="1"/>
        <v>22</v>
      </c>
      <c r="H6145" s="18" t="s">
        <v>34</v>
      </c>
      <c r="I6145" s="19" t="str">
        <f>IFERROR(__xludf.DUMMYFUNCTION("IFERROR(TO_DATE(H6145), """")"),"NA")</f>
        <v>NA</v>
      </c>
      <c r="J6145" s="19" t="s">
        <v>13</v>
      </c>
      <c r="K6145" s="22">
        <f t="shared" si="2"/>
        <v>0</v>
      </c>
    </row>
    <row r="6146">
      <c r="A6146" s="18">
        <v>5331.0</v>
      </c>
      <c r="B6146" s="18" t="s">
        <v>30</v>
      </c>
      <c r="C6146" s="18" t="s">
        <v>34</v>
      </c>
      <c r="D6146" s="18" t="s">
        <v>35</v>
      </c>
      <c r="E6146" s="27">
        <v>42565.93090277778</v>
      </c>
      <c r="F6146" s="19">
        <f>IFERROR(__xludf.DUMMYFUNCTION("IFERROR(TO_DATE(E6146), """")"),42565.93090277778)</f>
        <v>42565.9309</v>
      </c>
      <c r="G6146" s="20">
        <f t="shared" si="1"/>
        <v>22</v>
      </c>
      <c r="H6146" s="18" t="s">
        <v>34</v>
      </c>
      <c r="I6146" s="19" t="str">
        <f>IFERROR(__xludf.DUMMYFUNCTION("IFERROR(TO_DATE(H6146), """")"),"NA")</f>
        <v>NA</v>
      </c>
      <c r="J6146" s="19" t="s">
        <v>13</v>
      </c>
      <c r="K6146" s="22">
        <f t="shared" si="2"/>
        <v>0</v>
      </c>
    </row>
    <row r="6147">
      <c r="A6147" s="18">
        <v>5333.0</v>
      </c>
      <c r="B6147" s="18" t="s">
        <v>30</v>
      </c>
      <c r="C6147" s="18" t="s">
        <v>34</v>
      </c>
      <c r="D6147" s="18" t="s">
        <v>35</v>
      </c>
      <c r="E6147" s="27">
        <v>42565.93234953703</v>
      </c>
      <c r="F6147" s="19">
        <f>IFERROR(__xludf.DUMMYFUNCTION("IFERROR(TO_DATE(E6147), """")"),42565.93234953703)</f>
        <v>42565.93235</v>
      </c>
      <c r="G6147" s="20">
        <f t="shared" si="1"/>
        <v>22</v>
      </c>
      <c r="H6147" s="18" t="s">
        <v>34</v>
      </c>
      <c r="I6147" s="19" t="str">
        <f>IFERROR(__xludf.DUMMYFUNCTION("IFERROR(TO_DATE(H6147), """")"),"NA")</f>
        <v>NA</v>
      </c>
      <c r="J6147" s="19" t="s">
        <v>13</v>
      </c>
      <c r="K6147" s="22">
        <f t="shared" si="2"/>
        <v>0</v>
      </c>
    </row>
    <row r="6148">
      <c r="A6148" s="18">
        <v>5332.0</v>
      </c>
      <c r="B6148" s="18" t="s">
        <v>32</v>
      </c>
      <c r="C6148" s="18" t="s">
        <v>34</v>
      </c>
      <c r="D6148" s="18" t="s">
        <v>35</v>
      </c>
      <c r="E6148" s="27">
        <v>42565.93239583333</v>
      </c>
      <c r="F6148" s="19">
        <f>IFERROR(__xludf.DUMMYFUNCTION("IFERROR(TO_DATE(E6148), """")"),42565.93239583333)</f>
        <v>42565.9324</v>
      </c>
      <c r="G6148" s="20">
        <f t="shared" si="1"/>
        <v>22</v>
      </c>
      <c r="H6148" s="18" t="s">
        <v>34</v>
      </c>
      <c r="I6148" s="19" t="str">
        <f>IFERROR(__xludf.DUMMYFUNCTION("IFERROR(TO_DATE(H6148), """")"),"NA")</f>
        <v>NA</v>
      </c>
      <c r="J6148" s="19" t="s">
        <v>13</v>
      </c>
      <c r="K6148" s="22">
        <f t="shared" si="2"/>
        <v>0</v>
      </c>
    </row>
    <row r="6149">
      <c r="A6149" s="18">
        <v>5334.0</v>
      </c>
      <c r="B6149" s="18" t="s">
        <v>32</v>
      </c>
      <c r="C6149" s="18" t="s">
        <v>34</v>
      </c>
      <c r="D6149" s="18" t="s">
        <v>35</v>
      </c>
      <c r="E6149" s="27">
        <v>42565.932662037034</v>
      </c>
      <c r="F6149" s="19">
        <f>IFERROR(__xludf.DUMMYFUNCTION("IFERROR(TO_DATE(E6149), """")"),42565.932662037034)</f>
        <v>42565.93266</v>
      </c>
      <c r="G6149" s="20">
        <f t="shared" si="1"/>
        <v>22</v>
      </c>
      <c r="H6149" s="18" t="s">
        <v>34</v>
      </c>
      <c r="I6149" s="19" t="str">
        <f>IFERROR(__xludf.DUMMYFUNCTION("IFERROR(TO_DATE(H6149), """")"),"NA")</f>
        <v>NA</v>
      </c>
      <c r="J6149" s="19" t="s">
        <v>13</v>
      </c>
      <c r="K6149" s="22">
        <f t="shared" si="2"/>
        <v>0</v>
      </c>
    </row>
    <row r="6150">
      <c r="A6150" s="18">
        <v>5339.0</v>
      </c>
      <c r="B6150" s="18" t="s">
        <v>32</v>
      </c>
      <c r="C6150" s="18" t="s">
        <v>34</v>
      </c>
      <c r="D6150" s="18" t="s">
        <v>35</v>
      </c>
      <c r="E6150" s="27">
        <v>42565.9362962963</v>
      </c>
      <c r="F6150" s="19">
        <f>IFERROR(__xludf.DUMMYFUNCTION("IFERROR(TO_DATE(E6150), """")"),42565.9362962963)</f>
        <v>42565.9363</v>
      </c>
      <c r="G6150" s="20">
        <f t="shared" si="1"/>
        <v>22</v>
      </c>
      <c r="H6150" s="18" t="s">
        <v>34</v>
      </c>
      <c r="I6150" s="19" t="str">
        <f>IFERROR(__xludf.DUMMYFUNCTION("IFERROR(TO_DATE(H6150), """")"),"NA")</f>
        <v>NA</v>
      </c>
      <c r="J6150" s="19" t="s">
        <v>13</v>
      </c>
      <c r="K6150" s="22">
        <f t="shared" si="2"/>
        <v>0</v>
      </c>
    </row>
    <row r="6151">
      <c r="A6151" s="18">
        <v>5343.0</v>
      </c>
      <c r="B6151" s="18" t="s">
        <v>32</v>
      </c>
      <c r="C6151" s="18" t="s">
        <v>34</v>
      </c>
      <c r="D6151" s="18" t="s">
        <v>35</v>
      </c>
      <c r="E6151" s="27">
        <v>42565.9415625</v>
      </c>
      <c r="F6151" s="19">
        <f>IFERROR(__xludf.DUMMYFUNCTION("IFERROR(TO_DATE(E6151), """")"),42565.9415625)</f>
        <v>42565.94156</v>
      </c>
      <c r="G6151" s="20">
        <f t="shared" si="1"/>
        <v>22</v>
      </c>
      <c r="H6151" s="18" t="s">
        <v>34</v>
      </c>
      <c r="I6151" s="19" t="str">
        <f>IFERROR(__xludf.DUMMYFUNCTION("IFERROR(TO_DATE(H6151), """")"),"NA")</f>
        <v>NA</v>
      </c>
      <c r="J6151" s="19" t="s">
        <v>13</v>
      </c>
      <c r="K6151" s="22">
        <f t="shared" si="2"/>
        <v>0</v>
      </c>
    </row>
    <row r="6152">
      <c r="A6152" s="18">
        <v>5346.0</v>
      </c>
      <c r="B6152" s="18" t="s">
        <v>30</v>
      </c>
      <c r="C6152" s="18" t="s">
        <v>34</v>
      </c>
      <c r="D6152" s="18" t="s">
        <v>35</v>
      </c>
      <c r="E6152" s="27">
        <v>42565.949016203704</v>
      </c>
      <c r="F6152" s="19">
        <f>IFERROR(__xludf.DUMMYFUNCTION("IFERROR(TO_DATE(E6152), """")"),42565.949016203704)</f>
        <v>42565.94902</v>
      </c>
      <c r="G6152" s="20">
        <f t="shared" si="1"/>
        <v>22</v>
      </c>
      <c r="H6152" s="18" t="s">
        <v>34</v>
      </c>
      <c r="I6152" s="19" t="str">
        <f>IFERROR(__xludf.DUMMYFUNCTION("IFERROR(TO_DATE(H6152), """")"),"NA")</f>
        <v>NA</v>
      </c>
      <c r="J6152" s="19" t="s">
        <v>13</v>
      </c>
      <c r="K6152" s="22">
        <f t="shared" si="2"/>
        <v>0</v>
      </c>
    </row>
    <row r="6153">
      <c r="A6153" s="18">
        <v>5353.0</v>
      </c>
      <c r="B6153" s="18" t="s">
        <v>30</v>
      </c>
      <c r="C6153" s="18" t="s">
        <v>34</v>
      </c>
      <c r="D6153" s="18" t="s">
        <v>35</v>
      </c>
      <c r="E6153" s="27">
        <v>42565.95427083333</v>
      </c>
      <c r="F6153" s="19">
        <f>IFERROR(__xludf.DUMMYFUNCTION("IFERROR(TO_DATE(E6153), """")"),42565.95427083333)</f>
        <v>42565.95427</v>
      </c>
      <c r="G6153" s="20">
        <f t="shared" si="1"/>
        <v>22</v>
      </c>
      <c r="H6153" s="18" t="s">
        <v>34</v>
      </c>
      <c r="I6153" s="19" t="str">
        <f>IFERROR(__xludf.DUMMYFUNCTION("IFERROR(TO_DATE(H6153), """")"),"NA")</f>
        <v>NA</v>
      </c>
      <c r="J6153" s="19" t="s">
        <v>13</v>
      </c>
      <c r="K6153" s="22">
        <f t="shared" si="2"/>
        <v>0</v>
      </c>
    </row>
    <row r="6154">
      <c r="A6154" s="18">
        <v>5351.0</v>
      </c>
      <c r="B6154" s="18" t="s">
        <v>32</v>
      </c>
      <c r="C6154" s="18" t="s">
        <v>34</v>
      </c>
      <c r="D6154" s="18" t="s">
        <v>35</v>
      </c>
      <c r="E6154" s="27">
        <v>42565.954305555555</v>
      </c>
      <c r="F6154" s="19">
        <f>IFERROR(__xludf.DUMMYFUNCTION("IFERROR(TO_DATE(E6154), """")"),42565.954305555555)</f>
        <v>42565.95431</v>
      </c>
      <c r="G6154" s="20">
        <f t="shared" si="1"/>
        <v>22</v>
      </c>
      <c r="H6154" s="18" t="s">
        <v>34</v>
      </c>
      <c r="I6154" s="19" t="str">
        <f>IFERROR(__xludf.DUMMYFUNCTION("IFERROR(TO_DATE(H6154), """")"),"NA")</f>
        <v>NA</v>
      </c>
      <c r="J6154" s="19" t="s">
        <v>13</v>
      </c>
      <c r="K6154" s="22">
        <f t="shared" si="2"/>
        <v>0</v>
      </c>
    </row>
    <row r="6155">
      <c r="A6155" s="18">
        <v>5356.0</v>
      </c>
      <c r="B6155" s="18" t="s">
        <v>30</v>
      </c>
      <c r="C6155" s="18" t="s">
        <v>34</v>
      </c>
      <c r="D6155" s="18" t="s">
        <v>35</v>
      </c>
      <c r="E6155" s="27">
        <v>42565.963009259256</v>
      </c>
      <c r="F6155" s="19">
        <f>IFERROR(__xludf.DUMMYFUNCTION("IFERROR(TO_DATE(E6155), """")"),42565.963009259256)</f>
        <v>42565.96301</v>
      </c>
      <c r="G6155" s="20">
        <f t="shared" si="1"/>
        <v>23</v>
      </c>
      <c r="H6155" s="18" t="s">
        <v>34</v>
      </c>
      <c r="I6155" s="19" t="str">
        <f>IFERROR(__xludf.DUMMYFUNCTION("IFERROR(TO_DATE(H6155), """")"),"NA")</f>
        <v>NA</v>
      </c>
      <c r="J6155" s="19" t="s">
        <v>13</v>
      </c>
      <c r="K6155" s="22">
        <f t="shared" si="2"/>
        <v>0</v>
      </c>
    </row>
    <row r="6156">
      <c r="A6156" s="18">
        <v>5355.0</v>
      </c>
      <c r="B6156" s="18" t="s">
        <v>32</v>
      </c>
      <c r="C6156" s="18" t="s">
        <v>34</v>
      </c>
      <c r="D6156" s="18" t="s">
        <v>35</v>
      </c>
      <c r="E6156" s="27">
        <v>42565.96533564815</v>
      </c>
      <c r="F6156" s="19">
        <f>IFERROR(__xludf.DUMMYFUNCTION("IFERROR(TO_DATE(E6156), """")"),42565.96533564815)</f>
        <v>42565.96534</v>
      </c>
      <c r="G6156" s="20">
        <f t="shared" si="1"/>
        <v>23</v>
      </c>
      <c r="H6156" s="18" t="s">
        <v>34</v>
      </c>
      <c r="I6156" s="19" t="str">
        <f>IFERROR(__xludf.DUMMYFUNCTION("IFERROR(TO_DATE(H6156), """")"),"NA")</f>
        <v>NA</v>
      </c>
      <c r="J6156" s="19" t="s">
        <v>13</v>
      </c>
      <c r="K6156" s="22">
        <f t="shared" si="2"/>
        <v>0</v>
      </c>
    </row>
    <row r="6157">
      <c r="A6157" s="18">
        <v>5363.0</v>
      </c>
      <c r="B6157" s="18" t="s">
        <v>30</v>
      </c>
      <c r="C6157" s="18" t="s">
        <v>34</v>
      </c>
      <c r="D6157" s="18" t="s">
        <v>35</v>
      </c>
      <c r="E6157" s="27">
        <v>42565.97200231482</v>
      </c>
      <c r="F6157" s="19">
        <f>IFERROR(__xludf.DUMMYFUNCTION("IFERROR(TO_DATE(E6157), """")"),42565.97200231482)</f>
        <v>42565.972</v>
      </c>
      <c r="G6157" s="20">
        <f t="shared" si="1"/>
        <v>23</v>
      </c>
      <c r="H6157" s="18" t="s">
        <v>34</v>
      </c>
      <c r="I6157" s="19" t="str">
        <f>IFERROR(__xludf.DUMMYFUNCTION("IFERROR(TO_DATE(H6157), """")"),"NA")</f>
        <v>NA</v>
      </c>
      <c r="J6157" s="19" t="s">
        <v>13</v>
      </c>
      <c r="K6157" s="22">
        <f t="shared" si="2"/>
        <v>0</v>
      </c>
    </row>
    <row r="6158">
      <c r="A6158" s="18">
        <v>5362.0</v>
      </c>
      <c r="B6158" s="18" t="s">
        <v>30</v>
      </c>
      <c r="C6158" s="18" t="s">
        <v>34</v>
      </c>
      <c r="D6158" s="18" t="s">
        <v>35</v>
      </c>
      <c r="E6158" s="27">
        <v>42565.97388888889</v>
      </c>
      <c r="F6158" s="19">
        <f>IFERROR(__xludf.DUMMYFUNCTION("IFERROR(TO_DATE(E6158), """")"),42565.97388888889)</f>
        <v>42565.97389</v>
      </c>
      <c r="G6158" s="20">
        <f t="shared" si="1"/>
        <v>23</v>
      </c>
      <c r="H6158" s="18" t="s">
        <v>34</v>
      </c>
      <c r="I6158" s="19" t="str">
        <f>IFERROR(__xludf.DUMMYFUNCTION("IFERROR(TO_DATE(H6158), """")"),"NA")</f>
        <v>NA</v>
      </c>
      <c r="J6158" s="19" t="s">
        <v>13</v>
      </c>
      <c r="K6158" s="22">
        <f t="shared" si="2"/>
        <v>0</v>
      </c>
    </row>
    <row r="6159">
      <c r="A6159" s="18">
        <v>5361.0</v>
      </c>
      <c r="B6159" s="18" t="s">
        <v>30</v>
      </c>
      <c r="C6159" s="18" t="s">
        <v>34</v>
      </c>
      <c r="D6159" s="18" t="s">
        <v>35</v>
      </c>
      <c r="E6159" s="27">
        <v>42565.97393518518</v>
      </c>
      <c r="F6159" s="19">
        <f>IFERROR(__xludf.DUMMYFUNCTION("IFERROR(TO_DATE(E6159), """")"),42565.97393518518)</f>
        <v>42565.97394</v>
      </c>
      <c r="G6159" s="20">
        <f t="shared" si="1"/>
        <v>23</v>
      </c>
      <c r="H6159" s="18" t="s">
        <v>34</v>
      </c>
      <c r="I6159" s="19" t="str">
        <f>IFERROR(__xludf.DUMMYFUNCTION("IFERROR(TO_DATE(H6159), """")"),"NA")</f>
        <v>NA</v>
      </c>
      <c r="J6159" s="19" t="s">
        <v>13</v>
      </c>
      <c r="K6159" s="22">
        <f t="shared" si="2"/>
        <v>0</v>
      </c>
    </row>
    <row r="6160">
      <c r="A6160" s="18">
        <v>5365.0</v>
      </c>
      <c r="B6160" s="18" t="s">
        <v>32</v>
      </c>
      <c r="C6160" s="18" t="s">
        <v>34</v>
      </c>
      <c r="D6160" s="18" t="s">
        <v>35</v>
      </c>
      <c r="E6160" s="27">
        <v>42565.9753125</v>
      </c>
      <c r="F6160" s="19">
        <f>IFERROR(__xludf.DUMMYFUNCTION("IFERROR(TO_DATE(E6160), """")"),42565.9753125)</f>
        <v>42565.97531</v>
      </c>
      <c r="G6160" s="20">
        <f t="shared" si="1"/>
        <v>23</v>
      </c>
      <c r="H6160" s="18" t="s">
        <v>34</v>
      </c>
      <c r="I6160" s="19" t="str">
        <f>IFERROR(__xludf.DUMMYFUNCTION("IFERROR(TO_DATE(H6160), """")"),"NA")</f>
        <v>NA</v>
      </c>
      <c r="J6160" s="19" t="s">
        <v>13</v>
      </c>
      <c r="K6160" s="22">
        <f t="shared" si="2"/>
        <v>0</v>
      </c>
    </row>
    <row r="6161">
      <c r="A6161" s="18">
        <v>5372.0</v>
      </c>
      <c r="B6161" s="18" t="s">
        <v>32</v>
      </c>
      <c r="C6161" s="18" t="s">
        <v>34</v>
      </c>
      <c r="D6161" s="18" t="s">
        <v>35</v>
      </c>
      <c r="E6161" s="27">
        <v>42565.984814814816</v>
      </c>
      <c r="F6161" s="19">
        <f>IFERROR(__xludf.DUMMYFUNCTION("IFERROR(TO_DATE(E6161), """")"),42565.984814814816)</f>
        <v>42565.98481</v>
      </c>
      <c r="G6161" s="20">
        <f t="shared" si="1"/>
        <v>23</v>
      </c>
      <c r="H6161" s="18" t="s">
        <v>34</v>
      </c>
      <c r="I6161" s="19" t="str">
        <f>IFERROR(__xludf.DUMMYFUNCTION("IFERROR(TO_DATE(H6161), """")"),"NA")</f>
        <v>NA</v>
      </c>
      <c r="J6161" s="19" t="s">
        <v>13</v>
      </c>
      <c r="K6161" s="22">
        <f t="shared" si="2"/>
        <v>0</v>
      </c>
    </row>
    <row r="6162">
      <c r="A6162" s="18">
        <v>5369.0</v>
      </c>
      <c r="B6162" s="18" t="s">
        <v>30</v>
      </c>
      <c r="C6162" s="18" t="s">
        <v>34</v>
      </c>
      <c r="D6162" s="18" t="s">
        <v>35</v>
      </c>
      <c r="E6162" s="27">
        <v>42565.98596064815</v>
      </c>
      <c r="F6162" s="19">
        <f>IFERROR(__xludf.DUMMYFUNCTION("IFERROR(TO_DATE(E6162), """")"),42565.98596064815)</f>
        <v>42565.98596</v>
      </c>
      <c r="G6162" s="20">
        <f t="shared" si="1"/>
        <v>23</v>
      </c>
      <c r="H6162" s="18" t="s">
        <v>34</v>
      </c>
      <c r="I6162" s="19" t="str">
        <f>IFERROR(__xludf.DUMMYFUNCTION("IFERROR(TO_DATE(H6162), """")"),"NA")</f>
        <v>NA</v>
      </c>
      <c r="J6162" s="19" t="s">
        <v>13</v>
      </c>
      <c r="K6162" s="22">
        <f t="shared" si="2"/>
        <v>0</v>
      </c>
    </row>
    <row r="6163">
      <c r="A6163" s="18">
        <v>5371.0</v>
      </c>
      <c r="B6163" s="18" t="s">
        <v>30</v>
      </c>
      <c r="C6163" s="18" t="s">
        <v>34</v>
      </c>
      <c r="D6163" s="18" t="s">
        <v>35</v>
      </c>
      <c r="E6163" s="27">
        <v>42565.986909722225</v>
      </c>
      <c r="F6163" s="19">
        <f>IFERROR(__xludf.DUMMYFUNCTION("IFERROR(TO_DATE(E6163), """")"),42565.986909722225)</f>
        <v>42565.98691</v>
      </c>
      <c r="G6163" s="20">
        <f t="shared" si="1"/>
        <v>23</v>
      </c>
      <c r="H6163" s="18" t="s">
        <v>34</v>
      </c>
      <c r="I6163" s="19" t="str">
        <f>IFERROR(__xludf.DUMMYFUNCTION("IFERROR(TO_DATE(H6163), """")"),"NA")</f>
        <v>NA</v>
      </c>
      <c r="J6163" s="19" t="s">
        <v>13</v>
      </c>
      <c r="K6163" s="22">
        <f t="shared" si="2"/>
        <v>0</v>
      </c>
    </row>
    <row r="6164">
      <c r="A6164" s="18">
        <v>5375.0</v>
      </c>
      <c r="B6164" s="18" t="s">
        <v>30</v>
      </c>
      <c r="C6164" s="18" t="s">
        <v>34</v>
      </c>
      <c r="D6164" s="18" t="s">
        <v>35</v>
      </c>
      <c r="E6164" s="27">
        <v>42565.9878125</v>
      </c>
      <c r="F6164" s="19">
        <f>IFERROR(__xludf.DUMMYFUNCTION("IFERROR(TO_DATE(E6164), """")"),42565.9878125)</f>
        <v>42565.98781</v>
      </c>
      <c r="G6164" s="20">
        <f t="shared" si="1"/>
        <v>23</v>
      </c>
      <c r="H6164" s="18" t="s">
        <v>34</v>
      </c>
      <c r="I6164" s="19" t="str">
        <f>IFERROR(__xludf.DUMMYFUNCTION("IFERROR(TO_DATE(H6164), """")"),"NA")</f>
        <v>NA</v>
      </c>
      <c r="J6164" s="19" t="s">
        <v>13</v>
      </c>
      <c r="K6164" s="22">
        <f t="shared" si="2"/>
        <v>0</v>
      </c>
    </row>
    <row r="6165">
      <c r="A6165" s="18">
        <v>5376.0</v>
      </c>
      <c r="B6165" s="18" t="s">
        <v>32</v>
      </c>
      <c r="C6165" s="18" t="s">
        <v>34</v>
      </c>
      <c r="D6165" s="18" t="s">
        <v>35</v>
      </c>
      <c r="E6165" s="27">
        <v>42565.988217592596</v>
      </c>
      <c r="F6165" s="19">
        <f>IFERROR(__xludf.DUMMYFUNCTION("IFERROR(TO_DATE(E6165), """")"),42565.988217592596)</f>
        <v>42565.98822</v>
      </c>
      <c r="G6165" s="20">
        <f t="shared" si="1"/>
        <v>23</v>
      </c>
      <c r="H6165" s="18" t="s">
        <v>34</v>
      </c>
      <c r="I6165" s="19" t="str">
        <f>IFERROR(__xludf.DUMMYFUNCTION("IFERROR(TO_DATE(H6165), """")"),"NA")</f>
        <v>NA</v>
      </c>
      <c r="J6165" s="19" t="s">
        <v>13</v>
      </c>
      <c r="K6165" s="22">
        <f t="shared" si="2"/>
        <v>0</v>
      </c>
    </row>
    <row r="6166">
      <c r="A6166" s="18">
        <v>5378.0</v>
      </c>
      <c r="B6166" s="18" t="s">
        <v>30</v>
      </c>
      <c r="C6166" s="18" t="s">
        <v>34</v>
      </c>
      <c r="D6166" s="18" t="s">
        <v>35</v>
      </c>
      <c r="E6166" s="27">
        <v>42565.99451388889</v>
      </c>
      <c r="F6166" s="19">
        <f>IFERROR(__xludf.DUMMYFUNCTION("IFERROR(TO_DATE(E6166), """")"),42565.99451388889)</f>
        <v>42565.99451</v>
      </c>
      <c r="G6166" s="20">
        <f t="shared" si="1"/>
        <v>23</v>
      </c>
      <c r="H6166" s="18" t="s">
        <v>34</v>
      </c>
      <c r="I6166" s="19" t="str">
        <f>IFERROR(__xludf.DUMMYFUNCTION("IFERROR(TO_DATE(H6166), """")"),"NA")</f>
        <v>NA</v>
      </c>
      <c r="J6166" s="19" t="s">
        <v>13</v>
      </c>
      <c r="K6166" s="22">
        <f t="shared" si="2"/>
        <v>0</v>
      </c>
    </row>
    <row r="6167">
      <c r="A6167" s="18">
        <v>6765.0</v>
      </c>
      <c r="B6167" s="18" t="s">
        <v>30</v>
      </c>
      <c r="C6167" s="18" t="s">
        <v>34</v>
      </c>
      <c r="D6167" s="18" t="s">
        <v>35</v>
      </c>
      <c r="E6167" s="27">
        <v>42566.00635416667</v>
      </c>
      <c r="F6167" s="19">
        <f>IFERROR(__xludf.DUMMYFUNCTION("IFERROR(TO_DATE(E6167), """")"),42566.00635416667)</f>
        <v>42566.00635</v>
      </c>
      <c r="G6167" s="20">
        <f t="shared" si="1"/>
        <v>0</v>
      </c>
      <c r="H6167" s="18" t="s">
        <v>34</v>
      </c>
      <c r="I6167" s="19" t="str">
        <f>IFERROR(__xludf.DUMMYFUNCTION("IFERROR(TO_DATE(H6167), """")"),"NA")</f>
        <v>NA</v>
      </c>
      <c r="J6167" s="19" t="s">
        <v>15</v>
      </c>
      <c r="K6167" s="22">
        <f t="shared" si="2"/>
        <v>0</v>
      </c>
    </row>
    <row r="6168">
      <c r="A6168" s="18">
        <v>5388.0</v>
      </c>
      <c r="B6168" s="18" t="s">
        <v>30</v>
      </c>
      <c r="C6168" s="18" t="s">
        <v>34</v>
      </c>
      <c r="D6168" s="18" t="s">
        <v>35</v>
      </c>
      <c r="E6168" s="27">
        <v>42566.01325231481</v>
      </c>
      <c r="F6168" s="19">
        <f>IFERROR(__xludf.DUMMYFUNCTION("IFERROR(TO_DATE(E6168), """")"),42566.01325231481)</f>
        <v>42566.01325</v>
      </c>
      <c r="G6168" s="20">
        <f t="shared" si="1"/>
        <v>0</v>
      </c>
      <c r="H6168" s="18" t="s">
        <v>34</v>
      </c>
      <c r="I6168" s="19" t="str">
        <f>IFERROR(__xludf.DUMMYFUNCTION("IFERROR(TO_DATE(H6168), """")"),"NA")</f>
        <v>NA</v>
      </c>
      <c r="J6168" s="19" t="s">
        <v>15</v>
      </c>
      <c r="K6168" s="22">
        <f t="shared" si="2"/>
        <v>0</v>
      </c>
    </row>
    <row r="6169">
      <c r="A6169" s="18">
        <v>5387.0</v>
      </c>
      <c r="B6169" s="18" t="s">
        <v>32</v>
      </c>
      <c r="C6169" s="18" t="s">
        <v>34</v>
      </c>
      <c r="D6169" s="18" t="s">
        <v>35</v>
      </c>
      <c r="E6169" s="27">
        <v>42566.01380787037</v>
      </c>
      <c r="F6169" s="19">
        <f>IFERROR(__xludf.DUMMYFUNCTION("IFERROR(TO_DATE(E6169), """")"),42566.01380787037)</f>
        <v>42566.01381</v>
      </c>
      <c r="G6169" s="20">
        <f t="shared" si="1"/>
        <v>0</v>
      </c>
      <c r="H6169" s="18" t="s">
        <v>34</v>
      </c>
      <c r="I6169" s="19" t="str">
        <f>IFERROR(__xludf.DUMMYFUNCTION("IFERROR(TO_DATE(H6169), """")"),"NA")</f>
        <v>NA</v>
      </c>
      <c r="J6169" s="19" t="s">
        <v>15</v>
      </c>
      <c r="K6169" s="22">
        <f t="shared" si="2"/>
        <v>0</v>
      </c>
    </row>
    <row r="6170">
      <c r="A6170" s="18">
        <v>5389.0</v>
      </c>
      <c r="B6170" s="18" t="s">
        <v>30</v>
      </c>
      <c r="C6170" s="18" t="s">
        <v>34</v>
      </c>
      <c r="D6170" s="18" t="s">
        <v>35</v>
      </c>
      <c r="E6170" s="27">
        <v>42566.0140625</v>
      </c>
      <c r="F6170" s="19">
        <f>IFERROR(__xludf.DUMMYFUNCTION("IFERROR(TO_DATE(E6170), """")"),42566.0140625)</f>
        <v>42566.01406</v>
      </c>
      <c r="G6170" s="20">
        <f t="shared" si="1"/>
        <v>0</v>
      </c>
      <c r="H6170" s="18" t="s">
        <v>34</v>
      </c>
      <c r="I6170" s="19" t="str">
        <f>IFERROR(__xludf.DUMMYFUNCTION("IFERROR(TO_DATE(H6170), """")"),"NA")</f>
        <v>NA</v>
      </c>
      <c r="J6170" s="19" t="s">
        <v>15</v>
      </c>
      <c r="K6170" s="22">
        <f t="shared" si="2"/>
        <v>0</v>
      </c>
    </row>
    <row r="6171">
      <c r="A6171" s="18">
        <v>5386.0</v>
      </c>
      <c r="B6171" s="18" t="s">
        <v>32</v>
      </c>
      <c r="C6171" s="18" t="s">
        <v>34</v>
      </c>
      <c r="D6171" s="18" t="s">
        <v>35</v>
      </c>
      <c r="E6171" s="27">
        <v>42566.01449074074</v>
      </c>
      <c r="F6171" s="19">
        <f>IFERROR(__xludf.DUMMYFUNCTION("IFERROR(TO_DATE(E6171), """")"),42566.01449074074)</f>
        <v>42566.01449</v>
      </c>
      <c r="G6171" s="20">
        <f t="shared" si="1"/>
        <v>0</v>
      </c>
      <c r="H6171" s="18" t="s">
        <v>34</v>
      </c>
      <c r="I6171" s="19" t="str">
        <f>IFERROR(__xludf.DUMMYFUNCTION("IFERROR(TO_DATE(H6171), """")"),"NA")</f>
        <v>NA</v>
      </c>
      <c r="J6171" s="19" t="s">
        <v>15</v>
      </c>
      <c r="K6171" s="22">
        <f t="shared" si="2"/>
        <v>0</v>
      </c>
    </row>
    <row r="6172">
      <c r="A6172" s="18">
        <v>5390.0</v>
      </c>
      <c r="B6172" s="18" t="s">
        <v>30</v>
      </c>
      <c r="C6172" s="18" t="s">
        <v>34</v>
      </c>
      <c r="D6172" s="18" t="s">
        <v>35</v>
      </c>
      <c r="E6172" s="27">
        <v>42566.018472222226</v>
      </c>
      <c r="F6172" s="19">
        <f>IFERROR(__xludf.DUMMYFUNCTION("IFERROR(TO_DATE(E6172), """")"),42566.018472222226)</f>
        <v>42566.01847</v>
      </c>
      <c r="G6172" s="20">
        <f t="shared" si="1"/>
        <v>0</v>
      </c>
      <c r="H6172" s="18" t="s">
        <v>34</v>
      </c>
      <c r="I6172" s="19" t="str">
        <f>IFERROR(__xludf.DUMMYFUNCTION("IFERROR(TO_DATE(H6172), """")"),"NA")</f>
        <v>NA</v>
      </c>
      <c r="J6172" s="19" t="s">
        <v>15</v>
      </c>
      <c r="K6172" s="22">
        <f t="shared" si="2"/>
        <v>0</v>
      </c>
    </row>
    <row r="6173">
      <c r="A6173" s="18">
        <v>5391.0</v>
      </c>
      <c r="B6173" s="18" t="s">
        <v>32</v>
      </c>
      <c r="C6173" s="18" t="s">
        <v>34</v>
      </c>
      <c r="D6173" s="18" t="s">
        <v>35</v>
      </c>
      <c r="E6173" s="27">
        <v>42566.01850694444</v>
      </c>
      <c r="F6173" s="19">
        <f>IFERROR(__xludf.DUMMYFUNCTION("IFERROR(TO_DATE(E6173), """")"),42566.01850694444)</f>
        <v>42566.01851</v>
      </c>
      <c r="G6173" s="20">
        <f t="shared" si="1"/>
        <v>0</v>
      </c>
      <c r="H6173" s="18" t="s">
        <v>34</v>
      </c>
      <c r="I6173" s="19" t="str">
        <f>IFERROR(__xludf.DUMMYFUNCTION("IFERROR(TO_DATE(H6173), """")"),"NA")</f>
        <v>NA</v>
      </c>
      <c r="J6173" s="19" t="s">
        <v>15</v>
      </c>
      <c r="K6173" s="22">
        <f t="shared" si="2"/>
        <v>0</v>
      </c>
    </row>
    <row r="6174">
      <c r="A6174" s="18">
        <v>5393.0</v>
      </c>
      <c r="B6174" s="18" t="s">
        <v>30</v>
      </c>
      <c r="C6174" s="18" t="s">
        <v>34</v>
      </c>
      <c r="D6174" s="18" t="s">
        <v>35</v>
      </c>
      <c r="E6174" s="27">
        <v>42566.02123842593</v>
      </c>
      <c r="F6174" s="19">
        <f>IFERROR(__xludf.DUMMYFUNCTION("IFERROR(TO_DATE(E6174), """")"),42566.02123842593)</f>
        <v>42566.02124</v>
      </c>
      <c r="G6174" s="20">
        <f t="shared" si="1"/>
        <v>0</v>
      </c>
      <c r="H6174" s="18" t="s">
        <v>34</v>
      </c>
      <c r="I6174" s="19" t="str">
        <f>IFERROR(__xludf.DUMMYFUNCTION("IFERROR(TO_DATE(H6174), """")"),"NA")</f>
        <v>NA</v>
      </c>
      <c r="J6174" s="19" t="s">
        <v>15</v>
      </c>
      <c r="K6174" s="22">
        <f t="shared" si="2"/>
        <v>0</v>
      </c>
    </row>
    <row r="6175">
      <c r="A6175" s="18">
        <v>5397.0</v>
      </c>
      <c r="B6175" s="18" t="s">
        <v>32</v>
      </c>
      <c r="C6175" s="18" t="s">
        <v>34</v>
      </c>
      <c r="D6175" s="18" t="s">
        <v>35</v>
      </c>
      <c r="E6175" s="27">
        <v>42566.03612268518</v>
      </c>
      <c r="F6175" s="19">
        <f>IFERROR(__xludf.DUMMYFUNCTION("IFERROR(TO_DATE(E6175), """")"),42566.03612268518)</f>
        <v>42566.03612</v>
      </c>
      <c r="G6175" s="20">
        <f t="shared" si="1"/>
        <v>0</v>
      </c>
      <c r="H6175" s="18" t="s">
        <v>34</v>
      </c>
      <c r="I6175" s="19" t="str">
        <f>IFERROR(__xludf.DUMMYFUNCTION("IFERROR(TO_DATE(H6175), """")"),"NA")</f>
        <v>NA</v>
      </c>
      <c r="J6175" s="19" t="s">
        <v>15</v>
      </c>
      <c r="K6175" s="22">
        <f t="shared" si="2"/>
        <v>0</v>
      </c>
    </row>
    <row r="6176">
      <c r="A6176" s="18">
        <v>5395.0</v>
      </c>
      <c r="B6176" s="18" t="s">
        <v>30</v>
      </c>
      <c r="C6176" s="18" t="s">
        <v>34</v>
      </c>
      <c r="D6176" s="18" t="s">
        <v>35</v>
      </c>
      <c r="E6176" s="27">
        <v>42566.03681712963</v>
      </c>
      <c r="F6176" s="19">
        <f>IFERROR(__xludf.DUMMYFUNCTION("IFERROR(TO_DATE(E6176), """")"),42566.03681712963)</f>
        <v>42566.03682</v>
      </c>
      <c r="G6176" s="20">
        <f t="shared" si="1"/>
        <v>0</v>
      </c>
      <c r="H6176" s="18" t="s">
        <v>34</v>
      </c>
      <c r="I6176" s="19" t="str">
        <f>IFERROR(__xludf.DUMMYFUNCTION("IFERROR(TO_DATE(H6176), """")"),"NA")</f>
        <v>NA</v>
      </c>
      <c r="J6176" s="19" t="s">
        <v>15</v>
      </c>
      <c r="K6176" s="22">
        <f t="shared" si="2"/>
        <v>0</v>
      </c>
    </row>
    <row r="6177">
      <c r="A6177" s="18">
        <v>5398.0</v>
      </c>
      <c r="B6177" s="18" t="s">
        <v>32</v>
      </c>
      <c r="C6177" s="18" t="s">
        <v>34</v>
      </c>
      <c r="D6177" s="18" t="s">
        <v>35</v>
      </c>
      <c r="E6177" s="27">
        <v>42566.043229166666</v>
      </c>
      <c r="F6177" s="19">
        <f>IFERROR(__xludf.DUMMYFUNCTION("IFERROR(TO_DATE(E6177), """")"),42566.043229166666)</f>
        <v>42566.04323</v>
      </c>
      <c r="G6177" s="20">
        <f t="shared" si="1"/>
        <v>1</v>
      </c>
      <c r="H6177" s="18" t="s">
        <v>34</v>
      </c>
      <c r="I6177" s="19" t="str">
        <f>IFERROR(__xludf.DUMMYFUNCTION("IFERROR(TO_DATE(H6177), """")"),"NA")</f>
        <v>NA</v>
      </c>
      <c r="J6177" s="19" t="s">
        <v>15</v>
      </c>
      <c r="K6177" s="22">
        <f t="shared" si="2"/>
        <v>0</v>
      </c>
    </row>
    <row r="6178">
      <c r="A6178" s="18">
        <v>5401.0</v>
      </c>
      <c r="B6178" s="18" t="s">
        <v>32</v>
      </c>
      <c r="C6178" s="18" t="s">
        <v>34</v>
      </c>
      <c r="D6178" s="18" t="s">
        <v>35</v>
      </c>
      <c r="E6178" s="27">
        <v>42566.04476851852</v>
      </c>
      <c r="F6178" s="19">
        <f>IFERROR(__xludf.DUMMYFUNCTION("IFERROR(TO_DATE(E6178), """")"),42566.04476851852)</f>
        <v>42566.04477</v>
      </c>
      <c r="G6178" s="20">
        <f t="shared" si="1"/>
        <v>1</v>
      </c>
      <c r="H6178" s="18" t="s">
        <v>34</v>
      </c>
      <c r="I6178" s="19" t="str">
        <f>IFERROR(__xludf.DUMMYFUNCTION("IFERROR(TO_DATE(H6178), """")"),"NA")</f>
        <v>NA</v>
      </c>
      <c r="J6178" s="19" t="s">
        <v>15</v>
      </c>
      <c r="K6178" s="22">
        <f t="shared" si="2"/>
        <v>0</v>
      </c>
    </row>
    <row r="6179">
      <c r="A6179" s="18">
        <v>5403.0</v>
      </c>
      <c r="B6179" s="18" t="s">
        <v>30</v>
      </c>
      <c r="C6179" s="18" t="s">
        <v>34</v>
      </c>
      <c r="D6179" s="18" t="s">
        <v>35</v>
      </c>
      <c r="E6179" s="27">
        <v>42566.05138888889</v>
      </c>
      <c r="F6179" s="19">
        <f>IFERROR(__xludf.DUMMYFUNCTION("IFERROR(TO_DATE(E6179), """")"),42566.05138888889)</f>
        <v>42566.05139</v>
      </c>
      <c r="G6179" s="20">
        <f t="shared" si="1"/>
        <v>1</v>
      </c>
      <c r="H6179" s="18" t="s">
        <v>34</v>
      </c>
      <c r="I6179" s="19" t="str">
        <f>IFERROR(__xludf.DUMMYFUNCTION("IFERROR(TO_DATE(H6179), """")"),"NA")</f>
        <v>NA</v>
      </c>
      <c r="J6179" s="19" t="s">
        <v>15</v>
      </c>
      <c r="K6179" s="22">
        <f t="shared" si="2"/>
        <v>0</v>
      </c>
    </row>
    <row r="6180">
      <c r="A6180" s="18">
        <v>5405.0</v>
      </c>
      <c r="B6180" s="18" t="s">
        <v>30</v>
      </c>
      <c r="C6180" s="18" t="s">
        <v>34</v>
      </c>
      <c r="D6180" s="18" t="s">
        <v>35</v>
      </c>
      <c r="E6180" s="27">
        <v>42566.05606481482</v>
      </c>
      <c r="F6180" s="19">
        <f>IFERROR(__xludf.DUMMYFUNCTION("IFERROR(TO_DATE(E6180), """")"),42566.05606481482)</f>
        <v>42566.05606</v>
      </c>
      <c r="G6180" s="20">
        <f t="shared" si="1"/>
        <v>1</v>
      </c>
      <c r="H6180" s="18" t="s">
        <v>34</v>
      </c>
      <c r="I6180" s="19" t="str">
        <f>IFERROR(__xludf.DUMMYFUNCTION("IFERROR(TO_DATE(H6180), """")"),"NA")</f>
        <v>NA</v>
      </c>
      <c r="J6180" s="19" t="s">
        <v>15</v>
      </c>
      <c r="K6180" s="22">
        <f t="shared" si="2"/>
        <v>0</v>
      </c>
    </row>
    <row r="6181">
      <c r="A6181" s="18">
        <v>5406.0</v>
      </c>
      <c r="B6181" s="18" t="s">
        <v>32</v>
      </c>
      <c r="C6181" s="18" t="s">
        <v>34</v>
      </c>
      <c r="D6181" s="18" t="s">
        <v>35</v>
      </c>
      <c r="E6181" s="27">
        <v>42566.060960648145</v>
      </c>
      <c r="F6181" s="19">
        <f>IFERROR(__xludf.DUMMYFUNCTION("IFERROR(TO_DATE(E6181), """")"),42566.060960648145)</f>
        <v>42566.06096</v>
      </c>
      <c r="G6181" s="20">
        <f t="shared" si="1"/>
        <v>1</v>
      </c>
      <c r="H6181" s="18" t="s">
        <v>34</v>
      </c>
      <c r="I6181" s="19" t="str">
        <f>IFERROR(__xludf.DUMMYFUNCTION("IFERROR(TO_DATE(H6181), """")"),"NA")</f>
        <v>NA</v>
      </c>
      <c r="J6181" s="19" t="s">
        <v>15</v>
      </c>
      <c r="K6181" s="22">
        <f t="shared" si="2"/>
        <v>0</v>
      </c>
    </row>
    <row r="6182">
      <c r="A6182" s="18">
        <v>5407.0</v>
      </c>
      <c r="B6182" s="18" t="s">
        <v>30</v>
      </c>
      <c r="C6182" s="18" t="s">
        <v>34</v>
      </c>
      <c r="D6182" s="18" t="s">
        <v>35</v>
      </c>
      <c r="E6182" s="27">
        <v>42566.06358796296</v>
      </c>
      <c r="F6182" s="19">
        <f>IFERROR(__xludf.DUMMYFUNCTION("IFERROR(TO_DATE(E6182), """")"),42566.06358796296)</f>
        <v>42566.06359</v>
      </c>
      <c r="G6182" s="20">
        <f t="shared" si="1"/>
        <v>1</v>
      </c>
      <c r="H6182" s="18" t="s">
        <v>34</v>
      </c>
      <c r="I6182" s="19" t="str">
        <f>IFERROR(__xludf.DUMMYFUNCTION("IFERROR(TO_DATE(H6182), """")"),"NA")</f>
        <v>NA</v>
      </c>
      <c r="J6182" s="19" t="s">
        <v>15</v>
      </c>
      <c r="K6182" s="22">
        <f t="shared" si="2"/>
        <v>0</v>
      </c>
    </row>
    <row r="6183">
      <c r="A6183" s="18">
        <v>5408.0</v>
      </c>
      <c r="B6183" s="18" t="s">
        <v>32</v>
      </c>
      <c r="C6183" s="18" t="s">
        <v>34</v>
      </c>
      <c r="D6183" s="18" t="s">
        <v>35</v>
      </c>
      <c r="E6183" s="27">
        <v>42566.06737268518</v>
      </c>
      <c r="F6183" s="19">
        <f>IFERROR(__xludf.DUMMYFUNCTION("IFERROR(TO_DATE(E6183), """")"),42566.06737268518)</f>
        <v>42566.06737</v>
      </c>
      <c r="G6183" s="20">
        <f t="shared" si="1"/>
        <v>1</v>
      </c>
      <c r="H6183" s="18" t="s">
        <v>34</v>
      </c>
      <c r="I6183" s="19" t="str">
        <f>IFERROR(__xludf.DUMMYFUNCTION("IFERROR(TO_DATE(H6183), """")"),"NA")</f>
        <v>NA</v>
      </c>
      <c r="J6183" s="19" t="s">
        <v>15</v>
      </c>
      <c r="K6183" s="22">
        <f t="shared" si="2"/>
        <v>0</v>
      </c>
    </row>
    <row r="6184">
      <c r="A6184" s="18">
        <v>5411.0</v>
      </c>
      <c r="B6184" s="18" t="s">
        <v>30</v>
      </c>
      <c r="C6184" s="18" t="s">
        <v>34</v>
      </c>
      <c r="D6184" s="18" t="s">
        <v>35</v>
      </c>
      <c r="E6184" s="27">
        <v>42566.07165509259</v>
      </c>
      <c r="F6184" s="19">
        <f>IFERROR(__xludf.DUMMYFUNCTION("IFERROR(TO_DATE(E6184), """")"),42566.07165509259)</f>
        <v>42566.07166</v>
      </c>
      <c r="G6184" s="20">
        <f t="shared" si="1"/>
        <v>1</v>
      </c>
      <c r="H6184" s="18" t="s">
        <v>34</v>
      </c>
      <c r="I6184" s="19" t="str">
        <f>IFERROR(__xludf.DUMMYFUNCTION("IFERROR(TO_DATE(H6184), """")"),"NA")</f>
        <v>NA</v>
      </c>
      <c r="J6184" s="19" t="s">
        <v>15</v>
      </c>
      <c r="K6184" s="22">
        <f t="shared" si="2"/>
        <v>0</v>
      </c>
    </row>
    <row r="6185">
      <c r="A6185" s="18">
        <v>5412.0</v>
      </c>
      <c r="B6185" s="18" t="s">
        <v>30</v>
      </c>
      <c r="C6185" s="18" t="s">
        <v>34</v>
      </c>
      <c r="D6185" s="18" t="s">
        <v>35</v>
      </c>
      <c r="E6185" s="27">
        <v>42566.07576388889</v>
      </c>
      <c r="F6185" s="19">
        <f>IFERROR(__xludf.DUMMYFUNCTION("IFERROR(TO_DATE(E6185), """")"),42566.07576388889)</f>
        <v>42566.07576</v>
      </c>
      <c r="G6185" s="20">
        <f t="shared" si="1"/>
        <v>1</v>
      </c>
      <c r="H6185" s="18" t="s">
        <v>34</v>
      </c>
      <c r="I6185" s="19" t="str">
        <f>IFERROR(__xludf.DUMMYFUNCTION("IFERROR(TO_DATE(H6185), """")"),"NA")</f>
        <v>NA</v>
      </c>
      <c r="J6185" s="19" t="s">
        <v>15</v>
      </c>
      <c r="K6185" s="22">
        <f t="shared" si="2"/>
        <v>0</v>
      </c>
    </row>
    <row r="6186">
      <c r="A6186" s="18">
        <v>5413.0</v>
      </c>
      <c r="B6186" s="18" t="s">
        <v>30</v>
      </c>
      <c r="C6186" s="18" t="s">
        <v>34</v>
      </c>
      <c r="D6186" s="18" t="s">
        <v>35</v>
      </c>
      <c r="E6186" s="27">
        <v>42566.076527777775</v>
      </c>
      <c r="F6186" s="19">
        <f>IFERROR(__xludf.DUMMYFUNCTION("IFERROR(TO_DATE(E6186), """")"),42566.076527777775)</f>
        <v>42566.07653</v>
      </c>
      <c r="G6186" s="20">
        <f t="shared" si="1"/>
        <v>1</v>
      </c>
      <c r="H6186" s="18" t="s">
        <v>34</v>
      </c>
      <c r="I6186" s="19" t="str">
        <f>IFERROR(__xludf.DUMMYFUNCTION("IFERROR(TO_DATE(H6186), """")"),"NA")</f>
        <v>NA</v>
      </c>
      <c r="J6186" s="19" t="s">
        <v>15</v>
      </c>
      <c r="K6186" s="22">
        <f t="shared" si="2"/>
        <v>0</v>
      </c>
    </row>
    <row r="6187">
      <c r="A6187" s="18">
        <v>5414.0</v>
      </c>
      <c r="B6187" s="18" t="s">
        <v>30</v>
      </c>
      <c r="C6187" s="18" t="s">
        <v>34</v>
      </c>
      <c r="D6187" s="18" t="s">
        <v>35</v>
      </c>
      <c r="E6187" s="27">
        <v>42566.07717592592</v>
      </c>
      <c r="F6187" s="19">
        <f>IFERROR(__xludf.DUMMYFUNCTION("IFERROR(TO_DATE(E6187), """")"),42566.07717592592)</f>
        <v>42566.07718</v>
      </c>
      <c r="G6187" s="20">
        <f t="shared" si="1"/>
        <v>1</v>
      </c>
      <c r="H6187" s="18" t="s">
        <v>34</v>
      </c>
      <c r="I6187" s="19" t="str">
        <f>IFERROR(__xludf.DUMMYFUNCTION("IFERROR(TO_DATE(H6187), """")"),"NA")</f>
        <v>NA</v>
      </c>
      <c r="J6187" s="19" t="s">
        <v>15</v>
      </c>
      <c r="K6187" s="22">
        <f t="shared" si="2"/>
        <v>0</v>
      </c>
    </row>
    <row r="6188">
      <c r="A6188" s="18">
        <v>5415.0</v>
      </c>
      <c r="B6188" s="18" t="s">
        <v>32</v>
      </c>
      <c r="C6188" s="18" t="s">
        <v>34</v>
      </c>
      <c r="D6188" s="18" t="s">
        <v>35</v>
      </c>
      <c r="E6188" s="27">
        <v>42566.07728009259</v>
      </c>
      <c r="F6188" s="19">
        <f>IFERROR(__xludf.DUMMYFUNCTION("IFERROR(TO_DATE(E6188), """")"),42566.07728009259)</f>
        <v>42566.07728</v>
      </c>
      <c r="G6188" s="20">
        <f t="shared" si="1"/>
        <v>1</v>
      </c>
      <c r="H6188" s="18" t="s">
        <v>34</v>
      </c>
      <c r="I6188" s="19" t="str">
        <f>IFERROR(__xludf.DUMMYFUNCTION("IFERROR(TO_DATE(H6188), """")"),"NA")</f>
        <v>NA</v>
      </c>
      <c r="J6188" s="19" t="s">
        <v>15</v>
      </c>
      <c r="K6188" s="22">
        <f t="shared" si="2"/>
        <v>0</v>
      </c>
    </row>
    <row r="6189">
      <c r="A6189" s="18">
        <v>5416.0</v>
      </c>
      <c r="B6189" s="18" t="s">
        <v>32</v>
      </c>
      <c r="C6189" s="18" t="s">
        <v>34</v>
      </c>
      <c r="D6189" s="18" t="s">
        <v>35</v>
      </c>
      <c r="E6189" s="27">
        <v>42566.0787037037</v>
      </c>
      <c r="F6189" s="19">
        <f>IFERROR(__xludf.DUMMYFUNCTION("IFERROR(TO_DATE(E6189), """")"),42566.0787037037)</f>
        <v>42566.0787</v>
      </c>
      <c r="G6189" s="20">
        <f t="shared" si="1"/>
        <v>1</v>
      </c>
      <c r="H6189" s="18" t="s">
        <v>34</v>
      </c>
      <c r="I6189" s="19" t="str">
        <f>IFERROR(__xludf.DUMMYFUNCTION("IFERROR(TO_DATE(H6189), """")"),"NA")</f>
        <v>NA</v>
      </c>
      <c r="J6189" s="19" t="s">
        <v>15</v>
      </c>
      <c r="K6189" s="22">
        <f t="shared" si="2"/>
        <v>0</v>
      </c>
    </row>
    <row r="6190">
      <c r="A6190" s="18">
        <v>5417.0</v>
      </c>
      <c r="B6190" s="18" t="s">
        <v>30</v>
      </c>
      <c r="C6190" s="18" t="s">
        <v>34</v>
      </c>
      <c r="D6190" s="18" t="s">
        <v>35</v>
      </c>
      <c r="E6190" s="27">
        <v>42566.08283564815</v>
      </c>
      <c r="F6190" s="19">
        <f>IFERROR(__xludf.DUMMYFUNCTION("IFERROR(TO_DATE(E6190), """")"),42566.08283564815)</f>
        <v>42566.08284</v>
      </c>
      <c r="G6190" s="20">
        <f t="shared" si="1"/>
        <v>1</v>
      </c>
      <c r="H6190" s="18" t="s">
        <v>34</v>
      </c>
      <c r="I6190" s="19" t="str">
        <f>IFERROR(__xludf.DUMMYFUNCTION("IFERROR(TO_DATE(H6190), """")"),"NA")</f>
        <v>NA</v>
      </c>
      <c r="J6190" s="19" t="s">
        <v>15</v>
      </c>
      <c r="K6190" s="22">
        <f t="shared" si="2"/>
        <v>0</v>
      </c>
    </row>
    <row r="6191">
      <c r="A6191" s="18">
        <v>5420.0</v>
      </c>
      <c r="B6191" s="18" t="s">
        <v>30</v>
      </c>
      <c r="C6191" s="18" t="s">
        <v>34</v>
      </c>
      <c r="D6191" s="18" t="s">
        <v>35</v>
      </c>
      <c r="E6191" s="27">
        <v>42566.08975694444</v>
      </c>
      <c r="F6191" s="19">
        <f>IFERROR(__xludf.DUMMYFUNCTION("IFERROR(TO_DATE(E6191), """")"),42566.08975694444)</f>
        <v>42566.08976</v>
      </c>
      <c r="G6191" s="20">
        <f t="shared" si="1"/>
        <v>2</v>
      </c>
      <c r="H6191" s="18" t="s">
        <v>34</v>
      </c>
      <c r="I6191" s="19" t="str">
        <f>IFERROR(__xludf.DUMMYFUNCTION("IFERROR(TO_DATE(H6191), """")"),"NA")</f>
        <v>NA</v>
      </c>
      <c r="J6191" s="19" t="s">
        <v>15</v>
      </c>
      <c r="K6191" s="22">
        <f t="shared" si="2"/>
        <v>0</v>
      </c>
    </row>
    <row r="6192">
      <c r="A6192" s="18">
        <v>5427.0</v>
      </c>
      <c r="B6192" s="18" t="s">
        <v>32</v>
      </c>
      <c r="C6192" s="18" t="s">
        <v>34</v>
      </c>
      <c r="D6192" s="18" t="s">
        <v>35</v>
      </c>
      <c r="E6192" s="27">
        <v>42566.0975</v>
      </c>
      <c r="F6192" s="19">
        <f>IFERROR(__xludf.DUMMYFUNCTION("IFERROR(TO_DATE(E6192), """")"),42566.0975)</f>
        <v>42566.0975</v>
      </c>
      <c r="G6192" s="20">
        <f t="shared" si="1"/>
        <v>2</v>
      </c>
      <c r="H6192" s="18" t="s">
        <v>34</v>
      </c>
      <c r="I6192" s="19" t="str">
        <f>IFERROR(__xludf.DUMMYFUNCTION("IFERROR(TO_DATE(H6192), """")"),"NA")</f>
        <v>NA</v>
      </c>
      <c r="J6192" s="19" t="s">
        <v>15</v>
      </c>
      <c r="K6192" s="22">
        <f t="shared" si="2"/>
        <v>0</v>
      </c>
    </row>
    <row r="6193">
      <c r="A6193" s="18">
        <v>5426.0</v>
      </c>
      <c r="B6193" s="18" t="s">
        <v>30</v>
      </c>
      <c r="C6193" s="18" t="s">
        <v>34</v>
      </c>
      <c r="D6193" s="18" t="s">
        <v>35</v>
      </c>
      <c r="E6193" s="27">
        <v>42566.09898148148</v>
      </c>
      <c r="F6193" s="19">
        <f>IFERROR(__xludf.DUMMYFUNCTION("IFERROR(TO_DATE(E6193), """")"),42566.09898148148)</f>
        <v>42566.09898</v>
      </c>
      <c r="G6193" s="20">
        <f t="shared" si="1"/>
        <v>2</v>
      </c>
      <c r="H6193" s="18" t="s">
        <v>34</v>
      </c>
      <c r="I6193" s="19" t="str">
        <f>IFERROR(__xludf.DUMMYFUNCTION("IFERROR(TO_DATE(H6193), """")"),"NA")</f>
        <v>NA</v>
      </c>
      <c r="J6193" s="19" t="s">
        <v>15</v>
      </c>
      <c r="K6193" s="22">
        <f t="shared" si="2"/>
        <v>0</v>
      </c>
    </row>
    <row r="6194">
      <c r="A6194" s="18">
        <v>5429.0</v>
      </c>
      <c r="B6194" s="18" t="s">
        <v>30</v>
      </c>
      <c r="C6194" s="18" t="s">
        <v>34</v>
      </c>
      <c r="D6194" s="18" t="s">
        <v>35</v>
      </c>
      <c r="E6194" s="27">
        <v>42566.11023148148</v>
      </c>
      <c r="F6194" s="19">
        <f>IFERROR(__xludf.DUMMYFUNCTION("IFERROR(TO_DATE(E6194), """")"),42566.11023148148)</f>
        <v>42566.11023</v>
      </c>
      <c r="G6194" s="20">
        <f t="shared" si="1"/>
        <v>2</v>
      </c>
      <c r="H6194" s="18" t="s">
        <v>34</v>
      </c>
      <c r="I6194" s="19" t="str">
        <f>IFERROR(__xludf.DUMMYFUNCTION("IFERROR(TO_DATE(H6194), """")"),"NA")</f>
        <v>NA</v>
      </c>
      <c r="J6194" s="19" t="s">
        <v>15</v>
      </c>
      <c r="K6194" s="22">
        <f t="shared" si="2"/>
        <v>0</v>
      </c>
    </row>
    <row r="6195">
      <c r="A6195" s="18">
        <v>5433.0</v>
      </c>
      <c r="B6195" s="18" t="s">
        <v>32</v>
      </c>
      <c r="C6195" s="18" t="s">
        <v>34</v>
      </c>
      <c r="D6195" s="18" t="s">
        <v>35</v>
      </c>
      <c r="E6195" s="27">
        <v>42566.1121412037</v>
      </c>
      <c r="F6195" s="19">
        <f>IFERROR(__xludf.DUMMYFUNCTION("IFERROR(TO_DATE(E6195), """")"),42566.1121412037)</f>
        <v>42566.11214</v>
      </c>
      <c r="G6195" s="20">
        <f t="shared" si="1"/>
        <v>2</v>
      </c>
      <c r="H6195" s="18" t="s">
        <v>34</v>
      </c>
      <c r="I6195" s="19" t="str">
        <f>IFERROR(__xludf.DUMMYFUNCTION("IFERROR(TO_DATE(H6195), """")"),"NA")</f>
        <v>NA</v>
      </c>
      <c r="J6195" s="19" t="s">
        <v>15</v>
      </c>
      <c r="K6195" s="22">
        <f t="shared" si="2"/>
        <v>0</v>
      </c>
    </row>
    <row r="6196">
      <c r="A6196" s="18">
        <v>5432.0</v>
      </c>
      <c r="B6196" s="18" t="s">
        <v>30</v>
      </c>
      <c r="C6196" s="18" t="s">
        <v>34</v>
      </c>
      <c r="D6196" s="18" t="s">
        <v>35</v>
      </c>
      <c r="E6196" s="27">
        <v>42566.11309027778</v>
      </c>
      <c r="F6196" s="19">
        <f>IFERROR(__xludf.DUMMYFUNCTION("IFERROR(TO_DATE(E6196), """")"),42566.11309027778)</f>
        <v>42566.11309</v>
      </c>
      <c r="G6196" s="20">
        <f t="shared" si="1"/>
        <v>2</v>
      </c>
      <c r="H6196" s="18" t="s">
        <v>34</v>
      </c>
      <c r="I6196" s="19" t="str">
        <f>IFERROR(__xludf.DUMMYFUNCTION("IFERROR(TO_DATE(H6196), """")"),"NA")</f>
        <v>NA</v>
      </c>
      <c r="J6196" s="19" t="s">
        <v>15</v>
      </c>
      <c r="K6196" s="22">
        <f t="shared" si="2"/>
        <v>0</v>
      </c>
    </row>
    <row r="6197">
      <c r="A6197" s="18">
        <v>5438.0</v>
      </c>
      <c r="B6197" s="18" t="s">
        <v>32</v>
      </c>
      <c r="C6197" s="18" t="s">
        <v>34</v>
      </c>
      <c r="D6197" s="18" t="s">
        <v>35</v>
      </c>
      <c r="E6197" s="27">
        <v>42566.12472222222</v>
      </c>
      <c r="F6197" s="19">
        <f>IFERROR(__xludf.DUMMYFUNCTION("IFERROR(TO_DATE(E6197), """")"),42566.12472222222)</f>
        <v>42566.12472</v>
      </c>
      <c r="G6197" s="20">
        <f t="shared" si="1"/>
        <v>2</v>
      </c>
      <c r="H6197" s="18" t="s">
        <v>34</v>
      </c>
      <c r="I6197" s="19" t="str">
        <f>IFERROR(__xludf.DUMMYFUNCTION("IFERROR(TO_DATE(H6197), """")"),"NA")</f>
        <v>NA</v>
      </c>
      <c r="J6197" s="19" t="s">
        <v>15</v>
      </c>
      <c r="K6197" s="22">
        <f t="shared" si="2"/>
        <v>0</v>
      </c>
    </row>
    <row r="6198">
      <c r="A6198" s="18">
        <v>5436.0</v>
      </c>
      <c r="B6198" s="18" t="s">
        <v>32</v>
      </c>
      <c r="C6198" s="18" t="s">
        <v>34</v>
      </c>
      <c r="D6198" s="18" t="s">
        <v>35</v>
      </c>
      <c r="E6198" s="27">
        <v>42566.12474537037</v>
      </c>
      <c r="F6198" s="19">
        <f>IFERROR(__xludf.DUMMYFUNCTION("IFERROR(TO_DATE(E6198), """")"),42566.12474537037)</f>
        <v>42566.12475</v>
      </c>
      <c r="G6198" s="20">
        <f t="shared" si="1"/>
        <v>2</v>
      </c>
      <c r="H6198" s="18" t="s">
        <v>34</v>
      </c>
      <c r="I6198" s="19" t="str">
        <f>IFERROR(__xludf.DUMMYFUNCTION("IFERROR(TO_DATE(H6198), """")"),"NA")</f>
        <v>NA</v>
      </c>
      <c r="J6198" s="19" t="s">
        <v>15</v>
      </c>
      <c r="K6198" s="22">
        <f t="shared" si="2"/>
        <v>0</v>
      </c>
    </row>
    <row r="6199">
      <c r="A6199" s="18">
        <v>5443.0</v>
      </c>
      <c r="B6199" s="18" t="s">
        <v>32</v>
      </c>
      <c r="C6199" s="18" t="s">
        <v>34</v>
      </c>
      <c r="D6199" s="18" t="s">
        <v>35</v>
      </c>
      <c r="E6199" s="27">
        <v>42566.127291666664</v>
      </c>
      <c r="F6199" s="19">
        <f>IFERROR(__xludf.DUMMYFUNCTION("IFERROR(TO_DATE(E6199), """")"),42566.127291666664)</f>
        <v>42566.12729</v>
      </c>
      <c r="G6199" s="20">
        <f t="shared" si="1"/>
        <v>3</v>
      </c>
      <c r="H6199" s="18" t="s">
        <v>34</v>
      </c>
      <c r="I6199" s="19" t="str">
        <f>IFERROR(__xludf.DUMMYFUNCTION("IFERROR(TO_DATE(H6199), """")"),"NA")</f>
        <v>NA</v>
      </c>
      <c r="J6199" s="19" t="s">
        <v>15</v>
      </c>
      <c r="K6199" s="22">
        <f t="shared" si="2"/>
        <v>0</v>
      </c>
    </row>
    <row r="6200">
      <c r="A6200" s="18">
        <v>5441.0</v>
      </c>
      <c r="B6200" s="18" t="s">
        <v>32</v>
      </c>
      <c r="C6200" s="18" t="s">
        <v>34</v>
      </c>
      <c r="D6200" s="18" t="s">
        <v>35</v>
      </c>
      <c r="E6200" s="27">
        <v>42566.12949074074</v>
      </c>
      <c r="F6200" s="19">
        <f>IFERROR(__xludf.DUMMYFUNCTION("IFERROR(TO_DATE(E6200), """")"),42566.12949074074)</f>
        <v>42566.12949</v>
      </c>
      <c r="G6200" s="20">
        <f t="shared" si="1"/>
        <v>3</v>
      </c>
      <c r="H6200" s="18" t="s">
        <v>34</v>
      </c>
      <c r="I6200" s="19" t="str">
        <f>IFERROR(__xludf.DUMMYFUNCTION("IFERROR(TO_DATE(H6200), """")"),"NA")</f>
        <v>NA</v>
      </c>
      <c r="J6200" s="19" t="s">
        <v>15</v>
      </c>
      <c r="K6200" s="22">
        <f t="shared" si="2"/>
        <v>0</v>
      </c>
    </row>
    <row r="6201">
      <c r="A6201" s="18">
        <v>5445.0</v>
      </c>
      <c r="B6201" s="18" t="s">
        <v>30</v>
      </c>
      <c r="C6201" s="18" t="s">
        <v>34</v>
      </c>
      <c r="D6201" s="18" t="s">
        <v>35</v>
      </c>
      <c r="E6201" s="27">
        <v>42566.13041666667</v>
      </c>
      <c r="F6201" s="19">
        <f>IFERROR(__xludf.DUMMYFUNCTION("IFERROR(TO_DATE(E6201), """")"),42566.13041666667)</f>
        <v>42566.13042</v>
      </c>
      <c r="G6201" s="20">
        <f t="shared" si="1"/>
        <v>3</v>
      </c>
      <c r="H6201" s="18" t="s">
        <v>34</v>
      </c>
      <c r="I6201" s="19" t="str">
        <f>IFERROR(__xludf.DUMMYFUNCTION("IFERROR(TO_DATE(H6201), """")"),"NA")</f>
        <v>NA</v>
      </c>
      <c r="J6201" s="19" t="s">
        <v>15</v>
      </c>
      <c r="K6201" s="22">
        <f t="shared" si="2"/>
        <v>0</v>
      </c>
    </row>
    <row r="6202">
      <c r="A6202" s="18">
        <v>5442.0</v>
      </c>
      <c r="B6202" s="18" t="s">
        <v>30</v>
      </c>
      <c r="C6202" s="18" t="s">
        <v>34</v>
      </c>
      <c r="D6202" s="18" t="s">
        <v>35</v>
      </c>
      <c r="E6202" s="27">
        <v>42566.13099537037</v>
      </c>
      <c r="F6202" s="19">
        <f>IFERROR(__xludf.DUMMYFUNCTION("IFERROR(TO_DATE(E6202), """")"),42566.13099537037)</f>
        <v>42566.131</v>
      </c>
      <c r="G6202" s="20">
        <f t="shared" si="1"/>
        <v>3</v>
      </c>
      <c r="H6202" s="18" t="s">
        <v>34</v>
      </c>
      <c r="I6202" s="19" t="str">
        <f>IFERROR(__xludf.DUMMYFUNCTION("IFERROR(TO_DATE(H6202), """")"),"NA")</f>
        <v>NA</v>
      </c>
      <c r="J6202" s="19" t="s">
        <v>15</v>
      </c>
      <c r="K6202" s="22">
        <f t="shared" si="2"/>
        <v>0</v>
      </c>
    </row>
    <row r="6203">
      <c r="A6203" s="18">
        <v>5439.0</v>
      </c>
      <c r="B6203" s="18" t="s">
        <v>32</v>
      </c>
      <c r="C6203" s="18" t="s">
        <v>34</v>
      </c>
      <c r="D6203" s="18" t="s">
        <v>35</v>
      </c>
      <c r="E6203" s="27">
        <v>42566.13414351852</v>
      </c>
      <c r="F6203" s="19">
        <f>IFERROR(__xludf.DUMMYFUNCTION("IFERROR(TO_DATE(E6203), """")"),42566.13414351852)</f>
        <v>42566.13414</v>
      </c>
      <c r="G6203" s="20">
        <f t="shared" si="1"/>
        <v>3</v>
      </c>
      <c r="H6203" s="18" t="s">
        <v>34</v>
      </c>
      <c r="I6203" s="19" t="str">
        <f>IFERROR(__xludf.DUMMYFUNCTION("IFERROR(TO_DATE(H6203), """")"),"NA")</f>
        <v>NA</v>
      </c>
      <c r="J6203" s="19" t="s">
        <v>15</v>
      </c>
      <c r="K6203" s="22">
        <f t="shared" si="2"/>
        <v>0</v>
      </c>
    </row>
    <row r="6204">
      <c r="A6204" s="18">
        <v>5449.0</v>
      </c>
      <c r="B6204" s="18" t="s">
        <v>32</v>
      </c>
      <c r="C6204" s="18" t="s">
        <v>34</v>
      </c>
      <c r="D6204" s="18" t="s">
        <v>35</v>
      </c>
      <c r="E6204" s="27">
        <v>42566.13810185185</v>
      </c>
      <c r="F6204" s="19">
        <f>IFERROR(__xludf.DUMMYFUNCTION("IFERROR(TO_DATE(E6204), """")"),42566.13810185185)</f>
        <v>42566.1381</v>
      </c>
      <c r="G6204" s="20">
        <f t="shared" si="1"/>
        <v>3</v>
      </c>
      <c r="H6204" s="18" t="s">
        <v>34</v>
      </c>
      <c r="I6204" s="19" t="str">
        <f>IFERROR(__xludf.DUMMYFUNCTION("IFERROR(TO_DATE(H6204), """")"),"NA")</f>
        <v>NA</v>
      </c>
      <c r="J6204" s="19" t="s">
        <v>15</v>
      </c>
      <c r="K6204" s="22">
        <f t="shared" si="2"/>
        <v>0</v>
      </c>
    </row>
    <row r="6205">
      <c r="A6205" s="18">
        <v>5447.0</v>
      </c>
      <c r="B6205" s="18" t="s">
        <v>32</v>
      </c>
      <c r="C6205" s="18" t="s">
        <v>34</v>
      </c>
      <c r="D6205" s="18" t="s">
        <v>35</v>
      </c>
      <c r="E6205" s="27">
        <v>42566.138877314814</v>
      </c>
      <c r="F6205" s="19">
        <f>IFERROR(__xludf.DUMMYFUNCTION("IFERROR(TO_DATE(E6205), """")"),42566.138877314814)</f>
        <v>42566.13888</v>
      </c>
      <c r="G6205" s="20">
        <f t="shared" si="1"/>
        <v>3</v>
      </c>
      <c r="H6205" s="18" t="s">
        <v>34</v>
      </c>
      <c r="I6205" s="19" t="str">
        <f>IFERROR(__xludf.DUMMYFUNCTION("IFERROR(TO_DATE(H6205), """")"),"NA")</f>
        <v>NA</v>
      </c>
      <c r="J6205" s="19" t="s">
        <v>15</v>
      </c>
      <c r="K6205" s="22">
        <f t="shared" si="2"/>
        <v>0</v>
      </c>
    </row>
    <row r="6206">
      <c r="A6206" s="18">
        <v>5450.0</v>
      </c>
      <c r="B6206" s="18" t="s">
        <v>32</v>
      </c>
      <c r="C6206" s="18" t="s">
        <v>34</v>
      </c>
      <c r="D6206" s="18" t="s">
        <v>35</v>
      </c>
      <c r="E6206" s="27">
        <v>42566.1400462963</v>
      </c>
      <c r="F6206" s="19">
        <f>IFERROR(__xludf.DUMMYFUNCTION("IFERROR(TO_DATE(E6206), """")"),42566.1400462963)</f>
        <v>42566.14005</v>
      </c>
      <c r="G6206" s="20">
        <f t="shared" si="1"/>
        <v>3</v>
      </c>
      <c r="H6206" s="18" t="s">
        <v>34</v>
      </c>
      <c r="I6206" s="19" t="str">
        <f>IFERROR(__xludf.DUMMYFUNCTION("IFERROR(TO_DATE(H6206), """")"),"NA")</f>
        <v>NA</v>
      </c>
      <c r="J6206" s="19" t="s">
        <v>15</v>
      </c>
      <c r="K6206" s="22">
        <f t="shared" si="2"/>
        <v>0</v>
      </c>
    </row>
    <row r="6207">
      <c r="A6207" s="18">
        <v>5451.0</v>
      </c>
      <c r="B6207" s="18" t="s">
        <v>30</v>
      </c>
      <c r="C6207" s="18" t="s">
        <v>34</v>
      </c>
      <c r="D6207" s="18" t="s">
        <v>35</v>
      </c>
      <c r="E6207" s="27">
        <v>42566.14252314815</v>
      </c>
      <c r="F6207" s="19">
        <f>IFERROR(__xludf.DUMMYFUNCTION("IFERROR(TO_DATE(E6207), """")"),42566.14252314815)</f>
        <v>42566.14252</v>
      </c>
      <c r="G6207" s="20">
        <f t="shared" si="1"/>
        <v>3</v>
      </c>
      <c r="H6207" s="18" t="s">
        <v>34</v>
      </c>
      <c r="I6207" s="19" t="str">
        <f>IFERROR(__xludf.DUMMYFUNCTION("IFERROR(TO_DATE(H6207), """")"),"NA")</f>
        <v>NA</v>
      </c>
      <c r="J6207" s="19" t="s">
        <v>15</v>
      </c>
      <c r="K6207" s="22">
        <f t="shared" si="2"/>
        <v>0</v>
      </c>
    </row>
    <row r="6208">
      <c r="A6208" s="18">
        <v>5446.0</v>
      </c>
      <c r="B6208" s="18" t="s">
        <v>32</v>
      </c>
      <c r="C6208" s="18" t="s">
        <v>34</v>
      </c>
      <c r="D6208" s="18" t="s">
        <v>35</v>
      </c>
      <c r="E6208" s="27">
        <v>42566.14262731482</v>
      </c>
      <c r="F6208" s="19">
        <f>IFERROR(__xludf.DUMMYFUNCTION("IFERROR(TO_DATE(E6208), """")"),42566.14262731482)</f>
        <v>42566.14263</v>
      </c>
      <c r="G6208" s="20">
        <f t="shared" si="1"/>
        <v>3</v>
      </c>
      <c r="H6208" s="18" t="s">
        <v>34</v>
      </c>
      <c r="I6208" s="19" t="str">
        <f>IFERROR(__xludf.DUMMYFUNCTION("IFERROR(TO_DATE(H6208), """")"),"NA")</f>
        <v>NA</v>
      </c>
      <c r="J6208" s="19" t="s">
        <v>15</v>
      </c>
      <c r="K6208" s="22">
        <f t="shared" si="2"/>
        <v>0</v>
      </c>
    </row>
    <row r="6209">
      <c r="A6209" s="18">
        <v>5452.0</v>
      </c>
      <c r="B6209" s="18" t="s">
        <v>30</v>
      </c>
      <c r="C6209" s="18" t="s">
        <v>34</v>
      </c>
      <c r="D6209" s="18" t="s">
        <v>35</v>
      </c>
      <c r="E6209" s="27">
        <v>42566.14451388889</v>
      </c>
      <c r="F6209" s="19">
        <f>IFERROR(__xludf.DUMMYFUNCTION("IFERROR(TO_DATE(E6209), """")"),42566.14451388889)</f>
        <v>42566.14451</v>
      </c>
      <c r="G6209" s="20">
        <f t="shared" si="1"/>
        <v>3</v>
      </c>
      <c r="H6209" s="18" t="s">
        <v>34</v>
      </c>
      <c r="I6209" s="19" t="str">
        <f>IFERROR(__xludf.DUMMYFUNCTION("IFERROR(TO_DATE(H6209), """")"),"NA")</f>
        <v>NA</v>
      </c>
      <c r="J6209" s="19" t="s">
        <v>15</v>
      </c>
      <c r="K6209" s="22">
        <f t="shared" si="2"/>
        <v>0</v>
      </c>
    </row>
    <row r="6210">
      <c r="A6210" s="18">
        <v>5456.0</v>
      </c>
      <c r="B6210" s="18" t="s">
        <v>30</v>
      </c>
      <c r="C6210" s="18" t="s">
        <v>34</v>
      </c>
      <c r="D6210" s="18" t="s">
        <v>35</v>
      </c>
      <c r="E6210" s="27">
        <v>42566.15693287037</v>
      </c>
      <c r="F6210" s="19">
        <f>IFERROR(__xludf.DUMMYFUNCTION("IFERROR(TO_DATE(E6210), """")"),42566.15693287037)</f>
        <v>42566.15693</v>
      </c>
      <c r="G6210" s="20">
        <f t="shared" si="1"/>
        <v>3</v>
      </c>
      <c r="H6210" s="18" t="s">
        <v>34</v>
      </c>
      <c r="I6210" s="19" t="str">
        <f>IFERROR(__xludf.DUMMYFUNCTION("IFERROR(TO_DATE(H6210), """")"),"NA")</f>
        <v>NA</v>
      </c>
      <c r="J6210" s="19" t="s">
        <v>15</v>
      </c>
      <c r="K6210" s="22">
        <f t="shared" si="2"/>
        <v>0</v>
      </c>
    </row>
    <row r="6211">
      <c r="A6211" s="18">
        <v>5454.0</v>
      </c>
      <c r="B6211" s="18" t="s">
        <v>30</v>
      </c>
      <c r="C6211" s="18" t="s">
        <v>34</v>
      </c>
      <c r="D6211" s="18" t="s">
        <v>35</v>
      </c>
      <c r="E6211" s="27">
        <v>42566.15793981482</v>
      </c>
      <c r="F6211" s="19">
        <f>IFERROR(__xludf.DUMMYFUNCTION("IFERROR(TO_DATE(E6211), """")"),42566.15793981482)</f>
        <v>42566.15794</v>
      </c>
      <c r="G6211" s="20">
        <f t="shared" si="1"/>
        <v>3</v>
      </c>
      <c r="H6211" s="18" t="s">
        <v>34</v>
      </c>
      <c r="I6211" s="19" t="str">
        <f>IFERROR(__xludf.DUMMYFUNCTION("IFERROR(TO_DATE(H6211), """")"),"NA")</f>
        <v>NA</v>
      </c>
      <c r="J6211" s="19" t="s">
        <v>15</v>
      </c>
      <c r="K6211" s="22">
        <f t="shared" si="2"/>
        <v>0</v>
      </c>
    </row>
    <row r="6212">
      <c r="A6212" s="18">
        <v>5458.0</v>
      </c>
      <c r="B6212" s="18" t="s">
        <v>30</v>
      </c>
      <c r="C6212" s="18" t="s">
        <v>34</v>
      </c>
      <c r="D6212" s="18" t="s">
        <v>35</v>
      </c>
      <c r="E6212" s="27">
        <v>42566.1671412037</v>
      </c>
      <c r="F6212" s="19">
        <f>IFERROR(__xludf.DUMMYFUNCTION("IFERROR(TO_DATE(E6212), """")"),42566.1671412037)</f>
        <v>42566.16714</v>
      </c>
      <c r="G6212" s="20">
        <f t="shared" si="1"/>
        <v>4</v>
      </c>
      <c r="H6212" s="18" t="s">
        <v>34</v>
      </c>
      <c r="I6212" s="19" t="str">
        <f>IFERROR(__xludf.DUMMYFUNCTION("IFERROR(TO_DATE(H6212), """")"),"NA")</f>
        <v>NA</v>
      </c>
      <c r="J6212" s="19" t="s">
        <v>11</v>
      </c>
      <c r="K6212" s="22">
        <f t="shared" si="2"/>
        <v>0</v>
      </c>
    </row>
    <row r="6213">
      <c r="A6213" s="18">
        <v>5459.0</v>
      </c>
      <c r="B6213" s="18" t="s">
        <v>30</v>
      </c>
      <c r="C6213" s="18" t="s">
        <v>34</v>
      </c>
      <c r="D6213" s="18" t="s">
        <v>35</v>
      </c>
      <c r="E6213" s="27">
        <v>42566.169328703705</v>
      </c>
      <c r="F6213" s="19">
        <f>IFERROR(__xludf.DUMMYFUNCTION("IFERROR(TO_DATE(E6213), """")"),42566.169328703705)</f>
        <v>42566.16933</v>
      </c>
      <c r="G6213" s="20">
        <f t="shared" si="1"/>
        <v>4</v>
      </c>
      <c r="H6213" s="18" t="s">
        <v>34</v>
      </c>
      <c r="I6213" s="19" t="str">
        <f>IFERROR(__xludf.DUMMYFUNCTION("IFERROR(TO_DATE(H6213), """")"),"NA")</f>
        <v>NA</v>
      </c>
      <c r="J6213" s="19" t="s">
        <v>11</v>
      </c>
      <c r="K6213" s="22">
        <f t="shared" si="2"/>
        <v>0</v>
      </c>
    </row>
    <row r="6214">
      <c r="A6214" s="18">
        <v>5461.0</v>
      </c>
      <c r="B6214" s="18" t="s">
        <v>30</v>
      </c>
      <c r="C6214" s="18" t="s">
        <v>34</v>
      </c>
      <c r="D6214" s="18" t="s">
        <v>35</v>
      </c>
      <c r="E6214" s="27">
        <v>42566.17381944445</v>
      </c>
      <c r="F6214" s="19">
        <f>IFERROR(__xludf.DUMMYFUNCTION("IFERROR(TO_DATE(E6214), """")"),42566.17381944445)</f>
        <v>42566.17382</v>
      </c>
      <c r="G6214" s="20">
        <f t="shared" si="1"/>
        <v>4</v>
      </c>
      <c r="H6214" s="18" t="s">
        <v>34</v>
      </c>
      <c r="I6214" s="19" t="str">
        <f>IFERROR(__xludf.DUMMYFUNCTION("IFERROR(TO_DATE(H6214), """")"),"NA")</f>
        <v>NA</v>
      </c>
      <c r="J6214" s="19" t="s">
        <v>11</v>
      </c>
      <c r="K6214" s="22">
        <f t="shared" si="2"/>
        <v>0</v>
      </c>
    </row>
    <row r="6215">
      <c r="A6215" s="18">
        <v>5462.0</v>
      </c>
      <c r="B6215" s="18" t="s">
        <v>30</v>
      </c>
      <c r="C6215" s="18" t="s">
        <v>34</v>
      </c>
      <c r="D6215" s="18" t="s">
        <v>35</v>
      </c>
      <c r="E6215" s="27">
        <v>42566.18072916667</v>
      </c>
      <c r="F6215" s="19">
        <f>IFERROR(__xludf.DUMMYFUNCTION("IFERROR(TO_DATE(E6215), """")"),42566.18072916667)</f>
        <v>42566.18073</v>
      </c>
      <c r="G6215" s="20">
        <f t="shared" si="1"/>
        <v>4</v>
      </c>
      <c r="H6215" s="18" t="s">
        <v>34</v>
      </c>
      <c r="I6215" s="19" t="str">
        <f>IFERROR(__xludf.DUMMYFUNCTION("IFERROR(TO_DATE(H6215), """")"),"NA")</f>
        <v>NA</v>
      </c>
      <c r="J6215" s="19" t="s">
        <v>11</v>
      </c>
      <c r="K6215" s="22">
        <f t="shared" si="2"/>
        <v>0</v>
      </c>
    </row>
    <row r="6216">
      <c r="A6216" s="18">
        <v>5463.0</v>
      </c>
      <c r="B6216" s="18" t="s">
        <v>30</v>
      </c>
      <c r="C6216" s="18" t="s">
        <v>34</v>
      </c>
      <c r="D6216" s="18" t="s">
        <v>35</v>
      </c>
      <c r="E6216" s="27">
        <v>42566.18108796296</v>
      </c>
      <c r="F6216" s="19">
        <f>IFERROR(__xludf.DUMMYFUNCTION("IFERROR(TO_DATE(E6216), """")"),42566.18108796296)</f>
        <v>42566.18109</v>
      </c>
      <c r="G6216" s="20">
        <f t="shared" si="1"/>
        <v>4</v>
      </c>
      <c r="H6216" s="18" t="s">
        <v>34</v>
      </c>
      <c r="I6216" s="19" t="str">
        <f>IFERROR(__xludf.DUMMYFUNCTION("IFERROR(TO_DATE(H6216), """")"),"NA")</f>
        <v>NA</v>
      </c>
      <c r="J6216" s="19" t="s">
        <v>11</v>
      </c>
      <c r="K6216" s="22">
        <f t="shared" si="2"/>
        <v>0</v>
      </c>
    </row>
    <row r="6217">
      <c r="A6217" s="18">
        <v>5464.0</v>
      </c>
      <c r="B6217" s="18" t="s">
        <v>32</v>
      </c>
      <c r="C6217" s="18" t="s">
        <v>34</v>
      </c>
      <c r="D6217" s="18" t="s">
        <v>35</v>
      </c>
      <c r="E6217" s="27">
        <v>42566.181296296294</v>
      </c>
      <c r="F6217" s="19">
        <f>IFERROR(__xludf.DUMMYFUNCTION("IFERROR(TO_DATE(E6217), """")"),42566.181296296294)</f>
        <v>42566.1813</v>
      </c>
      <c r="G6217" s="20">
        <f t="shared" si="1"/>
        <v>4</v>
      </c>
      <c r="H6217" s="18" t="s">
        <v>34</v>
      </c>
      <c r="I6217" s="19" t="str">
        <f>IFERROR(__xludf.DUMMYFUNCTION("IFERROR(TO_DATE(H6217), """")"),"NA")</f>
        <v>NA</v>
      </c>
      <c r="J6217" s="19" t="s">
        <v>11</v>
      </c>
      <c r="K6217" s="22">
        <f t="shared" si="2"/>
        <v>0</v>
      </c>
    </row>
    <row r="6218">
      <c r="A6218" s="18">
        <v>5465.0</v>
      </c>
      <c r="B6218" s="18" t="s">
        <v>30</v>
      </c>
      <c r="C6218" s="18" t="s">
        <v>34</v>
      </c>
      <c r="D6218" s="18" t="s">
        <v>35</v>
      </c>
      <c r="E6218" s="27">
        <v>42566.18682870371</v>
      </c>
      <c r="F6218" s="19">
        <f>IFERROR(__xludf.DUMMYFUNCTION("IFERROR(TO_DATE(E6218), """")"),42566.18682870371)</f>
        <v>42566.18683</v>
      </c>
      <c r="G6218" s="20">
        <f t="shared" si="1"/>
        <v>4</v>
      </c>
      <c r="H6218" s="18" t="s">
        <v>34</v>
      </c>
      <c r="I6218" s="19" t="str">
        <f>IFERROR(__xludf.DUMMYFUNCTION("IFERROR(TO_DATE(H6218), """")"),"NA")</f>
        <v>NA</v>
      </c>
      <c r="J6218" s="19" t="s">
        <v>11</v>
      </c>
      <c r="K6218" s="22">
        <f t="shared" si="2"/>
        <v>0</v>
      </c>
    </row>
    <row r="6219">
      <c r="A6219" s="18">
        <v>5466.0</v>
      </c>
      <c r="B6219" s="18" t="s">
        <v>30</v>
      </c>
      <c r="C6219" s="18" t="s">
        <v>34</v>
      </c>
      <c r="D6219" s="18" t="s">
        <v>35</v>
      </c>
      <c r="E6219" s="27">
        <v>42566.188576388886</v>
      </c>
      <c r="F6219" s="19">
        <f>IFERROR(__xludf.DUMMYFUNCTION("IFERROR(TO_DATE(E6219), """")"),42566.188576388886)</f>
        <v>42566.18858</v>
      </c>
      <c r="G6219" s="20">
        <f t="shared" si="1"/>
        <v>4</v>
      </c>
      <c r="H6219" s="18" t="s">
        <v>34</v>
      </c>
      <c r="I6219" s="19" t="str">
        <f>IFERROR(__xludf.DUMMYFUNCTION("IFERROR(TO_DATE(H6219), """")"),"NA")</f>
        <v>NA</v>
      </c>
      <c r="J6219" s="19" t="s">
        <v>11</v>
      </c>
      <c r="K6219" s="22">
        <f t="shared" si="2"/>
        <v>0</v>
      </c>
    </row>
    <row r="6220">
      <c r="A6220" s="18">
        <v>5468.0</v>
      </c>
      <c r="B6220" s="18" t="s">
        <v>32</v>
      </c>
      <c r="C6220" s="18" t="s">
        <v>34</v>
      </c>
      <c r="D6220" s="18" t="s">
        <v>35</v>
      </c>
      <c r="E6220" s="27">
        <v>42566.1928125</v>
      </c>
      <c r="F6220" s="19">
        <f>IFERROR(__xludf.DUMMYFUNCTION("IFERROR(TO_DATE(E6220), """")"),42566.1928125)</f>
        <v>42566.19281</v>
      </c>
      <c r="G6220" s="20">
        <f t="shared" si="1"/>
        <v>4</v>
      </c>
      <c r="H6220" s="18" t="s">
        <v>34</v>
      </c>
      <c r="I6220" s="19" t="str">
        <f>IFERROR(__xludf.DUMMYFUNCTION("IFERROR(TO_DATE(H6220), """")"),"NA")</f>
        <v>NA</v>
      </c>
      <c r="J6220" s="19" t="s">
        <v>11</v>
      </c>
      <c r="K6220" s="22">
        <f t="shared" si="2"/>
        <v>0</v>
      </c>
    </row>
    <row r="6221">
      <c r="A6221" s="18">
        <v>5467.0</v>
      </c>
      <c r="B6221" s="18" t="s">
        <v>32</v>
      </c>
      <c r="C6221" s="18" t="s">
        <v>34</v>
      </c>
      <c r="D6221" s="18" t="s">
        <v>35</v>
      </c>
      <c r="E6221" s="27">
        <v>42566.196018518516</v>
      </c>
      <c r="F6221" s="19">
        <f>IFERROR(__xludf.DUMMYFUNCTION("IFERROR(TO_DATE(E6221), """")"),42566.196018518516)</f>
        <v>42566.19602</v>
      </c>
      <c r="G6221" s="20">
        <f t="shared" si="1"/>
        <v>4</v>
      </c>
      <c r="H6221" s="18" t="s">
        <v>34</v>
      </c>
      <c r="I6221" s="19" t="str">
        <f>IFERROR(__xludf.DUMMYFUNCTION("IFERROR(TO_DATE(H6221), """")"),"NA")</f>
        <v>NA</v>
      </c>
      <c r="J6221" s="19" t="s">
        <v>11</v>
      </c>
      <c r="K6221" s="22">
        <f t="shared" si="2"/>
        <v>0</v>
      </c>
    </row>
    <row r="6222">
      <c r="A6222" s="18">
        <v>5490.0</v>
      </c>
      <c r="B6222" s="18" t="s">
        <v>32</v>
      </c>
      <c r="C6222" s="18" t="s">
        <v>34</v>
      </c>
      <c r="D6222" s="18" t="s">
        <v>35</v>
      </c>
      <c r="E6222" s="27">
        <v>42566.201631944445</v>
      </c>
      <c r="F6222" s="19">
        <f>IFERROR(__xludf.DUMMYFUNCTION("IFERROR(TO_DATE(E6222), """")"),42566.201631944445)</f>
        <v>42566.20163</v>
      </c>
      <c r="G6222" s="20">
        <f t="shared" si="1"/>
        <v>4</v>
      </c>
      <c r="H6222" s="18" t="s">
        <v>34</v>
      </c>
      <c r="I6222" s="19" t="str">
        <f>IFERROR(__xludf.DUMMYFUNCTION("IFERROR(TO_DATE(H6222), """")"),"NA")</f>
        <v>NA</v>
      </c>
      <c r="J6222" s="19" t="s">
        <v>11</v>
      </c>
      <c r="K6222" s="22">
        <f t="shared" si="2"/>
        <v>0</v>
      </c>
    </row>
    <row r="6223">
      <c r="A6223" s="18">
        <v>5483.0</v>
      </c>
      <c r="B6223" s="18" t="s">
        <v>30</v>
      </c>
      <c r="C6223" s="18" t="s">
        <v>34</v>
      </c>
      <c r="D6223" s="18" t="s">
        <v>35</v>
      </c>
      <c r="E6223" s="27">
        <v>42566.2021875</v>
      </c>
      <c r="F6223" s="19">
        <f>IFERROR(__xludf.DUMMYFUNCTION("IFERROR(TO_DATE(E6223), """")"),42566.2021875)</f>
        <v>42566.20219</v>
      </c>
      <c r="G6223" s="20">
        <f t="shared" si="1"/>
        <v>4</v>
      </c>
      <c r="H6223" s="18" t="s">
        <v>34</v>
      </c>
      <c r="I6223" s="19" t="str">
        <f>IFERROR(__xludf.DUMMYFUNCTION("IFERROR(TO_DATE(H6223), """")"),"NA")</f>
        <v>NA</v>
      </c>
      <c r="J6223" s="19" t="s">
        <v>11</v>
      </c>
      <c r="K6223" s="22">
        <f t="shared" si="2"/>
        <v>0</v>
      </c>
    </row>
    <row r="6224">
      <c r="A6224" s="18">
        <v>5482.0</v>
      </c>
      <c r="B6224" s="18" t="s">
        <v>32</v>
      </c>
      <c r="C6224" s="18" t="s">
        <v>34</v>
      </c>
      <c r="D6224" s="18" t="s">
        <v>35</v>
      </c>
      <c r="E6224" s="27">
        <v>42566.2022337963</v>
      </c>
      <c r="F6224" s="19">
        <f>IFERROR(__xludf.DUMMYFUNCTION("IFERROR(TO_DATE(E6224), """")"),42566.2022337963)</f>
        <v>42566.20223</v>
      </c>
      <c r="G6224" s="20">
        <f t="shared" si="1"/>
        <v>4</v>
      </c>
      <c r="H6224" s="18" t="s">
        <v>34</v>
      </c>
      <c r="I6224" s="19" t="str">
        <f>IFERROR(__xludf.DUMMYFUNCTION("IFERROR(TO_DATE(H6224), """")"),"NA")</f>
        <v>NA</v>
      </c>
      <c r="J6224" s="19" t="s">
        <v>11</v>
      </c>
      <c r="K6224" s="22">
        <f t="shared" si="2"/>
        <v>0</v>
      </c>
    </row>
    <row r="6225">
      <c r="A6225" s="18">
        <v>5485.0</v>
      </c>
      <c r="B6225" s="18" t="s">
        <v>30</v>
      </c>
      <c r="C6225" s="18" t="s">
        <v>34</v>
      </c>
      <c r="D6225" s="18" t="s">
        <v>35</v>
      </c>
      <c r="E6225" s="27">
        <v>42566.20444444445</v>
      </c>
      <c r="F6225" s="19">
        <f>IFERROR(__xludf.DUMMYFUNCTION("IFERROR(TO_DATE(E6225), """")"),42566.20444444445)</f>
        <v>42566.20444</v>
      </c>
      <c r="G6225" s="20">
        <f t="shared" si="1"/>
        <v>4</v>
      </c>
      <c r="H6225" s="18" t="s">
        <v>34</v>
      </c>
      <c r="I6225" s="19" t="str">
        <f>IFERROR(__xludf.DUMMYFUNCTION("IFERROR(TO_DATE(H6225), """")"),"NA")</f>
        <v>NA</v>
      </c>
      <c r="J6225" s="19" t="s">
        <v>11</v>
      </c>
      <c r="K6225" s="22">
        <f t="shared" si="2"/>
        <v>0</v>
      </c>
    </row>
    <row r="6226">
      <c r="A6226" s="18">
        <v>5491.0</v>
      </c>
      <c r="B6226" s="18" t="s">
        <v>32</v>
      </c>
      <c r="C6226" s="18" t="s">
        <v>34</v>
      </c>
      <c r="D6226" s="18" t="s">
        <v>35</v>
      </c>
      <c r="E6226" s="27">
        <v>42566.20582175926</v>
      </c>
      <c r="F6226" s="19">
        <f>IFERROR(__xludf.DUMMYFUNCTION("IFERROR(TO_DATE(E6226), """")"),42566.20582175926)</f>
        <v>42566.20582</v>
      </c>
      <c r="G6226" s="20">
        <f t="shared" si="1"/>
        <v>4</v>
      </c>
      <c r="H6226" s="18" t="s">
        <v>34</v>
      </c>
      <c r="I6226" s="19" t="str">
        <f>IFERROR(__xludf.DUMMYFUNCTION("IFERROR(TO_DATE(H6226), """")"),"NA")</f>
        <v>NA</v>
      </c>
      <c r="J6226" s="19" t="s">
        <v>11</v>
      </c>
      <c r="K6226" s="22">
        <f t="shared" si="2"/>
        <v>0</v>
      </c>
    </row>
    <row r="6227">
      <c r="A6227" s="18">
        <v>5492.0</v>
      </c>
      <c r="B6227" s="18" t="s">
        <v>32</v>
      </c>
      <c r="C6227" s="18" t="s">
        <v>34</v>
      </c>
      <c r="D6227" s="18" t="s">
        <v>35</v>
      </c>
      <c r="E6227" s="27">
        <v>42566.20943287037</v>
      </c>
      <c r="F6227" s="19">
        <f>IFERROR(__xludf.DUMMYFUNCTION("IFERROR(TO_DATE(E6227), """")"),42566.20943287037)</f>
        <v>42566.20943</v>
      </c>
      <c r="G6227" s="20">
        <f t="shared" si="1"/>
        <v>5</v>
      </c>
      <c r="H6227" s="18" t="s">
        <v>34</v>
      </c>
      <c r="I6227" s="19" t="str">
        <f>IFERROR(__xludf.DUMMYFUNCTION("IFERROR(TO_DATE(H6227), """")"),"NA")</f>
        <v>NA</v>
      </c>
      <c r="J6227" s="19" t="s">
        <v>11</v>
      </c>
      <c r="K6227" s="22">
        <f t="shared" si="2"/>
        <v>0</v>
      </c>
    </row>
    <row r="6228">
      <c r="A6228" s="18">
        <v>5504.0</v>
      </c>
      <c r="B6228" s="18" t="s">
        <v>32</v>
      </c>
      <c r="C6228" s="18" t="s">
        <v>34</v>
      </c>
      <c r="D6228" s="18" t="s">
        <v>35</v>
      </c>
      <c r="E6228" s="27">
        <v>42566.21193287037</v>
      </c>
      <c r="F6228" s="19">
        <f>IFERROR(__xludf.DUMMYFUNCTION("IFERROR(TO_DATE(E6228), """")"),42566.21193287037)</f>
        <v>42566.21193</v>
      </c>
      <c r="G6228" s="20">
        <f t="shared" si="1"/>
        <v>5</v>
      </c>
      <c r="H6228" s="18" t="s">
        <v>34</v>
      </c>
      <c r="I6228" s="19" t="str">
        <f>IFERROR(__xludf.DUMMYFUNCTION("IFERROR(TO_DATE(H6228), """")"),"NA")</f>
        <v>NA</v>
      </c>
      <c r="J6228" s="19" t="s">
        <v>11</v>
      </c>
      <c r="K6228" s="22">
        <f t="shared" si="2"/>
        <v>0</v>
      </c>
    </row>
    <row r="6229">
      <c r="A6229" s="18">
        <v>5507.0</v>
      </c>
      <c r="B6229" s="18" t="s">
        <v>32</v>
      </c>
      <c r="C6229" s="18" t="s">
        <v>34</v>
      </c>
      <c r="D6229" s="18" t="s">
        <v>35</v>
      </c>
      <c r="E6229" s="27">
        <v>42566.213692129626</v>
      </c>
      <c r="F6229" s="19">
        <f>IFERROR(__xludf.DUMMYFUNCTION("IFERROR(TO_DATE(E6229), """")"),42566.213692129626)</f>
        <v>42566.21369</v>
      </c>
      <c r="G6229" s="20">
        <f t="shared" si="1"/>
        <v>5</v>
      </c>
      <c r="H6229" s="18" t="s">
        <v>34</v>
      </c>
      <c r="I6229" s="19" t="str">
        <f>IFERROR(__xludf.DUMMYFUNCTION("IFERROR(TO_DATE(H6229), """")"),"NA")</f>
        <v>NA</v>
      </c>
      <c r="J6229" s="19" t="s">
        <v>11</v>
      </c>
      <c r="K6229" s="22">
        <f t="shared" si="2"/>
        <v>0</v>
      </c>
    </row>
    <row r="6230">
      <c r="A6230" s="18">
        <v>5509.0</v>
      </c>
      <c r="B6230" s="18" t="s">
        <v>32</v>
      </c>
      <c r="C6230" s="18" t="s">
        <v>34</v>
      </c>
      <c r="D6230" s="18" t="s">
        <v>35</v>
      </c>
      <c r="E6230" s="27">
        <v>42566.21430555556</v>
      </c>
      <c r="F6230" s="19">
        <f>IFERROR(__xludf.DUMMYFUNCTION("IFERROR(TO_DATE(E6230), """")"),42566.21430555556)</f>
        <v>42566.21431</v>
      </c>
      <c r="G6230" s="20">
        <f t="shared" si="1"/>
        <v>5</v>
      </c>
      <c r="H6230" s="18" t="s">
        <v>34</v>
      </c>
      <c r="I6230" s="19" t="str">
        <f>IFERROR(__xludf.DUMMYFUNCTION("IFERROR(TO_DATE(H6230), """")"),"NA")</f>
        <v>NA</v>
      </c>
      <c r="J6230" s="19" t="s">
        <v>11</v>
      </c>
      <c r="K6230" s="22">
        <f t="shared" si="2"/>
        <v>0</v>
      </c>
    </row>
    <row r="6231">
      <c r="A6231" s="18">
        <v>5516.0</v>
      </c>
      <c r="B6231" s="18" t="s">
        <v>32</v>
      </c>
      <c r="C6231" s="18" t="s">
        <v>34</v>
      </c>
      <c r="D6231" s="18" t="s">
        <v>35</v>
      </c>
      <c r="E6231" s="27">
        <v>42566.21460648148</v>
      </c>
      <c r="F6231" s="19">
        <f>IFERROR(__xludf.DUMMYFUNCTION("IFERROR(TO_DATE(E6231), """")"),42566.21460648148)</f>
        <v>42566.21461</v>
      </c>
      <c r="G6231" s="20">
        <f t="shared" si="1"/>
        <v>5</v>
      </c>
      <c r="H6231" s="18" t="s">
        <v>34</v>
      </c>
      <c r="I6231" s="19" t="str">
        <f>IFERROR(__xludf.DUMMYFUNCTION("IFERROR(TO_DATE(H6231), """")"),"NA")</f>
        <v>NA</v>
      </c>
      <c r="J6231" s="19" t="s">
        <v>11</v>
      </c>
      <c r="K6231" s="22">
        <f t="shared" si="2"/>
        <v>0</v>
      </c>
    </row>
    <row r="6232">
      <c r="A6232" s="18">
        <v>5527.0</v>
      </c>
      <c r="B6232" s="18" t="s">
        <v>32</v>
      </c>
      <c r="C6232" s="18" t="s">
        <v>34</v>
      </c>
      <c r="D6232" s="18" t="s">
        <v>35</v>
      </c>
      <c r="E6232" s="27">
        <v>42566.22054398148</v>
      </c>
      <c r="F6232" s="19">
        <f>IFERROR(__xludf.DUMMYFUNCTION("IFERROR(TO_DATE(E6232), """")"),42566.22054398148)</f>
        <v>42566.22054</v>
      </c>
      <c r="G6232" s="20">
        <f t="shared" si="1"/>
        <v>5</v>
      </c>
      <c r="H6232" s="18" t="s">
        <v>34</v>
      </c>
      <c r="I6232" s="19" t="str">
        <f>IFERROR(__xludf.DUMMYFUNCTION("IFERROR(TO_DATE(H6232), """")"),"NA")</f>
        <v>NA</v>
      </c>
      <c r="J6232" s="19" t="s">
        <v>11</v>
      </c>
      <c r="K6232" s="22">
        <f t="shared" si="2"/>
        <v>0</v>
      </c>
    </row>
    <row r="6233">
      <c r="A6233" s="18">
        <v>5530.0</v>
      </c>
      <c r="B6233" s="18" t="s">
        <v>32</v>
      </c>
      <c r="C6233" s="18" t="s">
        <v>34</v>
      </c>
      <c r="D6233" s="18" t="s">
        <v>35</v>
      </c>
      <c r="E6233" s="27">
        <v>42566.22174768519</v>
      </c>
      <c r="F6233" s="19">
        <f>IFERROR(__xludf.DUMMYFUNCTION("IFERROR(TO_DATE(E6233), """")"),42566.22174768519)</f>
        <v>42566.22175</v>
      </c>
      <c r="G6233" s="20">
        <f t="shared" si="1"/>
        <v>5</v>
      </c>
      <c r="H6233" s="18" t="s">
        <v>34</v>
      </c>
      <c r="I6233" s="19" t="str">
        <f>IFERROR(__xludf.DUMMYFUNCTION("IFERROR(TO_DATE(H6233), """")"),"NA")</f>
        <v>NA</v>
      </c>
      <c r="J6233" s="19" t="s">
        <v>11</v>
      </c>
      <c r="K6233" s="22">
        <f t="shared" si="2"/>
        <v>0</v>
      </c>
    </row>
    <row r="6234">
      <c r="A6234" s="18">
        <v>5528.0</v>
      </c>
      <c r="B6234" s="18" t="s">
        <v>32</v>
      </c>
      <c r="C6234" s="18" t="s">
        <v>34</v>
      </c>
      <c r="D6234" s="18" t="s">
        <v>35</v>
      </c>
      <c r="E6234" s="27">
        <v>42566.22199074074</v>
      </c>
      <c r="F6234" s="19">
        <f>IFERROR(__xludf.DUMMYFUNCTION("IFERROR(TO_DATE(E6234), """")"),42566.22199074074)</f>
        <v>42566.22199</v>
      </c>
      <c r="G6234" s="20">
        <f t="shared" si="1"/>
        <v>5</v>
      </c>
      <c r="H6234" s="18" t="s">
        <v>34</v>
      </c>
      <c r="I6234" s="19" t="str">
        <f>IFERROR(__xludf.DUMMYFUNCTION("IFERROR(TO_DATE(H6234), """")"),"NA")</f>
        <v>NA</v>
      </c>
      <c r="J6234" s="19" t="s">
        <v>11</v>
      </c>
      <c r="K6234" s="22">
        <f t="shared" si="2"/>
        <v>0</v>
      </c>
    </row>
    <row r="6235">
      <c r="A6235" s="18">
        <v>5523.0</v>
      </c>
      <c r="B6235" s="18" t="s">
        <v>32</v>
      </c>
      <c r="C6235" s="18" t="s">
        <v>34</v>
      </c>
      <c r="D6235" s="18" t="s">
        <v>35</v>
      </c>
      <c r="E6235" s="27">
        <v>42566.22283564815</v>
      </c>
      <c r="F6235" s="19">
        <f>IFERROR(__xludf.DUMMYFUNCTION("IFERROR(TO_DATE(E6235), """")"),42566.22283564815)</f>
        <v>42566.22284</v>
      </c>
      <c r="G6235" s="20">
        <f t="shared" si="1"/>
        <v>5</v>
      </c>
      <c r="H6235" s="18" t="s">
        <v>34</v>
      </c>
      <c r="I6235" s="19" t="str">
        <f>IFERROR(__xludf.DUMMYFUNCTION("IFERROR(TO_DATE(H6235), """")"),"NA")</f>
        <v>NA</v>
      </c>
      <c r="J6235" s="19" t="s">
        <v>11</v>
      </c>
      <c r="K6235" s="22">
        <f t="shared" si="2"/>
        <v>0</v>
      </c>
    </row>
    <row r="6236">
      <c r="A6236" s="18">
        <v>5532.0</v>
      </c>
      <c r="B6236" s="18" t="s">
        <v>32</v>
      </c>
      <c r="C6236" s="18" t="s">
        <v>34</v>
      </c>
      <c r="D6236" s="18" t="s">
        <v>35</v>
      </c>
      <c r="E6236" s="27">
        <v>42566.22424768518</v>
      </c>
      <c r="F6236" s="19">
        <f>IFERROR(__xludf.DUMMYFUNCTION("IFERROR(TO_DATE(E6236), """")"),42566.22424768518)</f>
        <v>42566.22425</v>
      </c>
      <c r="G6236" s="20">
        <f t="shared" si="1"/>
        <v>5</v>
      </c>
      <c r="H6236" s="18" t="s">
        <v>34</v>
      </c>
      <c r="I6236" s="19" t="str">
        <f>IFERROR(__xludf.DUMMYFUNCTION("IFERROR(TO_DATE(H6236), """")"),"NA")</f>
        <v>NA</v>
      </c>
      <c r="J6236" s="19" t="s">
        <v>11</v>
      </c>
      <c r="K6236" s="22">
        <f t="shared" si="2"/>
        <v>0</v>
      </c>
    </row>
    <row r="6237">
      <c r="A6237" s="18">
        <v>5539.0</v>
      </c>
      <c r="B6237" s="18" t="s">
        <v>32</v>
      </c>
      <c r="C6237" s="18" t="s">
        <v>34</v>
      </c>
      <c r="D6237" s="18" t="s">
        <v>35</v>
      </c>
      <c r="E6237" s="27">
        <v>42566.22613425926</v>
      </c>
      <c r="F6237" s="19">
        <f>IFERROR(__xludf.DUMMYFUNCTION("IFERROR(TO_DATE(E6237), """")"),42566.22613425926)</f>
        <v>42566.22613</v>
      </c>
      <c r="G6237" s="20">
        <f t="shared" si="1"/>
        <v>5</v>
      </c>
      <c r="H6237" s="18" t="s">
        <v>34</v>
      </c>
      <c r="I6237" s="19" t="str">
        <f>IFERROR(__xludf.DUMMYFUNCTION("IFERROR(TO_DATE(H6237), """")"),"NA")</f>
        <v>NA</v>
      </c>
      <c r="J6237" s="19" t="s">
        <v>11</v>
      </c>
      <c r="K6237" s="22">
        <f t="shared" si="2"/>
        <v>0</v>
      </c>
    </row>
    <row r="6238">
      <c r="A6238" s="18">
        <v>5542.0</v>
      </c>
      <c r="B6238" s="18" t="s">
        <v>32</v>
      </c>
      <c r="C6238" s="18" t="s">
        <v>34</v>
      </c>
      <c r="D6238" s="18" t="s">
        <v>35</v>
      </c>
      <c r="E6238" s="27">
        <v>42566.22782407407</v>
      </c>
      <c r="F6238" s="19">
        <f>IFERROR(__xludf.DUMMYFUNCTION("IFERROR(TO_DATE(E6238), """")"),42566.22782407407)</f>
        <v>42566.22782</v>
      </c>
      <c r="G6238" s="20">
        <f t="shared" si="1"/>
        <v>5</v>
      </c>
      <c r="H6238" s="18" t="s">
        <v>34</v>
      </c>
      <c r="I6238" s="19" t="str">
        <f>IFERROR(__xludf.DUMMYFUNCTION("IFERROR(TO_DATE(H6238), """")"),"NA")</f>
        <v>NA</v>
      </c>
      <c r="J6238" s="19" t="s">
        <v>11</v>
      </c>
      <c r="K6238" s="22">
        <f t="shared" si="2"/>
        <v>0</v>
      </c>
    </row>
    <row r="6239">
      <c r="A6239" s="18">
        <v>5541.0</v>
      </c>
      <c r="B6239" s="18" t="s">
        <v>32</v>
      </c>
      <c r="C6239" s="18" t="s">
        <v>34</v>
      </c>
      <c r="D6239" s="18" t="s">
        <v>35</v>
      </c>
      <c r="E6239" s="27">
        <v>42566.22835648148</v>
      </c>
      <c r="F6239" s="19">
        <f>IFERROR(__xludf.DUMMYFUNCTION("IFERROR(TO_DATE(E6239), """")"),42566.22835648148)</f>
        <v>42566.22836</v>
      </c>
      <c r="G6239" s="20">
        <f t="shared" si="1"/>
        <v>5</v>
      </c>
      <c r="H6239" s="18" t="s">
        <v>34</v>
      </c>
      <c r="I6239" s="19" t="str">
        <f>IFERROR(__xludf.DUMMYFUNCTION("IFERROR(TO_DATE(H6239), """")"),"NA")</f>
        <v>NA</v>
      </c>
      <c r="J6239" s="19" t="s">
        <v>11</v>
      </c>
      <c r="K6239" s="22">
        <f t="shared" si="2"/>
        <v>0</v>
      </c>
    </row>
    <row r="6240">
      <c r="A6240" s="18">
        <v>5546.0</v>
      </c>
      <c r="B6240" s="18" t="s">
        <v>32</v>
      </c>
      <c r="C6240" s="18" t="s">
        <v>34</v>
      </c>
      <c r="D6240" s="18" t="s">
        <v>35</v>
      </c>
      <c r="E6240" s="27">
        <v>42566.231354166666</v>
      </c>
      <c r="F6240" s="19">
        <f>IFERROR(__xludf.DUMMYFUNCTION("IFERROR(TO_DATE(E6240), """")"),42566.231354166666)</f>
        <v>42566.23135</v>
      </c>
      <c r="G6240" s="20">
        <f t="shared" si="1"/>
        <v>5</v>
      </c>
      <c r="H6240" s="18" t="s">
        <v>34</v>
      </c>
      <c r="I6240" s="19" t="str">
        <f>IFERROR(__xludf.DUMMYFUNCTION("IFERROR(TO_DATE(H6240), """")"),"NA")</f>
        <v>NA</v>
      </c>
      <c r="J6240" s="19" t="s">
        <v>11</v>
      </c>
      <c r="K6240" s="22">
        <f t="shared" si="2"/>
        <v>0</v>
      </c>
    </row>
    <row r="6241">
      <c r="A6241" s="18">
        <v>5550.0</v>
      </c>
      <c r="B6241" s="18" t="s">
        <v>32</v>
      </c>
      <c r="C6241" s="18" t="s">
        <v>34</v>
      </c>
      <c r="D6241" s="18" t="s">
        <v>35</v>
      </c>
      <c r="E6241" s="27">
        <v>42566.23137731481</v>
      </c>
      <c r="F6241" s="19">
        <f>IFERROR(__xludf.DUMMYFUNCTION("IFERROR(TO_DATE(E6241), """")"),42566.23137731481)</f>
        <v>42566.23138</v>
      </c>
      <c r="G6241" s="20">
        <f t="shared" si="1"/>
        <v>5</v>
      </c>
      <c r="H6241" s="18" t="s">
        <v>34</v>
      </c>
      <c r="I6241" s="19" t="str">
        <f>IFERROR(__xludf.DUMMYFUNCTION("IFERROR(TO_DATE(H6241), """")"),"NA")</f>
        <v>NA</v>
      </c>
      <c r="J6241" s="19" t="s">
        <v>11</v>
      </c>
      <c r="K6241" s="22">
        <f t="shared" si="2"/>
        <v>0</v>
      </c>
    </row>
    <row r="6242">
      <c r="A6242" s="18">
        <v>5561.0</v>
      </c>
      <c r="B6242" s="18" t="s">
        <v>32</v>
      </c>
      <c r="C6242" s="18" t="s">
        <v>34</v>
      </c>
      <c r="D6242" s="18" t="s">
        <v>35</v>
      </c>
      <c r="E6242" s="27">
        <v>42566.23643518519</v>
      </c>
      <c r="F6242" s="19">
        <f>IFERROR(__xludf.DUMMYFUNCTION("IFERROR(TO_DATE(E6242), """")"),42566.23643518519)</f>
        <v>42566.23644</v>
      </c>
      <c r="G6242" s="20">
        <f t="shared" si="1"/>
        <v>5</v>
      </c>
      <c r="H6242" s="18" t="s">
        <v>34</v>
      </c>
      <c r="I6242" s="19" t="str">
        <f>IFERROR(__xludf.DUMMYFUNCTION("IFERROR(TO_DATE(H6242), """")"),"NA")</f>
        <v>NA</v>
      </c>
      <c r="J6242" s="19" t="s">
        <v>11</v>
      </c>
      <c r="K6242" s="22">
        <f t="shared" si="2"/>
        <v>0</v>
      </c>
    </row>
    <row r="6243">
      <c r="A6243" s="18">
        <v>5562.0</v>
      </c>
      <c r="B6243" s="18" t="s">
        <v>30</v>
      </c>
      <c r="C6243" s="18" t="s">
        <v>34</v>
      </c>
      <c r="D6243" s="18" t="s">
        <v>35</v>
      </c>
      <c r="E6243" s="27">
        <v>42566.23862268519</v>
      </c>
      <c r="F6243" s="19">
        <f>IFERROR(__xludf.DUMMYFUNCTION("IFERROR(TO_DATE(E6243), """")"),42566.23862268519)</f>
        <v>42566.23862</v>
      </c>
      <c r="G6243" s="20">
        <f t="shared" si="1"/>
        <v>5</v>
      </c>
      <c r="H6243" s="18" t="s">
        <v>34</v>
      </c>
      <c r="I6243" s="19" t="str">
        <f>IFERROR(__xludf.DUMMYFUNCTION("IFERROR(TO_DATE(H6243), """")"),"NA")</f>
        <v>NA</v>
      </c>
      <c r="J6243" s="19" t="s">
        <v>11</v>
      </c>
      <c r="K6243" s="22">
        <f t="shared" si="2"/>
        <v>0</v>
      </c>
    </row>
    <row r="6244">
      <c r="A6244" s="18">
        <v>5563.0</v>
      </c>
      <c r="B6244" s="18" t="s">
        <v>32</v>
      </c>
      <c r="C6244" s="18" t="s">
        <v>34</v>
      </c>
      <c r="D6244" s="18" t="s">
        <v>35</v>
      </c>
      <c r="E6244" s="27">
        <v>42566.239849537036</v>
      </c>
      <c r="F6244" s="19">
        <f>IFERROR(__xludf.DUMMYFUNCTION("IFERROR(TO_DATE(E6244), """")"),42566.239849537036)</f>
        <v>42566.23985</v>
      </c>
      <c r="G6244" s="20">
        <f t="shared" si="1"/>
        <v>5</v>
      </c>
      <c r="H6244" s="18" t="s">
        <v>34</v>
      </c>
      <c r="I6244" s="19" t="str">
        <f>IFERROR(__xludf.DUMMYFUNCTION("IFERROR(TO_DATE(H6244), """")"),"NA")</f>
        <v>NA</v>
      </c>
      <c r="J6244" s="19" t="s">
        <v>11</v>
      </c>
      <c r="K6244" s="22">
        <f t="shared" si="2"/>
        <v>0</v>
      </c>
    </row>
    <row r="6245">
      <c r="A6245" s="18">
        <v>5567.0</v>
      </c>
      <c r="B6245" s="18" t="s">
        <v>32</v>
      </c>
      <c r="C6245" s="18" t="s">
        <v>34</v>
      </c>
      <c r="D6245" s="18" t="s">
        <v>35</v>
      </c>
      <c r="E6245" s="27">
        <v>42566.24193287037</v>
      </c>
      <c r="F6245" s="19">
        <f>IFERROR(__xludf.DUMMYFUNCTION("IFERROR(TO_DATE(E6245), """")"),42566.24193287037)</f>
        <v>42566.24193</v>
      </c>
      <c r="G6245" s="20">
        <f t="shared" si="1"/>
        <v>5</v>
      </c>
      <c r="H6245" s="18" t="s">
        <v>34</v>
      </c>
      <c r="I6245" s="19" t="str">
        <f>IFERROR(__xludf.DUMMYFUNCTION("IFERROR(TO_DATE(H6245), """")"),"NA")</f>
        <v>NA</v>
      </c>
      <c r="J6245" s="19" t="s">
        <v>11</v>
      </c>
      <c r="K6245" s="22">
        <f t="shared" si="2"/>
        <v>0</v>
      </c>
    </row>
    <row r="6246">
      <c r="A6246" s="18">
        <v>5571.0</v>
      </c>
      <c r="B6246" s="18" t="s">
        <v>32</v>
      </c>
      <c r="C6246" s="18" t="s">
        <v>34</v>
      </c>
      <c r="D6246" s="18" t="s">
        <v>35</v>
      </c>
      <c r="E6246" s="27">
        <v>42566.244571759256</v>
      </c>
      <c r="F6246" s="19">
        <f>IFERROR(__xludf.DUMMYFUNCTION("IFERROR(TO_DATE(E6246), """")"),42566.244571759256)</f>
        <v>42566.24457</v>
      </c>
      <c r="G6246" s="20">
        <f t="shared" si="1"/>
        <v>5</v>
      </c>
      <c r="H6246" s="18" t="s">
        <v>34</v>
      </c>
      <c r="I6246" s="19" t="str">
        <f>IFERROR(__xludf.DUMMYFUNCTION("IFERROR(TO_DATE(H6246), """")"),"NA")</f>
        <v>NA</v>
      </c>
      <c r="J6246" s="19" t="s">
        <v>11</v>
      </c>
      <c r="K6246" s="22">
        <f t="shared" si="2"/>
        <v>0</v>
      </c>
    </row>
    <row r="6247">
      <c r="A6247" s="18">
        <v>5589.0</v>
      </c>
      <c r="B6247" s="18" t="s">
        <v>32</v>
      </c>
      <c r="C6247" s="18" t="s">
        <v>34</v>
      </c>
      <c r="D6247" s="18" t="s">
        <v>35</v>
      </c>
      <c r="E6247" s="27">
        <v>42566.246342592596</v>
      </c>
      <c r="F6247" s="19">
        <f>IFERROR(__xludf.DUMMYFUNCTION("IFERROR(TO_DATE(E6247), """")"),42566.246342592596)</f>
        <v>42566.24634</v>
      </c>
      <c r="G6247" s="20">
        <f t="shared" si="1"/>
        <v>5</v>
      </c>
      <c r="H6247" s="18" t="s">
        <v>34</v>
      </c>
      <c r="I6247" s="19" t="str">
        <f>IFERROR(__xludf.DUMMYFUNCTION("IFERROR(TO_DATE(H6247), """")"),"NA")</f>
        <v>NA</v>
      </c>
      <c r="J6247" s="19" t="s">
        <v>11</v>
      </c>
      <c r="K6247" s="22">
        <f t="shared" si="2"/>
        <v>0</v>
      </c>
    </row>
    <row r="6248">
      <c r="A6248" s="18">
        <v>5574.0</v>
      </c>
      <c r="B6248" s="18" t="s">
        <v>32</v>
      </c>
      <c r="C6248" s="18" t="s">
        <v>34</v>
      </c>
      <c r="D6248" s="18" t="s">
        <v>35</v>
      </c>
      <c r="E6248" s="27">
        <v>42566.24665509259</v>
      </c>
      <c r="F6248" s="19">
        <f>IFERROR(__xludf.DUMMYFUNCTION("IFERROR(TO_DATE(E6248), """")"),42566.24665509259)</f>
        <v>42566.24666</v>
      </c>
      <c r="G6248" s="20">
        <f t="shared" si="1"/>
        <v>5</v>
      </c>
      <c r="H6248" s="18" t="s">
        <v>34</v>
      </c>
      <c r="I6248" s="19" t="str">
        <f>IFERROR(__xludf.DUMMYFUNCTION("IFERROR(TO_DATE(H6248), """")"),"NA")</f>
        <v>NA</v>
      </c>
      <c r="J6248" s="19" t="s">
        <v>11</v>
      </c>
      <c r="K6248" s="22">
        <f t="shared" si="2"/>
        <v>0</v>
      </c>
    </row>
    <row r="6249">
      <c r="A6249" s="18">
        <v>5579.0</v>
      </c>
      <c r="B6249" s="18" t="s">
        <v>32</v>
      </c>
      <c r="C6249" s="18" t="s">
        <v>34</v>
      </c>
      <c r="D6249" s="18" t="s">
        <v>35</v>
      </c>
      <c r="E6249" s="27">
        <v>42566.24787037037</v>
      </c>
      <c r="F6249" s="19">
        <f>IFERROR(__xludf.DUMMYFUNCTION("IFERROR(TO_DATE(E6249), """")"),42566.24787037037)</f>
        <v>42566.24787</v>
      </c>
      <c r="G6249" s="20">
        <f t="shared" si="1"/>
        <v>5</v>
      </c>
      <c r="H6249" s="18" t="s">
        <v>34</v>
      </c>
      <c r="I6249" s="19" t="str">
        <f>IFERROR(__xludf.DUMMYFUNCTION("IFERROR(TO_DATE(H6249), """")"),"NA")</f>
        <v>NA</v>
      </c>
      <c r="J6249" s="19" t="s">
        <v>11</v>
      </c>
      <c r="K6249" s="22">
        <f t="shared" si="2"/>
        <v>0</v>
      </c>
    </row>
    <row r="6250">
      <c r="A6250" s="18">
        <v>5588.0</v>
      </c>
      <c r="B6250" s="18" t="s">
        <v>32</v>
      </c>
      <c r="C6250" s="18" t="s">
        <v>34</v>
      </c>
      <c r="D6250" s="18" t="s">
        <v>35</v>
      </c>
      <c r="E6250" s="27">
        <v>42566.24899305555</v>
      </c>
      <c r="F6250" s="19">
        <f>IFERROR(__xludf.DUMMYFUNCTION("IFERROR(TO_DATE(E6250), """")"),42566.24899305555)</f>
        <v>42566.24899</v>
      </c>
      <c r="G6250" s="20">
        <f t="shared" si="1"/>
        <v>5</v>
      </c>
      <c r="H6250" s="18" t="s">
        <v>34</v>
      </c>
      <c r="I6250" s="19" t="str">
        <f>IFERROR(__xludf.DUMMYFUNCTION("IFERROR(TO_DATE(H6250), """")"),"NA")</f>
        <v>NA</v>
      </c>
      <c r="J6250" s="19" t="s">
        <v>11</v>
      </c>
      <c r="K6250" s="22">
        <f t="shared" si="2"/>
        <v>0</v>
      </c>
    </row>
    <row r="6251">
      <c r="A6251" s="18">
        <v>5593.0</v>
      </c>
      <c r="B6251" s="18" t="s">
        <v>32</v>
      </c>
      <c r="C6251" s="18" t="s">
        <v>34</v>
      </c>
      <c r="D6251" s="18" t="s">
        <v>35</v>
      </c>
      <c r="E6251" s="27">
        <v>42566.25158564815</v>
      </c>
      <c r="F6251" s="19">
        <f>IFERROR(__xludf.DUMMYFUNCTION("IFERROR(TO_DATE(E6251), """")"),42566.25158564815)</f>
        <v>42566.25159</v>
      </c>
      <c r="G6251" s="20">
        <f t="shared" si="1"/>
        <v>6</v>
      </c>
      <c r="H6251" s="18" t="s">
        <v>34</v>
      </c>
      <c r="I6251" s="19" t="str">
        <f>IFERROR(__xludf.DUMMYFUNCTION("IFERROR(TO_DATE(H6251), """")"),"NA")</f>
        <v>NA</v>
      </c>
      <c r="J6251" s="19" t="s">
        <v>11</v>
      </c>
      <c r="K6251" s="22">
        <f t="shared" si="2"/>
        <v>0</v>
      </c>
    </row>
    <row r="6252">
      <c r="A6252" s="18">
        <v>5599.0</v>
      </c>
      <c r="B6252" s="18" t="s">
        <v>32</v>
      </c>
      <c r="C6252" s="18" t="s">
        <v>34</v>
      </c>
      <c r="D6252" s="18" t="s">
        <v>35</v>
      </c>
      <c r="E6252" s="27">
        <v>42566.256377314814</v>
      </c>
      <c r="F6252" s="19">
        <f>IFERROR(__xludf.DUMMYFUNCTION("IFERROR(TO_DATE(E6252), """")"),42566.256377314814)</f>
        <v>42566.25638</v>
      </c>
      <c r="G6252" s="20">
        <f t="shared" si="1"/>
        <v>6</v>
      </c>
      <c r="H6252" s="18" t="s">
        <v>34</v>
      </c>
      <c r="I6252" s="19" t="str">
        <f>IFERROR(__xludf.DUMMYFUNCTION("IFERROR(TO_DATE(H6252), """")"),"NA")</f>
        <v>NA</v>
      </c>
      <c r="J6252" s="19" t="s">
        <v>11</v>
      </c>
      <c r="K6252" s="22">
        <f t="shared" si="2"/>
        <v>0</v>
      </c>
    </row>
    <row r="6253">
      <c r="A6253" s="18">
        <v>5601.0</v>
      </c>
      <c r="B6253" s="18" t="s">
        <v>30</v>
      </c>
      <c r="C6253" s="18" t="s">
        <v>34</v>
      </c>
      <c r="D6253" s="18" t="s">
        <v>35</v>
      </c>
      <c r="E6253" s="27">
        <v>42566.25685185185</v>
      </c>
      <c r="F6253" s="19">
        <f>IFERROR(__xludf.DUMMYFUNCTION("IFERROR(TO_DATE(E6253), """")"),42566.25685185185)</f>
        <v>42566.25685</v>
      </c>
      <c r="G6253" s="20">
        <f t="shared" si="1"/>
        <v>6</v>
      </c>
      <c r="H6253" s="18" t="s">
        <v>34</v>
      </c>
      <c r="I6253" s="19" t="str">
        <f>IFERROR(__xludf.DUMMYFUNCTION("IFERROR(TO_DATE(H6253), """")"),"NA")</f>
        <v>NA</v>
      </c>
      <c r="J6253" s="19" t="s">
        <v>11</v>
      </c>
      <c r="K6253" s="22">
        <f t="shared" si="2"/>
        <v>0</v>
      </c>
    </row>
    <row r="6254">
      <c r="A6254" s="18">
        <v>5595.0</v>
      </c>
      <c r="B6254" s="18" t="s">
        <v>32</v>
      </c>
      <c r="C6254" s="18" t="s">
        <v>34</v>
      </c>
      <c r="D6254" s="18" t="s">
        <v>35</v>
      </c>
      <c r="E6254" s="27">
        <v>42566.25701388889</v>
      </c>
      <c r="F6254" s="19">
        <f>IFERROR(__xludf.DUMMYFUNCTION("IFERROR(TO_DATE(E6254), """")"),42566.25701388889)</f>
        <v>42566.25701</v>
      </c>
      <c r="G6254" s="20">
        <f t="shared" si="1"/>
        <v>6</v>
      </c>
      <c r="H6254" s="18" t="s">
        <v>34</v>
      </c>
      <c r="I6254" s="19" t="str">
        <f>IFERROR(__xludf.DUMMYFUNCTION("IFERROR(TO_DATE(H6254), """")"),"NA")</f>
        <v>NA</v>
      </c>
      <c r="J6254" s="19" t="s">
        <v>11</v>
      </c>
      <c r="K6254" s="22">
        <f t="shared" si="2"/>
        <v>0</v>
      </c>
    </row>
    <row r="6255">
      <c r="A6255" s="18">
        <v>5602.0</v>
      </c>
      <c r="B6255" s="18" t="s">
        <v>32</v>
      </c>
      <c r="C6255" s="18" t="s">
        <v>34</v>
      </c>
      <c r="D6255" s="18" t="s">
        <v>35</v>
      </c>
      <c r="E6255" s="27">
        <v>42566.257372685184</v>
      </c>
      <c r="F6255" s="19">
        <f>IFERROR(__xludf.DUMMYFUNCTION("IFERROR(TO_DATE(E6255), """")"),42566.257372685184)</f>
        <v>42566.25737</v>
      </c>
      <c r="G6255" s="20">
        <f t="shared" si="1"/>
        <v>6</v>
      </c>
      <c r="H6255" s="18" t="s">
        <v>34</v>
      </c>
      <c r="I6255" s="19" t="str">
        <f>IFERROR(__xludf.DUMMYFUNCTION("IFERROR(TO_DATE(H6255), """")"),"NA")</f>
        <v>NA</v>
      </c>
      <c r="J6255" s="19" t="s">
        <v>11</v>
      </c>
      <c r="K6255" s="22">
        <f t="shared" si="2"/>
        <v>0</v>
      </c>
    </row>
    <row r="6256">
      <c r="A6256" s="18">
        <v>5592.0</v>
      </c>
      <c r="B6256" s="18" t="s">
        <v>32</v>
      </c>
      <c r="C6256" s="18" t="s">
        <v>34</v>
      </c>
      <c r="D6256" s="18" t="s">
        <v>35</v>
      </c>
      <c r="E6256" s="27">
        <v>42566.25761574074</v>
      </c>
      <c r="F6256" s="19">
        <f>IFERROR(__xludf.DUMMYFUNCTION("IFERROR(TO_DATE(E6256), """")"),42566.25761574074)</f>
        <v>42566.25762</v>
      </c>
      <c r="G6256" s="20">
        <f t="shared" si="1"/>
        <v>6</v>
      </c>
      <c r="H6256" s="18" t="s">
        <v>34</v>
      </c>
      <c r="I6256" s="19" t="str">
        <f>IFERROR(__xludf.DUMMYFUNCTION("IFERROR(TO_DATE(H6256), """")"),"NA")</f>
        <v>NA</v>
      </c>
      <c r="J6256" s="19" t="s">
        <v>11</v>
      </c>
      <c r="K6256" s="22">
        <f t="shared" si="2"/>
        <v>0</v>
      </c>
    </row>
    <row r="6257">
      <c r="A6257" s="18">
        <v>5610.0</v>
      </c>
      <c r="B6257" s="18" t="s">
        <v>32</v>
      </c>
      <c r="C6257" s="18" t="s">
        <v>34</v>
      </c>
      <c r="D6257" s="18" t="s">
        <v>35</v>
      </c>
      <c r="E6257" s="27">
        <v>42566.26150462963</v>
      </c>
      <c r="F6257" s="19">
        <f>IFERROR(__xludf.DUMMYFUNCTION("IFERROR(TO_DATE(E6257), """")"),42566.26150462963)</f>
        <v>42566.2615</v>
      </c>
      <c r="G6257" s="20">
        <f t="shared" si="1"/>
        <v>6</v>
      </c>
      <c r="H6257" s="18" t="s">
        <v>34</v>
      </c>
      <c r="I6257" s="19" t="str">
        <f>IFERROR(__xludf.DUMMYFUNCTION("IFERROR(TO_DATE(H6257), """")"),"NA")</f>
        <v>NA</v>
      </c>
      <c r="J6257" s="19" t="s">
        <v>11</v>
      </c>
      <c r="K6257" s="22">
        <f t="shared" si="2"/>
        <v>0</v>
      </c>
    </row>
    <row r="6258">
      <c r="A6258" s="18">
        <v>5607.0</v>
      </c>
      <c r="B6258" s="18" t="s">
        <v>32</v>
      </c>
      <c r="C6258" s="18" t="s">
        <v>34</v>
      </c>
      <c r="D6258" s="18" t="s">
        <v>35</v>
      </c>
      <c r="E6258" s="27">
        <v>42566.263090277775</v>
      </c>
      <c r="F6258" s="19">
        <f>IFERROR(__xludf.DUMMYFUNCTION("IFERROR(TO_DATE(E6258), """")"),42566.263090277775)</f>
        <v>42566.26309</v>
      </c>
      <c r="G6258" s="20">
        <f t="shared" si="1"/>
        <v>6</v>
      </c>
      <c r="H6258" s="18" t="s">
        <v>34</v>
      </c>
      <c r="I6258" s="19" t="str">
        <f>IFERROR(__xludf.DUMMYFUNCTION("IFERROR(TO_DATE(H6258), """")"),"NA")</f>
        <v>NA</v>
      </c>
      <c r="J6258" s="19" t="s">
        <v>11</v>
      </c>
      <c r="K6258" s="22">
        <f t="shared" si="2"/>
        <v>0</v>
      </c>
    </row>
    <row r="6259">
      <c r="A6259" s="18">
        <v>5616.0</v>
      </c>
      <c r="B6259" s="18" t="s">
        <v>32</v>
      </c>
      <c r="C6259" s="18" t="s">
        <v>34</v>
      </c>
      <c r="D6259" s="18" t="s">
        <v>35</v>
      </c>
      <c r="E6259" s="27">
        <v>42566.26461805555</v>
      </c>
      <c r="F6259" s="19">
        <f>IFERROR(__xludf.DUMMYFUNCTION("IFERROR(TO_DATE(E6259), """")"),42566.26461805555)</f>
        <v>42566.26462</v>
      </c>
      <c r="G6259" s="20">
        <f t="shared" si="1"/>
        <v>6</v>
      </c>
      <c r="H6259" s="18" t="s">
        <v>34</v>
      </c>
      <c r="I6259" s="19" t="str">
        <f>IFERROR(__xludf.DUMMYFUNCTION("IFERROR(TO_DATE(H6259), """")"),"NA")</f>
        <v>NA</v>
      </c>
      <c r="J6259" s="19" t="s">
        <v>11</v>
      </c>
      <c r="K6259" s="22">
        <f t="shared" si="2"/>
        <v>0</v>
      </c>
    </row>
    <row r="6260">
      <c r="A6260" s="18">
        <v>5611.0</v>
      </c>
      <c r="B6260" s="18" t="s">
        <v>32</v>
      </c>
      <c r="C6260" s="18" t="s">
        <v>34</v>
      </c>
      <c r="D6260" s="18" t="s">
        <v>35</v>
      </c>
      <c r="E6260" s="27">
        <v>42566.264756944445</v>
      </c>
      <c r="F6260" s="19">
        <f>IFERROR(__xludf.DUMMYFUNCTION("IFERROR(TO_DATE(E6260), """")"),42566.264756944445)</f>
        <v>42566.26476</v>
      </c>
      <c r="G6260" s="20">
        <f t="shared" si="1"/>
        <v>6</v>
      </c>
      <c r="H6260" s="18" t="s">
        <v>34</v>
      </c>
      <c r="I6260" s="19" t="str">
        <f>IFERROR(__xludf.DUMMYFUNCTION("IFERROR(TO_DATE(H6260), """")"),"NA")</f>
        <v>NA</v>
      </c>
      <c r="J6260" s="19" t="s">
        <v>11</v>
      </c>
      <c r="K6260" s="22">
        <f t="shared" si="2"/>
        <v>0</v>
      </c>
    </row>
    <row r="6261">
      <c r="A6261" s="18">
        <v>5624.0</v>
      </c>
      <c r="B6261" s="18" t="s">
        <v>32</v>
      </c>
      <c r="C6261" s="18" t="s">
        <v>34</v>
      </c>
      <c r="D6261" s="18" t="s">
        <v>35</v>
      </c>
      <c r="E6261" s="27">
        <v>42566.27070601852</v>
      </c>
      <c r="F6261" s="19">
        <f>IFERROR(__xludf.DUMMYFUNCTION("IFERROR(TO_DATE(E6261), """")"),42566.27070601852)</f>
        <v>42566.27071</v>
      </c>
      <c r="G6261" s="20">
        <f t="shared" si="1"/>
        <v>6</v>
      </c>
      <c r="H6261" s="18" t="s">
        <v>34</v>
      </c>
      <c r="I6261" s="19" t="str">
        <f>IFERROR(__xludf.DUMMYFUNCTION("IFERROR(TO_DATE(H6261), """")"),"NA")</f>
        <v>NA</v>
      </c>
      <c r="J6261" s="19" t="s">
        <v>11</v>
      </c>
      <c r="K6261" s="22">
        <f t="shared" si="2"/>
        <v>0</v>
      </c>
    </row>
    <row r="6262">
      <c r="A6262" s="18">
        <v>5625.0</v>
      </c>
      <c r="B6262" s="18" t="s">
        <v>32</v>
      </c>
      <c r="C6262" s="18" t="s">
        <v>34</v>
      </c>
      <c r="D6262" s="18" t="s">
        <v>35</v>
      </c>
      <c r="E6262" s="27">
        <v>42566.27165509259</v>
      </c>
      <c r="F6262" s="19">
        <f>IFERROR(__xludf.DUMMYFUNCTION("IFERROR(TO_DATE(E6262), """")"),42566.27165509259)</f>
        <v>42566.27166</v>
      </c>
      <c r="G6262" s="20">
        <f t="shared" si="1"/>
        <v>6</v>
      </c>
      <c r="H6262" s="18" t="s">
        <v>34</v>
      </c>
      <c r="I6262" s="19" t="str">
        <f>IFERROR(__xludf.DUMMYFUNCTION("IFERROR(TO_DATE(H6262), """")"),"NA")</f>
        <v>NA</v>
      </c>
      <c r="J6262" s="19" t="s">
        <v>11</v>
      </c>
      <c r="K6262" s="22">
        <f t="shared" si="2"/>
        <v>0</v>
      </c>
    </row>
    <row r="6263">
      <c r="A6263" s="18">
        <v>5620.0</v>
      </c>
      <c r="B6263" s="18" t="s">
        <v>32</v>
      </c>
      <c r="C6263" s="18" t="s">
        <v>34</v>
      </c>
      <c r="D6263" s="18" t="s">
        <v>35</v>
      </c>
      <c r="E6263" s="27">
        <v>42566.274247685185</v>
      </c>
      <c r="F6263" s="19">
        <f>IFERROR(__xludf.DUMMYFUNCTION("IFERROR(TO_DATE(E6263), """")"),42566.274247685185)</f>
        <v>42566.27425</v>
      </c>
      <c r="G6263" s="20">
        <f t="shared" si="1"/>
        <v>6</v>
      </c>
      <c r="H6263" s="18" t="s">
        <v>34</v>
      </c>
      <c r="I6263" s="19" t="str">
        <f>IFERROR(__xludf.DUMMYFUNCTION("IFERROR(TO_DATE(H6263), """")"),"NA")</f>
        <v>NA</v>
      </c>
      <c r="J6263" s="19" t="s">
        <v>11</v>
      </c>
      <c r="K6263" s="22">
        <f t="shared" si="2"/>
        <v>0</v>
      </c>
    </row>
    <row r="6264">
      <c r="A6264" s="18">
        <v>5633.0</v>
      </c>
      <c r="B6264" s="18" t="s">
        <v>32</v>
      </c>
      <c r="C6264" s="18" t="s">
        <v>34</v>
      </c>
      <c r="D6264" s="18" t="s">
        <v>35</v>
      </c>
      <c r="E6264" s="27">
        <v>42566.27878472222</v>
      </c>
      <c r="F6264" s="19">
        <f>IFERROR(__xludf.DUMMYFUNCTION("IFERROR(TO_DATE(E6264), """")"),42566.27878472222)</f>
        <v>42566.27878</v>
      </c>
      <c r="G6264" s="20">
        <f t="shared" si="1"/>
        <v>6</v>
      </c>
      <c r="H6264" s="18" t="s">
        <v>34</v>
      </c>
      <c r="I6264" s="19" t="str">
        <f>IFERROR(__xludf.DUMMYFUNCTION("IFERROR(TO_DATE(H6264), """")"),"NA")</f>
        <v>NA</v>
      </c>
      <c r="J6264" s="19" t="s">
        <v>11</v>
      </c>
      <c r="K6264" s="22">
        <f t="shared" si="2"/>
        <v>0</v>
      </c>
    </row>
    <row r="6265">
      <c r="A6265" s="18">
        <v>5670.0</v>
      </c>
      <c r="B6265" s="18" t="s">
        <v>32</v>
      </c>
      <c r="C6265" s="18" t="s">
        <v>34</v>
      </c>
      <c r="D6265" s="18" t="s">
        <v>35</v>
      </c>
      <c r="E6265" s="27">
        <v>42566.29004629629</v>
      </c>
      <c r="F6265" s="19">
        <f>IFERROR(__xludf.DUMMYFUNCTION("IFERROR(TO_DATE(E6265), """")"),42566.29004629629)</f>
        <v>42566.29005</v>
      </c>
      <c r="G6265" s="20">
        <f t="shared" si="1"/>
        <v>6</v>
      </c>
      <c r="H6265" s="18" t="s">
        <v>34</v>
      </c>
      <c r="I6265" s="19" t="str">
        <f>IFERROR(__xludf.DUMMYFUNCTION("IFERROR(TO_DATE(H6265), """")"),"NA")</f>
        <v>NA</v>
      </c>
      <c r="J6265" s="19" t="s">
        <v>11</v>
      </c>
      <c r="K6265" s="22">
        <f t="shared" si="2"/>
        <v>0</v>
      </c>
    </row>
    <row r="6266">
      <c r="A6266" s="18">
        <v>5657.0</v>
      </c>
      <c r="B6266" s="18" t="s">
        <v>32</v>
      </c>
      <c r="C6266" s="18" t="s">
        <v>34</v>
      </c>
      <c r="D6266" s="18" t="s">
        <v>35</v>
      </c>
      <c r="E6266" s="27">
        <v>42566.29236111111</v>
      </c>
      <c r="F6266" s="19">
        <f>IFERROR(__xludf.DUMMYFUNCTION("IFERROR(TO_DATE(E6266), """")"),42566.29236111111)</f>
        <v>42566.29236</v>
      </c>
      <c r="G6266" s="20">
        <f t="shared" si="1"/>
        <v>7</v>
      </c>
      <c r="H6266" s="18" t="s">
        <v>34</v>
      </c>
      <c r="I6266" s="19" t="str">
        <f>IFERROR(__xludf.DUMMYFUNCTION("IFERROR(TO_DATE(H6266), """")"),"NA")</f>
        <v>NA</v>
      </c>
      <c r="J6266" s="19" t="s">
        <v>11</v>
      </c>
      <c r="K6266" s="22">
        <f t="shared" si="2"/>
        <v>0</v>
      </c>
    </row>
    <row r="6267">
      <c r="A6267" s="18">
        <v>5669.0</v>
      </c>
      <c r="B6267" s="18" t="s">
        <v>32</v>
      </c>
      <c r="C6267" s="18" t="s">
        <v>34</v>
      </c>
      <c r="D6267" s="18" t="s">
        <v>35</v>
      </c>
      <c r="E6267" s="27">
        <v>42566.29346064815</v>
      </c>
      <c r="F6267" s="19">
        <f>IFERROR(__xludf.DUMMYFUNCTION("IFERROR(TO_DATE(E6267), """")"),42566.29346064815)</f>
        <v>42566.29346</v>
      </c>
      <c r="G6267" s="20">
        <f t="shared" si="1"/>
        <v>7</v>
      </c>
      <c r="H6267" s="18" t="s">
        <v>34</v>
      </c>
      <c r="I6267" s="19" t="str">
        <f>IFERROR(__xludf.DUMMYFUNCTION("IFERROR(TO_DATE(H6267), """")"),"NA")</f>
        <v>NA</v>
      </c>
      <c r="J6267" s="19" t="s">
        <v>11</v>
      </c>
      <c r="K6267" s="22">
        <f t="shared" si="2"/>
        <v>0</v>
      </c>
    </row>
    <row r="6268">
      <c r="A6268" s="18">
        <v>5658.0</v>
      </c>
      <c r="B6268" s="18" t="s">
        <v>32</v>
      </c>
      <c r="C6268" s="18" t="s">
        <v>34</v>
      </c>
      <c r="D6268" s="18" t="s">
        <v>35</v>
      </c>
      <c r="E6268" s="27">
        <v>42566.293958333335</v>
      </c>
      <c r="F6268" s="19">
        <f>IFERROR(__xludf.DUMMYFUNCTION("IFERROR(TO_DATE(E6268), """")"),42566.293958333335)</f>
        <v>42566.29396</v>
      </c>
      <c r="G6268" s="20">
        <f t="shared" si="1"/>
        <v>7</v>
      </c>
      <c r="H6268" s="18" t="s">
        <v>34</v>
      </c>
      <c r="I6268" s="19" t="str">
        <f>IFERROR(__xludf.DUMMYFUNCTION("IFERROR(TO_DATE(H6268), """")"),"NA")</f>
        <v>NA</v>
      </c>
      <c r="J6268" s="19" t="s">
        <v>11</v>
      </c>
      <c r="K6268" s="22">
        <f t="shared" si="2"/>
        <v>0</v>
      </c>
    </row>
    <row r="6269">
      <c r="A6269" s="18">
        <v>5667.0</v>
      </c>
      <c r="B6269" s="18" t="s">
        <v>32</v>
      </c>
      <c r="C6269" s="18" t="s">
        <v>34</v>
      </c>
      <c r="D6269" s="18" t="s">
        <v>35</v>
      </c>
      <c r="E6269" s="27">
        <v>42566.2971412037</v>
      </c>
      <c r="F6269" s="19">
        <f>IFERROR(__xludf.DUMMYFUNCTION("IFERROR(TO_DATE(E6269), """")"),42566.2971412037)</f>
        <v>42566.29714</v>
      </c>
      <c r="G6269" s="20">
        <f t="shared" si="1"/>
        <v>7</v>
      </c>
      <c r="H6269" s="18" t="s">
        <v>34</v>
      </c>
      <c r="I6269" s="19" t="str">
        <f>IFERROR(__xludf.DUMMYFUNCTION("IFERROR(TO_DATE(H6269), """")"),"NA")</f>
        <v>NA</v>
      </c>
      <c r="J6269" s="19" t="s">
        <v>11</v>
      </c>
      <c r="K6269" s="22">
        <f t="shared" si="2"/>
        <v>0</v>
      </c>
    </row>
    <row r="6270">
      <c r="A6270" s="18">
        <v>5680.0</v>
      </c>
      <c r="B6270" s="18" t="s">
        <v>32</v>
      </c>
      <c r="C6270" s="18" t="s">
        <v>34</v>
      </c>
      <c r="D6270" s="18" t="s">
        <v>35</v>
      </c>
      <c r="E6270" s="27">
        <v>42566.297326388885</v>
      </c>
      <c r="F6270" s="19">
        <f>IFERROR(__xludf.DUMMYFUNCTION("IFERROR(TO_DATE(E6270), """")"),42566.297326388885)</f>
        <v>42566.29733</v>
      </c>
      <c r="G6270" s="20">
        <f t="shared" si="1"/>
        <v>7</v>
      </c>
      <c r="H6270" s="18" t="s">
        <v>34</v>
      </c>
      <c r="I6270" s="19" t="str">
        <f>IFERROR(__xludf.DUMMYFUNCTION("IFERROR(TO_DATE(H6270), """")"),"NA")</f>
        <v>NA</v>
      </c>
      <c r="J6270" s="19" t="s">
        <v>11</v>
      </c>
      <c r="K6270" s="22">
        <f t="shared" si="2"/>
        <v>0</v>
      </c>
    </row>
    <row r="6271">
      <c r="A6271" s="18">
        <v>5684.0</v>
      </c>
      <c r="B6271" s="18" t="s">
        <v>32</v>
      </c>
      <c r="C6271" s="18" t="s">
        <v>34</v>
      </c>
      <c r="D6271" s="18" t="s">
        <v>35</v>
      </c>
      <c r="E6271" s="27">
        <v>42566.30506944445</v>
      </c>
      <c r="F6271" s="19">
        <f>IFERROR(__xludf.DUMMYFUNCTION("IFERROR(TO_DATE(E6271), """")"),42566.30506944445)</f>
        <v>42566.30507</v>
      </c>
      <c r="G6271" s="20">
        <f t="shared" si="1"/>
        <v>7</v>
      </c>
      <c r="H6271" s="18" t="s">
        <v>34</v>
      </c>
      <c r="I6271" s="19" t="str">
        <f>IFERROR(__xludf.DUMMYFUNCTION("IFERROR(TO_DATE(H6271), """")"),"NA")</f>
        <v>NA</v>
      </c>
      <c r="J6271" s="19" t="s">
        <v>11</v>
      </c>
      <c r="K6271" s="22">
        <f t="shared" si="2"/>
        <v>0</v>
      </c>
    </row>
    <row r="6272">
      <c r="A6272" s="18">
        <v>5695.0</v>
      </c>
      <c r="B6272" s="18" t="s">
        <v>32</v>
      </c>
      <c r="C6272" s="18" t="s">
        <v>34</v>
      </c>
      <c r="D6272" s="18" t="s">
        <v>35</v>
      </c>
      <c r="E6272" s="27">
        <v>42566.309953703705</v>
      </c>
      <c r="F6272" s="19">
        <f>IFERROR(__xludf.DUMMYFUNCTION("IFERROR(TO_DATE(E6272), """")"),42566.309953703705)</f>
        <v>42566.30995</v>
      </c>
      <c r="G6272" s="20">
        <f t="shared" si="1"/>
        <v>7</v>
      </c>
      <c r="H6272" s="18" t="s">
        <v>34</v>
      </c>
      <c r="I6272" s="19" t="str">
        <f>IFERROR(__xludf.DUMMYFUNCTION("IFERROR(TO_DATE(H6272), """")"),"NA")</f>
        <v>NA</v>
      </c>
      <c r="J6272" s="19" t="s">
        <v>11</v>
      </c>
      <c r="K6272" s="22">
        <f t="shared" si="2"/>
        <v>0</v>
      </c>
    </row>
    <row r="6273">
      <c r="A6273" s="18">
        <v>5692.0</v>
      </c>
      <c r="B6273" s="18" t="s">
        <v>30</v>
      </c>
      <c r="C6273" s="18" t="s">
        <v>34</v>
      </c>
      <c r="D6273" s="18" t="s">
        <v>35</v>
      </c>
      <c r="E6273" s="27">
        <v>42566.31076388889</v>
      </c>
      <c r="F6273" s="19">
        <f>IFERROR(__xludf.DUMMYFUNCTION("IFERROR(TO_DATE(E6273), """")"),42566.31076388889)</f>
        <v>42566.31076</v>
      </c>
      <c r="G6273" s="20">
        <f t="shared" si="1"/>
        <v>7</v>
      </c>
      <c r="H6273" s="18" t="s">
        <v>34</v>
      </c>
      <c r="I6273" s="19" t="str">
        <f>IFERROR(__xludf.DUMMYFUNCTION("IFERROR(TO_DATE(H6273), """")"),"NA")</f>
        <v>NA</v>
      </c>
      <c r="J6273" s="19" t="s">
        <v>11</v>
      </c>
      <c r="K6273" s="22">
        <f t="shared" si="2"/>
        <v>0</v>
      </c>
    </row>
    <row r="6274">
      <c r="A6274" s="18">
        <v>5693.0</v>
      </c>
      <c r="B6274" s="18" t="s">
        <v>32</v>
      </c>
      <c r="C6274" s="18" t="s">
        <v>34</v>
      </c>
      <c r="D6274" s="18" t="s">
        <v>35</v>
      </c>
      <c r="E6274" s="27">
        <v>42566.310844907406</v>
      </c>
      <c r="F6274" s="19">
        <f>IFERROR(__xludf.DUMMYFUNCTION("IFERROR(TO_DATE(E6274), """")"),42566.310844907406)</f>
        <v>42566.31084</v>
      </c>
      <c r="G6274" s="20">
        <f t="shared" si="1"/>
        <v>7</v>
      </c>
      <c r="H6274" s="18" t="s">
        <v>34</v>
      </c>
      <c r="I6274" s="19" t="str">
        <f>IFERROR(__xludf.DUMMYFUNCTION("IFERROR(TO_DATE(H6274), """")"),"NA")</f>
        <v>NA</v>
      </c>
      <c r="J6274" s="19" t="s">
        <v>11</v>
      </c>
      <c r="K6274" s="22">
        <f t="shared" si="2"/>
        <v>0</v>
      </c>
    </row>
    <row r="6275">
      <c r="A6275" s="18">
        <v>5722.0</v>
      </c>
      <c r="B6275" s="18" t="s">
        <v>32</v>
      </c>
      <c r="C6275" s="18" t="s">
        <v>34</v>
      </c>
      <c r="D6275" s="18" t="s">
        <v>35</v>
      </c>
      <c r="E6275" s="27">
        <v>42566.31900462963</v>
      </c>
      <c r="F6275" s="19">
        <f>IFERROR(__xludf.DUMMYFUNCTION("IFERROR(TO_DATE(E6275), """")"),42566.31900462963)</f>
        <v>42566.319</v>
      </c>
      <c r="G6275" s="20">
        <f t="shared" si="1"/>
        <v>7</v>
      </c>
      <c r="H6275" s="18" t="s">
        <v>34</v>
      </c>
      <c r="I6275" s="19" t="str">
        <f>IFERROR(__xludf.DUMMYFUNCTION("IFERROR(TO_DATE(H6275), """")"),"NA")</f>
        <v>NA</v>
      </c>
      <c r="J6275" s="19" t="s">
        <v>11</v>
      </c>
      <c r="K6275" s="22">
        <f t="shared" si="2"/>
        <v>0</v>
      </c>
    </row>
    <row r="6276">
      <c r="A6276" s="18">
        <v>5712.0</v>
      </c>
      <c r="B6276" s="18" t="s">
        <v>32</v>
      </c>
      <c r="C6276" s="18" t="s">
        <v>34</v>
      </c>
      <c r="D6276" s="18" t="s">
        <v>35</v>
      </c>
      <c r="E6276" s="27">
        <v>42566.31922453704</v>
      </c>
      <c r="F6276" s="19">
        <f>IFERROR(__xludf.DUMMYFUNCTION("IFERROR(TO_DATE(E6276), """")"),42566.31922453704)</f>
        <v>42566.31922</v>
      </c>
      <c r="G6276" s="20">
        <f t="shared" si="1"/>
        <v>7</v>
      </c>
      <c r="H6276" s="18" t="s">
        <v>34</v>
      </c>
      <c r="I6276" s="19" t="str">
        <f>IFERROR(__xludf.DUMMYFUNCTION("IFERROR(TO_DATE(H6276), """")"),"NA")</f>
        <v>NA</v>
      </c>
      <c r="J6276" s="19" t="s">
        <v>11</v>
      </c>
      <c r="K6276" s="22">
        <f t="shared" si="2"/>
        <v>0</v>
      </c>
    </row>
    <row r="6277">
      <c r="A6277" s="18">
        <v>5721.0</v>
      </c>
      <c r="B6277" s="18" t="s">
        <v>32</v>
      </c>
      <c r="C6277" s="18" t="s">
        <v>34</v>
      </c>
      <c r="D6277" s="18" t="s">
        <v>35</v>
      </c>
      <c r="E6277" s="27">
        <v>42566.320231481484</v>
      </c>
      <c r="F6277" s="19">
        <f>IFERROR(__xludf.DUMMYFUNCTION("IFERROR(TO_DATE(E6277), """")"),42566.320231481484)</f>
        <v>42566.32023</v>
      </c>
      <c r="G6277" s="20">
        <f t="shared" si="1"/>
        <v>7</v>
      </c>
      <c r="H6277" s="18" t="s">
        <v>34</v>
      </c>
      <c r="I6277" s="19" t="str">
        <f>IFERROR(__xludf.DUMMYFUNCTION("IFERROR(TO_DATE(H6277), """")"),"NA")</f>
        <v>NA</v>
      </c>
      <c r="J6277" s="19" t="s">
        <v>11</v>
      </c>
      <c r="K6277" s="22">
        <f t="shared" si="2"/>
        <v>0</v>
      </c>
    </row>
    <row r="6278">
      <c r="A6278" s="18">
        <v>5727.0</v>
      </c>
      <c r="B6278" s="18" t="s">
        <v>32</v>
      </c>
      <c r="C6278" s="18" t="s">
        <v>34</v>
      </c>
      <c r="D6278" s="18" t="s">
        <v>35</v>
      </c>
      <c r="E6278" s="27">
        <v>42566.320555555554</v>
      </c>
      <c r="F6278" s="19">
        <f>IFERROR(__xludf.DUMMYFUNCTION("IFERROR(TO_DATE(E6278), """")"),42566.320555555554)</f>
        <v>42566.32056</v>
      </c>
      <c r="G6278" s="20">
        <f t="shared" si="1"/>
        <v>7</v>
      </c>
      <c r="H6278" s="18" t="s">
        <v>34</v>
      </c>
      <c r="I6278" s="19" t="str">
        <f>IFERROR(__xludf.DUMMYFUNCTION("IFERROR(TO_DATE(H6278), """")"),"NA")</f>
        <v>NA</v>
      </c>
      <c r="J6278" s="19" t="s">
        <v>11</v>
      </c>
      <c r="K6278" s="22">
        <f t="shared" si="2"/>
        <v>0</v>
      </c>
    </row>
    <row r="6279">
      <c r="A6279" s="18">
        <v>5725.0</v>
      </c>
      <c r="B6279" s="18" t="s">
        <v>32</v>
      </c>
      <c r="C6279" s="18" t="s">
        <v>34</v>
      </c>
      <c r="D6279" s="18" t="s">
        <v>35</v>
      </c>
      <c r="E6279" s="27">
        <v>42566.32108796296</v>
      </c>
      <c r="F6279" s="19">
        <f>IFERROR(__xludf.DUMMYFUNCTION("IFERROR(TO_DATE(E6279), """")"),42566.32108796296)</f>
        <v>42566.32109</v>
      </c>
      <c r="G6279" s="20">
        <f t="shared" si="1"/>
        <v>7</v>
      </c>
      <c r="H6279" s="18" t="s">
        <v>34</v>
      </c>
      <c r="I6279" s="19" t="str">
        <f>IFERROR(__xludf.DUMMYFUNCTION("IFERROR(TO_DATE(H6279), """")"),"NA")</f>
        <v>NA</v>
      </c>
      <c r="J6279" s="19" t="s">
        <v>11</v>
      </c>
      <c r="K6279" s="22">
        <f t="shared" si="2"/>
        <v>0</v>
      </c>
    </row>
    <row r="6280">
      <c r="A6280" s="18">
        <v>5726.0</v>
      </c>
      <c r="B6280" s="18" t="s">
        <v>32</v>
      </c>
      <c r="C6280" s="18" t="s">
        <v>34</v>
      </c>
      <c r="D6280" s="18" t="s">
        <v>35</v>
      </c>
      <c r="E6280" s="27">
        <v>42566.32362268519</v>
      </c>
      <c r="F6280" s="19">
        <f>IFERROR(__xludf.DUMMYFUNCTION("IFERROR(TO_DATE(E6280), """")"),42566.32362268519)</f>
        <v>42566.32362</v>
      </c>
      <c r="G6280" s="20">
        <f t="shared" si="1"/>
        <v>7</v>
      </c>
      <c r="H6280" s="18" t="s">
        <v>34</v>
      </c>
      <c r="I6280" s="19" t="str">
        <f>IFERROR(__xludf.DUMMYFUNCTION("IFERROR(TO_DATE(H6280), """")"),"NA")</f>
        <v>NA</v>
      </c>
      <c r="J6280" s="19" t="s">
        <v>11</v>
      </c>
      <c r="K6280" s="22">
        <f t="shared" si="2"/>
        <v>0</v>
      </c>
    </row>
    <row r="6281">
      <c r="A6281" s="18">
        <v>5739.0</v>
      </c>
      <c r="B6281" s="18" t="s">
        <v>32</v>
      </c>
      <c r="C6281" s="18" t="s">
        <v>34</v>
      </c>
      <c r="D6281" s="18" t="s">
        <v>35</v>
      </c>
      <c r="E6281" s="27">
        <v>42566.326898148145</v>
      </c>
      <c r="F6281" s="19">
        <f>IFERROR(__xludf.DUMMYFUNCTION("IFERROR(TO_DATE(E6281), """")"),42566.326898148145)</f>
        <v>42566.3269</v>
      </c>
      <c r="G6281" s="20">
        <f t="shared" si="1"/>
        <v>7</v>
      </c>
      <c r="H6281" s="18" t="s">
        <v>34</v>
      </c>
      <c r="I6281" s="19" t="str">
        <f>IFERROR(__xludf.DUMMYFUNCTION("IFERROR(TO_DATE(H6281), """")"),"NA")</f>
        <v>NA</v>
      </c>
      <c r="J6281" s="19" t="s">
        <v>11</v>
      </c>
      <c r="K6281" s="22">
        <f t="shared" si="2"/>
        <v>0</v>
      </c>
    </row>
    <row r="6282">
      <c r="A6282" s="18">
        <v>5744.0</v>
      </c>
      <c r="B6282" s="18" t="s">
        <v>32</v>
      </c>
      <c r="C6282" s="18" t="s">
        <v>34</v>
      </c>
      <c r="D6282" s="18" t="s">
        <v>35</v>
      </c>
      <c r="E6282" s="27">
        <v>42566.33048611111</v>
      </c>
      <c r="F6282" s="19">
        <f>IFERROR(__xludf.DUMMYFUNCTION("IFERROR(TO_DATE(E6282), """")"),42566.33048611111)</f>
        <v>42566.33049</v>
      </c>
      <c r="G6282" s="20">
        <f t="shared" si="1"/>
        <v>7</v>
      </c>
      <c r="H6282" s="18" t="s">
        <v>34</v>
      </c>
      <c r="I6282" s="19" t="str">
        <f>IFERROR(__xludf.DUMMYFUNCTION("IFERROR(TO_DATE(H6282), """")"),"NA")</f>
        <v>NA</v>
      </c>
      <c r="J6282" s="19" t="s">
        <v>11</v>
      </c>
      <c r="K6282" s="22">
        <f t="shared" si="2"/>
        <v>0</v>
      </c>
    </row>
    <row r="6283">
      <c r="A6283" s="18">
        <v>5745.0</v>
      </c>
      <c r="B6283" s="18" t="s">
        <v>32</v>
      </c>
      <c r="C6283" s="18" t="s">
        <v>34</v>
      </c>
      <c r="D6283" s="18" t="s">
        <v>35</v>
      </c>
      <c r="E6283" s="27">
        <v>42566.33215277778</v>
      </c>
      <c r="F6283" s="19">
        <f>IFERROR(__xludf.DUMMYFUNCTION("IFERROR(TO_DATE(E6283), """")"),42566.33215277778)</f>
        <v>42566.33215</v>
      </c>
      <c r="G6283" s="20">
        <f t="shared" si="1"/>
        <v>7</v>
      </c>
      <c r="H6283" s="18" t="s">
        <v>34</v>
      </c>
      <c r="I6283" s="19" t="str">
        <f>IFERROR(__xludf.DUMMYFUNCTION("IFERROR(TO_DATE(H6283), """")"),"NA")</f>
        <v>NA</v>
      </c>
      <c r="J6283" s="19" t="s">
        <v>11</v>
      </c>
      <c r="K6283" s="22">
        <f t="shared" si="2"/>
        <v>0</v>
      </c>
    </row>
    <row r="6284">
      <c r="A6284" s="18">
        <v>5747.0</v>
      </c>
      <c r="B6284" s="18" t="s">
        <v>32</v>
      </c>
      <c r="C6284" s="18" t="s">
        <v>34</v>
      </c>
      <c r="D6284" s="18" t="s">
        <v>35</v>
      </c>
      <c r="E6284" s="27">
        <v>42566.3325462963</v>
      </c>
      <c r="F6284" s="19">
        <f>IFERROR(__xludf.DUMMYFUNCTION("IFERROR(TO_DATE(E6284), """")"),42566.3325462963)</f>
        <v>42566.33255</v>
      </c>
      <c r="G6284" s="20">
        <f t="shared" si="1"/>
        <v>7</v>
      </c>
      <c r="H6284" s="18" t="s">
        <v>34</v>
      </c>
      <c r="I6284" s="19" t="str">
        <f>IFERROR(__xludf.DUMMYFUNCTION("IFERROR(TO_DATE(H6284), """")"),"NA")</f>
        <v>NA</v>
      </c>
      <c r="J6284" s="19" t="s">
        <v>11</v>
      </c>
      <c r="K6284" s="22">
        <f t="shared" si="2"/>
        <v>0</v>
      </c>
    </row>
    <row r="6285">
      <c r="A6285" s="18">
        <v>5743.0</v>
      </c>
      <c r="B6285" s="18" t="s">
        <v>32</v>
      </c>
      <c r="C6285" s="18" t="s">
        <v>34</v>
      </c>
      <c r="D6285" s="18" t="s">
        <v>35</v>
      </c>
      <c r="E6285" s="27">
        <v>42566.333032407405</v>
      </c>
      <c r="F6285" s="19">
        <f>IFERROR(__xludf.DUMMYFUNCTION("IFERROR(TO_DATE(E6285), """")"),42566.333032407405)</f>
        <v>42566.33303</v>
      </c>
      <c r="G6285" s="20">
        <f t="shared" si="1"/>
        <v>7</v>
      </c>
      <c r="H6285" s="18" t="s">
        <v>34</v>
      </c>
      <c r="I6285" s="19" t="str">
        <f>IFERROR(__xludf.DUMMYFUNCTION("IFERROR(TO_DATE(H6285), """")"),"NA")</f>
        <v>NA</v>
      </c>
      <c r="J6285" s="19" t="s">
        <v>11</v>
      </c>
      <c r="K6285" s="22">
        <f t="shared" si="2"/>
        <v>0</v>
      </c>
    </row>
    <row r="6286">
      <c r="A6286" s="18">
        <v>5758.0</v>
      </c>
      <c r="B6286" s="18" t="s">
        <v>32</v>
      </c>
      <c r="C6286" s="18" t="s">
        <v>34</v>
      </c>
      <c r="D6286" s="18" t="s">
        <v>35</v>
      </c>
      <c r="E6286" s="27">
        <v>42566.33756944445</v>
      </c>
      <c r="F6286" s="19">
        <f>IFERROR(__xludf.DUMMYFUNCTION("IFERROR(TO_DATE(E6286), """")"),42566.33756944445)</f>
        <v>42566.33757</v>
      </c>
      <c r="G6286" s="20">
        <f t="shared" si="1"/>
        <v>8</v>
      </c>
      <c r="H6286" s="18" t="s">
        <v>34</v>
      </c>
      <c r="I6286" s="19" t="str">
        <f>IFERROR(__xludf.DUMMYFUNCTION("IFERROR(TO_DATE(H6286), """")"),"NA")</f>
        <v>NA</v>
      </c>
      <c r="J6286" s="19" t="s">
        <v>14</v>
      </c>
      <c r="K6286" s="22">
        <f t="shared" si="2"/>
        <v>0</v>
      </c>
    </row>
    <row r="6287">
      <c r="A6287" s="18">
        <v>5770.0</v>
      </c>
      <c r="B6287" s="18" t="s">
        <v>30</v>
      </c>
      <c r="C6287" s="18" t="s">
        <v>34</v>
      </c>
      <c r="D6287" s="18" t="s">
        <v>35</v>
      </c>
      <c r="E6287" s="27">
        <v>42566.344502314816</v>
      </c>
      <c r="F6287" s="19">
        <f>IFERROR(__xludf.DUMMYFUNCTION("IFERROR(TO_DATE(E6287), """")"),42566.344502314816)</f>
        <v>42566.3445</v>
      </c>
      <c r="G6287" s="20">
        <f t="shared" si="1"/>
        <v>8</v>
      </c>
      <c r="H6287" s="18" t="s">
        <v>34</v>
      </c>
      <c r="I6287" s="19" t="str">
        <f>IFERROR(__xludf.DUMMYFUNCTION("IFERROR(TO_DATE(H6287), """")"),"NA")</f>
        <v>NA</v>
      </c>
      <c r="J6287" s="19" t="s">
        <v>14</v>
      </c>
      <c r="K6287" s="22">
        <f t="shared" si="2"/>
        <v>0</v>
      </c>
    </row>
    <row r="6288">
      <c r="A6288" s="18">
        <v>5762.0</v>
      </c>
      <c r="B6288" s="18" t="s">
        <v>32</v>
      </c>
      <c r="C6288" s="18" t="s">
        <v>34</v>
      </c>
      <c r="D6288" s="18" t="s">
        <v>35</v>
      </c>
      <c r="E6288" s="27">
        <v>42566.34940972222</v>
      </c>
      <c r="F6288" s="19">
        <f>IFERROR(__xludf.DUMMYFUNCTION("IFERROR(TO_DATE(E6288), """")"),42566.34940972222)</f>
        <v>42566.34941</v>
      </c>
      <c r="G6288" s="20">
        <f t="shared" si="1"/>
        <v>8</v>
      </c>
      <c r="H6288" s="18" t="s">
        <v>34</v>
      </c>
      <c r="I6288" s="19" t="str">
        <f>IFERROR(__xludf.DUMMYFUNCTION("IFERROR(TO_DATE(H6288), """")"),"NA")</f>
        <v>NA</v>
      </c>
      <c r="J6288" s="19" t="s">
        <v>14</v>
      </c>
      <c r="K6288" s="22">
        <f t="shared" si="2"/>
        <v>0</v>
      </c>
    </row>
    <row r="6289">
      <c r="A6289" s="18">
        <v>5773.0</v>
      </c>
      <c r="B6289" s="18" t="s">
        <v>32</v>
      </c>
      <c r="C6289" s="18" t="s">
        <v>34</v>
      </c>
      <c r="D6289" s="18" t="s">
        <v>35</v>
      </c>
      <c r="E6289" s="27">
        <v>42566.35050925926</v>
      </c>
      <c r="F6289" s="19">
        <f>IFERROR(__xludf.DUMMYFUNCTION("IFERROR(TO_DATE(E6289), """")"),42566.35050925926)</f>
        <v>42566.35051</v>
      </c>
      <c r="G6289" s="20">
        <f t="shared" si="1"/>
        <v>8</v>
      </c>
      <c r="H6289" s="18" t="s">
        <v>34</v>
      </c>
      <c r="I6289" s="19" t="str">
        <f>IFERROR(__xludf.DUMMYFUNCTION("IFERROR(TO_DATE(H6289), """")"),"NA")</f>
        <v>NA</v>
      </c>
      <c r="J6289" s="19" t="s">
        <v>14</v>
      </c>
      <c r="K6289" s="22">
        <f t="shared" si="2"/>
        <v>0</v>
      </c>
    </row>
    <row r="6290">
      <c r="A6290" s="18">
        <v>5776.0</v>
      </c>
      <c r="B6290" s="18" t="s">
        <v>32</v>
      </c>
      <c r="C6290" s="18" t="s">
        <v>34</v>
      </c>
      <c r="D6290" s="18" t="s">
        <v>35</v>
      </c>
      <c r="E6290" s="27">
        <v>42566.35078703704</v>
      </c>
      <c r="F6290" s="19">
        <f>IFERROR(__xludf.DUMMYFUNCTION("IFERROR(TO_DATE(E6290), """")"),42566.35078703704)</f>
        <v>42566.35079</v>
      </c>
      <c r="G6290" s="20">
        <f t="shared" si="1"/>
        <v>8</v>
      </c>
      <c r="H6290" s="18" t="s">
        <v>34</v>
      </c>
      <c r="I6290" s="19" t="str">
        <f>IFERROR(__xludf.DUMMYFUNCTION("IFERROR(TO_DATE(H6290), """")"),"NA")</f>
        <v>NA</v>
      </c>
      <c r="J6290" s="19" t="s">
        <v>14</v>
      </c>
      <c r="K6290" s="22">
        <f t="shared" si="2"/>
        <v>0</v>
      </c>
    </row>
    <row r="6291">
      <c r="A6291" s="18">
        <v>5777.0</v>
      </c>
      <c r="B6291" s="18" t="s">
        <v>32</v>
      </c>
      <c r="C6291" s="18" t="s">
        <v>34</v>
      </c>
      <c r="D6291" s="18" t="s">
        <v>35</v>
      </c>
      <c r="E6291" s="27">
        <v>42566.352164351854</v>
      </c>
      <c r="F6291" s="19">
        <f>IFERROR(__xludf.DUMMYFUNCTION("IFERROR(TO_DATE(E6291), """")"),42566.352164351854)</f>
        <v>42566.35216</v>
      </c>
      <c r="G6291" s="20">
        <f t="shared" si="1"/>
        <v>8</v>
      </c>
      <c r="H6291" s="18" t="s">
        <v>34</v>
      </c>
      <c r="I6291" s="19" t="str">
        <f>IFERROR(__xludf.DUMMYFUNCTION("IFERROR(TO_DATE(H6291), """")"),"NA")</f>
        <v>NA</v>
      </c>
      <c r="J6291" s="19" t="s">
        <v>14</v>
      </c>
      <c r="K6291" s="22">
        <f t="shared" si="2"/>
        <v>0</v>
      </c>
    </row>
    <row r="6292">
      <c r="A6292" s="18">
        <v>5779.0</v>
      </c>
      <c r="B6292" s="18" t="s">
        <v>32</v>
      </c>
      <c r="C6292" s="18" t="s">
        <v>34</v>
      </c>
      <c r="D6292" s="18" t="s">
        <v>35</v>
      </c>
      <c r="E6292" s="27">
        <v>42566.35273148148</v>
      </c>
      <c r="F6292" s="19">
        <f>IFERROR(__xludf.DUMMYFUNCTION("IFERROR(TO_DATE(E6292), """")"),42566.35273148148)</f>
        <v>42566.35273</v>
      </c>
      <c r="G6292" s="20">
        <f t="shared" si="1"/>
        <v>8</v>
      </c>
      <c r="H6292" s="18" t="s">
        <v>34</v>
      </c>
      <c r="I6292" s="19" t="str">
        <f>IFERROR(__xludf.DUMMYFUNCTION("IFERROR(TO_DATE(H6292), """")"),"NA")</f>
        <v>NA</v>
      </c>
      <c r="J6292" s="19" t="s">
        <v>14</v>
      </c>
      <c r="K6292" s="22">
        <f t="shared" si="2"/>
        <v>0</v>
      </c>
    </row>
    <row r="6293">
      <c r="A6293" s="18">
        <v>5797.0</v>
      </c>
      <c r="B6293" s="18" t="s">
        <v>32</v>
      </c>
      <c r="C6293" s="18" t="s">
        <v>34</v>
      </c>
      <c r="D6293" s="18" t="s">
        <v>35</v>
      </c>
      <c r="E6293" s="27">
        <v>42566.360671296294</v>
      </c>
      <c r="F6293" s="19">
        <f>IFERROR(__xludf.DUMMYFUNCTION("IFERROR(TO_DATE(E6293), """")"),42566.360671296294)</f>
        <v>42566.36067</v>
      </c>
      <c r="G6293" s="20">
        <f t="shared" si="1"/>
        <v>8</v>
      </c>
      <c r="H6293" s="18" t="s">
        <v>34</v>
      </c>
      <c r="I6293" s="19" t="str">
        <f>IFERROR(__xludf.DUMMYFUNCTION("IFERROR(TO_DATE(H6293), """")"),"NA")</f>
        <v>NA</v>
      </c>
      <c r="J6293" s="19" t="s">
        <v>14</v>
      </c>
      <c r="K6293" s="22">
        <f t="shared" si="2"/>
        <v>0</v>
      </c>
    </row>
    <row r="6294">
      <c r="A6294" s="18">
        <v>5803.0</v>
      </c>
      <c r="B6294" s="18" t="s">
        <v>32</v>
      </c>
      <c r="C6294" s="18" t="s">
        <v>34</v>
      </c>
      <c r="D6294" s="18" t="s">
        <v>35</v>
      </c>
      <c r="E6294" s="27">
        <v>42566.36164351852</v>
      </c>
      <c r="F6294" s="19">
        <f>IFERROR(__xludf.DUMMYFUNCTION("IFERROR(TO_DATE(E6294), """")"),42566.36164351852)</f>
        <v>42566.36164</v>
      </c>
      <c r="G6294" s="20">
        <f t="shared" si="1"/>
        <v>8</v>
      </c>
      <c r="H6294" s="18" t="s">
        <v>34</v>
      </c>
      <c r="I6294" s="19" t="str">
        <f>IFERROR(__xludf.DUMMYFUNCTION("IFERROR(TO_DATE(H6294), """")"),"NA")</f>
        <v>NA</v>
      </c>
      <c r="J6294" s="19" t="s">
        <v>14</v>
      </c>
      <c r="K6294" s="22">
        <f t="shared" si="2"/>
        <v>0</v>
      </c>
    </row>
    <row r="6295">
      <c r="A6295" s="18">
        <v>5796.0</v>
      </c>
      <c r="B6295" s="18" t="s">
        <v>32</v>
      </c>
      <c r="C6295" s="18" t="s">
        <v>34</v>
      </c>
      <c r="D6295" s="18" t="s">
        <v>35</v>
      </c>
      <c r="E6295" s="27">
        <v>42566.361712962964</v>
      </c>
      <c r="F6295" s="19">
        <f>IFERROR(__xludf.DUMMYFUNCTION("IFERROR(TO_DATE(E6295), """")"),42566.361712962964)</f>
        <v>42566.36171</v>
      </c>
      <c r="G6295" s="20">
        <f t="shared" si="1"/>
        <v>8</v>
      </c>
      <c r="H6295" s="18" t="s">
        <v>34</v>
      </c>
      <c r="I6295" s="19" t="str">
        <f>IFERROR(__xludf.DUMMYFUNCTION("IFERROR(TO_DATE(H6295), """")"),"NA")</f>
        <v>NA</v>
      </c>
      <c r="J6295" s="19" t="s">
        <v>14</v>
      </c>
      <c r="K6295" s="22">
        <f t="shared" si="2"/>
        <v>0</v>
      </c>
    </row>
    <row r="6296">
      <c r="A6296" s="18">
        <v>5804.0</v>
      </c>
      <c r="B6296" s="18" t="s">
        <v>32</v>
      </c>
      <c r="C6296" s="18" t="s">
        <v>34</v>
      </c>
      <c r="D6296" s="18" t="s">
        <v>35</v>
      </c>
      <c r="E6296" s="27">
        <v>42566.362962962965</v>
      </c>
      <c r="F6296" s="19">
        <f>IFERROR(__xludf.DUMMYFUNCTION("IFERROR(TO_DATE(E6296), """")"),42566.362962962965)</f>
        <v>42566.36296</v>
      </c>
      <c r="G6296" s="20">
        <f t="shared" si="1"/>
        <v>8</v>
      </c>
      <c r="H6296" s="18" t="s">
        <v>34</v>
      </c>
      <c r="I6296" s="19" t="str">
        <f>IFERROR(__xludf.DUMMYFUNCTION("IFERROR(TO_DATE(H6296), """")"),"NA")</f>
        <v>NA</v>
      </c>
      <c r="J6296" s="19" t="s">
        <v>14</v>
      </c>
      <c r="K6296" s="22">
        <f t="shared" si="2"/>
        <v>0</v>
      </c>
    </row>
    <row r="6297">
      <c r="A6297" s="18">
        <v>5813.0</v>
      </c>
      <c r="B6297" s="18" t="s">
        <v>32</v>
      </c>
      <c r="C6297" s="18" t="s">
        <v>34</v>
      </c>
      <c r="D6297" s="18" t="s">
        <v>35</v>
      </c>
      <c r="E6297" s="27">
        <v>42566.365578703706</v>
      </c>
      <c r="F6297" s="19">
        <f>IFERROR(__xludf.DUMMYFUNCTION("IFERROR(TO_DATE(E6297), """")"),42566.365578703706)</f>
        <v>42566.36558</v>
      </c>
      <c r="G6297" s="20">
        <f t="shared" si="1"/>
        <v>8</v>
      </c>
      <c r="H6297" s="18" t="s">
        <v>34</v>
      </c>
      <c r="I6297" s="19" t="str">
        <f>IFERROR(__xludf.DUMMYFUNCTION("IFERROR(TO_DATE(H6297), """")"),"NA")</f>
        <v>NA</v>
      </c>
      <c r="J6297" s="19" t="s">
        <v>14</v>
      </c>
      <c r="K6297" s="22">
        <f t="shared" si="2"/>
        <v>0</v>
      </c>
    </row>
    <row r="6298">
      <c r="A6298" s="18">
        <v>5810.0</v>
      </c>
      <c r="B6298" s="18" t="s">
        <v>32</v>
      </c>
      <c r="C6298" s="18" t="s">
        <v>34</v>
      </c>
      <c r="D6298" s="18" t="s">
        <v>35</v>
      </c>
      <c r="E6298" s="27">
        <v>42566.36587962963</v>
      </c>
      <c r="F6298" s="19">
        <f>IFERROR(__xludf.DUMMYFUNCTION("IFERROR(TO_DATE(E6298), """")"),42566.36587962963)</f>
        <v>42566.36588</v>
      </c>
      <c r="G6298" s="20">
        <f t="shared" si="1"/>
        <v>8</v>
      </c>
      <c r="H6298" s="18" t="s">
        <v>34</v>
      </c>
      <c r="I6298" s="19" t="str">
        <f>IFERROR(__xludf.DUMMYFUNCTION("IFERROR(TO_DATE(H6298), """")"),"NA")</f>
        <v>NA</v>
      </c>
      <c r="J6298" s="19" t="s">
        <v>14</v>
      </c>
      <c r="K6298" s="22">
        <f t="shared" si="2"/>
        <v>0</v>
      </c>
    </row>
    <row r="6299">
      <c r="A6299" s="18">
        <v>5818.0</v>
      </c>
      <c r="B6299" s="18" t="s">
        <v>32</v>
      </c>
      <c r="C6299" s="18" t="s">
        <v>34</v>
      </c>
      <c r="D6299" s="18" t="s">
        <v>35</v>
      </c>
      <c r="E6299" s="27">
        <v>42566.36759259259</v>
      </c>
      <c r="F6299" s="19">
        <f>IFERROR(__xludf.DUMMYFUNCTION("IFERROR(TO_DATE(E6299), """")"),42566.36759259259)</f>
        <v>42566.36759</v>
      </c>
      <c r="G6299" s="20">
        <f t="shared" si="1"/>
        <v>8</v>
      </c>
      <c r="H6299" s="18" t="s">
        <v>34</v>
      </c>
      <c r="I6299" s="19" t="str">
        <f>IFERROR(__xludf.DUMMYFUNCTION("IFERROR(TO_DATE(H6299), """")"),"NA")</f>
        <v>NA</v>
      </c>
      <c r="J6299" s="19" t="s">
        <v>14</v>
      </c>
      <c r="K6299" s="22">
        <f t="shared" si="2"/>
        <v>0</v>
      </c>
    </row>
    <row r="6300">
      <c r="A6300" s="18">
        <v>5819.0</v>
      </c>
      <c r="B6300" s="18" t="s">
        <v>32</v>
      </c>
      <c r="C6300" s="18" t="s">
        <v>34</v>
      </c>
      <c r="D6300" s="18" t="s">
        <v>35</v>
      </c>
      <c r="E6300" s="27">
        <v>42566.36759259259</v>
      </c>
      <c r="F6300" s="19">
        <f>IFERROR(__xludf.DUMMYFUNCTION("IFERROR(TO_DATE(E6300), """")"),42566.36759259259)</f>
        <v>42566.36759</v>
      </c>
      <c r="G6300" s="20">
        <f t="shared" si="1"/>
        <v>8</v>
      </c>
      <c r="H6300" s="18" t="s">
        <v>34</v>
      </c>
      <c r="I6300" s="19" t="str">
        <f>IFERROR(__xludf.DUMMYFUNCTION("IFERROR(TO_DATE(H6300), """")"),"NA")</f>
        <v>NA</v>
      </c>
      <c r="J6300" s="19" t="s">
        <v>14</v>
      </c>
      <c r="K6300" s="22">
        <f t="shared" si="2"/>
        <v>0</v>
      </c>
    </row>
    <row r="6301">
      <c r="A6301" s="18">
        <v>5837.0</v>
      </c>
      <c r="B6301" s="18" t="s">
        <v>32</v>
      </c>
      <c r="C6301" s="18" t="s">
        <v>34</v>
      </c>
      <c r="D6301" s="18" t="s">
        <v>35</v>
      </c>
      <c r="E6301" s="27">
        <v>42566.37483796296</v>
      </c>
      <c r="F6301" s="19">
        <f>IFERROR(__xludf.DUMMYFUNCTION("IFERROR(TO_DATE(E6301), """")"),42566.37483796296)</f>
        <v>42566.37484</v>
      </c>
      <c r="G6301" s="20">
        <f t="shared" si="1"/>
        <v>8</v>
      </c>
      <c r="H6301" s="18" t="s">
        <v>34</v>
      </c>
      <c r="I6301" s="19" t="str">
        <f>IFERROR(__xludf.DUMMYFUNCTION("IFERROR(TO_DATE(H6301), """")"),"NA")</f>
        <v>NA</v>
      </c>
      <c r="J6301" s="19" t="s">
        <v>14</v>
      </c>
      <c r="K6301" s="22">
        <f t="shared" si="2"/>
        <v>0</v>
      </c>
    </row>
    <row r="6302">
      <c r="A6302" s="18">
        <v>5829.0</v>
      </c>
      <c r="B6302" s="18" t="s">
        <v>32</v>
      </c>
      <c r="C6302" s="18" t="s">
        <v>34</v>
      </c>
      <c r="D6302" s="18" t="s">
        <v>35</v>
      </c>
      <c r="E6302" s="27">
        <v>42566.37603009259</v>
      </c>
      <c r="F6302" s="19">
        <f>IFERROR(__xludf.DUMMYFUNCTION("IFERROR(TO_DATE(E6302), """")"),42566.37603009259)</f>
        <v>42566.37603</v>
      </c>
      <c r="G6302" s="20">
        <f t="shared" si="1"/>
        <v>9</v>
      </c>
      <c r="H6302" s="18" t="s">
        <v>34</v>
      </c>
      <c r="I6302" s="19" t="str">
        <f>IFERROR(__xludf.DUMMYFUNCTION("IFERROR(TO_DATE(H6302), """")"),"NA")</f>
        <v>NA</v>
      </c>
      <c r="J6302" s="19" t="s">
        <v>14</v>
      </c>
      <c r="K6302" s="22">
        <f t="shared" si="2"/>
        <v>0</v>
      </c>
    </row>
    <row r="6303">
      <c r="A6303" s="18">
        <v>5845.0</v>
      </c>
      <c r="B6303" s="18" t="s">
        <v>32</v>
      </c>
      <c r="C6303" s="18" t="s">
        <v>34</v>
      </c>
      <c r="D6303" s="18" t="s">
        <v>35</v>
      </c>
      <c r="E6303" s="27">
        <v>42566.3794212963</v>
      </c>
      <c r="F6303" s="19">
        <f>IFERROR(__xludf.DUMMYFUNCTION("IFERROR(TO_DATE(E6303), """")"),42566.3794212963)</f>
        <v>42566.37942</v>
      </c>
      <c r="G6303" s="20">
        <f t="shared" si="1"/>
        <v>9</v>
      </c>
      <c r="H6303" s="18" t="s">
        <v>34</v>
      </c>
      <c r="I6303" s="19" t="str">
        <f>IFERROR(__xludf.DUMMYFUNCTION("IFERROR(TO_DATE(H6303), """")"),"NA")</f>
        <v>NA</v>
      </c>
      <c r="J6303" s="19" t="s">
        <v>14</v>
      </c>
      <c r="K6303" s="22">
        <f t="shared" si="2"/>
        <v>0</v>
      </c>
    </row>
    <row r="6304">
      <c r="A6304" s="18">
        <v>5841.0</v>
      </c>
      <c r="B6304" s="18" t="s">
        <v>32</v>
      </c>
      <c r="C6304" s="18" t="s">
        <v>34</v>
      </c>
      <c r="D6304" s="18" t="s">
        <v>35</v>
      </c>
      <c r="E6304" s="27">
        <v>42566.38015046297</v>
      </c>
      <c r="F6304" s="19">
        <f>IFERROR(__xludf.DUMMYFUNCTION("IFERROR(TO_DATE(E6304), """")"),42566.38015046297)</f>
        <v>42566.38015</v>
      </c>
      <c r="G6304" s="20">
        <f t="shared" si="1"/>
        <v>9</v>
      </c>
      <c r="H6304" s="18" t="s">
        <v>34</v>
      </c>
      <c r="I6304" s="19" t="str">
        <f>IFERROR(__xludf.DUMMYFUNCTION("IFERROR(TO_DATE(H6304), """")"),"NA")</f>
        <v>NA</v>
      </c>
      <c r="J6304" s="19" t="s">
        <v>14</v>
      </c>
      <c r="K6304" s="22">
        <f t="shared" si="2"/>
        <v>0</v>
      </c>
    </row>
    <row r="6305">
      <c r="A6305" s="18">
        <v>5852.0</v>
      </c>
      <c r="B6305" s="18" t="s">
        <v>32</v>
      </c>
      <c r="C6305" s="18" t="s">
        <v>34</v>
      </c>
      <c r="D6305" s="18" t="s">
        <v>35</v>
      </c>
      <c r="E6305" s="27">
        <v>42566.38018518518</v>
      </c>
      <c r="F6305" s="19">
        <f>IFERROR(__xludf.DUMMYFUNCTION("IFERROR(TO_DATE(E6305), """")"),42566.38018518518)</f>
        <v>42566.38019</v>
      </c>
      <c r="G6305" s="20">
        <f t="shared" si="1"/>
        <v>9</v>
      </c>
      <c r="H6305" s="18" t="s">
        <v>34</v>
      </c>
      <c r="I6305" s="19" t="str">
        <f>IFERROR(__xludf.DUMMYFUNCTION("IFERROR(TO_DATE(H6305), """")"),"NA")</f>
        <v>NA</v>
      </c>
      <c r="J6305" s="19" t="s">
        <v>14</v>
      </c>
      <c r="K6305" s="22">
        <f t="shared" si="2"/>
        <v>0</v>
      </c>
    </row>
    <row r="6306">
      <c r="A6306" s="18">
        <v>5840.0</v>
      </c>
      <c r="B6306" s="18" t="s">
        <v>32</v>
      </c>
      <c r="C6306" s="18" t="s">
        <v>34</v>
      </c>
      <c r="D6306" s="18" t="s">
        <v>35</v>
      </c>
      <c r="E6306" s="27">
        <v>42566.380381944444</v>
      </c>
      <c r="F6306" s="19">
        <f>IFERROR(__xludf.DUMMYFUNCTION("IFERROR(TO_DATE(E6306), """")"),42566.380381944444)</f>
        <v>42566.38038</v>
      </c>
      <c r="G6306" s="20">
        <f t="shared" si="1"/>
        <v>9</v>
      </c>
      <c r="H6306" s="18" t="s">
        <v>34</v>
      </c>
      <c r="I6306" s="19" t="str">
        <f>IFERROR(__xludf.DUMMYFUNCTION("IFERROR(TO_DATE(H6306), """")"),"NA")</f>
        <v>NA</v>
      </c>
      <c r="J6306" s="19" t="s">
        <v>14</v>
      </c>
      <c r="K6306" s="22">
        <f t="shared" si="2"/>
        <v>0</v>
      </c>
    </row>
    <row r="6307">
      <c r="A6307" s="18">
        <v>5859.0</v>
      </c>
      <c r="B6307" s="18" t="s">
        <v>32</v>
      </c>
      <c r="C6307" s="18" t="s">
        <v>34</v>
      </c>
      <c r="D6307" s="18" t="s">
        <v>35</v>
      </c>
      <c r="E6307" s="27">
        <v>42566.38327546296</v>
      </c>
      <c r="F6307" s="19">
        <f>IFERROR(__xludf.DUMMYFUNCTION("IFERROR(TO_DATE(E6307), """")"),42566.38327546296)</f>
        <v>42566.38328</v>
      </c>
      <c r="G6307" s="20">
        <f t="shared" si="1"/>
        <v>9</v>
      </c>
      <c r="H6307" s="18" t="s">
        <v>34</v>
      </c>
      <c r="I6307" s="19" t="str">
        <f>IFERROR(__xludf.DUMMYFUNCTION("IFERROR(TO_DATE(H6307), """")"),"NA")</f>
        <v>NA</v>
      </c>
      <c r="J6307" s="19" t="s">
        <v>14</v>
      </c>
      <c r="K6307" s="22">
        <f t="shared" si="2"/>
        <v>0</v>
      </c>
    </row>
    <row r="6308">
      <c r="A6308" s="18">
        <v>5858.0</v>
      </c>
      <c r="B6308" s="18" t="s">
        <v>32</v>
      </c>
      <c r="C6308" s="18" t="s">
        <v>34</v>
      </c>
      <c r="D6308" s="18" t="s">
        <v>35</v>
      </c>
      <c r="E6308" s="27">
        <v>42566.385300925926</v>
      </c>
      <c r="F6308" s="19">
        <f>IFERROR(__xludf.DUMMYFUNCTION("IFERROR(TO_DATE(E6308), """")"),42566.385300925926)</f>
        <v>42566.3853</v>
      </c>
      <c r="G6308" s="20">
        <f t="shared" si="1"/>
        <v>9</v>
      </c>
      <c r="H6308" s="18" t="s">
        <v>34</v>
      </c>
      <c r="I6308" s="19" t="str">
        <f>IFERROR(__xludf.DUMMYFUNCTION("IFERROR(TO_DATE(H6308), """")"),"NA")</f>
        <v>NA</v>
      </c>
      <c r="J6308" s="19" t="s">
        <v>14</v>
      </c>
      <c r="K6308" s="22">
        <f t="shared" si="2"/>
        <v>0</v>
      </c>
    </row>
    <row r="6309">
      <c r="A6309" s="18">
        <v>5863.0</v>
      </c>
      <c r="B6309" s="18" t="s">
        <v>32</v>
      </c>
      <c r="C6309" s="18" t="s">
        <v>34</v>
      </c>
      <c r="D6309" s="18" t="s">
        <v>35</v>
      </c>
      <c r="E6309" s="27">
        <v>42566.38560185185</v>
      </c>
      <c r="F6309" s="19">
        <f>IFERROR(__xludf.DUMMYFUNCTION("IFERROR(TO_DATE(E6309), """")"),42566.38560185185)</f>
        <v>42566.3856</v>
      </c>
      <c r="G6309" s="20">
        <f t="shared" si="1"/>
        <v>9</v>
      </c>
      <c r="H6309" s="18" t="s">
        <v>34</v>
      </c>
      <c r="I6309" s="19" t="str">
        <f>IFERROR(__xludf.DUMMYFUNCTION("IFERROR(TO_DATE(H6309), """")"),"NA")</f>
        <v>NA</v>
      </c>
      <c r="J6309" s="19" t="s">
        <v>14</v>
      </c>
      <c r="K6309" s="22">
        <f t="shared" si="2"/>
        <v>0</v>
      </c>
    </row>
    <row r="6310">
      <c r="A6310" s="18">
        <v>5882.0</v>
      </c>
      <c r="B6310" s="18" t="s">
        <v>32</v>
      </c>
      <c r="C6310" s="18" t="s">
        <v>34</v>
      </c>
      <c r="D6310" s="18" t="s">
        <v>35</v>
      </c>
      <c r="E6310" s="27">
        <v>42566.39724537037</v>
      </c>
      <c r="F6310" s="19">
        <f>IFERROR(__xludf.DUMMYFUNCTION("IFERROR(TO_DATE(E6310), """")"),42566.39724537037)</f>
        <v>42566.39725</v>
      </c>
      <c r="G6310" s="20">
        <f t="shared" si="1"/>
        <v>9</v>
      </c>
      <c r="H6310" s="18" t="s">
        <v>34</v>
      </c>
      <c r="I6310" s="19" t="str">
        <f>IFERROR(__xludf.DUMMYFUNCTION("IFERROR(TO_DATE(H6310), """")"),"NA")</f>
        <v>NA</v>
      </c>
      <c r="J6310" s="19" t="s">
        <v>14</v>
      </c>
      <c r="K6310" s="22">
        <f t="shared" si="2"/>
        <v>0</v>
      </c>
    </row>
    <row r="6311">
      <c r="A6311" s="18">
        <v>5885.0</v>
      </c>
      <c r="B6311" s="18" t="s">
        <v>32</v>
      </c>
      <c r="C6311" s="18" t="s">
        <v>34</v>
      </c>
      <c r="D6311" s="18" t="s">
        <v>35</v>
      </c>
      <c r="E6311" s="27">
        <v>42566.39877314815</v>
      </c>
      <c r="F6311" s="19">
        <f>IFERROR(__xludf.DUMMYFUNCTION("IFERROR(TO_DATE(E6311), """")"),42566.39877314815)</f>
        <v>42566.39877</v>
      </c>
      <c r="G6311" s="20">
        <f t="shared" si="1"/>
        <v>9</v>
      </c>
      <c r="H6311" s="18" t="s">
        <v>34</v>
      </c>
      <c r="I6311" s="19" t="str">
        <f>IFERROR(__xludf.DUMMYFUNCTION("IFERROR(TO_DATE(H6311), """")"),"NA")</f>
        <v>NA</v>
      </c>
      <c r="J6311" s="19" t="s">
        <v>14</v>
      </c>
      <c r="K6311" s="22">
        <f t="shared" si="2"/>
        <v>0</v>
      </c>
    </row>
    <row r="6312">
      <c r="A6312" s="18">
        <v>5881.0</v>
      </c>
      <c r="B6312" s="18" t="s">
        <v>32</v>
      </c>
      <c r="C6312" s="18" t="s">
        <v>34</v>
      </c>
      <c r="D6312" s="18" t="s">
        <v>35</v>
      </c>
      <c r="E6312" s="27">
        <v>42566.400196759256</v>
      </c>
      <c r="F6312" s="19">
        <f>IFERROR(__xludf.DUMMYFUNCTION("IFERROR(TO_DATE(E6312), """")"),42566.400196759256)</f>
        <v>42566.4002</v>
      </c>
      <c r="G6312" s="20">
        <f t="shared" si="1"/>
        <v>9</v>
      </c>
      <c r="H6312" s="18" t="s">
        <v>34</v>
      </c>
      <c r="I6312" s="19" t="str">
        <f>IFERROR(__xludf.DUMMYFUNCTION("IFERROR(TO_DATE(H6312), """")"),"NA")</f>
        <v>NA</v>
      </c>
      <c r="J6312" s="19" t="s">
        <v>14</v>
      </c>
      <c r="K6312" s="22">
        <f t="shared" si="2"/>
        <v>0</v>
      </c>
    </row>
    <row r="6313">
      <c r="A6313" s="18">
        <v>5889.0</v>
      </c>
      <c r="B6313" s="18" t="s">
        <v>32</v>
      </c>
      <c r="C6313" s="18" t="s">
        <v>34</v>
      </c>
      <c r="D6313" s="18" t="s">
        <v>35</v>
      </c>
      <c r="E6313" s="27">
        <v>42566.401967592596</v>
      </c>
      <c r="F6313" s="19">
        <f>IFERROR(__xludf.DUMMYFUNCTION("IFERROR(TO_DATE(E6313), """")"),42566.401967592596)</f>
        <v>42566.40197</v>
      </c>
      <c r="G6313" s="20">
        <f t="shared" si="1"/>
        <v>9</v>
      </c>
      <c r="H6313" s="18" t="s">
        <v>34</v>
      </c>
      <c r="I6313" s="19" t="str">
        <f>IFERROR(__xludf.DUMMYFUNCTION("IFERROR(TO_DATE(H6313), """")"),"NA")</f>
        <v>NA</v>
      </c>
      <c r="J6313" s="19" t="s">
        <v>14</v>
      </c>
      <c r="K6313" s="22">
        <f t="shared" si="2"/>
        <v>0</v>
      </c>
    </row>
    <row r="6314">
      <c r="A6314" s="18">
        <v>5909.0</v>
      </c>
      <c r="B6314" s="18" t="s">
        <v>32</v>
      </c>
      <c r="C6314" s="18" t="s">
        <v>34</v>
      </c>
      <c r="D6314" s="18" t="s">
        <v>35</v>
      </c>
      <c r="E6314" s="27">
        <v>42566.417291666665</v>
      </c>
      <c r="F6314" s="19">
        <f>IFERROR(__xludf.DUMMYFUNCTION("IFERROR(TO_DATE(E6314), """")"),42566.417291666665)</f>
        <v>42566.41729</v>
      </c>
      <c r="G6314" s="20">
        <f t="shared" si="1"/>
        <v>10</v>
      </c>
      <c r="H6314" s="18" t="s">
        <v>34</v>
      </c>
      <c r="I6314" s="19" t="str">
        <f>IFERROR(__xludf.DUMMYFUNCTION("IFERROR(TO_DATE(H6314), """")"),"NA")</f>
        <v>NA</v>
      </c>
      <c r="J6314" s="19" t="s">
        <v>14</v>
      </c>
      <c r="K6314" s="22">
        <f t="shared" si="2"/>
        <v>0</v>
      </c>
    </row>
    <row r="6315">
      <c r="A6315" s="18">
        <v>5922.0</v>
      </c>
      <c r="B6315" s="18" t="s">
        <v>32</v>
      </c>
      <c r="C6315" s="18" t="s">
        <v>34</v>
      </c>
      <c r="D6315" s="18" t="s">
        <v>35</v>
      </c>
      <c r="E6315" s="27">
        <v>42566.421747685185</v>
      </c>
      <c r="F6315" s="19">
        <f>IFERROR(__xludf.DUMMYFUNCTION("IFERROR(TO_DATE(E6315), """")"),42566.421747685185)</f>
        <v>42566.42175</v>
      </c>
      <c r="G6315" s="20">
        <f t="shared" si="1"/>
        <v>10</v>
      </c>
      <c r="H6315" s="18" t="s">
        <v>34</v>
      </c>
      <c r="I6315" s="19" t="str">
        <f>IFERROR(__xludf.DUMMYFUNCTION("IFERROR(TO_DATE(H6315), """")"),"NA")</f>
        <v>NA</v>
      </c>
      <c r="J6315" s="19" t="s">
        <v>14</v>
      </c>
      <c r="K6315" s="22">
        <f t="shared" si="2"/>
        <v>0</v>
      </c>
    </row>
    <row r="6316">
      <c r="A6316" s="18">
        <v>5931.0</v>
      </c>
      <c r="B6316" s="18" t="s">
        <v>32</v>
      </c>
      <c r="C6316" s="18" t="s">
        <v>34</v>
      </c>
      <c r="D6316" s="18" t="s">
        <v>35</v>
      </c>
      <c r="E6316" s="27">
        <v>42566.424166666664</v>
      </c>
      <c r="F6316" s="19">
        <f>IFERROR(__xludf.DUMMYFUNCTION("IFERROR(TO_DATE(E6316), """")"),42566.424166666664)</f>
        <v>42566.42417</v>
      </c>
      <c r="G6316" s="20">
        <f t="shared" si="1"/>
        <v>10</v>
      </c>
      <c r="H6316" s="18" t="s">
        <v>34</v>
      </c>
      <c r="I6316" s="19" t="str">
        <f>IFERROR(__xludf.DUMMYFUNCTION("IFERROR(TO_DATE(H6316), """")"),"NA")</f>
        <v>NA</v>
      </c>
      <c r="J6316" s="19" t="s">
        <v>14</v>
      </c>
      <c r="K6316" s="22">
        <f t="shared" si="2"/>
        <v>0</v>
      </c>
    </row>
    <row r="6317">
      <c r="A6317" s="18">
        <v>5930.0</v>
      </c>
      <c r="B6317" s="18" t="s">
        <v>32</v>
      </c>
      <c r="C6317" s="18" t="s">
        <v>34</v>
      </c>
      <c r="D6317" s="18" t="s">
        <v>35</v>
      </c>
      <c r="E6317" s="27">
        <v>42566.42503472222</v>
      </c>
      <c r="F6317" s="19">
        <f>IFERROR(__xludf.DUMMYFUNCTION("IFERROR(TO_DATE(E6317), """")"),42566.42503472222)</f>
        <v>42566.42503</v>
      </c>
      <c r="G6317" s="20">
        <f t="shared" si="1"/>
        <v>10</v>
      </c>
      <c r="H6317" s="18" t="s">
        <v>34</v>
      </c>
      <c r="I6317" s="19" t="str">
        <f>IFERROR(__xludf.DUMMYFUNCTION("IFERROR(TO_DATE(H6317), """")"),"NA")</f>
        <v>NA</v>
      </c>
      <c r="J6317" s="19" t="s">
        <v>14</v>
      </c>
      <c r="K6317" s="22">
        <f t="shared" si="2"/>
        <v>0</v>
      </c>
    </row>
    <row r="6318">
      <c r="A6318" s="18">
        <v>5934.0</v>
      </c>
      <c r="B6318" s="18" t="s">
        <v>30</v>
      </c>
      <c r="C6318" s="18" t="s">
        <v>34</v>
      </c>
      <c r="D6318" s="18" t="s">
        <v>35</v>
      </c>
      <c r="E6318" s="27">
        <v>42566.425208333334</v>
      </c>
      <c r="F6318" s="19">
        <f>IFERROR(__xludf.DUMMYFUNCTION("IFERROR(TO_DATE(E6318), """")"),42566.425208333334)</f>
        <v>42566.42521</v>
      </c>
      <c r="G6318" s="20">
        <f t="shared" si="1"/>
        <v>10</v>
      </c>
      <c r="H6318" s="18" t="s">
        <v>34</v>
      </c>
      <c r="I6318" s="19" t="str">
        <f>IFERROR(__xludf.DUMMYFUNCTION("IFERROR(TO_DATE(H6318), """")"),"NA")</f>
        <v>NA</v>
      </c>
      <c r="J6318" s="19" t="s">
        <v>14</v>
      </c>
      <c r="K6318" s="22">
        <f t="shared" si="2"/>
        <v>0</v>
      </c>
    </row>
    <row r="6319">
      <c r="A6319" s="18">
        <v>5939.0</v>
      </c>
      <c r="B6319" s="18" t="s">
        <v>32</v>
      </c>
      <c r="C6319" s="18" t="s">
        <v>34</v>
      </c>
      <c r="D6319" s="18" t="s">
        <v>35</v>
      </c>
      <c r="E6319" s="27">
        <v>42566.42979166667</v>
      </c>
      <c r="F6319" s="19">
        <f>IFERROR(__xludf.DUMMYFUNCTION("IFERROR(TO_DATE(E6319), """")"),42566.42979166667)</f>
        <v>42566.42979</v>
      </c>
      <c r="G6319" s="20">
        <f t="shared" si="1"/>
        <v>10</v>
      </c>
      <c r="H6319" s="18" t="s">
        <v>34</v>
      </c>
      <c r="I6319" s="19" t="str">
        <f>IFERROR(__xludf.DUMMYFUNCTION("IFERROR(TO_DATE(H6319), """")"),"NA")</f>
        <v>NA</v>
      </c>
      <c r="J6319" s="19" t="s">
        <v>14</v>
      </c>
      <c r="K6319" s="22">
        <f t="shared" si="2"/>
        <v>0</v>
      </c>
    </row>
    <row r="6320">
      <c r="A6320" s="18">
        <v>5937.0</v>
      </c>
      <c r="B6320" s="18" t="s">
        <v>32</v>
      </c>
      <c r="C6320" s="18" t="s">
        <v>34</v>
      </c>
      <c r="D6320" s="18" t="s">
        <v>35</v>
      </c>
      <c r="E6320" s="27">
        <v>42566.43119212963</v>
      </c>
      <c r="F6320" s="19">
        <f>IFERROR(__xludf.DUMMYFUNCTION("IFERROR(TO_DATE(E6320), """")"),42566.43119212963)</f>
        <v>42566.43119</v>
      </c>
      <c r="G6320" s="20">
        <f t="shared" si="1"/>
        <v>10</v>
      </c>
      <c r="H6320" s="18" t="s">
        <v>34</v>
      </c>
      <c r="I6320" s="19" t="str">
        <f>IFERROR(__xludf.DUMMYFUNCTION("IFERROR(TO_DATE(H6320), """")"),"NA")</f>
        <v>NA</v>
      </c>
      <c r="J6320" s="19" t="s">
        <v>14</v>
      </c>
      <c r="K6320" s="22">
        <f t="shared" si="2"/>
        <v>0</v>
      </c>
    </row>
    <row r="6321">
      <c r="A6321" s="18">
        <v>5941.0</v>
      </c>
      <c r="B6321" s="18" t="s">
        <v>32</v>
      </c>
      <c r="C6321" s="18" t="s">
        <v>34</v>
      </c>
      <c r="D6321" s="18" t="s">
        <v>35</v>
      </c>
      <c r="E6321" s="27">
        <v>42566.43326388889</v>
      </c>
      <c r="F6321" s="19">
        <f>IFERROR(__xludf.DUMMYFUNCTION("IFERROR(TO_DATE(E6321), """")"),42566.43326388889)</f>
        <v>42566.43326</v>
      </c>
      <c r="G6321" s="20">
        <f t="shared" si="1"/>
        <v>10</v>
      </c>
      <c r="H6321" s="18" t="s">
        <v>34</v>
      </c>
      <c r="I6321" s="19" t="str">
        <f>IFERROR(__xludf.DUMMYFUNCTION("IFERROR(TO_DATE(H6321), """")"),"NA")</f>
        <v>NA</v>
      </c>
      <c r="J6321" s="19" t="s">
        <v>14</v>
      </c>
      <c r="K6321" s="22">
        <f t="shared" si="2"/>
        <v>0</v>
      </c>
    </row>
    <row r="6322">
      <c r="A6322" s="18">
        <v>5946.0</v>
      </c>
      <c r="B6322" s="18" t="s">
        <v>32</v>
      </c>
      <c r="C6322" s="18" t="s">
        <v>34</v>
      </c>
      <c r="D6322" s="18" t="s">
        <v>35</v>
      </c>
      <c r="E6322" s="27">
        <v>42566.43649305555</v>
      </c>
      <c r="F6322" s="19">
        <f>IFERROR(__xludf.DUMMYFUNCTION("IFERROR(TO_DATE(E6322), """")"),42566.43649305555)</f>
        <v>42566.43649</v>
      </c>
      <c r="G6322" s="20">
        <f t="shared" si="1"/>
        <v>10</v>
      </c>
      <c r="H6322" s="18" t="s">
        <v>34</v>
      </c>
      <c r="I6322" s="19" t="str">
        <f>IFERROR(__xludf.DUMMYFUNCTION("IFERROR(TO_DATE(H6322), """")"),"NA")</f>
        <v>NA</v>
      </c>
      <c r="J6322" s="19" t="s">
        <v>14</v>
      </c>
      <c r="K6322" s="22">
        <f t="shared" si="2"/>
        <v>0</v>
      </c>
    </row>
    <row r="6323">
      <c r="A6323" s="18">
        <v>5943.0</v>
      </c>
      <c r="B6323" s="18" t="s">
        <v>32</v>
      </c>
      <c r="C6323" s="18" t="s">
        <v>34</v>
      </c>
      <c r="D6323" s="18" t="s">
        <v>35</v>
      </c>
      <c r="E6323" s="27">
        <v>42566.436898148146</v>
      </c>
      <c r="F6323" s="19">
        <f>IFERROR(__xludf.DUMMYFUNCTION("IFERROR(TO_DATE(E6323), """")"),42566.436898148146)</f>
        <v>42566.4369</v>
      </c>
      <c r="G6323" s="20">
        <f t="shared" si="1"/>
        <v>10</v>
      </c>
      <c r="H6323" s="18" t="s">
        <v>34</v>
      </c>
      <c r="I6323" s="19" t="str">
        <f>IFERROR(__xludf.DUMMYFUNCTION("IFERROR(TO_DATE(H6323), """")"),"NA")</f>
        <v>NA</v>
      </c>
      <c r="J6323" s="19" t="s">
        <v>14</v>
      </c>
      <c r="K6323" s="22">
        <f t="shared" si="2"/>
        <v>0</v>
      </c>
    </row>
    <row r="6324">
      <c r="A6324" s="18">
        <v>5954.0</v>
      </c>
      <c r="B6324" s="18" t="s">
        <v>32</v>
      </c>
      <c r="C6324" s="18" t="s">
        <v>34</v>
      </c>
      <c r="D6324" s="18" t="s">
        <v>35</v>
      </c>
      <c r="E6324" s="27">
        <v>42566.44775462963</v>
      </c>
      <c r="F6324" s="19">
        <f>IFERROR(__xludf.DUMMYFUNCTION("IFERROR(TO_DATE(E6324), """")"),42566.44775462963)</f>
        <v>42566.44775</v>
      </c>
      <c r="G6324" s="20">
        <f t="shared" si="1"/>
        <v>10</v>
      </c>
      <c r="H6324" s="18" t="s">
        <v>34</v>
      </c>
      <c r="I6324" s="19" t="str">
        <f>IFERROR(__xludf.DUMMYFUNCTION("IFERROR(TO_DATE(H6324), """")"),"NA")</f>
        <v>NA</v>
      </c>
      <c r="J6324" s="19" t="s">
        <v>14</v>
      </c>
      <c r="K6324" s="22">
        <f t="shared" si="2"/>
        <v>0</v>
      </c>
    </row>
    <row r="6325">
      <c r="A6325" s="18">
        <v>5951.0</v>
      </c>
      <c r="B6325" s="18" t="s">
        <v>32</v>
      </c>
      <c r="C6325" s="18" t="s">
        <v>34</v>
      </c>
      <c r="D6325" s="18" t="s">
        <v>35</v>
      </c>
      <c r="E6325" s="27">
        <v>42566.45109953704</v>
      </c>
      <c r="F6325" s="19">
        <f>IFERROR(__xludf.DUMMYFUNCTION("IFERROR(TO_DATE(E6325), """")"),42566.45109953704)</f>
        <v>42566.4511</v>
      </c>
      <c r="G6325" s="20">
        <f t="shared" si="1"/>
        <v>10</v>
      </c>
      <c r="H6325" s="18" t="s">
        <v>34</v>
      </c>
      <c r="I6325" s="19" t="str">
        <f>IFERROR(__xludf.DUMMYFUNCTION("IFERROR(TO_DATE(H6325), """")"),"NA")</f>
        <v>NA</v>
      </c>
      <c r="J6325" s="19" t="s">
        <v>14</v>
      </c>
      <c r="K6325" s="22">
        <f t="shared" si="2"/>
        <v>0</v>
      </c>
    </row>
    <row r="6326">
      <c r="A6326" s="18">
        <v>5959.0</v>
      </c>
      <c r="B6326" s="18" t="s">
        <v>32</v>
      </c>
      <c r="C6326" s="18" t="s">
        <v>34</v>
      </c>
      <c r="D6326" s="18" t="s">
        <v>35</v>
      </c>
      <c r="E6326" s="27">
        <v>42566.45347222222</v>
      </c>
      <c r="F6326" s="19">
        <f>IFERROR(__xludf.DUMMYFUNCTION("IFERROR(TO_DATE(E6326), """")"),42566.45347222222)</f>
        <v>42566.45347</v>
      </c>
      <c r="G6326" s="20">
        <f t="shared" si="1"/>
        <v>10</v>
      </c>
      <c r="H6326" s="18" t="s">
        <v>34</v>
      </c>
      <c r="I6326" s="19" t="str">
        <f>IFERROR(__xludf.DUMMYFUNCTION("IFERROR(TO_DATE(H6326), """")"),"NA")</f>
        <v>NA</v>
      </c>
      <c r="J6326" s="19" t="s">
        <v>14</v>
      </c>
      <c r="K6326" s="22">
        <f t="shared" si="2"/>
        <v>0</v>
      </c>
    </row>
    <row r="6327">
      <c r="A6327" s="18">
        <v>5969.0</v>
      </c>
      <c r="B6327" s="18" t="s">
        <v>32</v>
      </c>
      <c r="C6327" s="18" t="s">
        <v>34</v>
      </c>
      <c r="D6327" s="18" t="s">
        <v>35</v>
      </c>
      <c r="E6327" s="27">
        <v>42566.45533564815</v>
      </c>
      <c r="F6327" s="19">
        <f>IFERROR(__xludf.DUMMYFUNCTION("IFERROR(TO_DATE(E6327), """")"),42566.45533564815)</f>
        <v>42566.45534</v>
      </c>
      <c r="G6327" s="20">
        <f t="shared" si="1"/>
        <v>10</v>
      </c>
      <c r="H6327" s="18" t="s">
        <v>34</v>
      </c>
      <c r="I6327" s="19" t="str">
        <f>IFERROR(__xludf.DUMMYFUNCTION("IFERROR(TO_DATE(H6327), """")"),"NA")</f>
        <v>NA</v>
      </c>
      <c r="J6327" s="19" t="s">
        <v>14</v>
      </c>
      <c r="K6327" s="22">
        <f t="shared" si="2"/>
        <v>0</v>
      </c>
    </row>
    <row r="6328">
      <c r="A6328" s="18">
        <v>5965.0</v>
      </c>
      <c r="B6328" s="18" t="s">
        <v>32</v>
      </c>
      <c r="C6328" s="18" t="s">
        <v>34</v>
      </c>
      <c r="D6328" s="18" t="s">
        <v>35</v>
      </c>
      <c r="E6328" s="27">
        <v>42566.45675925926</v>
      </c>
      <c r="F6328" s="19">
        <f>IFERROR(__xludf.DUMMYFUNCTION("IFERROR(TO_DATE(E6328), """")"),42566.45675925926)</f>
        <v>42566.45676</v>
      </c>
      <c r="G6328" s="20">
        <f t="shared" si="1"/>
        <v>10</v>
      </c>
      <c r="H6328" s="18" t="s">
        <v>34</v>
      </c>
      <c r="I6328" s="19" t="str">
        <f>IFERROR(__xludf.DUMMYFUNCTION("IFERROR(TO_DATE(H6328), """")"),"NA")</f>
        <v>NA</v>
      </c>
      <c r="J6328" s="19" t="s">
        <v>14</v>
      </c>
      <c r="K6328" s="22">
        <f t="shared" si="2"/>
        <v>0</v>
      </c>
    </row>
    <row r="6329">
      <c r="A6329" s="18">
        <v>5963.0</v>
      </c>
      <c r="B6329" s="18" t="s">
        <v>32</v>
      </c>
      <c r="C6329" s="18" t="s">
        <v>34</v>
      </c>
      <c r="D6329" s="18" t="s">
        <v>35</v>
      </c>
      <c r="E6329" s="27">
        <v>42566.45715277778</v>
      </c>
      <c r="F6329" s="19">
        <f>IFERROR(__xludf.DUMMYFUNCTION("IFERROR(TO_DATE(E6329), """")"),42566.45715277778)</f>
        <v>42566.45715</v>
      </c>
      <c r="G6329" s="20">
        <f t="shared" si="1"/>
        <v>10</v>
      </c>
      <c r="H6329" s="18" t="s">
        <v>34</v>
      </c>
      <c r="I6329" s="19" t="str">
        <f>IFERROR(__xludf.DUMMYFUNCTION("IFERROR(TO_DATE(H6329), """")"),"NA")</f>
        <v>NA</v>
      </c>
      <c r="J6329" s="19" t="s">
        <v>14</v>
      </c>
      <c r="K6329" s="22">
        <f t="shared" si="2"/>
        <v>0</v>
      </c>
    </row>
    <row r="6330">
      <c r="A6330" s="18">
        <v>5968.0</v>
      </c>
      <c r="B6330" s="18" t="s">
        <v>32</v>
      </c>
      <c r="C6330" s="18" t="s">
        <v>34</v>
      </c>
      <c r="D6330" s="18" t="s">
        <v>35</v>
      </c>
      <c r="E6330" s="27">
        <v>42566.464224537034</v>
      </c>
      <c r="F6330" s="19">
        <f>IFERROR(__xludf.DUMMYFUNCTION("IFERROR(TO_DATE(E6330), """")"),42566.464224537034)</f>
        <v>42566.46422</v>
      </c>
      <c r="G6330" s="20">
        <f t="shared" si="1"/>
        <v>11</v>
      </c>
      <c r="H6330" s="18" t="s">
        <v>34</v>
      </c>
      <c r="I6330" s="19" t="str">
        <f>IFERROR(__xludf.DUMMYFUNCTION("IFERROR(TO_DATE(H6330), """")"),"NA")</f>
        <v>NA</v>
      </c>
      <c r="J6330" s="19" t="s">
        <v>14</v>
      </c>
      <c r="K6330" s="22">
        <f t="shared" si="2"/>
        <v>0</v>
      </c>
    </row>
    <row r="6331">
      <c r="A6331" s="18">
        <v>5974.0</v>
      </c>
      <c r="B6331" s="18" t="s">
        <v>32</v>
      </c>
      <c r="C6331" s="18" t="s">
        <v>34</v>
      </c>
      <c r="D6331" s="18" t="s">
        <v>35</v>
      </c>
      <c r="E6331" s="27">
        <v>42566.46869212963</v>
      </c>
      <c r="F6331" s="19">
        <f>IFERROR(__xludf.DUMMYFUNCTION("IFERROR(TO_DATE(E6331), """")"),42566.46869212963)</f>
        <v>42566.46869</v>
      </c>
      <c r="G6331" s="20">
        <f t="shared" si="1"/>
        <v>11</v>
      </c>
      <c r="H6331" s="18" t="s">
        <v>34</v>
      </c>
      <c r="I6331" s="19" t="str">
        <f>IFERROR(__xludf.DUMMYFUNCTION("IFERROR(TO_DATE(H6331), """")"),"NA")</f>
        <v>NA</v>
      </c>
      <c r="J6331" s="19" t="s">
        <v>14</v>
      </c>
      <c r="K6331" s="22">
        <f t="shared" si="2"/>
        <v>0</v>
      </c>
    </row>
    <row r="6332">
      <c r="A6332" s="18">
        <v>5975.0</v>
      </c>
      <c r="B6332" s="18" t="s">
        <v>32</v>
      </c>
      <c r="C6332" s="18" t="s">
        <v>34</v>
      </c>
      <c r="D6332" s="18" t="s">
        <v>35</v>
      </c>
      <c r="E6332" s="27">
        <v>42566.468877314815</v>
      </c>
      <c r="F6332" s="19">
        <f>IFERROR(__xludf.DUMMYFUNCTION("IFERROR(TO_DATE(E6332), """")"),42566.468877314815)</f>
        <v>42566.46888</v>
      </c>
      <c r="G6332" s="20">
        <f t="shared" si="1"/>
        <v>11</v>
      </c>
      <c r="H6332" s="18" t="s">
        <v>34</v>
      </c>
      <c r="I6332" s="19" t="str">
        <f>IFERROR(__xludf.DUMMYFUNCTION("IFERROR(TO_DATE(H6332), """")"),"NA")</f>
        <v>NA</v>
      </c>
      <c r="J6332" s="19" t="s">
        <v>14</v>
      </c>
      <c r="K6332" s="22">
        <f t="shared" si="2"/>
        <v>0</v>
      </c>
    </row>
    <row r="6333">
      <c r="A6333" s="18">
        <v>5982.0</v>
      </c>
      <c r="B6333" s="18" t="s">
        <v>32</v>
      </c>
      <c r="C6333" s="18" t="s">
        <v>34</v>
      </c>
      <c r="D6333" s="18" t="s">
        <v>35</v>
      </c>
      <c r="E6333" s="27">
        <v>42566.485</v>
      </c>
      <c r="F6333" s="19">
        <f>IFERROR(__xludf.DUMMYFUNCTION("IFERROR(TO_DATE(E6333), """")"),42566.485)</f>
        <v>42566.485</v>
      </c>
      <c r="G6333" s="20">
        <f t="shared" si="1"/>
        <v>11</v>
      </c>
      <c r="H6333" s="18" t="s">
        <v>34</v>
      </c>
      <c r="I6333" s="19" t="str">
        <f>IFERROR(__xludf.DUMMYFUNCTION("IFERROR(TO_DATE(H6333), """")"),"NA")</f>
        <v>NA</v>
      </c>
      <c r="J6333" s="19" t="s">
        <v>14</v>
      </c>
      <c r="K6333" s="22">
        <f t="shared" si="2"/>
        <v>0</v>
      </c>
    </row>
    <row r="6334">
      <c r="A6334" s="18">
        <v>5985.0</v>
      </c>
      <c r="B6334" s="18" t="s">
        <v>32</v>
      </c>
      <c r="C6334" s="18" t="s">
        <v>34</v>
      </c>
      <c r="D6334" s="18" t="s">
        <v>35</v>
      </c>
      <c r="E6334" s="27">
        <v>42566.48736111111</v>
      </c>
      <c r="F6334" s="19">
        <f>IFERROR(__xludf.DUMMYFUNCTION("IFERROR(TO_DATE(E6334), """")"),42566.48736111111)</f>
        <v>42566.48736</v>
      </c>
      <c r="G6334" s="20">
        <f t="shared" si="1"/>
        <v>11</v>
      </c>
      <c r="H6334" s="18" t="s">
        <v>34</v>
      </c>
      <c r="I6334" s="19" t="str">
        <f>IFERROR(__xludf.DUMMYFUNCTION("IFERROR(TO_DATE(H6334), """")"),"NA")</f>
        <v>NA</v>
      </c>
      <c r="J6334" s="19" t="s">
        <v>14</v>
      </c>
      <c r="K6334" s="22">
        <f t="shared" si="2"/>
        <v>0</v>
      </c>
    </row>
    <row r="6335">
      <c r="A6335" s="18">
        <v>5984.0</v>
      </c>
      <c r="B6335" s="18" t="s">
        <v>32</v>
      </c>
      <c r="C6335" s="18" t="s">
        <v>34</v>
      </c>
      <c r="D6335" s="18" t="s">
        <v>35</v>
      </c>
      <c r="E6335" s="27">
        <v>42566.48950231481</v>
      </c>
      <c r="F6335" s="19">
        <f>IFERROR(__xludf.DUMMYFUNCTION("IFERROR(TO_DATE(E6335), """")"),42566.48950231481)</f>
        <v>42566.4895</v>
      </c>
      <c r="G6335" s="20">
        <f t="shared" si="1"/>
        <v>11</v>
      </c>
      <c r="H6335" s="18" t="s">
        <v>34</v>
      </c>
      <c r="I6335" s="19" t="str">
        <f>IFERROR(__xludf.DUMMYFUNCTION("IFERROR(TO_DATE(H6335), """")"),"NA")</f>
        <v>NA</v>
      </c>
      <c r="J6335" s="19" t="s">
        <v>14</v>
      </c>
      <c r="K6335" s="22">
        <f t="shared" si="2"/>
        <v>0</v>
      </c>
    </row>
    <row r="6336">
      <c r="A6336" s="18">
        <v>5995.0</v>
      </c>
      <c r="B6336" s="18" t="s">
        <v>32</v>
      </c>
      <c r="C6336" s="18" t="s">
        <v>34</v>
      </c>
      <c r="D6336" s="18" t="s">
        <v>35</v>
      </c>
      <c r="E6336" s="27">
        <v>42566.49466435185</v>
      </c>
      <c r="F6336" s="19">
        <f>IFERROR(__xludf.DUMMYFUNCTION("IFERROR(TO_DATE(E6336), """")"),42566.49466435185)</f>
        <v>42566.49466</v>
      </c>
      <c r="G6336" s="20">
        <f t="shared" si="1"/>
        <v>11</v>
      </c>
      <c r="H6336" s="18" t="s">
        <v>34</v>
      </c>
      <c r="I6336" s="19" t="str">
        <f>IFERROR(__xludf.DUMMYFUNCTION("IFERROR(TO_DATE(H6336), """")"),"NA")</f>
        <v>NA</v>
      </c>
      <c r="J6336" s="19" t="s">
        <v>14</v>
      </c>
      <c r="K6336" s="22">
        <f t="shared" si="2"/>
        <v>0</v>
      </c>
    </row>
    <row r="6337">
      <c r="A6337" s="18">
        <v>5991.0</v>
      </c>
      <c r="B6337" s="18" t="s">
        <v>32</v>
      </c>
      <c r="C6337" s="18" t="s">
        <v>34</v>
      </c>
      <c r="D6337" s="18" t="s">
        <v>35</v>
      </c>
      <c r="E6337" s="27">
        <v>42566.49496527778</v>
      </c>
      <c r="F6337" s="19">
        <f>IFERROR(__xludf.DUMMYFUNCTION("IFERROR(TO_DATE(E6337), """")"),42566.49496527778)</f>
        <v>42566.49497</v>
      </c>
      <c r="G6337" s="20">
        <f t="shared" si="1"/>
        <v>11</v>
      </c>
      <c r="H6337" s="18" t="s">
        <v>34</v>
      </c>
      <c r="I6337" s="19" t="str">
        <f>IFERROR(__xludf.DUMMYFUNCTION("IFERROR(TO_DATE(H6337), """")"),"NA")</f>
        <v>NA</v>
      </c>
      <c r="J6337" s="19" t="s">
        <v>14</v>
      </c>
      <c r="K6337" s="22">
        <f t="shared" si="2"/>
        <v>0</v>
      </c>
    </row>
    <row r="6338">
      <c r="A6338" s="18">
        <v>5997.0</v>
      </c>
      <c r="B6338" s="18" t="s">
        <v>32</v>
      </c>
      <c r="C6338" s="18" t="s">
        <v>34</v>
      </c>
      <c r="D6338" s="18" t="s">
        <v>35</v>
      </c>
      <c r="E6338" s="27">
        <v>42566.49621527778</v>
      </c>
      <c r="F6338" s="19">
        <f>IFERROR(__xludf.DUMMYFUNCTION("IFERROR(TO_DATE(E6338), """")"),42566.49621527778)</f>
        <v>42566.49622</v>
      </c>
      <c r="G6338" s="20">
        <f t="shared" si="1"/>
        <v>11</v>
      </c>
      <c r="H6338" s="18" t="s">
        <v>34</v>
      </c>
      <c r="I6338" s="19" t="str">
        <f>IFERROR(__xludf.DUMMYFUNCTION("IFERROR(TO_DATE(H6338), """")"),"NA")</f>
        <v>NA</v>
      </c>
      <c r="J6338" s="19" t="s">
        <v>14</v>
      </c>
      <c r="K6338" s="22">
        <f t="shared" si="2"/>
        <v>0</v>
      </c>
    </row>
    <row r="6339">
      <c r="A6339" s="18">
        <v>5993.0</v>
      </c>
      <c r="B6339" s="18" t="s">
        <v>32</v>
      </c>
      <c r="C6339" s="18" t="s">
        <v>34</v>
      </c>
      <c r="D6339" s="18" t="s">
        <v>35</v>
      </c>
      <c r="E6339" s="27">
        <v>42566.49765046296</v>
      </c>
      <c r="F6339" s="19">
        <f>IFERROR(__xludf.DUMMYFUNCTION("IFERROR(TO_DATE(E6339), """")"),42566.49765046296)</f>
        <v>42566.49765</v>
      </c>
      <c r="G6339" s="20">
        <f t="shared" si="1"/>
        <v>11</v>
      </c>
      <c r="H6339" s="18" t="s">
        <v>34</v>
      </c>
      <c r="I6339" s="19" t="str">
        <f>IFERROR(__xludf.DUMMYFUNCTION("IFERROR(TO_DATE(H6339), """")"),"NA")</f>
        <v>NA</v>
      </c>
      <c r="J6339" s="19" t="s">
        <v>14</v>
      </c>
      <c r="K6339" s="22">
        <f t="shared" si="2"/>
        <v>0</v>
      </c>
    </row>
    <row r="6340">
      <c r="A6340" s="18">
        <v>5999.0</v>
      </c>
      <c r="B6340" s="18" t="s">
        <v>32</v>
      </c>
      <c r="C6340" s="18" t="s">
        <v>34</v>
      </c>
      <c r="D6340" s="18" t="s">
        <v>35</v>
      </c>
      <c r="E6340" s="27">
        <v>42566.5005787037</v>
      </c>
      <c r="F6340" s="19">
        <f>IFERROR(__xludf.DUMMYFUNCTION("IFERROR(TO_DATE(E6340), """")"),42566.5005787037)</f>
        <v>42566.50058</v>
      </c>
      <c r="G6340" s="20">
        <f t="shared" si="1"/>
        <v>12</v>
      </c>
      <c r="H6340" s="18" t="s">
        <v>34</v>
      </c>
      <c r="I6340" s="19" t="str">
        <f>IFERROR(__xludf.DUMMYFUNCTION("IFERROR(TO_DATE(H6340), """")"),"NA")</f>
        <v>NA</v>
      </c>
      <c r="J6340" s="19" t="s">
        <v>10</v>
      </c>
      <c r="K6340" s="22">
        <f t="shared" si="2"/>
        <v>0</v>
      </c>
    </row>
    <row r="6341">
      <c r="A6341" s="18">
        <v>5998.0</v>
      </c>
      <c r="B6341" s="18" t="s">
        <v>30</v>
      </c>
      <c r="C6341" s="18" t="s">
        <v>34</v>
      </c>
      <c r="D6341" s="18" t="s">
        <v>35</v>
      </c>
      <c r="E6341" s="27">
        <v>42566.503912037035</v>
      </c>
      <c r="F6341" s="19">
        <f>IFERROR(__xludf.DUMMYFUNCTION("IFERROR(TO_DATE(E6341), """")"),42566.503912037035)</f>
        <v>42566.50391</v>
      </c>
      <c r="G6341" s="20">
        <f t="shared" si="1"/>
        <v>12</v>
      </c>
      <c r="H6341" s="18" t="s">
        <v>34</v>
      </c>
      <c r="I6341" s="19" t="str">
        <f>IFERROR(__xludf.DUMMYFUNCTION("IFERROR(TO_DATE(H6341), """")"),"NA")</f>
        <v>NA</v>
      </c>
      <c r="J6341" s="19" t="s">
        <v>10</v>
      </c>
      <c r="K6341" s="22">
        <f t="shared" si="2"/>
        <v>0</v>
      </c>
    </row>
    <row r="6342">
      <c r="A6342" s="18">
        <v>6005.0</v>
      </c>
      <c r="B6342" s="18" t="s">
        <v>32</v>
      </c>
      <c r="C6342" s="18" t="s">
        <v>34</v>
      </c>
      <c r="D6342" s="18" t="s">
        <v>35</v>
      </c>
      <c r="E6342" s="27">
        <v>42566.50885416667</v>
      </c>
      <c r="F6342" s="19">
        <f>IFERROR(__xludf.DUMMYFUNCTION("IFERROR(TO_DATE(E6342), """")"),42566.50885416667)</f>
        <v>42566.50885</v>
      </c>
      <c r="G6342" s="20">
        <f t="shared" si="1"/>
        <v>12</v>
      </c>
      <c r="H6342" s="18" t="s">
        <v>34</v>
      </c>
      <c r="I6342" s="19" t="str">
        <f>IFERROR(__xludf.DUMMYFUNCTION("IFERROR(TO_DATE(H6342), """")"),"NA")</f>
        <v>NA</v>
      </c>
      <c r="J6342" s="19" t="s">
        <v>10</v>
      </c>
      <c r="K6342" s="22">
        <f t="shared" si="2"/>
        <v>0</v>
      </c>
    </row>
    <row r="6343">
      <c r="A6343" s="18">
        <v>6008.0</v>
      </c>
      <c r="B6343" s="18" t="s">
        <v>32</v>
      </c>
      <c r="C6343" s="18" t="s">
        <v>34</v>
      </c>
      <c r="D6343" s="18" t="s">
        <v>35</v>
      </c>
      <c r="E6343" s="27">
        <v>42566.5103125</v>
      </c>
      <c r="F6343" s="19">
        <f>IFERROR(__xludf.DUMMYFUNCTION("IFERROR(TO_DATE(E6343), """")"),42566.5103125)</f>
        <v>42566.51031</v>
      </c>
      <c r="G6343" s="20">
        <f t="shared" si="1"/>
        <v>12</v>
      </c>
      <c r="H6343" s="18" t="s">
        <v>34</v>
      </c>
      <c r="I6343" s="19" t="str">
        <f>IFERROR(__xludf.DUMMYFUNCTION("IFERROR(TO_DATE(H6343), """")"),"NA")</f>
        <v>NA</v>
      </c>
      <c r="J6343" s="19" t="s">
        <v>10</v>
      </c>
      <c r="K6343" s="22">
        <f t="shared" si="2"/>
        <v>0</v>
      </c>
    </row>
    <row r="6344">
      <c r="A6344" s="18">
        <v>6011.0</v>
      </c>
      <c r="B6344" s="18" t="s">
        <v>32</v>
      </c>
      <c r="C6344" s="18" t="s">
        <v>34</v>
      </c>
      <c r="D6344" s="18" t="s">
        <v>35</v>
      </c>
      <c r="E6344" s="27">
        <v>42566.5147337963</v>
      </c>
      <c r="F6344" s="19">
        <f>IFERROR(__xludf.DUMMYFUNCTION("IFERROR(TO_DATE(E6344), """")"),42566.5147337963)</f>
        <v>42566.51473</v>
      </c>
      <c r="G6344" s="20">
        <f t="shared" si="1"/>
        <v>12</v>
      </c>
      <c r="H6344" s="18" t="s">
        <v>34</v>
      </c>
      <c r="I6344" s="19" t="str">
        <f>IFERROR(__xludf.DUMMYFUNCTION("IFERROR(TO_DATE(H6344), """")"),"NA")</f>
        <v>NA</v>
      </c>
      <c r="J6344" s="19" t="s">
        <v>10</v>
      </c>
      <c r="K6344" s="22">
        <f t="shared" si="2"/>
        <v>0</v>
      </c>
    </row>
    <row r="6345">
      <c r="A6345" s="18">
        <v>6015.0</v>
      </c>
      <c r="B6345" s="18" t="s">
        <v>32</v>
      </c>
      <c r="C6345" s="18" t="s">
        <v>34</v>
      </c>
      <c r="D6345" s="18" t="s">
        <v>35</v>
      </c>
      <c r="E6345" s="27">
        <v>42566.51981481481</v>
      </c>
      <c r="F6345" s="19">
        <f>IFERROR(__xludf.DUMMYFUNCTION("IFERROR(TO_DATE(E6345), """")"),42566.51981481481)</f>
        <v>42566.51981</v>
      </c>
      <c r="G6345" s="20">
        <f t="shared" si="1"/>
        <v>12</v>
      </c>
      <c r="H6345" s="18" t="s">
        <v>34</v>
      </c>
      <c r="I6345" s="19" t="str">
        <f>IFERROR(__xludf.DUMMYFUNCTION("IFERROR(TO_DATE(H6345), """")"),"NA")</f>
        <v>NA</v>
      </c>
      <c r="J6345" s="19" t="s">
        <v>10</v>
      </c>
      <c r="K6345" s="22">
        <f t="shared" si="2"/>
        <v>0</v>
      </c>
    </row>
    <row r="6346">
      <c r="A6346" s="18">
        <v>6012.0</v>
      </c>
      <c r="B6346" s="18" t="s">
        <v>30</v>
      </c>
      <c r="C6346" s="18" t="s">
        <v>34</v>
      </c>
      <c r="D6346" s="18" t="s">
        <v>35</v>
      </c>
      <c r="E6346" s="27">
        <v>42566.520219907405</v>
      </c>
      <c r="F6346" s="19">
        <f>IFERROR(__xludf.DUMMYFUNCTION("IFERROR(TO_DATE(E6346), """")"),42566.520219907405)</f>
        <v>42566.52022</v>
      </c>
      <c r="G6346" s="20">
        <f t="shared" si="1"/>
        <v>12</v>
      </c>
      <c r="H6346" s="18" t="s">
        <v>34</v>
      </c>
      <c r="I6346" s="19" t="str">
        <f>IFERROR(__xludf.DUMMYFUNCTION("IFERROR(TO_DATE(H6346), """")"),"NA")</f>
        <v>NA</v>
      </c>
      <c r="J6346" s="19" t="s">
        <v>10</v>
      </c>
      <c r="K6346" s="22">
        <f t="shared" si="2"/>
        <v>0</v>
      </c>
    </row>
    <row r="6347">
      <c r="A6347" s="18">
        <v>6018.0</v>
      </c>
      <c r="B6347" s="18" t="s">
        <v>32</v>
      </c>
      <c r="C6347" s="18" t="s">
        <v>34</v>
      </c>
      <c r="D6347" s="18" t="s">
        <v>35</v>
      </c>
      <c r="E6347" s="27">
        <v>42566.52378472222</v>
      </c>
      <c r="F6347" s="19">
        <f>IFERROR(__xludf.DUMMYFUNCTION("IFERROR(TO_DATE(E6347), """")"),42566.52378472222)</f>
        <v>42566.52378</v>
      </c>
      <c r="G6347" s="20">
        <f t="shared" si="1"/>
        <v>12</v>
      </c>
      <c r="H6347" s="18" t="s">
        <v>34</v>
      </c>
      <c r="I6347" s="19" t="str">
        <f>IFERROR(__xludf.DUMMYFUNCTION("IFERROR(TO_DATE(H6347), """")"),"NA")</f>
        <v>NA</v>
      </c>
      <c r="J6347" s="19" t="s">
        <v>10</v>
      </c>
      <c r="K6347" s="22">
        <f t="shared" si="2"/>
        <v>0</v>
      </c>
    </row>
    <row r="6348">
      <c r="A6348" s="18">
        <v>6019.0</v>
      </c>
      <c r="B6348" s="18" t="s">
        <v>32</v>
      </c>
      <c r="C6348" s="18" t="s">
        <v>34</v>
      </c>
      <c r="D6348" s="18" t="s">
        <v>35</v>
      </c>
      <c r="E6348" s="27">
        <v>42566.52821759259</v>
      </c>
      <c r="F6348" s="19">
        <f>IFERROR(__xludf.DUMMYFUNCTION("IFERROR(TO_DATE(E6348), """")"),42566.52821759259)</f>
        <v>42566.52822</v>
      </c>
      <c r="G6348" s="20">
        <f t="shared" si="1"/>
        <v>12</v>
      </c>
      <c r="H6348" s="18" t="s">
        <v>34</v>
      </c>
      <c r="I6348" s="19" t="str">
        <f>IFERROR(__xludf.DUMMYFUNCTION("IFERROR(TO_DATE(H6348), """")"),"NA")</f>
        <v>NA</v>
      </c>
      <c r="J6348" s="19" t="s">
        <v>10</v>
      </c>
      <c r="K6348" s="22">
        <f t="shared" si="2"/>
        <v>0</v>
      </c>
    </row>
    <row r="6349">
      <c r="A6349" s="18">
        <v>6023.0</v>
      </c>
      <c r="B6349" s="18" t="s">
        <v>32</v>
      </c>
      <c r="C6349" s="18" t="s">
        <v>34</v>
      </c>
      <c r="D6349" s="18" t="s">
        <v>35</v>
      </c>
      <c r="E6349" s="27">
        <v>42566.529652777775</v>
      </c>
      <c r="F6349" s="19">
        <f>IFERROR(__xludf.DUMMYFUNCTION("IFERROR(TO_DATE(E6349), """")"),42566.529652777775)</f>
        <v>42566.52965</v>
      </c>
      <c r="G6349" s="20">
        <f t="shared" si="1"/>
        <v>12</v>
      </c>
      <c r="H6349" s="18" t="s">
        <v>34</v>
      </c>
      <c r="I6349" s="19" t="str">
        <f>IFERROR(__xludf.DUMMYFUNCTION("IFERROR(TO_DATE(H6349), """")"),"NA")</f>
        <v>NA</v>
      </c>
      <c r="J6349" s="19" t="s">
        <v>10</v>
      </c>
      <c r="K6349" s="22">
        <f t="shared" si="2"/>
        <v>0</v>
      </c>
    </row>
    <row r="6350">
      <c r="A6350" s="18">
        <v>6025.0</v>
      </c>
      <c r="B6350" s="18" t="s">
        <v>32</v>
      </c>
      <c r="C6350" s="18" t="s">
        <v>34</v>
      </c>
      <c r="D6350" s="18" t="s">
        <v>35</v>
      </c>
      <c r="E6350" s="27">
        <v>42566.53162037037</v>
      </c>
      <c r="F6350" s="19">
        <f>IFERROR(__xludf.DUMMYFUNCTION("IFERROR(TO_DATE(E6350), """")"),42566.53162037037)</f>
        <v>42566.53162</v>
      </c>
      <c r="G6350" s="20">
        <f t="shared" si="1"/>
        <v>12</v>
      </c>
      <c r="H6350" s="18" t="s">
        <v>34</v>
      </c>
      <c r="I6350" s="19" t="str">
        <f>IFERROR(__xludf.DUMMYFUNCTION("IFERROR(TO_DATE(H6350), """")"),"NA")</f>
        <v>NA</v>
      </c>
      <c r="J6350" s="19" t="s">
        <v>10</v>
      </c>
      <c r="K6350" s="22">
        <f t="shared" si="2"/>
        <v>0</v>
      </c>
    </row>
    <row r="6351">
      <c r="A6351" s="18">
        <v>6022.0</v>
      </c>
      <c r="B6351" s="18" t="s">
        <v>32</v>
      </c>
      <c r="C6351" s="18" t="s">
        <v>34</v>
      </c>
      <c r="D6351" s="18" t="s">
        <v>35</v>
      </c>
      <c r="E6351" s="27">
        <v>42566.535</v>
      </c>
      <c r="F6351" s="19">
        <f>IFERROR(__xludf.DUMMYFUNCTION("IFERROR(TO_DATE(E6351), """")"),42566.535)</f>
        <v>42566.535</v>
      </c>
      <c r="G6351" s="20">
        <f t="shared" si="1"/>
        <v>12</v>
      </c>
      <c r="H6351" s="18" t="s">
        <v>34</v>
      </c>
      <c r="I6351" s="19" t="str">
        <f>IFERROR(__xludf.DUMMYFUNCTION("IFERROR(TO_DATE(H6351), """")"),"NA")</f>
        <v>NA</v>
      </c>
      <c r="J6351" s="19" t="s">
        <v>10</v>
      </c>
      <c r="K6351" s="22">
        <f t="shared" si="2"/>
        <v>0</v>
      </c>
    </row>
    <row r="6352">
      <c r="A6352" s="18">
        <v>6029.0</v>
      </c>
      <c r="B6352" s="18" t="s">
        <v>32</v>
      </c>
      <c r="C6352" s="18" t="s">
        <v>34</v>
      </c>
      <c r="D6352" s="18" t="s">
        <v>35</v>
      </c>
      <c r="E6352" s="27">
        <v>42566.53565972222</v>
      </c>
      <c r="F6352" s="19">
        <f>IFERROR(__xludf.DUMMYFUNCTION("IFERROR(TO_DATE(E6352), """")"),42566.53565972222)</f>
        <v>42566.53566</v>
      </c>
      <c r="G6352" s="20">
        <f t="shared" si="1"/>
        <v>12</v>
      </c>
      <c r="H6352" s="18" t="s">
        <v>34</v>
      </c>
      <c r="I6352" s="19" t="str">
        <f>IFERROR(__xludf.DUMMYFUNCTION("IFERROR(TO_DATE(H6352), """")"),"NA")</f>
        <v>NA</v>
      </c>
      <c r="J6352" s="19" t="s">
        <v>10</v>
      </c>
      <c r="K6352" s="22">
        <f t="shared" si="2"/>
        <v>0</v>
      </c>
    </row>
    <row r="6353">
      <c r="A6353" s="18">
        <v>6028.0</v>
      </c>
      <c r="B6353" s="18" t="s">
        <v>30</v>
      </c>
      <c r="C6353" s="18" t="s">
        <v>34</v>
      </c>
      <c r="D6353" s="18" t="s">
        <v>35</v>
      </c>
      <c r="E6353" s="27">
        <v>42566.536469907405</v>
      </c>
      <c r="F6353" s="19">
        <f>IFERROR(__xludf.DUMMYFUNCTION("IFERROR(TO_DATE(E6353), """")"),42566.536469907405)</f>
        <v>42566.53647</v>
      </c>
      <c r="G6353" s="20">
        <f t="shared" si="1"/>
        <v>12</v>
      </c>
      <c r="H6353" s="18" t="s">
        <v>34</v>
      </c>
      <c r="I6353" s="19" t="str">
        <f>IFERROR(__xludf.DUMMYFUNCTION("IFERROR(TO_DATE(H6353), """")"),"NA")</f>
        <v>NA</v>
      </c>
      <c r="J6353" s="19" t="s">
        <v>10</v>
      </c>
      <c r="K6353" s="22">
        <f t="shared" si="2"/>
        <v>0</v>
      </c>
    </row>
    <row r="6354">
      <c r="A6354" s="18">
        <v>6034.0</v>
      </c>
      <c r="B6354" s="18" t="s">
        <v>32</v>
      </c>
      <c r="C6354" s="18" t="s">
        <v>34</v>
      </c>
      <c r="D6354" s="18" t="s">
        <v>35</v>
      </c>
      <c r="E6354" s="27">
        <v>42566.53984953704</v>
      </c>
      <c r="F6354" s="19">
        <f>IFERROR(__xludf.DUMMYFUNCTION("IFERROR(TO_DATE(E6354), """")"),42566.53984953704)</f>
        <v>42566.53985</v>
      </c>
      <c r="G6354" s="20">
        <f t="shared" si="1"/>
        <v>12</v>
      </c>
      <c r="H6354" s="18" t="s">
        <v>34</v>
      </c>
      <c r="I6354" s="19" t="str">
        <f>IFERROR(__xludf.DUMMYFUNCTION("IFERROR(TO_DATE(H6354), """")"),"NA")</f>
        <v>NA</v>
      </c>
      <c r="J6354" s="19" t="s">
        <v>10</v>
      </c>
      <c r="K6354" s="22">
        <f t="shared" si="2"/>
        <v>0</v>
      </c>
    </row>
    <row r="6355">
      <c r="A6355" s="18">
        <v>6036.0</v>
      </c>
      <c r="B6355" s="18" t="s">
        <v>32</v>
      </c>
      <c r="C6355" s="18" t="s">
        <v>34</v>
      </c>
      <c r="D6355" s="18" t="s">
        <v>35</v>
      </c>
      <c r="E6355" s="27">
        <v>42566.54497685185</v>
      </c>
      <c r="F6355" s="19">
        <f>IFERROR(__xludf.DUMMYFUNCTION("IFERROR(TO_DATE(E6355), """")"),42566.54497685185)</f>
        <v>42566.54498</v>
      </c>
      <c r="G6355" s="20">
        <f t="shared" si="1"/>
        <v>13</v>
      </c>
      <c r="H6355" s="18" t="s">
        <v>34</v>
      </c>
      <c r="I6355" s="19" t="str">
        <f>IFERROR(__xludf.DUMMYFUNCTION("IFERROR(TO_DATE(H6355), """")"),"NA")</f>
        <v>NA</v>
      </c>
      <c r="J6355" s="19" t="s">
        <v>10</v>
      </c>
      <c r="K6355" s="22">
        <f t="shared" si="2"/>
        <v>0</v>
      </c>
    </row>
    <row r="6356">
      <c r="A6356" s="18">
        <v>6040.0</v>
      </c>
      <c r="B6356" s="18" t="s">
        <v>32</v>
      </c>
      <c r="C6356" s="18" t="s">
        <v>34</v>
      </c>
      <c r="D6356" s="18" t="s">
        <v>35</v>
      </c>
      <c r="E6356" s="27">
        <v>42566.54854166666</v>
      </c>
      <c r="F6356" s="19">
        <f>IFERROR(__xludf.DUMMYFUNCTION("IFERROR(TO_DATE(E6356), """")"),42566.54854166666)</f>
        <v>42566.54854</v>
      </c>
      <c r="G6356" s="20">
        <f t="shared" si="1"/>
        <v>13</v>
      </c>
      <c r="H6356" s="18" t="s">
        <v>34</v>
      </c>
      <c r="I6356" s="19" t="str">
        <f>IFERROR(__xludf.DUMMYFUNCTION("IFERROR(TO_DATE(H6356), """")"),"NA")</f>
        <v>NA</v>
      </c>
      <c r="J6356" s="19" t="s">
        <v>10</v>
      </c>
      <c r="K6356" s="22">
        <f t="shared" si="2"/>
        <v>0</v>
      </c>
    </row>
    <row r="6357">
      <c r="A6357" s="18">
        <v>6041.0</v>
      </c>
      <c r="B6357" s="18" t="s">
        <v>30</v>
      </c>
      <c r="C6357" s="18" t="s">
        <v>34</v>
      </c>
      <c r="D6357" s="18" t="s">
        <v>35</v>
      </c>
      <c r="E6357" s="27">
        <v>42566.548738425925</v>
      </c>
      <c r="F6357" s="19">
        <f>IFERROR(__xludf.DUMMYFUNCTION("IFERROR(TO_DATE(E6357), """")"),42566.548738425925)</f>
        <v>42566.54874</v>
      </c>
      <c r="G6357" s="20">
        <f t="shared" si="1"/>
        <v>13</v>
      </c>
      <c r="H6357" s="18" t="s">
        <v>34</v>
      </c>
      <c r="I6357" s="19" t="str">
        <f>IFERROR(__xludf.DUMMYFUNCTION("IFERROR(TO_DATE(H6357), """")"),"NA")</f>
        <v>NA</v>
      </c>
      <c r="J6357" s="19" t="s">
        <v>10</v>
      </c>
      <c r="K6357" s="22">
        <f t="shared" si="2"/>
        <v>0</v>
      </c>
    </row>
    <row r="6358">
      <c r="A6358" s="18">
        <v>6038.0</v>
      </c>
      <c r="B6358" s="18" t="s">
        <v>32</v>
      </c>
      <c r="C6358" s="18" t="s">
        <v>34</v>
      </c>
      <c r="D6358" s="18" t="s">
        <v>35</v>
      </c>
      <c r="E6358" s="27">
        <v>42566.54890046296</v>
      </c>
      <c r="F6358" s="19">
        <f>IFERROR(__xludf.DUMMYFUNCTION("IFERROR(TO_DATE(E6358), """")"),42566.54890046296)</f>
        <v>42566.5489</v>
      </c>
      <c r="G6358" s="20">
        <f t="shared" si="1"/>
        <v>13</v>
      </c>
      <c r="H6358" s="18" t="s">
        <v>34</v>
      </c>
      <c r="I6358" s="19" t="str">
        <f>IFERROR(__xludf.DUMMYFUNCTION("IFERROR(TO_DATE(H6358), """")"),"NA")</f>
        <v>NA</v>
      </c>
      <c r="J6358" s="19" t="s">
        <v>10</v>
      </c>
      <c r="K6358" s="22">
        <f t="shared" si="2"/>
        <v>0</v>
      </c>
    </row>
    <row r="6359">
      <c r="A6359" s="18">
        <v>6043.0</v>
      </c>
      <c r="B6359" s="18" t="s">
        <v>32</v>
      </c>
      <c r="C6359" s="18" t="s">
        <v>34</v>
      </c>
      <c r="D6359" s="18" t="s">
        <v>35</v>
      </c>
      <c r="E6359" s="27">
        <v>42566.55150462963</v>
      </c>
      <c r="F6359" s="19">
        <f>IFERROR(__xludf.DUMMYFUNCTION("IFERROR(TO_DATE(E6359), """")"),42566.55150462963)</f>
        <v>42566.5515</v>
      </c>
      <c r="G6359" s="20">
        <f t="shared" si="1"/>
        <v>13</v>
      </c>
      <c r="H6359" s="18" t="s">
        <v>34</v>
      </c>
      <c r="I6359" s="19" t="str">
        <f>IFERROR(__xludf.DUMMYFUNCTION("IFERROR(TO_DATE(H6359), """")"),"NA")</f>
        <v>NA</v>
      </c>
      <c r="J6359" s="19" t="s">
        <v>10</v>
      </c>
      <c r="K6359" s="22">
        <f t="shared" si="2"/>
        <v>0</v>
      </c>
    </row>
    <row r="6360">
      <c r="A6360" s="18">
        <v>6044.0</v>
      </c>
      <c r="B6360" s="18" t="s">
        <v>32</v>
      </c>
      <c r="C6360" s="18" t="s">
        <v>34</v>
      </c>
      <c r="D6360" s="18" t="s">
        <v>35</v>
      </c>
      <c r="E6360" s="27">
        <v>42566.554143518515</v>
      </c>
      <c r="F6360" s="19">
        <f>IFERROR(__xludf.DUMMYFUNCTION("IFERROR(TO_DATE(E6360), """")"),42566.554143518515)</f>
        <v>42566.55414</v>
      </c>
      <c r="G6360" s="20">
        <f t="shared" si="1"/>
        <v>13</v>
      </c>
      <c r="H6360" s="18" t="s">
        <v>34</v>
      </c>
      <c r="I6360" s="19" t="str">
        <f>IFERROR(__xludf.DUMMYFUNCTION("IFERROR(TO_DATE(H6360), """")"),"NA")</f>
        <v>NA</v>
      </c>
      <c r="J6360" s="19" t="s">
        <v>10</v>
      </c>
      <c r="K6360" s="22">
        <f t="shared" si="2"/>
        <v>0</v>
      </c>
    </row>
    <row r="6361">
      <c r="A6361" s="18">
        <v>6047.0</v>
      </c>
      <c r="B6361" s="18" t="s">
        <v>32</v>
      </c>
      <c r="C6361" s="18" t="s">
        <v>34</v>
      </c>
      <c r="D6361" s="18" t="s">
        <v>35</v>
      </c>
      <c r="E6361" s="27">
        <v>42566.55962962963</v>
      </c>
      <c r="F6361" s="19">
        <f>IFERROR(__xludf.DUMMYFUNCTION("IFERROR(TO_DATE(E6361), """")"),42566.55962962963)</f>
        <v>42566.55963</v>
      </c>
      <c r="G6361" s="20">
        <f t="shared" si="1"/>
        <v>13</v>
      </c>
      <c r="H6361" s="18" t="s">
        <v>34</v>
      </c>
      <c r="I6361" s="19" t="str">
        <f>IFERROR(__xludf.DUMMYFUNCTION("IFERROR(TO_DATE(H6361), """")"),"NA")</f>
        <v>NA</v>
      </c>
      <c r="J6361" s="19" t="s">
        <v>10</v>
      </c>
      <c r="K6361" s="22">
        <f t="shared" si="2"/>
        <v>0</v>
      </c>
    </row>
    <row r="6362">
      <c r="A6362" s="18">
        <v>6048.0</v>
      </c>
      <c r="B6362" s="18" t="s">
        <v>32</v>
      </c>
      <c r="C6362" s="18" t="s">
        <v>34</v>
      </c>
      <c r="D6362" s="18" t="s">
        <v>35</v>
      </c>
      <c r="E6362" s="27">
        <v>42566.56239583333</v>
      </c>
      <c r="F6362" s="19">
        <f>IFERROR(__xludf.DUMMYFUNCTION("IFERROR(TO_DATE(E6362), """")"),42566.56239583333)</f>
        <v>42566.5624</v>
      </c>
      <c r="G6362" s="20">
        <f t="shared" si="1"/>
        <v>13</v>
      </c>
      <c r="H6362" s="18" t="s">
        <v>34</v>
      </c>
      <c r="I6362" s="19" t="str">
        <f>IFERROR(__xludf.DUMMYFUNCTION("IFERROR(TO_DATE(H6362), """")"),"NA")</f>
        <v>NA</v>
      </c>
      <c r="J6362" s="19" t="s">
        <v>10</v>
      </c>
      <c r="K6362" s="22">
        <f t="shared" si="2"/>
        <v>0</v>
      </c>
    </row>
    <row r="6363">
      <c r="A6363" s="18">
        <v>6051.0</v>
      </c>
      <c r="B6363" s="18" t="s">
        <v>32</v>
      </c>
      <c r="C6363" s="18" t="s">
        <v>34</v>
      </c>
      <c r="D6363" s="18" t="s">
        <v>35</v>
      </c>
      <c r="E6363" s="27">
        <v>42566.56261574074</v>
      </c>
      <c r="F6363" s="19">
        <f>IFERROR(__xludf.DUMMYFUNCTION("IFERROR(TO_DATE(E6363), """")"),42566.56261574074)</f>
        <v>42566.56262</v>
      </c>
      <c r="G6363" s="20">
        <f t="shared" si="1"/>
        <v>13</v>
      </c>
      <c r="H6363" s="18" t="s">
        <v>34</v>
      </c>
      <c r="I6363" s="19" t="str">
        <f>IFERROR(__xludf.DUMMYFUNCTION("IFERROR(TO_DATE(H6363), """")"),"NA")</f>
        <v>NA</v>
      </c>
      <c r="J6363" s="19" t="s">
        <v>10</v>
      </c>
      <c r="K6363" s="22">
        <f t="shared" si="2"/>
        <v>0</v>
      </c>
    </row>
    <row r="6364">
      <c r="A6364" s="18">
        <v>6052.0</v>
      </c>
      <c r="B6364" s="18" t="s">
        <v>32</v>
      </c>
      <c r="C6364" s="18" t="s">
        <v>34</v>
      </c>
      <c r="D6364" s="18" t="s">
        <v>35</v>
      </c>
      <c r="E6364" s="27">
        <v>42566.56570601852</v>
      </c>
      <c r="F6364" s="19">
        <f>IFERROR(__xludf.DUMMYFUNCTION("IFERROR(TO_DATE(E6364), """")"),42566.56570601852)</f>
        <v>42566.56571</v>
      </c>
      <c r="G6364" s="20">
        <f t="shared" si="1"/>
        <v>13</v>
      </c>
      <c r="H6364" s="18" t="s">
        <v>34</v>
      </c>
      <c r="I6364" s="19" t="str">
        <f>IFERROR(__xludf.DUMMYFUNCTION("IFERROR(TO_DATE(H6364), """")"),"NA")</f>
        <v>NA</v>
      </c>
      <c r="J6364" s="19" t="s">
        <v>10</v>
      </c>
      <c r="K6364" s="22">
        <f t="shared" si="2"/>
        <v>0</v>
      </c>
    </row>
    <row r="6365">
      <c r="A6365" s="18">
        <v>6054.0</v>
      </c>
      <c r="B6365" s="18" t="s">
        <v>32</v>
      </c>
      <c r="C6365" s="18" t="s">
        <v>34</v>
      </c>
      <c r="D6365" s="18" t="s">
        <v>35</v>
      </c>
      <c r="E6365" s="27">
        <v>42566.566145833334</v>
      </c>
      <c r="F6365" s="19">
        <f>IFERROR(__xludf.DUMMYFUNCTION("IFERROR(TO_DATE(E6365), """")"),42566.566145833334)</f>
        <v>42566.56615</v>
      </c>
      <c r="G6365" s="20">
        <f t="shared" si="1"/>
        <v>13</v>
      </c>
      <c r="H6365" s="18" t="s">
        <v>34</v>
      </c>
      <c r="I6365" s="19" t="str">
        <f>IFERROR(__xludf.DUMMYFUNCTION("IFERROR(TO_DATE(H6365), """")"),"NA")</f>
        <v>NA</v>
      </c>
      <c r="J6365" s="19" t="s">
        <v>10</v>
      </c>
      <c r="K6365" s="22">
        <f t="shared" si="2"/>
        <v>0</v>
      </c>
    </row>
    <row r="6366">
      <c r="A6366" s="18">
        <v>6053.0</v>
      </c>
      <c r="B6366" s="18" t="s">
        <v>32</v>
      </c>
      <c r="C6366" s="18" t="s">
        <v>34</v>
      </c>
      <c r="D6366" s="18" t="s">
        <v>35</v>
      </c>
      <c r="E6366" s="27">
        <v>42566.56663194444</v>
      </c>
      <c r="F6366" s="19">
        <f>IFERROR(__xludf.DUMMYFUNCTION("IFERROR(TO_DATE(E6366), """")"),42566.56663194444)</f>
        <v>42566.56663</v>
      </c>
      <c r="G6366" s="20">
        <f t="shared" si="1"/>
        <v>13</v>
      </c>
      <c r="H6366" s="18" t="s">
        <v>34</v>
      </c>
      <c r="I6366" s="19" t="str">
        <f>IFERROR(__xludf.DUMMYFUNCTION("IFERROR(TO_DATE(H6366), """")"),"NA")</f>
        <v>NA</v>
      </c>
      <c r="J6366" s="19" t="s">
        <v>10</v>
      </c>
      <c r="K6366" s="22">
        <f t="shared" si="2"/>
        <v>0</v>
      </c>
    </row>
    <row r="6367">
      <c r="A6367" s="18">
        <v>6061.0</v>
      </c>
      <c r="B6367" s="18" t="s">
        <v>32</v>
      </c>
      <c r="C6367" s="18" t="s">
        <v>34</v>
      </c>
      <c r="D6367" s="18" t="s">
        <v>35</v>
      </c>
      <c r="E6367" s="27">
        <v>42566.57020833333</v>
      </c>
      <c r="F6367" s="19">
        <f>IFERROR(__xludf.DUMMYFUNCTION("IFERROR(TO_DATE(E6367), """")"),42566.57020833333)</f>
        <v>42566.57021</v>
      </c>
      <c r="G6367" s="20">
        <f t="shared" si="1"/>
        <v>13</v>
      </c>
      <c r="H6367" s="18" t="s">
        <v>34</v>
      </c>
      <c r="I6367" s="19" t="str">
        <f>IFERROR(__xludf.DUMMYFUNCTION("IFERROR(TO_DATE(H6367), """")"),"NA")</f>
        <v>NA</v>
      </c>
      <c r="J6367" s="19" t="s">
        <v>10</v>
      </c>
      <c r="K6367" s="22">
        <f t="shared" si="2"/>
        <v>0</v>
      </c>
    </row>
    <row r="6368">
      <c r="A6368" s="18">
        <v>6059.0</v>
      </c>
      <c r="B6368" s="18" t="s">
        <v>30</v>
      </c>
      <c r="C6368" s="18" t="s">
        <v>34</v>
      </c>
      <c r="D6368" s="18" t="s">
        <v>35</v>
      </c>
      <c r="E6368" s="27">
        <v>42566.57232638889</v>
      </c>
      <c r="F6368" s="19">
        <f>IFERROR(__xludf.DUMMYFUNCTION("IFERROR(TO_DATE(E6368), """")"),42566.57232638889)</f>
        <v>42566.57233</v>
      </c>
      <c r="G6368" s="20">
        <f t="shared" si="1"/>
        <v>13</v>
      </c>
      <c r="H6368" s="18" t="s">
        <v>34</v>
      </c>
      <c r="I6368" s="19" t="str">
        <f>IFERROR(__xludf.DUMMYFUNCTION("IFERROR(TO_DATE(H6368), """")"),"NA")</f>
        <v>NA</v>
      </c>
      <c r="J6368" s="19" t="s">
        <v>10</v>
      </c>
      <c r="K6368" s="22">
        <f t="shared" si="2"/>
        <v>0</v>
      </c>
    </row>
    <row r="6369">
      <c r="A6369" s="18">
        <v>6060.0</v>
      </c>
      <c r="B6369" s="18" t="s">
        <v>32</v>
      </c>
      <c r="C6369" s="18" t="s">
        <v>34</v>
      </c>
      <c r="D6369" s="18" t="s">
        <v>35</v>
      </c>
      <c r="E6369" s="27">
        <v>42566.57239583333</v>
      </c>
      <c r="F6369" s="19">
        <f>IFERROR(__xludf.DUMMYFUNCTION("IFERROR(TO_DATE(E6369), """")"),42566.57239583333)</f>
        <v>42566.5724</v>
      </c>
      <c r="G6369" s="20">
        <f t="shared" si="1"/>
        <v>13</v>
      </c>
      <c r="H6369" s="18" t="s">
        <v>34</v>
      </c>
      <c r="I6369" s="19" t="str">
        <f>IFERROR(__xludf.DUMMYFUNCTION("IFERROR(TO_DATE(H6369), """")"),"NA")</f>
        <v>NA</v>
      </c>
      <c r="J6369" s="19" t="s">
        <v>10</v>
      </c>
      <c r="K6369" s="22">
        <f t="shared" si="2"/>
        <v>0</v>
      </c>
    </row>
    <row r="6370">
      <c r="A6370" s="18">
        <v>6065.0</v>
      </c>
      <c r="B6370" s="18" t="s">
        <v>32</v>
      </c>
      <c r="C6370" s="18" t="s">
        <v>34</v>
      </c>
      <c r="D6370" s="18" t="s">
        <v>35</v>
      </c>
      <c r="E6370" s="27">
        <v>42566.581875</v>
      </c>
      <c r="F6370" s="19">
        <f>IFERROR(__xludf.DUMMYFUNCTION("IFERROR(TO_DATE(E6370), """")"),42566.581875)</f>
        <v>42566.58188</v>
      </c>
      <c r="G6370" s="20">
        <f t="shared" si="1"/>
        <v>13</v>
      </c>
      <c r="H6370" s="18" t="s">
        <v>34</v>
      </c>
      <c r="I6370" s="19" t="str">
        <f>IFERROR(__xludf.DUMMYFUNCTION("IFERROR(TO_DATE(H6370), """")"),"NA")</f>
        <v>NA</v>
      </c>
      <c r="J6370" s="19" t="s">
        <v>10</v>
      </c>
      <c r="K6370" s="22">
        <f t="shared" si="2"/>
        <v>0</v>
      </c>
    </row>
    <row r="6371">
      <c r="A6371" s="18">
        <v>6068.0</v>
      </c>
      <c r="B6371" s="18" t="s">
        <v>32</v>
      </c>
      <c r="C6371" s="18" t="s">
        <v>34</v>
      </c>
      <c r="D6371" s="18" t="s">
        <v>35</v>
      </c>
      <c r="E6371" s="27">
        <v>42566.582025462965</v>
      </c>
      <c r="F6371" s="19">
        <f>IFERROR(__xludf.DUMMYFUNCTION("IFERROR(TO_DATE(E6371), """")"),42566.582025462965)</f>
        <v>42566.58203</v>
      </c>
      <c r="G6371" s="20">
        <f t="shared" si="1"/>
        <v>13</v>
      </c>
      <c r="H6371" s="18" t="s">
        <v>34</v>
      </c>
      <c r="I6371" s="19" t="str">
        <f>IFERROR(__xludf.DUMMYFUNCTION("IFERROR(TO_DATE(H6371), """")"),"NA")</f>
        <v>NA</v>
      </c>
      <c r="J6371" s="19" t="s">
        <v>10</v>
      </c>
      <c r="K6371" s="22">
        <f t="shared" si="2"/>
        <v>0</v>
      </c>
    </row>
    <row r="6372">
      <c r="A6372" s="18">
        <v>6071.0</v>
      </c>
      <c r="B6372" s="18" t="s">
        <v>32</v>
      </c>
      <c r="C6372" s="18" t="s">
        <v>34</v>
      </c>
      <c r="D6372" s="18" t="s">
        <v>35</v>
      </c>
      <c r="E6372" s="27">
        <v>42566.583553240744</v>
      </c>
      <c r="F6372" s="19">
        <f>IFERROR(__xludf.DUMMYFUNCTION("IFERROR(TO_DATE(E6372), """")"),42566.583553240744)</f>
        <v>42566.58355</v>
      </c>
      <c r="G6372" s="20">
        <f t="shared" si="1"/>
        <v>14</v>
      </c>
      <c r="H6372" s="18" t="s">
        <v>34</v>
      </c>
      <c r="I6372" s="19" t="str">
        <f>IFERROR(__xludf.DUMMYFUNCTION("IFERROR(TO_DATE(H6372), """")"),"NA")</f>
        <v>NA</v>
      </c>
      <c r="J6372" s="19" t="s">
        <v>10</v>
      </c>
      <c r="K6372" s="22">
        <f t="shared" si="2"/>
        <v>0</v>
      </c>
    </row>
    <row r="6373">
      <c r="A6373" s="18">
        <v>6070.0</v>
      </c>
      <c r="B6373" s="18" t="s">
        <v>32</v>
      </c>
      <c r="C6373" s="18" t="s">
        <v>34</v>
      </c>
      <c r="D6373" s="18" t="s">
        <v>35</v>
      </c>
      <c r="E6373" s="27">
        <v>42566.586180555554</v>
      </c>
      <c r="F6373" s="19">
        <f>IFERROR(__xludf.DUMMYFUNCTION("IFERROR(TO_DATE(E6373), """")"),42566.586180555554)</f>
        <v>42566.58618</v>
      </c>
      <c r="G6373" s="20">
        <f t="shared" si="1"/>
        <v>14</v>
      </c>
      <c r="H6373" s="18" t="s">
        <v>34</v>
      </c>
      <c r="I6373" s="19" t="str">
        <f>IFERROR(__xludf.DUMMYFUNCTION("IFERROR(TO_DATE(H6373), """")"),"NA")</f>
        <v>NA</v>
      </c>
      <c r="J6373" s="19" t="s">
        <v>10</v>
      </c>
      <c r="K6373" s="22">
        <f t="shared" si="2"/>
        <v>0</v>
      </c>
    </row>
    <row r="6374">
      <c r="A6374" s="18">
        <v>6072.0</v>
      </c>
      <c r="B6374" s="18" t="s">
        <v>32</v>
      </c>
      <c r="C6374" s="18" t="s">
        <v>34</v>
      </c>
      <c r="D6374" s="18" t="s">
        <v>35</v>
      </c>
      <c r="E6374" s="27">
        <v>42566.58724537037</v>
      </c>
      <c r="F6374" s="19">
        <f>IFERROR(__xludf.DUMMYFUNCTION("IFERROR(TO_DATE(E6374), """")"),42566.58724537037)</f>
        <v>42566.58725</v>
      </c>
      <c r="G6374" s="20">
        <f t="shared" si="1"/>
        <v>14</v>
      </c>
      <c r="H6374" s="18" t="s">
        <v>34</v>
      </c>
      <c r="I6374" s="19" t="str">
        <f>IFERROR(__xludf.DUMMYFUNCTION("IFERROR(TO_DATE(H6374), """")"),"NA")</f>
        <v>NA</v>
      </c>
      <c r="J6374" s="19" t="s">
        <v>10</v>
      </c>
      <c r="K6374" s="22">
        <f t="shared" si="2"/>
        <v>0</v>
      </c>
    </row>
    <row r="6375">
      <c r="A6375" s="18">
        <v>6069.0</v>
      </c>
      <c r="B6375" s="18" t="s">
        <v>32</v>
      </c>
      <c r="C6375" s="18" t="s">
        <v>34</v>
      </c>
      <c r="D6375" s="18" t="s">
        <v>35</v>
      </c>
      <c r="E6375" s="27">
        <v>42566.58792824074</v>
      </c>
      <c r="F6375" s="19">
        <f>IFERROR(__xludf.DUMMYFUNCTION("IFERROR(TO_DATE(E6375), """")"),42566.58792824074)</f>
        <v>42566.58793</v>
      </c>
      <c r="G6375" s="20">
        <f t="shared" si="1"/>
        <v>14</v>
      </c>
      <c r="H6375" s="18" t="s">
        <v>34</v>
      </c>
      <c r="I6375" s="19" t="str">
        <f>IFERROR(__xludf.DUMMYFUNCTION("IFERROR(TO_DATE(H6375), """")"),"NA")</f>
        <v>NA</v>
      </c>
      <c r="J6375" s="19" t="s">
        <v>10</v>
      </c>
      <c r="K6375" s="22">
        <f t="shared" si="2"/>
        <v>0</v>
      </c>
    </row>
    <row r="6376">
      <c r="A6376" s="18">
        <v>6077.0</v>
      </c>
      <c r="B6376" s="18" t="s">
        <v>32</v>
      </c>
      <c r="C6376" s="18" t="s">
        <v>34</v>
      </c>
      <c r="D6376" s="18" t="s">
        <v>35</v>
      </c>
      <c r="E6376" s="27">
        <v>42566.59033564815</v>
      </c>
      <c r="F6376" s="19">
        <f>IFERROR(__xludf.DUMMYFUNCTION("IFERROR(TO_DATE(E6376), """")"),42566.59033564815)</f>
        <v>42566.59034</v>
      </c>
      <c r="G6376" s="20">
        <f t="shared" si="1"/>
        <v>14</v>
      </c>
      <c r="H6376" s="18" t="s">
        <v>34</v>
      </c>
      <c r="I6376" s="19" t="str">
        <f>IFERROR(__xludf.DUMMYFUNCTION("IFERROR(TO_DATE(H6376), """")"),"NA")</f>
        <v>NA</v>
      </c>
      <c r="J6376" s="19" t="s">
        <v>10</v>
      </c>
      <c r="K6376" s="22">
        <f t="shared" si="2"/>
        <v>0</v>
      </c>
    </row>
    <row r="6377">
      <c r="A6377" s="18">
        <v>6075.0</v>
      </c>
      <c r="B6377" s="18" t="s">
        <v>32</v>
      </c>
      <c r="C6377" s="18" t="s">
        <v>34</v>
      </c>
      <c r="D6377" s="18" t="s">
        <v>35</v>
      </c>
      <c r="E6377" s="27">
        <v>42566.590775462966</v>
      </c>
      <c r="F6377" s="19">
        <f>IFERROR(__xludf.DUMMYFUNCTION("IFERROR(TO_DATE(E6377), """")"),42566.590775462966)</f>
        <v>42566.59078</v>
      </c>
      <c r="G6377" s="20">
        <f t="shared" si="1"/>
        <v>14</v>
      </c>
      <c r="H6377" s="18" t="s">
        <v>34</v>
      </c>
      <c r="I6377" s="19" t="str">
        <f>IFERROR(__xludf.DUMMYFUNCTION("IFERROR(TO_DATE(H6377), """")"),"NA")</f>
        <v>NA</v>
      </c>
      <c r="J6377" s="19" t="s">
        <v>10</v>
      </c>
      <c r="K6377" s="22">
        <f t="shared" si="2"/>
        <v>0</v>
      </c>
    </row>
    <row r="6378">
      <c r="A6378" s="18">
        <v>6078.0</v>
      </c>
      <c r="B6378" s="18" t="s">
        <v>32</v>
      </c>
      <c r="C6378" s="18" t="s">
        <v>34</v>
      </c>
      <c r="D6378" s="18" t="s">
        <v>35</v>
      </c>
      <c r="E6378" s="27">
        <v>42566.59584490741</v>
      </c>
      <c r="F6378" s="19">
        <f>IFERROR(__xludf.DUMMYFUNCTION("IFERROR(TO_DATE(E6378), """")"),42566.59584490741)</f>
        <v>42566.59584</v>
      </c>
      <c r="G6378" s="20">
        <f t="shared" si="1"/>
        <v>14</v>
      </c>
      <c r="H6378" s="18" t="s">
        <v>34</v>
      </c>
      <c r="I6378" s="19" t="str">
        <f>IFERROR(__xludf.DUMMYFUNCTION("IFERROR(TO_DATE(H6378), """")"),"NA")</f>
        <v>NA</v>
      </c>
      <c r="J6378" s="19" t="s">
        <v>10</v>
      </c>
      <c r="K6378" s="22">
        <f t="shared" si="2"/>
        <v>0</v>
      </c>
    </row>
    <row r="6379">
      <c r="A6379" s="18">
        <v>6084.0</v>
      </c>
      <c r="B6379" s="18" t="s">
        <v>32</v>
      </c>
      <c r="C6379" s="18" t="s">
        <v>34</v>
      </c>
      <c r="D6379" s="18" t="s">
        <v>35</v>
      </c>
      <c r="E6379" s="27">
        <v>42566.59795138889</v>
      </c>
      <c r="F6379" s="19">
        <f>IFERROR(__xludf.DUMMYFUNCTION("IFERROR(TO_DATE(E6379), """")"),42566.59795138889)</f>
        <v>42566.59795</v>
      </c>
      <c r="G6379" s="20">
        <f t="shared" si="1"/>
        <v>14</v>
      </c>
      <c r="H6379" s="18" t="s">
        <v>34</v>
      </c>
      <c r="I6379" s="19" t="str">
        <f>IFERROR(__xludf.DUMMYFUNCTION("IFERROR(TO_DATE(H6379), """")"),"NA")</f>
        <v>NA</v>
      </c>
      <c r="J6379" s="19" t="s">
        <v>10</v>
      </c>
      <c r="K6379" s="22">
        <f t="shared" si="2"/>
        <v>0</v>
      </c>
    </row>
    <row r="6380">
      <c r="A6380" s="18">
        <v>6085.0</v>
      </c>
      <c r="B6380" s="18" t="s">
        <v>32</v>
      </c>
      <c r="C6380" s="18" t="s">
        <v>34</v>
      </c>
      <c r="D6380" s="18" t="s">
        <v>35</v>
      </c>
      <c r="E6380" s="27">
        <v>42566.599340277775</v>
      </c>
      <c r="F6380" s="19">
        <f>IFERROR(__xludf.DUMMYFUNCTION("IFERROR(TO_DATE(E6380), """")"),42566.599340277775)</f>
        <v>42566.59934</v>
      </c>
      <c r="G6380" s="20">
        <f t="shared" si="1"/>
        <v>14</v>
      </c>
      <c r="H6380" s="18" t="s">
        <v>34</v>
      </c>
      <c r="I6380" s="19" t="str">
        <f>IFERROR(__xludf.DUMMYFUNCTION("IFERROR(TO_DATE(H6380), """")"),"NA")</f>
        <v>NA</v>
      </c>
      <c r="J6380" s="19" t="s">
        <v>10</v>
      </c>
      <c r="K6380" s="22">
        <f t="shared" si="2"/>
        <v>0</v>
      </c>
    </row>
    <row r="6381">
      <c r="A6381" s="18">
        <v>6083.0</v>
      </c>
      <c r="B6381" s="18" t="s">
        <v>32</v>
      </c>
      <c r="C6381" s="18" t="s">
        <v>34</v>
      </c>
      <c r="D6381" s="18" t="s">
        <v>35</v>
      </c>
      <c r="E6381" s="27">
        <v>42566.60178240741</v>
      </c>
      <c r="F6381" s="19">
        <f>IFERROR(__xludf.DUMMYFUNCTION("IFERROR(TO_DATE(E6381), """")"),42566.60178240741)</f>
        <v>42566.60178</v>
      </c>
      <c r="G6381" s="20">
        <f t="shared" si="1"/>
        <v>14</v>
      </c>
      <c r="H6381" s="18" t="s">
        <v>34</v>
      </c>
      <c r="I6381" s="19" t="str">
        <f>IFERROR(__xludf.DUMMYFUNCTION("IFERROR(TO_DATE(H6381), """")"),"NA")</f>
        <v>NA</v>
      </c>
      <c r="J6381" s="19" t="s">
        <v>10</v>
      </c>
      <c r="K6381" s="22">
        <f t="shared" si="2"/>
        <v>0</v>
      </c>
    </row>
    <row r="6382">
      <c r="A6382" s="18">
        <v>6094.0</v>
      </c>
      <c r="B6382" s="18" t="s">
        <v>32</v>
      </c>
      <c r="C6382" s="18" t="s">
        <v>34</v>
      </c>
      <c r="D6382" s="18" t="s">
        <v>35</v>
      </c>
      <c r="E6382" s="27">
        <v>42566.607986111114</v>
      </c>
      <c r="F6382" s="19">
        <f>IFERROR(__xludf.DUMMYFUNCTION("IFERROR(TO_DATE(E6382), """")"),42566.607986111114)</f>
        <v>42566.60799</v>
      </c>
      <c r="G6382" s="20">
        <f t="shared" si="1"/>
        <v>14</v>
      </c>
      <c r="H6382" s="18" t="s">
        <v>34</v>
      </c>
      <c r="I6382" s="19" t="str">
        <f>IFERROR(__xludf.DUMMYFUNCTION("IFERROR(TO_DATE(H6382), """")"),"NA")</f>
        <v>NA</v>
      </c>
      <c r="J6382" s="19" t="s">
        <v>10</v>
      </c>
      <c r="K6382" s="22">
        <f t="shared" si="2"/>
        <v>0</v>
      </c>
    </row>
    <row r="6383">
      <c r="A6383" s="18">
        <v>6097.0</v>
      </c>
      <c r="B6383" s="18" t="s">
        <v>32</v>
      </c>
      <c r="C6383" s="18" t="s">
        <v>34</v>
      </c>
      <c r="D6383" s="18" t="s">
        <v>35</v>
      </c>
      <c r="E6383" s="27">
        <v>42566.60853009259</v>
      </c>
      <c r="F6383" s="19">
        <f>IFERROR(__xludf.DUMMYFUNCTION("IFERROR(TO_DATE(E6383), """")"),42566.60853009259)</f>
        <v>42566.60853</v>
      </c>
      <c r="G6383" s="20">
        <f t="shared" si="1"/>
        <v>14</v>
      </c>
      <c r="H6383" s="18" t="s">
        <v>34</v>
      </c>
      <c r="I6383" s="19" t="str">
        <f>IFERROR(__xludf.DUMMYFUNCTION("IFERROR(TO_DATE(H6383), """")"),"NA")</f>
        <v>NA</v>
      </c>
      <c r="J6383" s="19" t="s">
        <v>10</v>
      </c>
      <c r="K6383" s="22">
        <f t="shared" si="2"/>
        <v>0</v>
      </c>
    </row>
    <row r="6384">
      <c r="A6384" s="18">
        <v>6092.0</v>
      </c>
      <c r="B6384" s="18" t="s">
        <v>30</v>
      </c>
      <c r="C6384" s="18" t="s">
        <v>34</v>
      </c>
      <c r="D6384" s="18" t="s">
        <v>35</v>
      </c>
      <c r="E6384" s="27">
        <v>42566.60979166667</v>
      </c>
      <c r="F6384" s="19">
        <f>IFERROR(__xludf.DUMMYFUNCTION("IFERROR(TO_DATE(E6384), """")"),42566.60979166667)</f>
        <v>42566.60979</v>
      </c>
      <c r="G6384" s="20">
        <f t="shared" si="1"/>
        <v>14</v>
      </c>
      <c r="H6384" s="18" t="s">
        <v>34</v>
      </c>
      <c r="I6384" s="19" t="str">
        <f>IFERROR(__xludf.DUMMYFUNCTION("IFERROR(TO_DATE(H6384), """")"),"NA")</f>
        <v>NA</v>
      </c>
      <c r="J6384" s="19" t="s">
        <v>10</v>
      </c>
      <c r="K6384" s="22">
        <f t="shared" si="2"/>
        <v>0</v>
      </c>
    </row>
    <row r="6385">
      <c r="A6385" s="18">
        <v>6096.0</v>
      </c>
      <c r="B6385" s="18" t="s">
        <v>32</v>
      </c>
      <c r="C6385" s="18" t="s">
        <v>34</v>
      </c>
      <c r="D6385" s="18" t="s">
        <v>35</v>
      </c>
      <c r="E6385" s="27">
        <v>42566.61035879629</v>
      </c>
      <c r="F6385" s="19">
        <f>IFERROR(__xludf.DUMMYFUNCTION("IFERROR(TO_DATE(E6385), """")"),42566.61035879629)</f>
        <v>42566.61036</v>
      </c>
      <c r="G6385" s="20">
        <f t="shared" si="1"/>
        <v>14</v>
      </c>
      <c r="H6385" s="18" t="s">
        <v>34</v>
      </c>
      <c r="I6385" s="19" t="str">
        <f>IFERROR(__xludf.DUMMYFUNCTION("IFERROR(TO_DATE(H6385), """")"),"NA")</f>
        <v>NA</v>
      </c>
      <c r="J6385" s="19" t="s">
        <v>10</v>
      </c>
      <c r="K6385" s="22">
        <f t="shared" si="2"/>
        <v>0</v>
      </c>
    </row>
    <row r="6386">
      <c r="A6386" s="18">
        <v>6095.0</v>
      </c>
      <c r="B6386" s="18" t="s">
        <v>32</v>
      </c>
      <c r="C6386" s="18" t="s">
        <v>34</v>
      </c>
      <c r="D6386" s="18" t="s">
        <v>35</v>
      </c>
      <c r="E6386" s="27">
        <v>42566.611226851855</v>
      </c>
      <c r="F6386" s="19">
        <f>IFERROR(__xludf.DUMMYFUNCTION("IFERROR(TO_DATE(E6386), """")"),42566.611226851855)</f>
        <v>42566.61123</v>
      </c>
      <c r="G6386" s="20">
        <f t="shared" si="1"/>
        <v>14</v>
      </c>
      <c r="H6386" s="18" t="s">
        <v>34</v>
      </c>
      <c r="I6386" s="19" t="str">
        <f>IFERROR(__xludf.DUMMYFUNCTION("IFERROR(TO_DATE(H6386), """")"),"NA")</f>
        <v>NA</v>
      </c>
      <c r="J6386" s="19" t="s">
        <v>10</v>
      </c>
      <c r="K6386" s="22">
        <f t="shared" si="2"/>
        <v>0</v>
      </c>
    </row>
    <row r="6387">
      <c r="A6387" s="18">
        <v>6099.0</v>
      </c>
      <c r="B6387" s="18" t="s">
        <v>32</v>
      </c>
      <c r="C6387" s="18" t="s">
        <v>34</v>
      </c>
      <c r="D6387" s="18" t="s">
        <v>35</v>
      </c>
      <c r="E6387" s="27">
        <v>42566.61231481482</v>
      </c>
      <c r="F6387" s="19">
        <f>IFERROR(__xludf.DUMMYFUNCTION("IFERROR(TO_DATE(E6387), """")"),42566.61231481482)</f>
        <v>42566.61231</v>
      </c>
      <c r="G6387" s="20">
        <f t="shared" si="1"/>
        <v>14</v>
      </c>
      <c r="H6387" s="18" t="s">
        <v>34</v>
      </c>
      <c r="I6387" s="19" t="str">
        <f>IFERROR(__xludf.DUMMYFUNCTION("IFERROR(TO_DATE(H6387), """")"),"NA")</f>
        <v>NA</v>
      </c>
      <c r="J6387" s="19" t="s">
        <v>10</v>
      </c>
      <c r="K6387" s="22">
        <f t="shared" si="2"/>
        <v>0</v>
      </c>
    </row>
    <row r="6388">
      <c r="A6388" s="18">
        <v>6109.0</v>
      </c>
      <c r="B6388" s="18" t="s">
        <v>32</v>
      </c>
      <c r="C6388" s="18" t="s">
        <v>34</v>
      </c>
      <c r="D6388" s="18" t="s">
        <v>35</v>
      </c>
      <c r="E6388" s="27">
        <v>42566.62582175926</v>
      </c>
      <c r="F6388" s="19">
        <f>IFERROR(__xludf.DUMMYFUNCTION("IFERROR(TO_DATE(E6388), """")"),42566.62582175926)</f>
        <v>42566.62582</v>
      </c>
      <c r="G6388" s="20">
        <f t="shared" si="1"/>
        <v>15</v>
      </c>
      <c r="H6388" s="18" t="s">
        <v>34</v>
      </c>
      <c r="I6388" s="19" t="str">
        <f>IFERROR(__xludf.DUMMYFUNCTION("IFERROR(TO_DATE(H6388), """")"),"NA")</f>
        <v>NA</v>
      </c>
      <c r="J6388" s="19" t="s">
        <v>10</v>
      </c>
      <c r="K6388" s="22">
        <f t="shared" si="2"/>
        <v>0</v>
      </c>
    </row>
    <row r="6389">
      <c r="A6389" s="18">
        <v>6105.0</v>
      </c>
      <c r="B6389" s="18" t="s">
        <v>32</v>
      </c>
      <c r="C6389" s="18" t="s">
        <v>34</v>
      </c>
      <c r="D6389" s="18" t="s">
        <v>35</v>
      </c>
      <c r="E6389" s="27">
        <v>42566.626967592594</v>
      </c>
      <c r="F6389" s="19">
        <f>IFERROR(__xludf.DUMMYFUNCTION("IFERROR(TO_DATE(E6389), """")"),42566.626967592594)</f>
        <v>42566.62697</v>
      </c>
      <c r="G6389" s="20">
        <f t="shared" si="1"/>
        <v>15</v>
      </c>
      <c r="H6389" s="18" t="s">
        <v>34</v>
      </c>
      <c r="I6389" s="19" t="str">
        <f>IFERROR(__xludf.DUMMYFUNCTION("IFERROR(TO_DATE(H6389), """")"),"NA")</f>
        <v>NA</v>
      </c>
      <c r="J6389" s="19" t="s">
        <v>10</v>
      </c>
      <c r="K6389" s="22">
        <f t="shared" si="2"/>
        <v>0</v>
      </c>
    </row>
    <row r="6390">
      <c r="A6390" s="18">
        <v>6110.0</v>
      </c>
      <c r="B6390" s="18" t="s">
        <v>32</v>
      </c>
      <c r="C6390" s="18" t="s">
        <v>34</v>
      </c>
      <c r="D6390" s="18" t="s">
        <v>35</v>
      </c>
      <c r="E6390" s="27">
        <v>42566.62862268519</v>
      </c>
      <c r="F6390" s="19">
        <f>IFERROR(__xludf.DUMMYFUNCTION("IFERROR(TO_DATE(E6390), """")"),42566.62862268519)</f>
        <v>42566.62862</v>
      </c>
      <c r="G6390" s="20">
        <f t="shared" si="1"/>
        <v>15</v>
      </c>
      <c r="H6390" s="18" t="s">
        <v>34</v>
      </c>
      <c r="I6390" s="19" t="str">
        <f>IFERROR(__xludf.DUMMYFUNCTION("IFERROR(TO_DATE(H6390), """")"),"NA")</f>
        <v>NA</v>
      </c>
      <c r="J6390" s="19" t="s">
        <v>10</v>
      </c>
      <c r="K6390" s="22">
        <f t="shared" si="2"/>
        <v>0</v>
      </c>
    </row>
    <row r="6391">
      <c r="A6391" s="18">
        <v>6104.0</v>
      </c>
      <c r="B6391" s="18" t="s">
        <v>32</v>
      </c>
      <c r="C6391" s="18" t="s">
        <v>34</v>
      </c>
      <c r="D6391" s="18" t="s">
        <v>35</v>
      </c>
      <c r="E6391" s="27">
        <v>42566.630844907406</v>
      </c>
      <c r="F6391" s="19">
        <f>IFERROR(__xludf.DUMMYFUNCTION("IFERROR(TO_DATE(E6391), """")"),42566.630844907406)</f>
        <v>42566.63084</v>
      </c>
      <c r="G6391" s="20">
        <f t="shared" si="1"/>
        <v>15</v>
      </c>
      <c r="H6391" s="18" t="s">
        <v>34</v>
      </c>
      <c r="I6391" s="19" t="str">
        <f>IFERROR(__xludf.DUMMYFUNCTION("IFERROR(TO_DATE(H6391), """")"),"NA")</f>
        <v>NA</v>
      </c>
      <c r="J6391" s="19" t="s">
        <v>10</v>
      </c>
      <c r="K6391" s="22">
        <f t="shared" si="2"/>
        <v>0</v>
      </c>
    </row>
    <row r="6392">
      <c r="A6392" s="18">
        <v>6115.0</v>
      </c>
      <c r="B6392" s="18" t="s">
        <v>30</v>
      </c>
      <c r="C6392" s="18" t="s">
        <v>34</v>
      </c>
      <c r="D6392" s="18" t="s">
        <v>35</v>
      </c>
      <c r="E6392" s="27">
        <v>42566.633425925924</v>
      </c>
      <c r="F6392" s="19">
        <f>IFERROR(__xludf.DUMMYFUNCTION("IFERROR(TO_DATE(E6392), """")"),42566.633425925924)</f>
        <v>42566.63343</v>
      </c>
      <c r="G6392" s="20">
        <f t="shared" si="1"/>
        <v>15</v>
      </c>
      <c r="H6392" s="18" t="s">
        <v>34</v>
      </c>
      <c r="I6392" s="19" t="str">
        <f>IFERROR(__xludf.DUMMYFUNCTION("IFERROR(TO_DATE(H6392), """")"),"NA")</f>
        <v>NA</v>
      </c>
      <c r="J6392" s="19" t="s">
        <v>10</v>
      </c>
      <c r="K6392" s="22">
        <f t="shared" si="2"/>
        <v>0</v>
      </c>
    </row>
    <row r="6393">
      <c r="A6393" s="18">
        <v>6119.0</v>
      </c>
      <c r="B6393" s="18" t="s">
        <v>32</v>
      </c>
      <c r="C6393" s="18" t="s">
        <v>34</v>
      </c>
      <c r="D6393" s="18" t="s">
        <v>35</v>
      </c>
      <c r="E6393" s="27">
        <v>42566.64196759259</v>
      </c>
      <c r="F6393" s="19">
        <f>IFERROR(__xludf.DUMMYFUNCTION("IFERROR(TO_DATE(E6393), """")"),42566.64196759259)</f>
        <v>42566.64197</v>
      </c>
      <c r="G6393" s="20">
        <f t="shared" si="1"/>
        <v>15</v>
      </c>
      <c r="H6393" s="18" t="s">
        <v>34</v>
      </c>
      <c r="I6393" s="19" t="str">
        <f>IFERROR(__xludf.DUMMYFUNCTION("IFERROR(TO_DATE(H6393), """")"),"NA")</f>
        <v>NA</v>
      </c>
      <c r="J6393" s="19" t="s">
        <v>10</v>
      </c>
      <c r="K6393" s="22">
        <f t="shared" si="2"/>
        <v>0</v>
      </c>
    </row>
    <row r="6394">
      <c r="A6394" s="18">
        <v>6121.0</v>
      </c>
      <c r="B6394" s="18" t="s">
        <v>32</v>
      </c>
      <c r="C6394" s="18" t="s">
        <v>34</v>
      </c>
      <c r="D6394" s="18" t="s">
        <v>35</v>
      </c>
      <c r="E6394" s="27">
        <v>42566.64443287037</v>
      </c>
      <c r="F6394" s="19">
        <f>IFERROR(__xludf.DUMMYFUNCTION("IFERROR(TO_DATE(E6394), """")"),42566.64443287037)</f>
        <v>42566.64443</v>
      </c>
      <c r="G6394" s="20">
        <f t="shared" si="1"/>
        <v>15</v>
      </c>
      <c r="H6394" s="18" t="s">
        <v>34</v>
      </c>
      <c r="I6394" s="19" t="str">
        <f>IFERROR(__xludf.DUMMYFUNCTION("IFERROR(TO_DATE(H6394), """")"),"NA")</f>
        <v>NA</v>
      </c>
      <c r="J6394" s="19" t="s">
        <v>10</v>
      </c>
      <c r="K6394" s="22">
        <f t="shared" si="2"/>
        <v>0</v>
      </c>
    </row>
    <row r="6395">
      <c r="A6395" s="18">
        <v>6126.0</v>
      </c>
      <c r="B6395" s="18" t="s">
        <v>32</v>
      </c>
      <c r="C6395" s="18" t="s">
        <v>34</v>
      </c>
      <c r="D6395" s="18" t="s">
        <v>35</v>
      </c>
      <c r="E6395" s="27">
        <v>42566.64487268519</v>
      </c>
      <c r="F6395" s="19">
        <f>IFERROR(__xludf.DUMMYFUNCTION("IFERROR(TO_DATE(E6395), """")"),42566.64487268519)</f>
        <v>42566.64487</v>
      </c>
      <c r="G6395" s="20">
        <f t="shared" si="1"/>
        <v>15</v>
      </c>
      <c r="H6395" s="18" t="s">
        <v>34</v>
      </c>
      <c r="I6395" s="19" t="str">
        <f>IFERROR(__xludf.DUMMYFUNCTION("IFERROR(TO_DATE(H6395), """")"),"NA")</f>
        <v>NA</v>
      </c>
      <c r="J6395" s="19" t="s">
        <v>10</v>
      </c>
      <c r="K6395" s="22">
        <f t="shared" si="2"/>
        <v>0</v>
      </c>
    </row>
    <row r="6396">
      <c r="A6396" s="18">
        <v>6123.0</v>
      </c>
      <c r="B6396" s="18" t="s">
        <v>32</v>
      </c>
      <c r="C6396" s="18" t="s">
        <v>34</v>
      </c>
      <c r="D6396" s="18" t="s">
        <v>35</v>
      </c>
      <c r="E6396" s="27">
        <v>42566.64542824074</v>
      </c>
      <c r="F6396" s="19">
        <f>IFERROR(__xludf.DUMMYFUNCTION("IFERROR(TO_DATE(E6396), """")"),42566.64542824074)</f>
        <v>42566.64543</v>
      </c>
      <c r="G6396" s="20">
        <f t="shared" si="1"/>
        <v>15</v>
      </c>
      <c r="H6396" s="18" t="s">
        <v>34</v>
      </c>
      <c r="I6396" s="19" t="str">
        <f>IFERROR(__xludf.DUMMYFUNCTION("IFERROR(TO_DATE(H6396), """")"),"NA")</f>
        <v>NA</v>
      </c>
      <c r="J6396" s="19" t="s">
        <v>10</v>
      </c>
      <c r="K6396" s="22">
        <f t="shared" si="2"/>
        <v>0</v>
      </c>
    </row>
    <row r="6397">
      <c r="A6397" s="18">
        <v>6125.0</v>
      </c>
      <c r="B6397" s="18" t="s">
        <v>32</v>
      </c>
      <c r="C6397" s="18" t="s">
        <v>34</v>
      </c>
      <c r="D6397" s="18" t="s">
        <v>35</v>
      </c>
      <c r="E6397" s="27">
        <v>42566.64784722222</v>
      </c>
      <c r="F6397" s="19">
        <f>IFERROR(__xludf.DUMMYFUNCTION("IFERROR(TO_DATE(E6397), """")"),42566.64784722222)</f>
        <v>42566.64785</v>
      </c>
      <c r="G6397" s="20">
        <f t="shared" si="1"/>
        <v>15</v>
      </c>
      <c r="H6397" s="18" t="s">
        <v>34</v>
      </c>
      <c r="I6397" s="19" t="str">
        <f>IFERROR(__xludf.DUMMYFUNCTION("IFERROR(TO_DATE(H6397), """")"),"NA")</f>
        <v>NA</v>
      </c>
      <c r="J6397" s="19" t="s">
        <v>10</v>
      </c>
      <c r="K6397" s="22">
        <f t="shared" si="2"/>
        <v>0</v>
      </c>
    </row>
    <row r="6398">
      <c r="A6398" s="18">
        <v>6127.0</v>
      </c>
      <c r="B6398" s="18" t="s">
        <v>32</v>
      </c>
      <c r="C6398" s="18" t="s">
        <v>34</v>
      </c>
      <c r="D6398" s="18" t="s">
        <v>35</v>
      </c>
      <c r="E6398" s="27">
        <v>42566.64879629629</v>
      </c>
      <c r="F6398" s="19">
        <f>IFERROR(__xludf.DUMMYFUNCTION("IFERROR(TO_DATE(E6398), """")"),42566.64879629629)</f>
        <v>42566.6488</v>
      </c>
      <c r="G6398" s="20">
        <f t="shared" si="1"/>
        <v>15</v>
      </c>
      <c r="H6398" s="18" t="s">
        <v>34</v>
      </c>
      <c r="I6398" s="19" t="str">
        <f>IFERROR(__xludf.DUMMYFUNCTION("IFERROR(TO_DATE(H6398), """")"),"NA")</f>
        <v>NA</v>
      </c>
      <c r="J6398" s="19" t="s">
        <v>10</v>
      </c>
      <c r="K6398" s="22">
        <f t="shared" si="2"/>
        <v>0</v>
      </c>
    </row>
    <row r="6399">
      <c r="A6399" s="18">
        <v>6130.0</v>
      </c>
      <c r="B6399" s="18" t="s">
        <v>32</v>
      </c>
      <c r="C6399" s="18" t="s">
        <v>34</v>
      </c>
      <c r="D6399" s="18" t="s">
        <v>35</v>
      </c>
      <c r="E6399" s="27">
        <v>42566.650868055556</v>
      </c>
      <c r="F6399" s="19">
        <f>IFERROR(__xludf.DUMMYFUNCTION("IFERROR(TO_DATE(E6399), """")"),42566.650868055556)</f>
        <v>42566.65087</v>
      </c>
      <c r="G6399" s="20">
        <f t="shared" si="1"/>
        <v>15</v>
      </c>
      <c r="H6399" s="18" t="s">
        <v>34</v>
      </c>
      <c r="I6399" s="19" t="str">
        <f>IFERROR(__xludf.DUMMYFUNCTION("IFERROR(TO_DATE(H6399), """")"),"NA")</f>
        <v>NA</v>
      </c>
      <c r="J6399" s="19" t="s">
        <v>10</v>
      </c>
      <c r="K6399" s="22">
        <f t="shared" si="2"/>
        <v>0</v>
      </c>
    </row>
    <row r="6400">
      <c r="A6400" s="18">
        <v>6128.0</v>
      </c>
      <c r="B6400" s="18" t="s">
        <v>32</v>
      </c>
      <c r="C6400" s="18" t="s">
        <v>34</v>
      </c>
      <c r="D6400" s="18" t="s">
        <v>35</v>
      </c>
      <c r="E6400" s="27">
        <v>42566.65162037037</v>
      </c>
      <c r="F6400" s="19">
        <f>IFERROR(__xludf.DUMMYFUNCTION("IFERROR(TO_DATE(E6400), """")"),42566.65162037037)</f>
        <v>42566.65162</v>
      </c>
      <c r="G6400" s="20">
        <f t="shared" si="1"/>
        <v>15</v>
      </c>
      <c r="H6400" s="18" t="s">
        <v>34</v>
      </c>
      <c r="I6400" s="19" t="str">
        <f>IFERROR(__xludf.DUMMYFUNCTION("IFERROR(TO_DATE(H6400), """")"),"NA")</f>
        <v>NA</v>
      </c>
      <c r="J6400" s="19" t="s">
        <v>10</v>
      </c>
      <c r="K6400" s="22">
        <f t="shared" si="2"/>
        <v>0</v>
      </c>
    </row>
    <row r="6401">
      <c r="A6401" s="18">
        <v>6135.0</v>
      </c>
      <c r="B6401" s="18" t="s">
        <v>32</v>
      </c>
      <c r="C6401" s="18" t="s">
        <v>34</v>
      </c>
      <c r="D6401" s="18" t="s">
        <v>35</v>
      </c>
      <c r="E6401" s="27">
        <v>42566.65430555555</v>
      </c>
      <c r="F6401" s="19">
        <f>IFERROR(__xludf.DUMMYFUNCTION("IFERROR(TO_DATE(E6401), """")"),42566.65430555555)</f>
        <v>42566.65431</v>
      </c>
      <c r="G6401" s="20">
        <f t="shared" si="1"/>
        <v>15</v>
      </c>
      <c r="H6401" s="18" t="s">
        <v>34</v>
      </c>
      <c r="I6401" s="19" t="str">
        <f>IFERROR(__xludf.DUMMYFUNCTION("IFERROR(TO_DATE(H6401), """")"),"NA")</f>
        <v>NA</v>
      </c>
      <c r="J6401" s="19" t="s">
        <v>10</v>
      </c>
      <c r="K6401" s="22">
        <f t="shared" si="2"/>
        <v>0</v>
      </c>
    </row>
    <row r="6402">
      <c r="A6402" s="18">
        <v>6134.0</v>
      </c>
      <c r="B6402" s="18" t="s">
        <v>32</v>
      </c>
      <c r="C6402" s="18" t="s">
        <v>34</v>
      </c>
      <c r="D6402" s="18" t="s">
        <v>35</v>
      </c>
      <c r="E6402" s="27">
        <v>42566.65707175926</v>
      </c>
      <c r="F6402" s="19">
        <f>IFERROR(__xludf.DUMMYFUNCTION("IFERROR(TO_DATE(E6402), """")"),42566.65707175926)</f>
        <v>42566.65707</v>
      </c>
      <c r="G6402" s="20">
        <f t="shared" si="1"/>
        <v>15</v>
      </c>
      <c r="H6402" s="18" t="s">
        <v>34</v>
      </c>
      <c r="I6402" s="19" t="str">
        <f>IFERROR(__xludf.DUMMYFUNCTION("IFERROR(TO_DATE(H6402), """")"),"NA")</f>
        <v>NA</v>
      </c>
      <c r="J6402" s="19" t="s">
        <v>10</v>
      </c>
      <c r="K6402" s="22">
        <f t="shared" si="2"/>
        <v>0</v>
      </c>
    </row>
    <row r="6403">
      <c r="A6403" s="18">
        <v>6136.0</v>
      </c>
      <c r="B6403" s="18" t="s">
        <v>32</v>
      </c>
      <c r="C6403" s="18" t="s">
        <v>34</v>
      </c>
      <c r="D6403" s="18" t="s">
        <v>35</v>
      </c>
      <c r="E6403" s="27">
        <v>42566.657164351855</v>
      </c>
      <c r="F6403" s="19">
        <f>IFERROR(__xludf.DUMMYFUNCTION("IFERROR(TO_DATE(E6403), """")"),42566.657164351855)</f>
        <v>42566.65716</v>
      </c>
      <c r="G6403" s="20">
        <f t="shared" si="1"/>
        <v>15</v>
      </c>
      <c r="H6403" s="18" t="s">
        <v>34</v>
      </c>
      <c r="I6403" s="19" t="str">
        <f>IFERROR(__xludf.DUMMYFUNCTION("IFERROR(TO_DATE(H6403), """")"),"NA")</f>
        <v>NA</v>
      </c>
      <c r="J6403" s="19" t="s">
        <v>10</v>
      </c>
      <c r="K6403" s="22">
        <f t="shared" si="2"/>
        <v>0</v>
      </c>
    </row>
    <row r="6404">
      <c r="A6404" s="18">
        <v>6137.0</v>
      </c>
      <c r="B6404" s="18" t="s">
        <v>30</v>
      </c>
      <c r="C6404" s="18" t="s">
        <v>34</v>
      </c>
      <c r="D6404" s="18" t="s">
        <v>35</v>
      </c>
      <c r="E6404" s="27">
        <v>42566.66003472222</v>
      </c>
      <c r="F6404" s="19">
        <f>IFERROR(__xludf.DUMMYFUNCTION("IFERROR(TO_DATE(E6404), """")"),42566.66003472222)</f>
        <v>42566.66003</v>
      </c>
      <c r="G6404" s="20">
        <f t="shared" si="1"/>
        <v>15</v>
      </c>
      <c r="H6404" s="18" t="s">
        <v>34</v>
      </c>
      <c r="I6404" s="19" t="str">
        <f>IFERROR(__xludf.DUMMYFUNCTION("IFERROR(TO_DATE(H6404), """")"),"NA")</f>
        <v>NA</v>
      </c>
      <c r="J6404" s="19" t="s">
        <v>10</v>
      </c>
      <c r="K6404" s="22">
        <f t="shared" si="2"/>
        <v>0</v>
      </c>
    </row>
    <row r="6405">
      <c r="A6405" s="18">
        <v>6138.0</v>
      </c>
      <c r="B6405" s="18" t="s">
        <v>32</v>
      </c>
      <c r="C6405" s="18" t="s">
        <v>34</v>
      </c>
      <c r="D6405" s="18" t="s">
        <v>35</v>
      </c>
      <c r="E6405" s="27">
        <v>42566.66118055556</v>
      </c>
      <c r="F6405" s="19">
        <f>IFERROR(__xludf.DUMMYFUNCTION("IFERROR(TO_DATE(E6405), """")"),42566.66118055556)</f>
        <v>42566.66118</v>
      </c>
      <c r="G6405" s="20">
        <f t="shared" si="1"/>
        <v>15</v>
      </c>
      <c r="H6405" s="18" t="s">
        <v>34</v>
      </c>
      <c r="I6405" s="19" t="str">
        <f>IFERROR(__xludf.DUMMYFUNCTION("IFERROR(TO_DATE(H6405), """")"),"NA")</f>
        <v>NA</v>
      </c>
      <c r="J6405" s="19" t="s">
        <v>10</v>
      </c>
      <c r="K6405" s="22">
        <f t="shared" si="2"/>
        <v>0</v>
      </c>
    </row>
    <row r="6406">
      <c r="A6406" s="18">
        <v>6143.0</v>
      </c>
      <c r="B6406" s="18" t="s">
        <v>32</v>
      </c>
      <c r="C6406" s="18" t="s">
        <v>34</v>
      </c>
      <c r="D6406" s="18" t="s">
        <v>35</v>
      </c>
      <c r="E6406" s="27">
        <v>42566.663136574076</v>
      </c>
      <c r="F6406" s="19">
        <f>IFERROR(__xludf.DUMMYFUNCTION("IFERROR(TO_DATE(E6406), """")"),42566.663136574076)</f>
        <v>42566.66314</v>
      </c>
      <c r="G6406" s="20">
        <f t="shared" si="1"/>
        <v>15</v>
      </c>
      <c r="H6406" s="18" t="s">
        <v>34</v>
      </c>
      <c r="I6406" s="19" t="str">
        <f>IFERROR(__xludf.DUMMYFUNCTION("IFERROR(TO_DATE(H6406), """")"),"NA")</f>
        <v>NA</v>
      </c>
      <c r="J6406" s="19" t="s">
        <v>10</v>
      </c>
      <c r="K6406" s="22">
        <f t="shared" si="2"/>
        <v>0</v>
      </c>
    </row>
    <row r="6407">
      <c r="A6407" s="18">
        <v>6144.0</v>
      </c>
      <c r="B6407" s="18" t="s">
        <v>32</v>
      </c>
      <c r="C6407" s="18" t="s">
        <v>34</v>
      </c>
      <c r="D6407" s="18" t="s">
        <v>35</v>
      </c>
      <c r="E6407" s="27">
        <v>42566.67188657408</v>
      </c>
      <c r="F6407" s="19">
        <f>IFERROR(__xludf.DUMMYFUNCTION("IFERROR(TO_DATE(E6407), """")"),42566.67188657408)</f>
        <v>42566.67189</v>
      </c>
      <c r="G6407" s="20">
        <f t="shared" si="1"/>
        <v>16</v>
      </c>
      <c r="H6407" s="18" t="s">
        <v>34</v>
      </c>
      <c r="I6407" s="19" t="str">
        <f>IFERROR(__xludf.DUMMYFUNCTION("IFERROR(TO_DATE(H6407), """")"),"NA")</f>
        <v>NA</v>
      </c>
      <c r="J6407" s="19" t="s">
        <v>12</v>
      </c>
      <c r="K6407" s="22">
        <f t="shared" si="2"/>
        <v>0</v>
      </c>
    </row>
    <row r="6408">
      <c r="A6408" s="18">
        <v>6149.0</v>
      </c>
      <c r="B6408" s="18" t="s">
        <v>32</v>
      </c>
      <c r="C6408" s="18" t="s">
        <v>34</v>
      </c>
      <c r="D6408" s="18" t="s">
        <v>35</v>
      </c>
      <c r="E6408" s="27">
        <v>42566.67984953704</v>
      </c>
      <c r="F6408" s="19">
        <f>IFERROR(__xludf.DUMMYFUNCTION("IFERROR(TO_DATE(E6408), """")"),42566.67984953704)</f>
        <v>42566.67985</v>
      </c>
      <c r="G6408" s="20">
        <f t="shared" si="1"/>
        <v>16</v>
      </c>
      <c r="H6408" s="18" t="s">
        <v>34</v>
      </c>
      <c r="I6408" s="19" t="str">
        <f>IFERROR(__xludf.DUMMYFUNCTION("IFERROR(TO_DATE(H6408), """")"),"NA")</f>
        <v>NA</v>
      </c>
      <c r="J6408" s="19" t="s">
        <v>12</v>
      </c>
      <c r="K6408" s="22">
        <f t="shared" si="2"/>
        <v>0</v>
      </c>
    </row>
    <row r="6409">
      <c r="A6409" s="18">
        <v>6146.0</v>
      </c>
      <c r="B6409" s="18" t="s">
        <v>30</v>
      </c>
      <c r="C6409" s="18" t="s">
        <v>34</v>
      </c>
      <c r="D6409" s="18" t="s">
        <v>35</v>
      </c>
      <c r="E6409" s="27">
        <v>42566.67989583333</v>
      </c>
      <c r="F6409" s="19">
        <f>IFERROR(__xludf.DUMMYFUNCTION("IFERROR(TO_DATE(E6409), """")"),42566.67989583333)</f>
        <v>42566.6799</v>
      </c>
      <c r="G6409" s="20">
        <f t="shared" si="1"/>
        <v>16</v>
      </c>
      <c r="H6409" s="18" t="s">
        <v>34</v>
      </c>
      <c r="I6409" s="19" t="str">
        <f>IFERROR(__xludf.DUMMYFUNCTION("IFERROR(TO_DATE(H6409), """")"),"NA")</f>
        <v>NA</v>
      </c>
      <c r="J6409" s="19" t="s">
        <v>12</v>
      </c>
      <c r="K6409" s="22">
        <f t="shared" si="2"/>
        <v>0</v>
      </c>
    </row>
    <row r="6410">
      <c r="A6410" s="18">
        <v>6148.0</v>
      </c>
      <c r="B6410" s="18" t="s">
        <v>32</v>
      </c>
      <c r="C6410" s="18" t="s">
        <v>34</v>
      </c>
      <c r="D6410" s="18" t="s">
        <v>35</v>
      </c>
      <c r="E6410" s="27">
        <v>42566.68100694445</v>
      </c>
      <c r="F6410" s="19">
        <f>IFERROR(__xludf.DUMMYFUNCTION("IFERROR(TO_DATE(E6410), """")"),42566.68100694445)</f>
        <v>42566.68101</v>
      </c>
      <c r="G6410" s="20">
        <f t="shared" si="1"/>
        <v>16</v>
      </c>
      <c r="H6410" s="18" t="s">
        <v>34</v>
      </c>
      <c r="I6410" s="19" t="str">
        <f>IFERROR(__xludf.DUMMYFUNCTION("IFERROR(TO_DATE(H6410), """")"),"NA")</f>
        <v>NA</v>
      </c>
      <c r="J6410" s="19" t="s">
        <v>12</v>
      </c>
      <c r="K6410" s="22">
        <f t="shared" si="2"/>
        <v>0</v>
      </c>
    </row>
    <row r="6411">
      <c r="A6411" s="18">
        <v>6155.0</v>
      </c>
      <c r="B6411" s="18" t="s">
        <v>32</v>
      </c>
      <c r="C6411" s="18" t="s">
        <v>34</v>
      </c>
      <c r="D6411" s="18" t="s">
        <v>35</v>
      </c>
      <c r="E6411" s="27">
        <v>42566.683842592596</v>
      </c>
      <c r="F6411" s="19">
        <f>IFERROR(__xludf.DUMMYFUNCTION("IFERROR(TO_DATE(E6411), """")"),42566.683842592596)</f>
        <v>42566.68384</v>
      </c>
      <c r="G6411" s="20">
        <f t="shared" si="1"/>
        <v>16</v>
      </c>
      <c r="H6411" s="18" t="s">
        <v>34</v>
      </c>
      <c r="I6411" s="19" t="str">
        <f>IFERROR(__xludf.DUMMYFUNCTION("IFERROR(TO_DATE(H6411), """")"),"NA")</f>
        <v>NA</v>
      </c>
      <c r="J6411" s="19" t="s">
        <v>12</v>
      </c>
      <c r="K6411" s="22">
        <f t="shared" si="2"/>
        <v>0</v>
      </c>
    </row>
    <row r="6412">
      <c r="A6412" s="18">
        <v>6151.0</v>
      </c>
      <c r="B6412" s="18" t="s">
        <v>32</v>
      </c>
      <c r="C6412" s="18" t="s">
        <v>34</v>
      </c>
      <c r="D6412" s="18" t="s">
        <v>35</v>
      </c>
      <c r="E6412" s="27">
        <v>42566.68446759259</v>
      </c>
      <c r="F6412" s="19">
        <f>IFERROR(__xludf.DUMMYFUNCTION("IFERROR(TO_DATE(E6412), """")"),42566.68446759259)</f>
        <v>42566.68447</v>
      </c>
      <c r="G6412" s="20">
        <f t="shared" si="1"/>
        <v>16</v>
      </c>
      <c r="H6412" s="18" t="s">
        <v>34</v>
      </c>
      <c r="I6412" s="19" t="str">
        <f>IFERROR(__xludf.DUMMYFUNCTION("IFERROR(TO_DATE(H6412), """")"),"NA")</f>
        <v>NA</v>
      </c>
      <c r="J6412" s="19" t="s">
        <v>12</v>
      </c>
      <c r="K6412" s="22">
        <f t="shared" si="2"/>
        <v>0</v>
      </c>
    </row>
    <row r="6413">
      <c r="A6413" s="18">
        <v>6154.0</v>
      </c>
      <c r="B6413" s="18" t="s">
        <v>32</v>
      </c>
      <c r="C6413" s="18" t="s">
        <v>34</v>
      </c>
      <c r="D6413" s="18" t="s">
        <v>35</v>
      </c>
      <c r="E6413" s="27">
        <v>42566.68461805556</v>
      </c>
      <c r="F6413" s="19">
        <f>IFERROR(__xludf.DUMMYFUNCTION("IFERROR(TO_DATE(E6413), """")"),42566.68461805556)</f>
        <v>42566.68462</v>
      </c>
      <c r="G6413" s="20">
        <f t="shared" si="1"/>
        <v>16</v>
      </c>
      <c r="H6413" s="18" t="s">
        <v>34</v>
      </c>
      <c r="I6413" s="19" t="str">
        <f>IFERROR(__xludf.DUMMYFUNCTION("IFERROR(TO_DATE(H6413), """")"),"NA")</f>
        <v>NA</v>
      </c>
      <c r="J6413" s="19" t="s">
        <v>12</v>
      </c>
      <c r="K6413" s="22">
        <f t="shared" si="2"/>
        <v>0</v>
      </c>
    </row>
    <row r="6414">
      <c r="A6414" s="18">
        <v>6156.0</v>
      </c>
      <c r="B6414" s="18" t="s">
        <v>32</v>
      </c>
      <c r="C6414" s="18" t="s">
        <v>34</v>
      </c>
      <c r="D6414" s="18" t="s">
        <v>35</v>
      </c>
      <c r="E6414" s="27">
        <v>42566.689375</v>
      </c>
      <c r="F6414" s="19">
        <f>IFERROR(__xludf.DUMMYFUNCTION("IFERROR(TO_DATE(E6414), """")"),42566.689375)</f>
        <v>42566.68938</v>
      </c>
      <c r="G6414" s="20">
        <f t="shared" si="1"/>
        <v>16</v>
      </c>
      <c r="H6414" s="18" t="s">
        <v>34</v>
      </c>
      <c r="I6414" s="19" t="str">
        <f>IFERROR(__xludf.DUMMYFUNCTION("IFERROR(TO_DATE(H6414), """")"),"NA")</f>
        <v>NA</v>
      </c>
      <c r="J6414" s="19" t="s">
        <v>12</v>
      </c>
      <c r="K6414" s="22">
        <f t="shared" si="2"/>
        <v>0</v>
      </c>
    </row>
    <row r="6415">
      <c r="A6415" s="18">
        <v>6162.0</v>
      </c>
      <c r="B6415" s="18" t="s">
        <v>32</v>
      </c>
      <c r="C6415" s="18" t="s">
        <v>34</v>
      </c>
      <c r="D6415" s="18" t="s">
        <v>35</v>
      </c>
      <c r="E6415" s="27">
        <v>42566.692662037036</v>
      </c>
      <c r="F6415" s="19">
        <f>IFERROR(__xludf.DUMMYFUNCTION("IFERROR(TO_DATE(E6415), """")"),42566.692662037036)</f>
        <v>42566.69266</v>
      </c>
      <c r="G6415" s="20">
        <f t="shared" si="1"/>
        <v>16</v>
      </c>
      <c r="H6415" s="18" t="s">
        <v>34</v>
      </c>
      <c r="I6415" s="19" t="str">
        <f>IFERROR(__xludf.DUMMYFUNCTION("IFERROR(TO_DATE(H6415), """")"),"NA")</f>
        <v>NA</v>
      </c>
      <c r="J6415" s="19" t="s">
        <v>12</v>
      </c>
      <c r="K6415" s="22">
        <f t="shared" si="2"/>
        <v>0</v>
      </c>
    </row>
    <row r="6416">
      <c r="A6416" s="18">
        <v>6163.0</v>
      </c>
      <c r="B6416" s="18" t="s">
        <v>32</v>
      </c>
      <c r="C6416" s="18" t="s">
        <v>34</v>
      </c>
      <c r="D6416" s="18" t="s">
        <v>35</v>
      </c>
      <c r="E6416" s="27">
        <v>42566.692777777775</v>
      </c>
      <c r="F6416" s="19">
        <f>IFERROR(__xludf.DUMMYFUNCTION("IFERROR(TO_DATE(E6416), """")"),42566.692777777775)</f>
        <v>42566.69278</v>
      </c>
      <c r="G6416" s="20">
        <f t="shared" si="1"/>
        <v>16</v>
      </c>
      <c r="H6416" s="18" t="s">
        <v>34</v>
      </c>
      <c r="I6416" s="19" t="str">
        <f>IFERROR(__xludf.DUMMYFUNCTION("IFERROR(TO_DATE(H6416), """")"),"NA")</f>
        <v>NA</v>
      </c>
      <c r="J6416" s="19" t="s">
        <v>12</v>
      </c>
      <c r="K6416" s="22">
        <f t="shared" si="2"/>
        <v>0</v>
      </c>
    </row>
    <row r="6417">
      <c r="A6417" s="18">
        <v>6161.0</v>
      </c>
      <c r="B6417" s="18" t="s">
        <v>32</v>
      </c>
      <c r="C6417" s="18" t="s">
        <v>34</v>
      </c>
      <c r="D6417" s="18" t="s">
        <v>35</v>
      </c>
      <c r="E6417" s="27">
        <v>42566.69357638889</v>
      </c>
      <c r="F6417" s="19">
        <f>IFERROR(__xludf.DUMMYFUNCTION("IFERROR(TO_DATE(E6417), """")"),42566.69357638889)</f>
        <v>42566.69358</v>
      </c>
      <c r="G6417" s="20">
        <f t="shared" si="1"/>
        <v>16</v>
      </c>
      <c r="H6417" s="18" t="s">
        <v>34</v>
      </c>
      <c r="I6417" s="19" t="str">
        <f>IFERROR(__xludf.DUMMYFUNCTION("IFERROR(TO_DATE(H6417), """")"),"NA")</f>
        <v>NA</v>
      </c>
      <c r="J6417" s="19" t="s">
        <v>12</v>
      </c>
      <c r="K6417" s="22">
        <f t="shared" si="2"/>
        <v>0</v>
      </c>
    </row>
    <row r="6418">
      <c r="A6418" s="18">
        <v>6168.0</v>
      </c>
      <c r="B6418" s="18" t="s">
        <v>32</v>
      </c>
      <c r="C6418" s="18" t="s">
        <v>34</v>
      </c>
      <c r="D6418" s="18" t="s">
        <v>35</v>
      </c>
      <c r="E6418" s="27">
        <v>42566.695752314816</v>
      </c>
      <c r="F6418" s="19">
        <f>IFERROR(__xludf.DUMMYFUNCTION("IFERROR(TO_DATE(E6418), """")"),42566.695752314816)</f>
        <v>42566.69575</v>
      </c>
      <c r="G6418" s="20">
        <f t="shared" si="1"/>
        <v>16</v>
      </c>
      <c r="H6418" s="18" t="s">
        <v>34</v>
      </c>
      <c r="I6418" s="19" t="str">
        <f>IFERROR(__xludf.DUMMYFUNCTION("IFERROR(TO_DATE(H6418), """")"),"NA")</f>
        <v>NA</v>
      </c>
      <c r="J6418" s="19" t="s">
        <v>12</v>
      </c>
      <c r="K6418" s="22">
        <f t="shared" si="2"/>
        <v>0</v>
      </c>
    </row>
    <row r="6419">
      <c r="A6419" s="18">
        <v>6169.0</v>
      </c>
      <c r="B6419" s="18" t="s">
        <v>32</v>
      </c>
      <c r="C6419" s="18" t="s">
        <v>34</v>
      </c>
      <c r="D6419" s="18" t="s">
        <v>35</v>
      </c>
      <c r="E6419" s="27">
        <v>42566.69644675926</v>
      </c>
      <c r="F6419" s="19">
        <f>IFERROR(__xludf.DUMMYFUNCTION("IFERROR(TO_DATE(E6419), """")"),42566.69644675926)</f>
        <v>42566.69645</v>
      </c>
      <c r="G6419" s="20">
        <f t="shared" si="1"/>
        <v>16</v>
      </c>
      <c r="H6419" s="18" t="s">
        <v>34</v>
      </c>
      <c r="I6419" s="19" t="str">
        <f>IFERROR(__xludf.DUMMYFUNCTION("IFERROR(TO_DATE(H6419), """")"),"NA")</f>
        <v>NA</v>
      </c>
      <c r="J6419" s="19" t="s">
        <v>12</v>
      </c>
      <c r="K6419" s="22">
        <f t="shared" si="2"/>
        <v>0</v>
      </c>
    </row>
    <row r="6420">
      <c r="A6420" s="18">
        <v>6164.0</v>
      </c>
      <c r="B6420" s="18" t="s">
        <v>32</v>
      </c>
      <c r="C6420" s="18" t="s">
        <v>34</v>
      </c>
      <c r="D6420" s="18" t="s">
        <v>35</v>
      </c>
      <c r="E6420" s="27">
        <v>42566.69666666666</v>
      </c>
      <c r="F6420" s="19">
        <f>IFERROR(__xludf.DUMMYFUNCTION("IFERROR(TO_DATE(E6420), """")"),42566.69666666666)</f>
        <v>42566.69667</v>
      </c>
      <c r="G6420" s="20">
        <f t="shared" si="1"/>
        <v>16</v>
      </c>
      <c r="H6420" s="18" t="s">
        <v>34</v>
      </c>
      <c r="I6420" s="19" t="str">
        <f>IFERROR(__xludf.DUMMYFUNCTION("IFERROR(TO_DATE(H6420), """")"),"NA")</f>
        <v>NA</v>
      </c>
      <c r="J6420" s="19" t="s">
        <v>12</v>
      </c>
      <c r="K6420" s="22">
        <f t="shared" si="2"/>
        <v>0</v>
      </c>
    </row>
    <row r="6421">
      <c r="A6421" s="18">
        <v>6165.0</v>
      </c>
      <c r="B6421" s="18" t="s">
        <v>32</v>
      </c>
      <c r="C6421" s="18" t="s">
        <v>34</v>
      </c>
      <c r="D6421" s="18" t="s">
        <v>35</v>
      </c>
      <c r="E6421" s="27">
        <v>42566.69694444445</v>
      </c>
      <c r="F6421" s="19">
        <f>IFERROR(__xludf.DUMMYFUNCTION("IFERROR(TO_DATE(E6421), """")"),42566.69694444445)</f>
        <v>42566.69694</v>
      </c>
      <c r="G6421" s="20">
        <f t="shared" si="1"/>
        <v>16</v>
      </c>
      <c r="H6421" s="18" t="s">
        <v>34</v>
      </c>
      <c r="I6421" s="19" t="str">
        <f>IFERROR(__xludf.DUMMYFUNCTION("IFERROR(TO_DATE(H6421), """")"),"NA")</f>
        <v>NA</v>
      </c>
      <c r="J6421" s="19" t="s">
        <v>12</v>
      </c>
      <c r="K6421" s="22">
        <f t="shared" si="2"/>
        <v>0</v>
      </c>
    </row>
    <row r="6422">
      <c r="A6422" s="18">
        <v>6170.0</v>
      </c>
      <c r="B6422" s="18" t="s">
        <v>32</v>
      </c>
      <c r="C6422" s="18" t="s">
        <v>34</v>
      </c>
      <c r="D6422" s="18" t="s">
        <v>35</v>
      </c>
      <c r="E6422" s="27">
        <v>42566.69747685185</v>
      </c>
      <c r="F6422" s="19">
        <f>IFERROR(__xludf.DUMMYFUNCTION("IFERROR(TO_DATE(E6422), """")"),42566.69747685185)</f>
        <v>42566.69748</v>
      </c>
      <c r="G6422" s="20">
        <f t="shared" si="1"/>
        <v>16</v>
      </c>
      <c r="H6422" s="18" t="s">
        <v>34</v>
      </c>
      <c r="I6422" s="19" t="str">
        <f>IFERROR(__xludf.DUMMYFUNCTION("IFERROR(TO_DATE(H6422), """")"),"NA")</f>
        <v>NA</v>
      </c>
      <c r="J6422" s="19" t="s">
        <v>12</v>
      </c>
      <c r="K6422" s="22">
        <f t="shared" si="2"/>
        <v>0</v>
      </c>
    </row>
    <row r="6423">
      <c r="A6423" s="18">
        <v>6166.0</v>
      </c>
      <c r="B6423" s="18" t="s">
        <v>32</v>
      </c>
      <c r="C6423" s="18" t="s">
        <v>34</v>
      </c>
      <c r="D6423" s="18" t="s">
        <v>35</v>
      </c>
      <c r="E6423" s="27">
        <v>42566.69899305556</v>
      </c>
      <c r="F6423" s="19">
        <f>IFERROR(__xludf.DUMMYFUNCTION("IFERROR(TO_DATE(E6423), """")"),42566.69899305556)</f>
        <v>42566.69899</v>
      </c>
      <c r="G6423" s="20">
        <f t="shared" si="1"/>
        <v>16</v>
      </c>
      <c r="H6423" s="18" t="s">
        <v>34</v>
      </c>
      <c r="I6423" s="19" t="str">
        <f>IFERROR(__xludf.DUMMYFUNCTION("IFERROR(TO_DATE(H6423), """")"),"NA")</f>
        <v>NA</v>
      </c>
      <c r="J6423" s="19" t="s">
        <v>12</v>
      </c>
      <c r="K6423" s="22">
        <f t="shared" si="2"/>
        <v>0</v>
      </c>
    </row>
    <row r="6424">
      <c r="A6424" s="18">
        <v>6172.0</v>
      </c>
      <c r="B6424" s="18" t="s">
        <v>32</v>
      </c>
      <c r="C6424" s="18" t="s">
        <v>34</v>
      </c>
      <c r="D6424" s="18" t="s">
        <v>35</v>
      </c>
      <c r="E6424" s="27">
        <v>42566.69975694444</v>
      </c>
      <c r="F6424" s="19">
        <f>IFERROR(__xludf.DUMMYFUNCTION("IFERROR(TO_DATE(E6424), """")"),42566.69975694444)</f>
        <v>42566.69976</v>
      </c>
      <c r="G6424" s="20">
        <f t="shared" si="1"/>
        <v>16</v>
      </c>
      <c r="H6424" s="18" t="s">
        <v>34</v>
      </c>
      <c r="I6424" s="19" t="str">
        <f>IFERROR(__xludf.DUMMYFUNCTION("IFERROR(TO_DATE(H6424), """")"),"NA")</f>
        <v>NA</v>
      </c>
      <c r="J6424" s="19" t="s">
        <v>12</v>
      </c>
      <c r="K6424" s="22">
        <f t="shared" si="2"/>
        <v>0</v>
      </c>
    </row>
    <row r="6425">
      <c r="A6425" s="18">
        <v>6171.0</v>
      </c>
      <c r="B6425" s="18" t="s">
        <v>32</v>
      </c>
      <c r="C6425" s="18" t="s">
        <v>34</v>
      </c>
      <c r="D6425" s="18" t="s">
        <v>35</v>
      </c>
      <c r="E6425" s="27">
        <v>42566.70234953704</v>
      </c>
      <c r="F6425" s="19">
        <f>IFERROR(__xludf.DUMMYFUNCTION("IFERROR(TO_DATE(E6425), """")"),42566.70234953704)</f>
        <v>42566.70235</v>
      </c>
      <c r="G6425" s="20">
        <f t="shared" si="1"/>
        <v>16</v>
      </c>
      <c r="H6425" s="18" t="s">
        <v>34</v>
      </c>
      <c r="I6425" s="19" t="str">
        <f>IFERROR(__xludf.DUMMYFUNCTION("IFERROR(TO_DATE(H6425), """")"),"NA")</f>
        <v>NA</v>
      </c>
      <c r="J6425" s="19" t="s">
        <v>12</v>
      </c>
      <c r="K6425" s="22">
        <f t="shared" si="2"/>
        <v>0</v>
      </c>
    </row>
    <row r="6426">
      <c r="A6426" s="18">
        <v>6174.0</v>
      </c>
      <c r="B6426" s="18" t="s">
        <v>32</v>
      </c>
      <c r="C6426" s="18" t="s">
        <v>34</v>
      </c>
      <c r="D6426" s="18" t="s">
        <v>35</v>
      </c>
      <c r="E6426" s="27">
        <v>42566.703738425924</v>
      </c>
      <c r="F6426" s="19">
        <f>IFERROR(__xludf.DUMMYFUNCTION("IFERROR(TO_DATE(E6426), """")"),42566.703738425924)</f>
        <v>42566.70374</v>
      </c>
      <c r="G6426" s="20">
        <f t="shared" si="1"/>
        <v>16</v>
      </c>
      <c r="H6426" s="18" t="s">
        <v>34</v>
      </c>
      <c r="I6426" s="19" t="str">
        <f>IFERROR(__xludf.DUMMYFUNCTION("IFERROR(TO_DATE(H6426), """")"),"NA")</f>
        <v>NA</v>
      </c>
      <c r="J6426" s="19" t="s">
        <v>12</v>
      </c>
      <c r="K6426" s="22">
        <f t="shared" si="2"/>
        <v>0</v>
      </c>
    </row>
    <row r="6427">
      <c r="A6427" s="18">
        <v>6177.0</v>
      </c>
      <c r="B6427" s="18" t="s">
        <v>32</v>
      </c>
      <c r="C6427" s="18" t="s">
        <v>34</v>
      </c>
      <c r="D6427" s="18" t="s">
        <v>35</v>
      </c>
      <c r="E6427" s="27">
        <v>42566.70863425926</v>
      </c>
      <c r="F6427" s="19">
        <f>IFERROR(__xludf.DUMMYFUNCTION("IFERROR(TO_DATE(E6427), """")"),42566.70863425926)</f>
        <v>42566.70863</v>
      </c>
      <c r="G6427" s="20">
        <f t="shared" si="1"/>
        <v>17</v>
      </c>
      <c r="H6427" s="18" t="s">
        <v>34</v>
      </c>
      <c r="I6427" s="19" t="str">
        <f>IFERROR(__xludf.DUMMYFUNCTION("IFERROR(TO_DATE(H6427), """")"),"NA")</f>
        <v>NA</v>
      </c>
      <c r="J6427" s="19" t="s">
        <v>12</v>
      </c>
      <c r="K6427" s="22">
        <f t="shared" si="2"/>
        <v>0</v>
      </c>
    </row>
    <row r="6428">
      <c r="A6428" s="18">
        <v>6181.0</v>
      </c>
      <c r="B6428" s="18" t="s">
        <v>30</v>
      </c>
      <c r="C6428" s="18" t="s">
        <v>34</v>
      </c>
      <c r="D6428" s="18" t="s">
        <v>35</v>
      </c>
      <c r="E6428" s="27">
        <v>42566.71199074074</v>
      </c>
      <c r="F6428" s="19">
        <f>IFERROR(__xludf.DUMMYFUNCTION("IFERROR(TO_DATE(E6428), """")"),42566.71199074074)</f>
        <v>42566.71199</v>
      </c>
      <c r="G6428" s="20">
        <f t="shared" si="1"/>
        <v>17</v>
      </c>
      <c r="H6428" s="18" t="s">
        <v>34</v>
      </c>
      <c r="I6428" s="19" t="str">
        <f>IFERROR(__xludf.DUMMYFUNCTION("IFERROR(TO_DATE(H6428), """")"),"NA")</f>
        <v>NA</v>
      </c>
      <c r="J6428" s="19" t="s">
        <v>12</v>
      </c>
      <c r="K6428" s="22">
        <f t="shared" si="2"/>
        <v>0</v>
      </c>
    </row>
    <row r="6429">
      <c r="A6429" s="18">
        <v>6178.0</v>
      </c>
      <c r="B6429" s="18" t="s">
        <v>32</v>
      </c>
      <c r="C6429" s="18" t="s">
        <v>34</v>
      </c>
      <c r="D6429" s="18" t="s">
        <v>35</v>
      </c>
      <c r="E6429" s="27">
        <v>42566.71293981482</v>
      </c>
      <c r="F6429" s="19">
        <f>IFERROR(__xludf.DUMMYFUNCTION("IFERROR(TO_DATE(E6429), """")"),42566.71293981482)</f>
        <v>42566.71294</v>
      </c>
      <c r="G6429" s="20">
        <f t="shared" si="1"/>
        <v>17</v>
      </c>
      <c r="H6429" s="18" t="s">
        <v>34</v>
      </c>
      <c r="I6429" s="19" t="str">
        <f>IFERROR(__xludf.DUMMYFUNCTION("IFERROR(TO_DATE(H6429), """")"),"NA")</f>
        <v>NA</v>
      </c>
      <c r="J6429" s="19" t="s">
        <v>12</v>
      </c>
      <c r="K6429" s="22">
        <f t="shared" si="2"/>
        <v>0</v>
      </c>
    </row>
    <row r="6430">
      <c r="A6430" s="18">
        <v>6186.0</v>
      </c>
      <c r="B6430" s="18" t="s">
        <v>30</v>
      </c>
      <c r="C6430" s="18" t="s">
        <v>34</v>
      </c>
      <c r="D6430" s="18" t="s">
        <v>35</v>
      </c>
      <c r="E6430" s="27">
        <v>42566.71438657407</v>
      </c>
      <c r="F6430" s="19">
        <f>IFERROR(__xludf.DUMMYFUNCTION("IFERROR(TO_DATE(E6430), """")"),42566.71438657407)</f>
        <v>42566.71439</v>
      </c>
      <c r="G6430" s="20">
        <f t="shared" si="1"/>
        <v>17</v>
      </c>
      <c r="H6430" s="18" t="s">
        <v>34</v>
      </c>
      <c r="I6430" s="19" t="str">
        <f>IFERROR(__xludf.DUMMYFUNCTION("IFERROR(TO_DATE(H6430), """")"),"NA")</f>
        <v>NA</v>
      </c>
      <c r="J6430" s="19" t="s">
        <v>12</v>
      </c>
      <c r="K6430" s="22">
        <f t="shared" si="2"/>
        <v>0</v>
      </c>
    </row>
    <row r="6431">
      <c r="A6431" s="18">
        <v>6184.0</v>
      </c>
      <c r="B6431" s="18" t="s">
        <v>30</v>
      </c>
      <c r="C6431" s="18" t="s">
        <v>34</v>
      </c>
      <c r="D6431" s="18" t="s">
        <v>35</v>
      </c>
      <c r="E6431" s="27">
        <v>42566.71451388889</v>
      </c>
      <c r="F6431" s="19">
        <f>IFERROR(__xludf.DUMMYFUNCTION("IFERROR(TO_DATE(E6431), """")"),42566.71451388889)</f>
        <v>42566.71451</v>
      </c>
      <c r="G6431" s="20">
        <f t="shared" si="1"/>
        <v>17</v>
      </c>
      <c r="H6431" s="18" t="s">
        <v>34</v>
      </c>
      <c r="I6431" s="19" t="str">
        <f>IFERROR(__xludf.DUMMYFUNCTION("IFERROR(TO_DATE(H6431), """")"),"NA")</f>
        <v>NA</v>
      </c>
      <c r="J6431" s="19" t="s">
        <v>12</v>
      </c>
      <c r="K6431" s="22">
        <f t="shared" si="2"/>
        <v>0</v>
      </c>
    </row>
    <row r="6432">
      <c r="A6432" s="18">
        <v>6185.0</v>
      </c>
      <c r="B6432" s="18" t="s">
        <v>30</v>
      </c>
      <c r="C6432" s="18" t="s">
        <v>34</v>
      </c>
      <c r="D6432" s="18" t="s">
        <v>35</v>
      </c>
      <c r="E6432" s="27">
        <v>42566.71613425926</v>
      </c>
      <c r="F6432" s="19">
        <f>IFERROR(__xludf.DUMMYFUNCTION("IFERROR(TO_DATE(E6432), """")"),42566.71613425926)</f>
        <v>42566.71613</v>
      </c>
      <c r="G6432" s="20">
        <f t="shared" si="1"/>
        <v>17</v>
      </c>
      <c r="H6432" s="18" t="s">
        <v>34</v>
      </c>
      <c r="I6432" s="19" t="str">
        <f>IFERROR(__xludf.DUMMYFUNCTION("IFERROR(TO_DATE(H6432), """")"),"NA")</f>
        <v>NA</v>
      </c>
      <c r="J6432" s="19" t="s">
        <v>12</v>
      </c>
      <c r="K6432" s="22">
        <f t="shared" si="2"/>
        <v>0</v>
      </c>
    </row>
    <row r="6433">
      <c r="A6433" s="18">
        <v>6195.0</v>
      </c>
      <c r="B6433" s="18" t="s">
        <v>32</v>
      </c>
      <c r="C6433" s="18" t="s">
        <v>34</v>
      </c>
      <c r="D6433" s="18" t="s">
        <v>35</v>
      </c>
      <c r="E6433" s="27">
        <v>42566.71803240741</v>
      </c>
      <c r="F6433" s="19">
        <f>IFERROR(__xludf.DUMMYFUNCTION("IFERROR(TO_DATE(E6433), """")"),42566.71803240741)</f>
        <v>42566.71803</v>
      </c>
      <c r="G6433" s="20">
        <f t="shared" si="1"/>
        <v>17</v>
      </c>
      <c r="H6433" s="18" t="s">
        <v>34</v>
      </c>
      <c r="I6433" s="19" t="str">
        <f>IFERROR(__xludf.DUMMYFUNCTION("IFERROR(TO_DATE(H6433), """")"),"NA")</f>
        <v>NA</v>
      </c>
      <c r="J6433" s="19" t="s">
        <v>12</v>
      </c>
      <c r="K6433" s="22">
        <f t="shared" si="2"/>
        <v>0</v>
      </c>
    </row>
    <row r="6434">
      <c r="A6434" s="18">
        <v>6194.0</v>
      </c>
      <c r="B6434" s="18" t="s">
        <v>30</v>
      </c>
      <c r="C6434" s="18" t="s">
        <v>34</v>
      </c>
      <c r="D6434" s="18" t="s">
        <v>35</v>
      </c>
      <c r="E6434" s="27">
        <v>42566.718148148146</v>
      </c>
      <c r="F6434" s="19">
        <f>IFERROR(__xludf.DUMMYFUNCTION("IFERROR(TO_DATE(E6434), """")"),42566.718148148146)</f>
        <v>42566.71815</v>
      </c>
      <c r="G6434" s="20">
        <f t="shared" si="1"/>
        <v>17</v>
      </c>
      <c r="H6434" s="18" t="s">
        <v>34</v>
      </c>
      <c r="I6434" s="19" t="str">
        <f>IFERROR(__xludf.DUMMYFUNCTION("IFERROR(TO_DATE(H6434), """")"),"NA")</f>
        <v>NA</v>
      </c>
      <c r="J6434" s="19" t="s">
        <v>12</v>
      </c>
      <c r="K6434" s="22">
        <f t="shared" si="2"/>
        <v>0</v>
      </c>
    </row>
    <row r="6435">
      <c r="A6435" s="18">
        <v>6183.0</v>
      </c>
      <c r="B6435" s="18" t="s">
        <v>30</v>
      </c>
      <c r="C6435" s="18" t="s">
        <v>34</v>
      </c>
      <c r="D6435" s="18" t="s">
        <v>35</v>
      </c>
      <c r="E6435" s="27">
        <v>42566.71837962963</v>
      </c>
      <c r="F6435" s="19">
        <f>IFERROR(__xludf.DUMMYFUNCTION("IFERROR(TO_DATE(E6435), """")"),42566.71837962963)</f>
        <v>42566.71838</v>
      </c>
      <c r="G6435" s="20">
        <f t="shared" si="1"/>
        <v>17</v>
      </c>
      <c r="H6435" s="18" t="s">
        <v>34</v>
      </c>
      <c r="I6435" s="19" t="str">
        <f>IFERROR(__xludf.DUMMYFUNCTION("IFERROR(TO_DATE(H6435), """")"),"NA")</f>
        <v>NA</v>
      </c>
      <c r="J6435" s="19" t="s">
        <v>12</v>
      </c>
      <c r="K6435" s="22">
        <f t="shared" si="2"/>
        <v>0</v>
      </c>
    </row>
    <row r="6436">
      <c r="A6436" s="18">
        <v>6201.0</v>
      </c>
      <c r="B6436" s="18" t="s">
        <v>30</v>
      </c>
      <c r="C6436" s="18" t="s">
        <v>34</v>
      </c>
      <c r="D6436" s="18" t="s">
        <v>35</v>
      </c>
      <c r="E6436" s="27">
        <v>42566.719409722224</v>
      </c>
      <c r="F6436" s="19">
        <f>IFERROR(__xludf.DUMMYFUNCTION("IFERROR(TO_DATE(E6436), """")"),42566.719409722224)</f>
        <v>42566.71941</v>
      </c>
      <c r="G6436" s="20">
        <f t="shared" si="1"/>
        <v>17</v>
      </c>
      <c r="H6436" s="18" t="s">
        <v>34</v>
      </c>
      <c r="I6436" s="19" t="str">
        <f>IFERROR(__xludf.DUMMYFUNCTION("IFERROR(TO_DATE(H6436), """")"),"NA")</f>
        <v>NA</v>
      </c>
      <c r="J6436" s="19" t="s">
        <v>12</v>
      </c>
      <c r="K6436" s="22">
        <f t="shared" si="2"/>
        <v>0</v>
      </c>
    </row>
    <row r="6437">
      <c r="A6437" s="18">
        <v>6188.0</v>
      </c>
      <c r="B6437" s="18" t="s">
        <v>30</v>
      </c>
      <c r="C6437" s="18" t="s">
        <v>34</v>
      </c>
      <c r="D6437" s="18" t="s">
        <v>35</v>
      </c>
      <c r="E6437" s="27">
        <v>42566.71959490741</v>
      </c>
      <c r="F6437" s="19">
        <f>IFERROR(__xludf.DUMMYFUNCTION("IFERROR(TO_DATE(E6437), """")"),42566.71959490741)</f>
        <v>42566.71959</v>
      </c>
      <c r="G6437" s="20">
        <f t="shared" si="1"/>
        <v>17</v>
      </c>
      <c r="H6437" s="18" t="s">
        <v>34</v>
      </c>
      <c r="I6437" s="19" t="str">
        <f>IFERROR(__xludf.DUMMYFUNCTION("IFERROR(TO_DATE(H6437), """")"),"NA")</f>
        <v>NA</v>
      </c>
      <c r="J6437" s="19" t="s">
        <v>12</v>
      </c>
      <c r="K6437" s="22">
        <f t="shared" si="2"/>
        <v>0</v>
      </c>
    </row>
    <row r="6438">
      <c r="A6438" s="18">
        <v>6189.0</v>
      </c>
      <c r="B6438" s="18" t="s">
        <v>30</v>
      </c>
      <c r="C6438" s="18" t="s">
        <v>34</v>
      </c>
      <c r="D6438" s="18" t="s">
        <v>35</v>
      </c>
      <c r="E6438" s="27">
        <v>42566.720046296294</v>
      </c>
      <c r="F6438" s="19">
        <f>IFERROR(__xludf.DUMMYFUNCTION("IFERROR(TO_DATE(E6438), """")"),42566.720046296294)</f>
        <v>42566.72005</v>
      </c>
      <c r="G6438" s="20">
        <f t="shared" si="1"/>
        <v>17</v>
      </c>
      <c r="H6438" s="18" t="s">
        <v>34</v>
      </c>
      <c r="I6438" s="19" t="str">
        <f>IFERROR(__xludf.DUMMYFUNCTION("IFERROR(TO_DATE(H6438), """")"),"NA")</f>
        <v>NA</v>
      </c>
      <c r="J6438" s="19" t="s">
        <v>12</v>
      </c>
      <c r="K6438" s="22">
        <f t="shared" si="2"/>
        <v>0</v>
      </c>
    </row>
    <row r="6439">
      <c r="A6439" s="18">
        <v>6206.0</v>
      </c>
      <c r="B6439" s="18" t="s">
        <v>30</v>
      </c>
      <c r="C6439" s="18" t="s">
        <v>34</v>
      </c>
      <c r="D6439" s="18" t="s">
        <v>35</v>
      </c>
      <c r="E6439" s="27">
        <v>42566.723645833335</v>
      </c>
      <c r="F6439" s="19">
        <f>IFERROR(__xludf.DUMMYFUNCTION("IFERROR(TO_DATE(E6439), """")"),42566.723645833335)</f>
        <v>42566.72365</v>
      </c>
      <c r="G6439" s="20">
        <f t="shared" si="1"/>
        <v>17</v>
      </c>
      <c r="H6439" s="18" t="s">
        <v>34</v>
      </c>
      <c r="I6439" s="19" t="str">
        <f>IFERROR(__xludf.DUMMYFUNCTION("IFERROR(TO_DATE(H6439), """")"),"NA")</f>
        <v>NA</v>
      </c>
      <c r="J6439" s="19" t="s">
        <v>12</v>
      </c>
      <c r="K6439" s="22">
        <f t="shared" si="2"/>
        <v>0</v>
      </c>
    </row>
    <row r="6440">
      <c r="A6440" s="18">
        <v>6202.0</v>
      </c>
      <c r="B6440" s="18" t="s">
        <v>30</v>
      </c>
      <c r="C6440" s="18" t="s">
        <v>34</v>
      </c>
      <c r="D6440" s="18" t="s">
        <v>35</v>
      </c>
      <c r="E6440" s="27">
        <v>42566.7240625</v>
      </c>
      <c r="F6440" s="19">
        <f>IFERROR(__xludf.DUMMYFUNCTION("IFERROR(TO_DATE(E6440), """")"),42566.7240625)</f>
        <v>42566.72406</v>
      </c>
      <c r="G6440" s="20">
        <f t="shared" si="1"/>
        <v>17</v>
      </c>
      <c r="H6440" s="18" t="s">
        <v>34</v>
      </c>
      <c r="I6440" s="19" t="str">
        <f>IFERROR(__xludf.DUMMYFUNCTION("IFERROR(TO_DATE(H6440), """")"),"NA")</f>
        <v>NA</v>
      </c>
      <c r="J6440" s="19" t="s">
        <v>12</v>
      </c>
      <c r="K6440" s="22">
        <f t="shared" si="2"/>
        <v>0</v>
      </c>
    </row>
    <row r="6441">
      <c r="A6441" s="18">
        <v>6200.0</v>
      </c>
      <c r="B6441" s="18" t="s">
        <v>30</v>
      </c>
      <c r="C6441" s="18" t="s">
        <v>34</v>
      </c>
      <c r="D6441" s="18" t="s">
        <v>35</v>
      </c>
      <c r="E6441" s="27">
        <v>42566.72420138889</v>
      </c>
      <c r="F6441" s="19">
        <f>IFERROR(__xludf.DUMMYFUNCTION("IFERROR(TO_DATE(E6441), """")"),42566.72420138889)</f>
        <v>42566.7242</v>
      </c>
      <c r="G6441" s="20">
        <f t="shared" si="1"/>
        <v>17</v>
      </c>
      <c r="H6441" s="18" t="s">
        <v>34</v>
      </c>
      <c r="I6441" s="19" t="str">
        <f>IFERROR(__xludf.DUMMYFUNCTION("IFERROR(TO_DATE(H6441), """")"),"NA")</f>
        <v>NA</v>
      </c>
      <c r="J6441" s="19" t="s">
        <v>12</v>
      </c>
      <c r="K6441" s="22">
        <f t="shared" si="2"/>
        <v>0</v>
      </c>
    </row>
    <row r="6442">
      <c r="A6442" s="18">
        <v>6204.0</v>
      </c>
      <c r="B6442" s="18" t="s">
        <v>30</v>
      </c>
      <c r="C6442" s="18" t="s">
        <v>34</v>
      </c>
      <c r="D6442" s="18" t="s">
        <v>35</v>
      </c>
      <c r="E6442" s="27">
        <v>42566.72650462963</v>
      </c>
      <c r="F6442" s="19">
        <f>IFERROR(__xludf.DUMMYFUNCTION("IFERROR(TO_DATE(E6442), """")"),42566.72650462963)</f>
        <v>42566.7265</v>
      </c>
      <c r="G6442" s="20">
        <f t="shared" si="1"/>
        <v>17</v>
      </c>
      <c r="H6442" s="18" t="s">
        <v>34</v>
      </c>
      <c r="I6442" s="19" t="str">
        <f>IFERROR(__xludf.DUMMYFUNCTION("IFERROR(TO_DATE(H6442), """")"),"NA")</f>
        <v>NA</v>
      </c>
      <c r="J6442" s="19" t="s">
        <v>12</v>
      </c>
      <c r="K6442" s="22">
        <f t="shared" si="2"/>
        <v>0</v>
      </c>
    </row>
    <row r="6443">
      <c r="A6443" s="18">
        <v>6207.0</v>
      </c>
      <c r="B6443" s="18" t="s">
        <v>30</v>
      </c>
      <c r="C6443" s="18" t="s">
        <v>34</v>
      </c>
      <c r="D6443" s="18" t="s">
        <v>35</v>
      </c>
      <c r="E6443" s="27">
        <v>42566.72740740741</v>
      </c>
      <c r="F6443" s="19">
        <f>IFERROR(__xludf.DUMMYFUNCTION("IFERROR(TO_DATE(E6443), """")"),42566.72740740741)</f>
        <v>42566.72741</v>
      </c>
      <c r="G6443" s="20">
        <f t="shared" si="1"/>
        <v>17</v>
      </c>
      <c r="H6443" s="18" t="s">
        <v>34</v>
      </c>
      <c r="I6443" s="19" t="str">
        <f>IFERROR(__xludf.DUMMYFUNCTION("IFERROR(TO_DATE(H6443), """")"),"NA")</f>
        <v>NA</v>
      </c>
      <c r="J6443" s="19" t="s">
        <v>12</v>
      </c>
      <c r="K6443" s="22">
        <f t="shared" si="2"/>
        <v>0</v>
      </c>
    </row>
    <row r="6444">
      <c r="A6444" s="18">
        <v>6212.0</v>
      </c>
      <c r="B6444" s="18" t="s">
        <v>30</v>
      </c>
      <c r="C6444" s="18" t="s">
        <v>34</v>
      </c>
      <c r="D6444" s="18" t="s">
        <v>35</v>
      </c>
      <c r="E6444" s="27">
        <v>42566.7280787037</v>
      </c>
      <c r="F6444" s="19">
        <f>IFERROR(__xludf.DUMMYFUNCTION("IFERROR(TO_DATE(E6444), """")"),42566.7280787037)</f>
        <v>42566.72808</v>
      </c>
      <c r="G6444" s="20">
        <f t="shared" si="1"/>
        <v>17</v>
      </c>
      <c r="H6444" s="18" t="s">
        <v>34</v>
      </c>
      <c r="I6444" s="19" t="str">
        <f>IFERROR(__xludf.DUMMYFUNCTION("IFERROR(TO_DATE(H6444), """")"),"NA")</f>
        <v>NA</v>
      </c>
      <c r="J6444" s="19" t="s">
        <v>12</v>
      </c>
      <c r="K6444" s="22">
        <f t="shared" si="2"/>
        <v>0</v>
      </c>
    </row>
    <row r="6445">
      <c r="A6445" s="18">
        <v>6222.0</v>
      </c>
      <c r="B6445" s="18" t="s">
        <v>30</v>
      </c>
      <c r="C6445" s="18" t="s">
        <v>34</v>
      </c>
      <c r="D6445" s="18" t="s">
        <v>35</v>
      </c>
      <c r="E6445" s="27">
        <v>42566.72822916666</v>
      </c>
      <c r="F6445" s="19">
        <f>IFERROR(__xludf.DUMMYFUNCTION("IFERROR(TO_DATE(E6445), """")"),42566.72822916666)</f>
        <v>42566.72823</v>
      </c>
      <c r="G6445" s="20">
        <f t="shared" si="1"/>
        <v>17</v>
      </c>
      <c r="H6445" s="18" t="s">
        <v>34</v>
      </c>
      <c r="I6445" s="19" t="str">
        <f>IFERROR(__xludf.DUMMYFUNCTION("IFERROR(TO_DATE(H6445), """")"),"NA")</f>
        <v>NA</v>
      </c>
      <c r="J6445" s="19" t="s">
        <v>12</v>
      </c>
      <c r="K6445" s="22">
        <f t="shared" si="2"/>
        <v>0</v>
      </c>
    </row>
    <row r="6446">
      <c r="A6446" s="18">
        <v>6225.0</v>
      </c>
      <c r="B6446" s="18" t="s">
        <v>30</v>
      </c>
      <c r="C6446" s="18" t="s">
        <v>34</v>
      </c>
      <c r="D6446" s="18" t="s">
        <v>35</v>
      </c>
      <c r="E6446" s="27">
        <v>42566.731203703705</v>
      </c>
      <c r="F6446" s="19">
        <f>IFERROR(__xludf.DUMMYFUNCTION("IFERROR(TO_DATE(E6446), """")"),42566.731203703705)</f>
        <v>42566.7312</v>
      </c>
      <c r="G6446" s="20">
        <f t="shared" si="1"/>
        <v>17</v>
      </c>
      <c r="H6446" s="18" t="s">
        <v>34</v>
      </c>
      <c r="I6446" s="19" t="str">
        <f>IFERROR(__xludf.DUMMYFUNCTION("IFERROR(TO_DATE(H6446), """")"),"NA")</f>
        <v>NA</v>
      </c>
      <c r="J6446" s="19" t="s">
        <v>12</v>
      </c>
      <c r="K6446" s="22">
        <f t="shared" si="2"/>
        <v>0</v>
      </c>
    </row>
    <row r="6447">
      <c r="A6447" s="18">
        <v>6218.0</v>
      </c>
      <c r="B6447" s="18" t="s">
        <v>30</v>
      </c>
      <c r="C6447" s="18" t="s">
        <v>34</v>
      </c>
      <c r="D6447" s="18" t="s">
        <v>35</v>
      </c>
      <c r="E6447" s="27">
        <v>42566.73226851852</v>
      </c>
      <c r="F6447" s="19">
        <f>IFERROR(__xludf.DUMMYFUNCTION("IFERROR(TO_DATE(E6447), """")"),42566.73226851852)</f>
        <v>42566.73227</v>
      </c>
      <c r="G6447" s="20">
        <f t="shared" si="1"/>
        <v>17</v>
      </c>
      <c r="H6447" s="18" t="s">
        <v>34</v>
      </c>
      <c r="I6447" s="19" t="str">
        <f>IFERROR(__xludf.DUMMYFUNCTION("IFERROR(TO_DATE(H6447), """")"),"NA")</f>
        <v>NA</v>
      </c>
      <c r="J6447" s="19" t="s">
        <v>12</v>
      </c>
      <c r="K6447" s="22">
        <f t="shared" si="2"/>
        <v>0</v>
      </c>
    </row>
    <row r="6448">
      <c r="A6448" s="18">
        <v>6210.0</v>
      </c>
      <c r="B6448" s="18" t="s">
        <v>30</v>
      </c>
      <c r="C6448" s="18" t="s">
        <v>34</v>
      </c>
      <c r="D6448" s="18" t="s">
        <v>35</v>
      </c>
      <c r="E6448" s="27">
        <v>42566.73287037037</v>
      </c>
      <c r="F6448" s="19">
        <f>IFERROR(__xludf.DUMMYFUNCTION("IFERROR(TO_DATE(E6448), """")"),42566.73287037037)</f>
        <v>42566.73287</v>
      </c>
      <c r="G6448" s="20">
        <f t="shared" si="1"/>
        <v>17</v>
      </c>
      <c r="H6448" s="18" t="s">
        <v>34</v>
      </c>
      <c r="I6448" s="19" t="str">
        <f>IFERROR(__xludf.DUMMYFUNCTION("IFERROR(TO_DATE(H6448), """")"),"NA")</f>
        <v>NA</v>
      </c>
      <c r="J6448" s="19" t="s">
        <v>12</v>
      </c>
      <c r="K6448" s="22">
        <f t="shared" si="2"/>
        <v>0</v>
      </c>
    </row>
    <row r="6449">
      <c r="A6449" s="18">
        <v>6215.0</v>
      </c>
      <c r="B6449" s="18" t="s">
        <v>30</v>
      </c>
      <c r="C6449" s="18" t="s">
        <v>34</v>
      </c>
      <c r="D6449" s="18" t="s">
        <v>35</v>
      </c>
      <c r="E6449" s="27">
        <v>42566.733090277776</v>
      </c>
      <c r="F6449" s="19">
        <f>IFERROR(__xludf.DUMMYFUNCTION("IFERROR(TO_DATE(E6449), """")"),42566.733090277776)</f>
        <v>42566.73309</v>
      </c>
      <c r="G6449" s="20">
        <f t="shared" si="1"/>
        <v>17</v>
      </c>
      <c r="H6449" s="18" t="s">
        <v>34</v>
      </c>
      <c r="I6449" s="19" t="str">
        <f>IFERROR(__xludf.DUMMYFUNCTION("IFERROR(TO_DATE(H6449), """")"),"NA")</f>
        <v>NA</v>
      </c>
      <c r="J6449" s="19" t="s">
        <v>12</v>
      </c>
      <c r="K6449" s="22">
        <f t="shared" si="2"/>
        <v>0</v>
      </c>
    </row>
    <row r="6450">
      <c r="A6450" s="18">
        <v>6224.0</v>
      </c>
      <c r="B6450" s="18" t="s">
        <v>32</v>
      </c>
      <c r="C6450" s="18" t="s">
        <v>34</v>
      </c>
      <c r="D6450" s="18" t="s">
        <v>35</v>
      </c>
      <c r="E6450" s="27">
        <v>42566.73324074074</v>
      </c>
      <c r="F6450" s="19">
        <f>IFERROR(__xludf.DUMMYFUNCTION("IFERROR(TO_DATE(E6450), """")"),42566.73324074074)</f>
        <v>42566.73324</v>
      </c>
      <c r="G6450" s="20">
        <f t="shared" si="1"/>
        <v>17</v>
      </c>
      <c r="H6450" s="18" t="s">
        <v>34</v>
      </c>
      <c r="I6450" s="19" t="str">
        <f>IFERROR(__xludf.DUMMYFUNCTION("IFERROR(TO_DATE(H6450), """")"),"NA")</f>
        <v>NA</v>
      </c>
      <c r="J6450" s="19" t="s">
        <v>12</v>
      </c>
      <c r="K6450" s="22">
        <f t="shared" si="2"/>
        <v>0</v>
      </c>
    </row>
    <row r="6451">
      <c r="A6451" s="18">
        <v>6220.0</v>
      </c>
      <c r="B6451" s="18" t="s">
        <v>30</v>
      </c>
      <c r="C6451" s="18" t="s">
        <v>34</v>
      </c>
      <c r="D6451" s="18" t="s">
        <v>35</v>
      </c>
      <c r="E6451" s="27">
        <v>42566.733506944445</v>
      </c>
      <c r="F6451" s="19">
        <f>IFERROR(__xludf.DUMMYFUNCTION("IFERROR(TO_DATE(E6451), """")"),42566.733506944445)</f>
        <v>42566.73351</v>
      </c>
      <c r="G6451" s="20">
        <f t="shared" si="1"/>
        <v>17</v>
      </c>
      <c r="H6451" s="18" t="s">
        <v>34</v>
      </c>
      <c r="I6451" s="19" t="str">
        <f>IFERROR(__xludf.DUMMYFUNCTION("IFERROR(TO_DATE(H6451), """")"),"NA")</f>
        <v>NA</v>
      </c>
      <c r="J6451" s="19" t="s">
        <v>12</v>
      </c>
      <c r="K6451" s="22">
        <f t="shared" si="2"/>
        <v>0</v>
      </c>
    </row>
    <row r="6452">
      <c r="A6452" s="18">
        <v>6216.0</v>
      </c>
      <c r="B6452" s="18" t="s">
        <v>30</v>
      </c>
      <c r="C6452" s="18" t="s">
        <v>34</v>
      </c>
      <c r="D6452" s="18" t="s">
        <v>35</v>
      </c>
      <c r="E6452" s="27">
        <v>42566.73416666667</v>
      </c>
      <c r="F6452" s="19">
        <f>IFERROR(__xludf.DUMMYFUNCTION("IFERROR(TO_DATE(E6452), """")"),42566.73416666667)</f>
        <v>42566.73417</v>
      </c>
      <c r="G6452" s="20">
        <f t="shared" si="1"/>
        <v>17</v>
      </c>
      <c r="H6452" s="18" t="s">
        <v>34</v>
      </c>
      <c r="I6452" s="19" t="str">
        <f>IFERROR(__xludf.DUMMYFUNCTION("IFERROR(TO_DATE(H6452), """")"),"NA")</f>
        <v>NA</v>
      </c>
      <c r="J6452" s="19" t="s">
        <v>12</v>
      </c>
      <c r="K6452" s="22">
        <f t="shared" si="2"/>
        <v>0</v>
      </c>
    </row>
    <row r="6453">
      <c r="A6453" s="18">
        <v>6223.0</v>
      </c>
      <c r="B6453" s="18" t="s">
        <v>30</v>
      </c>
      <c r="C6453" s="18" t="s">
        <v>34</v>
      </c>
      <c r="D6453" s="18" t="s">
        <v>35</v>
      </c>
      <c r="E6453" s="27">
        <v>42566.73416666667</v>
      </c>
      <c r="F6453" s="19">
        <f>IFERROR(__xludf.DUMMYFUNCTION("IFERROR(TO_DATE(E6453), """")"),42566.73416666667)</f>
        <v>42566.73417</v>
      </c>
      <c r="G6453" s="20">
        <f t="shared" si="1"/>
        <v>17</v>
      </c>
      <c r="H6453" s="18" t="s">
        <v>34</v>
      </c>
      <c r="I6453" s="19" t="str">
        <f>IFERROR(__xludf.DUMMYFUNCTION("IFERROR(TO_DATE(H6453), """")"),"NA")</f>
        <v>NA</v>
      </c>
      <c r="J6453" s="19" t="s">
        <v>12</v>
      </c>
      <c r="K6453" s="22">
        <f t="shared" si="2"/>
        <v>0</v>
      </c>
    </row>
    <row r="6454">
      <c r="A6454" s="18">
        <v>6211.0</v>
      </c>
      <c r="B6454" s="18" t="s">
        <v>30</v>
      </c>
      <c r="C6454" s="18" t="s">
        <v>34</v>
      </c>
      <c r="D6454" s="18" t="s">
        <v>35</v>
      </c>
      <c r="E6454" s="27">
        <v>42566.73453703704</v>
      </c>
      <c r="F6454" s="19">
        <f>IFERROR(__xludf.DUMMYFUNCTION("IFERROR(TO_DATE(E6454), """")"),42566.73453703704)</f>
        <v>42566.73454</v>
      </c>
      <c r="G6454" s="20">
        <f t="shared" si="1"/>
        <v>17</v>
      </c>
      <c r="H6454" s="18" t="s">
        <v>34</v>
      </c>
      <c r="I6454" s="19" t="str">
        <f>IFERROR(__xludf.DUMMYFUNCTION("IFERROR(TO_DATE(H6454), """")"),"NA")</f>
        <v>NA</v>
      </c>
      <c r="J6454" s="19" t="s">
        <v>12</v>
      </c>
      <c r="K6454" s="22">
        <f t="shared" si="2"/>
        <v>0</v>
      </c>
    </row>
    <row r="6455">
      <c r="A6455" s="18">
        <v>6219.0</v>
      </c>
      <c r="B6455" s="18" t="s">
        <v>30</v>
      </c>
      <c r="C6455" s="18" t="s">
        <v>34</v>
      </c>
      <c r="D6455" s="18" t="s">
        <v>35</v>
      </c>
      <c r="E6455" s="27">
        <v>42566.735925925925</v>
      </c>
      <c r="F6455" s="19">
        <f>IFERROR(__xludf.DUMMYFUNCTION("IFERROR(TO_DATE(E6455), """")"),42566.735925925925)</f>
        <v>42566.73593</v>
      </c>
      <c r="G6455" s="20">
        <f t="shared" si="1"/>
        <v>17</v>
      </c>
      <c r="H6455" s="18" t="s">
        <v>34</v>
      </c>
      <c r="I6455" s="19" t="str">
        <f>IFERROR(__xludf.DUMMYFUNCTION("IFERROR(TO_DATE(H6455), """")"),"NA")</f>
        <v>NA</v>
      </c>
      <c r="J6455" s="19" t="s">
        <v>12</v>
      </c>
      <c r="K6455" s="22">
        <f t="shared" si="2"/>
        <v>0</v>
      </c>
    </row>
    <row r="6456">
      <c r="A6456" s="18">
        <v>6227.0</v>
      </c>
      <c r="B6456" s="18" t="s">
        <v>32</v>
      </c>
      <c r="C6456" s="18" t="s">
        <v>34</v>
      </c>
      <c r="D6456" s="18" t="s">
        <v>35</v>
      </c>
      <c r="E6456" s="27">
        <v>42566.73758101852</v>
      </c>
      <c r="F6456" s="19">
        <f>IFERROR(__xludf.DUMMYFUNCTION("IFERROR(TO_DATE(E6456), """")"),42566.73758101852)</f>
        <v>42566.73758</v>
      </c>
      <c r="G6456" s="20">
        <f t="shared" si="1"/>
        <v>17</v>
      </c>
      <c r="H6456" s="18" t="s">
        <v>34</v>
      </c>
      <c r="I6456" s="19" t="str">
        <f>IFERROR(__xludf.DUMMYFUNCTION("IFERROR(TO_DATE(H6456), """")"),"NA")</f>
        <v>NA</v>
      </c>
      <c r="J6456" s="19" t="s">
        <v>12</v>
      </c>
      <c r="K6456" s="22">
        <f t="shared" si="2"/>
        <v>0</v>
      </c>
    </row>
    <row r="6457">
      <c r="A6457" s="18">
        <v>6238.0</v>
      </c>
      <c r="B6457" s="18" t="s">
        <v>30</v>
      </c>
      <c r="C6457" s="18" t="s">
        <v>34</v>
      </c>
      <c r="D6457" s="18" t="s">
        <v>35</v>
      </c>
      <c r="E6457" s="27">
        <v>42566.73909722222</v>
      </c>
      <c r="F6457" s="19">
        <f>IFERROR(__xludf.DUMMYFUNCTION("IFERROR(TO_DATE(E6457), """")"),42566.73909722222)</f>
        <v>42566.7391</v>
      </c>
      <c r="G6457" s="20">
        <f t="shared" si="1"/>
        <v>17</v>
      </c>
      <c r="H6457" s="18" t="s">
        <v>34</v>
      </c>
      <c r="I6457" s="19" t="str">
        <f>IFERROR(__xludf.DUMMYFUNCTION("IFERROR(TO_DATE(H6457), """")"),"NA")</f>
        <v>NA</v>
      </c>
      <c r="J6457" s="19" t="s">
        <v>12</v>
      </c>
      <c r="K6457" s="22">
        <f t="shared" si="2"/>
        <v>0</v>
      </c>
    </row>
    <row r="6458">
      <c r="A6458" s="18">
        <v>6230.0</v>
      </c>
      <c r="B6458" s="18" t="s">
        <v>30</v>
      </c>
      <c r="C6458" s="18" t="s">
        <v>34</v>
      </c>
      <c r="D6458" s="18" t="s">
        <v>35</v>
      </c>
      <c r="E6458" s="27">
        <v>42566.73924768518</v>
      </c>
      <c r="F6458" s="19">
        <f>IFERROR(__xludf.DUMMYFUNCTION("IFERROR(TO_DATE(E6458), """")"),42566.73924768518)</f>
        <v>42566.73925</v>
      </c>
      <c r="G6458" s="20">
        <f t="shared" si="1"/>
        <v>17</v>
      </c>
      <c r="H6458" s="18" t="s">
        <v>34</v>
      </c>
      <c r="I6458" s="19" t="str">
        <f>IFERROR(__xludf.DUMMYFUNCTION("IFERROR(TO_DATE(H6458), """")"),"NA")</f>
        <v>NA</v>
      </c>
      <c r="J6458" s="19" t="s">
        <v>12</v>
      </c>
      <c r="K6458" s="22">
        <f t="shared" si="2"/>
        <v>0</v>
      </c>
    </row>
    <row r="6459">
      <c r="A6459" s="18">
        <v>6244.0</v>
      </c>
      <c r="B6459" s="18" t="s">
        <v>30</v>
      </c>
      <c r="C6459" s="18" t="s">
        <v>34</v>
      </c>
      <c r="D6459" s="18" t="s">
        <v>35</v>
      </c>
      <c r="E6459" s="27">
        <v>42566.74055555555</v>
      </c>
      <c r="F6459" s="19">
        <f>IFERROR(__xludf.DUMMYFUNCTION("IFERROR(TO_DATE(E6459), """")"),42566.74055555555)</f>
        <v>42566.74056</v>
      </c>
      <c r="G6459" s="20">
        <f t="shared" si="1"/>
        <v>17</v>
      </c>
      <c r="H6459" s="18" t="s">
        <v>34</v>
      </c>
      <c r="I6459" s="19" t="str">
        <f>IFERROR(__xludf.DUMMYFUNCTION("IFERROR(TO_DATE(H6459), """")"),"NA")</f>
        <v>NA</v>
      </c>
      <c r="J6459" s="19" t="s">
        <v>12</v>
      </c>
      <c r="K6459" s="22">
        <f t="shared" si="2"/>
        <v>0</v>
      </c>
    </row>
    <row r="6460">
      <c r="A6460" s="18">
        <v>6233.0</v>
      </c>
      <c r="B6460" s="18" t="s">
        <v>30</v>
      </c>
      <c r="C6460" s="18" t="s">
        <v>34</v>
      </c>
      <c r="D6460" s="18" t="s">
        <v>35</v>
      </c>
      <c r="E6460" s="27">
        <v>42566.742060185185</v>
      </c>
      <c r="F6460" s="19">
        <f>IFERROR(__xludf.DUMMYFUNCTION("IFERROR(TO_DATE(E6460), """")"),42566.742060185185)</f>
        <v>42566.74206</v>
      </c>
      <c r="G6460" s="20">
        <f t="shared" si="1"/>
        <v>17</v>
      </c>
      <c r="H6460" s="18" t="s">
        <v>34</v>
      </c>
      <c r="I6460" s="19" t="str">
        <f>IFERROR(__xludf.DUMMYFUNCTION("IFERROR(TO_DATE(H6460), """")"),"NA")</f>
        <v>NA</v>
      </c>
      <c r="J6460" s="19" t="s">
        <v>12</v>
      </c>
      <c r="K6460" s="22">
        <f t="shared" si="2"/>
        <v>0</v>
      </c>
    </row>
    <row r="6461">
      <c r="A6461" s="18">
        <v>6240.0</v>
      </c>
      <c r="B6461" s="18" t="s">
        <v>30</v>
      </c>
      <c r="C6461" s="18" t="s">
        <v>34</v>
      </c>
      <c r="D6461" s="18" t="s">
        <v>35</v>
      </c>
      <c r="E6461" s="27">
        <v>42566.74230324074</v>
      </c>
      <c r="F6461" s="19">
        <f>IFERROR(__xludf.DUMMYFUNCTION("IFERROR(TO_DATE(E6461), """")"),42566.74230324074)</f>
        <v>42566.7423</v>
      </c>
      <c r="G6461" s="20">
        <f t="shared" si="1"/>
        <v>17</v>
      </c>
      <c r="H6461" s="18" t="s">
        <v>34</v>
      </c>
      <c r="I6461" s="19" t="str">
        <f>IFERROR(__xludf.DUMMYFUNCTION("IFERROR(TO_DATE(H6461), """")"),"NA")</f>
        <v>NA</v>
      </c>
      <c r="J6461" s="19" t="s">
        <v>12</v>
      </c>
      <c r="K6461" s="22">
        <f t="shared" si="2"/>
        <v>0</v>
      </c>
    </row>
    <row r="6462">
      <c r="A6462" s="18">
        <v>6236.0</v>
      </c>
      <c r="B6462" s="18" t="s">
        <v>30</v>
      </c>
      <c r="C6462" s="18" t="s">
        <v>34</v>
      </c>
      <c r="D6462" s="18" t="s">
        <v>35</v>
      </c>
      <c r="E6462" s="27">
        <v>42566.74377314815</v>
      </c>
      <c r="F6462" s="19">
        <f>IFERROR(__xludf.DUMMYFUNCTION("IFERROR(TO_DATE(E6462), """")"),42566.74377314815)</f>
        <v>42566.74377</v>
      </c>
      <c r="G6462" s="20">
        <f t="shared" si="1"/>
        <v>17</v>
      </c>
      <c r="H6462" s="18" t="s">
        <v>34</v>
      </c>
      <c r="I6462" s="19" t="str">
        <f>IFERROR(__xludf.DUMMYFUNCTION("IFERROR(TO_DATE(H6462), """")"),"NA")</f>
        <v>NA</v>
      </c>
      <c r="J6462" s="19" t="s">
        <v>12</v>
      </c>
      <c r="K6462" s="22">
        <f t="shared" si="2"/>
        <v>0</v>
      </c>
    </row>
    <row r="6463">
      <c r="A6463" s="18">
        <v>6234.0</v>
      </c>
      <c r="B6463" s="18" t="s">
        <v>30</v>
      </c>
      <c r="C6463" s="18" t="s">
        <v>34</v>
      </c>
      <c r="D6463" s="18" t="s">
        <v>35</v>
      </c>
      <c r="E6463" s="27">
        <v>42566.74395833333</v>
      </c>
      <c r="F6463" s="19">
        <f>IFERROR(__xludf.DUMMYFUNCTION("IFERROR(TO_DATE(E6463), """")"),42566.74395833333)</f>
        <v>42566.74396</v>
      </c>
      <c r="G6463" s="20">
        <f t="shared" si="1"/>
        <v>17</v>
      </c>
      <c r="H6463" s="18" t="s">
        <v>34</v>
      </c>
      <c r="I6463" s="19" t="str">
        <f>IFERROR(__xludf.DUMMYFUNCTION("IFERROR(TO_DATE(H6463), """")"),"NA")</f>
        <v>NA</v>
      </c>
      <c r="J6463" s="19" t="s">
        <v>12</v>
      </c>
      <c r="K6463" s="22">
        <f t="shared" si="2"/>
        <v>0</v>
      </c>
    </row>
    <row r="6464">
      <c r="A6464" s="18">
        <v>6239.0</v>
      </c>
      <c r="B6464" s="18" t="s">
        <v>30</v>
      </c>
      <c r="C6464" s="18" t="s">
        <v>34</v>
      </c>
      <c r="D6464" s="18" t="s">
        <v>35</v>
      </c>
      <c r="E6464" s="27">
        <v>42566.74474537037</v>
      </c>
      <c r="F6464" s="19">
        <f>IFERROR(__xludf.DUMMYFUNCTION("IFERROR(TO_DATE(E6464), """")"),42566.74474537037)</f>
        <v>42566.74475</v>
      </c>
      <c r="G6464" s="20">
        <f t="shared" si="1"/>
        <v>17</v>
      </c>
      <c r="H6464" s="18" t="s">
        <v>34</v>
      </c>
      <c r="I6464" s="19" t="str">
        <f>IFERROR(__xludf.DUMMYFUNCTION("IFERROR(TO_DATE(H6464), """")"),"NA")</f>
        <v>NA</v>
      </c>
      <c r="J6464" s="19" t="s">
        <v>12</v>
      </c>
      <c r="K6464" s="22">
        <f t="shared" si="2"/>
        <v>0</v>
      </c>
    </row>
    <row r="6465">
      <c r="A6465" s="18">
        <v>6241.0</v>
      </c>
      <c r="B6465" s="18" t="s">
        <v>30</v>
      </c>
      <c r="C6465" s="18" t="s">
        <v>34</v>
      </c>
      <c r="D6465" s="18" t="s">
        <v>35</v>
      </c>
      <c r="E6465" s="27">
        <v>42566.746516203704</v>
      </c>
      <c r="F6465" s="19">
        <f>IFERROR(__xludf.DUMMYFUNCTION("IFERROR(TO_DATE(E6465), """")"),42566.746516203704)</f>
        <v>42566.74652</v>
      </c>
      <c r="G6465" s="20">
        <f t="shared" si="1"/>
        <v>17</v>
      </c>
      <c r="H6465" s="18" t="s">
        <v>34</v>
      </c>
      <c r="I6465" s="19" t="str">
        <f>IFERROR(__xludf.DUMMYFUNCTION("IFERROR(TO_DATE(H6465), """")"),"NA")</f>
        <v>NA</v>
      </c>
      <c r="J6465" s="19" t="s">
        <v>12</v>
      </c>
      <c r="K6465" s="22">
        <f t="shared" si="2"/>
        <v>0</v>
      </c>
    </row>
    <row r="6466">
      <c r="A6466" s="18">
        <v>6246.0</v>
      </c>
      <c r="B6466" s="18" t="s">
        <v>30</v>
      </c>
      <c r="C6466" s="18" t="s">
        <v>34</v>
      </c>
      <c r="D6466" s="18" t="s">
        <v>35</v>
      </c>
      <c r="E6466" s="27">
        <v>42566.74760416667</v>
      </c>
      <c r="F6466" s="19">
        <f>IFERROR(__xludf.DUMMYFUNCTION("IFERROR(TO_DATE(E6466), """")"),42566.74760416667)</f>
        <v>42566.7476</v>
      </c>
      <c r="G6466" s="20">
        <f t="shared" si="1"/>
        <v>17</v>
      </c>
      <c r="H6466" s="18" t="s">
        <v>34</v>
      </c>
      <c r="I6466" s="19" t="str">
        <f>IFERROR(__xludf.DUMMYFUNCTION("IFERROR(TO_DATE(H6466), """")"),"NA")</f>
        <v>NA</v>
      </c>
      <c r="J6466" s="19" t="s">
        <v>12</v>
      </c>
      <c r="K6466" s="22">
        <f t="shared" si="2"/>
        <v>0</v>
      </c>
    </row>
    <row r="6467">
      <c r="A6467" s="18">
        <v>6255.0</v>
      </c>
      <c r="B6467" s="18" t="s">
        <v>30</v>
      </c>
      <c r="C6467" s="18" t="s">
        <v>34</v>
      </c>
      <c r="D6467" s="18" t="s">
        <v>35</v>
      </c>
      <c r="E6467" s="27">
        <v>42566.74799768518</v>
      </c>
      <c r="F6467" s="19">
        <f>IFERROR(__xludf.DUMMYFUNCTION("IFERROR(TO_DATE(E6467), """")"),42566.74799768518)</f>
        <v>42566.748</v>
      </c>
      <c r="G6467" s="20">
        <f t="shared" si="1"/>
        <v>17</v>
      </c>
      <c r="H6467" s="18" t="s">
        <v>34</v>
      </c>
      <c r="I6467" s="19" t="str">
        <f>IFERROR(__xludf.DUMMYFUNCTION("IFERROR(TO_DATE(H6467), """")"),"NA")</f>
        <v>NA</v>
      </c>
      <c r="J6467" s="19" t="s">
        <v>12</v>
      </c>
      <c r="K6467" s="22">
        <f t="shared" si="2"/>
        <v>0</v>
      </c>
    </row>
    <row r="6468">
      <c r="A6468" s="18">
        <v>6256.0</v>
      </c>
      <c r="B6468" s="18" t="s">
        <v>30</v>
      </c>
      <c r="C6468" s="18" t="s">
        <v>34</v>
      </c>
      <c r="D6468" s="18" t="s">
        <v>35</v>
      </c>
      <c r="E6468" s="27">
        <v>42566.75082175926</v>
      </c>
      <c r="F6468" s="19">
        <f>IFERROR(__xludf.DUMMYFUNCTION("IFERROR(TO_DATE(E6468), """")"),42566.75082175926)</f>
        <v>42566.75082</v>
      </c>
      <c r="G6468" s="20">
        <f t="shared" si="1"/>
        <v>18</v>
      </c>
      <c r="H6468" s="18" t="s">
        <v>34</v>
      </c>
      <c r="I6468" s="19" t="str">
        <f>IFERROR(__xludf.DUMMYFUNCTION("IFERROR(TO_DATE(H6468), """")"),"NA")</f>
        <v>NA</v>
      </c>
      <c r="J6468" s="19" t="s">
        <v>12</v>
      </c>
      <c r="K6468" s="22">
        <f t="shared" si="2"/>
        <v>0</v>
      </c>
    </row>
    <row r="6469">
      <c r="A6469" s="18">
        <v>6251.0</v>
      </c>
      <c r="B6469" s="18" t="s">
        <v>30</v>
      </c>
      <c r="C6469" s="18" t="s">
        <v>34</v>
      </c>
      <c r="D6469" s="18" t="s">
        <v>35</v>
      </c>
      <c r="E6469" s="27">
        <v>42566.75146990741</v>
      </c>
      <c r="F6469" s="19">
        <f>IFERROR(__xludf.DUMMYFUNCTION("IFERROR(TO_DATE(E6469), """")"),42566.75146990741)</f>
        <v>42566.75147</v>
      </c>
      <c r="G6469" s="20">
        <f t="shared" si="1"/>
        <v>18</v>
      </c>
      <c r="H6469" s="18" t="s">
        <v>34</v>
      </c>
      <c r="I6469" s="19" t="str">
        <f>IFERROR(__xludf.DUMMYFUNCTION("IFERROR(TO_DATE(H6469), """")"),"NA")</f>
        <v>NA</v>
      </c>
      <c r="J6469" s="19" t="s">
        <v>12</v>
      </c>
      <c r="K6469" s="22">
        <f t="shared" si="2"/>
        <v>0</v>
      </c>
    </row>
    <row r="6470">
      <c r="A6470" s="18">
        <v>6263.0</v>
      </c>
      <c r="B6470" s="18" t="s">
        <v>30</v>
      </c>
      <c r="C6470" s="18" t="s">
        <v>34</v>
      </c>
      <c r="D6470" s="18" t="s">
        <v>35</v>
      </c>
      <c r="E6470" s="27">
        <v>42566.75166666666</v>
      </c>
      <c r="F6470" s="19">
        <f>IFERROR(__xludf.DUMMYFUNCTION("IFERROR(TO_DATE(E6470), """")"),42566.75166666666)</f>
        <v>42566.75167</v>
      </c>
      <c r="G6470" s="20">
        <f t="shared" si="1"/>
        <v>18</v>
      </c>
      <c r="H6470" s="18" t="s">
        <v>34</v>
      </c>
      <c r="I6470" s="19" t="str">
        <f>IFERROR(__xludf.DUMMYFUNCTION("IFERROR(TO_DATE(H6470), """")"),"NA")</f>
        <v>NA</v>
      </c>
      <c r="J6470" s="19" t="s">
        <v>12</v>
      </c>
      <c r="K6470" s="22">
        <f t="shared" si="2"/>
        <v>0</v>
      </c>
    </row>
    <row r="6471">
      <c r="A6471" s="18">
        <v>6258.0</v>
      </c>
      <c r="B6471" s="18" t="s">
        <v>30</v>
      </c>
      <c r="C6471" s="18" t="s">
        <v>34</v>
      </c>
      <c r="D6471" s="18" t="s">
        <v>35</v>
      </c>
      <c r="E6471" s="27">
        <v>42566.75209490741</v>
      </c>
      <c r="F6471" s="19">
        <f>IFERROR(__xludf.DUMMYFUNCTION("IFERROR(TO_DATE(E6471), """")"),42566.75209490741)</f>
        <v>42566.75209</v>
      </c>
      <c r="G6471" s="20">
        <f t="shared" si="1"/>
        <v>18</v>
      </c>
      <c r="H6471" s="18" t="s">
        <v>34</v>
      </c>
      <c r="I6471" s="19" t="str">
        <f>IFERROR(__xludf.DUMMYFUNCTION("IFERROR(TO_DATE(H6471), """")"),"NA")</f>
        <v>NA</v>
      </c>
      <c r="J6471" s="19" t="s">
        <v>12</v>
      </c>
      <c r="K6471" s="22">
        <f t="shared" si="2"/>
        <v>0</v>
      </c>
    </row>
    <row r="6472">
      <c r="A6472" s="18">
        <v>6243.0</v>
      </c>
      <c r="B6472" s="18" t="s">
        <v>30</v>
      </c>
      <c r="C6472" s="18" t="s">
        <v>34</v>
      </c>
      <c r="D6472" s="18" t="s">
        <v>35</v>
      </c>
      <c r="E6472" s="27">
        <v>42566.75310185185</v>
      </c>
      <c r="F6472" s="19">
        <f>IFERROR(__xludf.DUMMYFUNCTION("IFERROR(TO_DATE(E6472), """")"),42566.75310185185)</f>
        <v>42566.7531</v>
      </c>
      <c r="G6472" s="20">
        <f t="shared" si="1"/>
        <v>18</v>
      </c>
      <c r="H6472" s="18" t="s">
        <v>34</v>
      </c>
      <c r="I6472" s="19" t="str">
        <f>IFERROR(__xludf.DUMMYFUNCTION("IFERROR(TO_DATE(H6472), """")"),"NA")</f>
        <v>NA</v>
      </c>
      <c r="J6472" s="19" t="s">
        <v>12</v>
      </c>
      <c r="K6472" s="22">
        <f t="shared" si="2"/>
        <v>0</v>
      </c>
    </row>
    <row r="6473">
      <c r="A6473" s="18">
        <v>6259.0</v>
      </c>
      <c r="B6473" s="18" t="s">
        <v>30</v>
      </c>
      <c r="C6473" s="18" t="s">
        <v>34</v>
      </c>
      <c r="D6473" s="18" t="s">
        <v>35</v>
      </c>
      <c r="E6473" s="27">
        <v>42566.75336805556</v>
      </c>
      <c r="F6473" s="19">
        <f>IFERROR(__xludf.DUMMYFUNCTION("IFERROR(TO_DATE(E6473), """")"),42566.75336805556)</f>
        <v>42566.75337</v>
      </c>
      <c r="G6473" s="20">
        <f t="shared" si="1"/>
        <v>18</v>
      </c>
      <c r="H6473" s="18" t="s">
        <v>34</v>
      </c>
      <c r="I6473" s="19" t="str">
        <f>IFERROR(__xludf.DUMMYFUNCTION("IFERROR(TO_DATE(H6473), """")"),"NA")</f>
        <v>NA</v>
      </c>
      <c r="J6473" s="19" t="s">
        <v>12</v>
      </c>
      <c r="K6473" s="22">
        <f t="shared" si="2"/>
        <v>0</v>
      </c>
    </row>
    <row r="6474">
      <c r="A6474" s="18">
        <v>6260.0</v>
      </c>
      <c r="B6474" s="18" t="s">
        <v>30</v>
      </c>
      <c r="C6474" s="18" t="s">
        <v>34</v>
      </c>
      <c r="D6474" s="18" t="s">
        <v>35</v>
      </c>
      <c r="E6474" s="27">
        <v>42566.75412037037</v>
      </c>
      <c r="F6474" s="19">
        <f>IFERROR(__xludf.DUMMYFUNCTION("IFERROR(TO_DATE(E6474), """")"),42566.75412037037)</f>
        <v>42566.75412</v>
      </c>
      <c r="G6474" s="20">
        <f t="shared" si="1"/>
        <v>18</v>
      </c>
      <c r="H6474" s="18" t="s">
        <v>34</v>
      </c>
      <c r="I6474" s="19" t="str">
        <f>IFERROR(__xludf.DUMMYFUNCTION("IFERROR(TO_DATE(H6474), """")"),"NA")</f>
        <v>NA</v>
      </c>
      <c r="J6474" s="19" t="s">
        <v>12</v>
      </c>
      <c r="K6474" s="22">
        <f t="shared" si="2"/>
        <v>0</v>
      </c>
    </row>
    <row r="6475">
      <c r="A6475" s="18">
        <v>6268.0</v>
      </c>
      <c r="B6475" s="18" t="s">
        <v>30</v>
      </c>
      <c r="C6475" s="18" t="s">
        <v>34</v>
      </c>
      <c r="D6475" s="18" t="s">
        <v>35</v>
      </c>
      <c r="E6475" s="27">
        <v>42566.75443287037</v>
      </c>
      <c r="F6475" s="19">
        <f>IFERROR(__xludf.DUMMYFUNCTION("IFERROR(TO_DATE(E6475), """")"),42566.75443287037)</f>
        <v>42566.75443</v>
      </c>
      <c r="G6475" s="20">
        <f t="shared" si="1"/>
        <v>18</v>
      </c>
      <c r="H6475" s="18" t="s">
        <v>34</v>
      </c>
      <c r="I6475" s="19" t="str">
        <f>IFERROR(__xludf.DUMMYFUNCTION("IFERROR(TO_DATE(H6475), """")"),"NA")</f>
        <v>NA</v>
      </c>
      <c r="J6475" s="19" t="s">
        <v>12</v>
      </c>
      <c r="K6475" s="22">
        <f t="shared" si="2"/>
        <v>0</v>
      </c>
    </row>
    <row r="6476">
      <c r="A6476" s="18">
        <v>6247.0</v>
      </c>
      <c r="B6476" s="18" t="s">
        <v>30</v>
      </c>
      <c r="C6476" s="18" t="s">
        <v>34</v>
      </c>
      <c r="D6476" s="18" t="s">
        <v>35</v>
      </c>
      <c r="E6476" s="27">
        <v>42566.75457175926</v>
      </c>
      <c r="F6476" s="19">
        <f>IFERROR(__xludf.DUMMYFUNCTION("IFERROR(TO_DATE(E6476), """")"),42566.75457175926)</f>
        <v>42566.75457</v>
      </c>
      <c r="G6476" s="20">
        <f t="shared" si="1"/>
        <v>18</v>
      </c>
      <c r="H6476" s="18" t="s">
        <v>34</v>
      </c>
      <c r="I6476" s="19" t="str">
        <f>IFERROR(__xludf.DUMMYFUNCTION("IFERROR(TO_DATE(H6476), """")"),"NA")</f>
        <v>NA</v>
      </c>
      <c r="J6476" s="19" t="s">
        <v>12</v>
      </c>
      <c r="K6476" s="22">
        <f t="shared" si="2"/>
        <v>0</v>
      </c>
    </row>
    <row r="6477">
      <c r="A6477" s="18">
        <v>6269.0</v>
      </c>
      <c r="B6477" s="18" t="s">
        <v>30</v>
      </c>
      <c r="C6477" s="18" t="s">
        <v>34</v>
      </c>
      <c r="D6477" s="18" t="s">
        <v>35</v>
      </c>
      <c r="E6477" s="27">
        <v>42566.75476851852</v>
      </c>
      <c r="F6477" s="19">
        <f>IFERROR(__xludf.DUMMYFUNCTION("IFERROR(TO_DATE(E6477), """")"),42566.75476851852)</f>
        <v>42566.75477</v>
      </c>
      <c r="G6477" s="20">
        <f t="shared" si="1"/>
        <v>18</v>
      </c>
      <c r="H6477" s="18" t="s">
        <v>34</v>
      </c>
      <c r="I6477" s="19" t="str">
        <f>IFERROR(__xludf.DUMMYFUNCTION("IFERROR(TO_DATE(H6477), """")"),"NA")</f>
        <v>NA</v>
      </c>
      <c r="J6477" s="19" t="s">
        <v>12</v>
      </c>
      <c r="K6477" s="22">
        <f t="shared" si="2"/>
        <v>0</v>
      </c>
    </row>
    <row r="6478">
      <c r="A6478" s="18">
        <v>6265.0</v>
      </c>
      <c r="B6478" s="18" t="s">
        <v>30</v>
      </c>
      <c r="C6478" s="18" t="s">
        <v>34</v>
      </c>
      <c r="D6478" s="18" t="s">
        <v>35</v>
      </c>
      <c r="E6478" s="27">
        <v>42566.757152777776</v>
      </c>
      <c r="F6478" s="19">
        <f>IFERROR(__xludf.DUMMYFUNCTION("IFERROR(TO_DATE(E6478), """")"),42566.757152777776)</f>
        <v>42566.75715</v>
      </c>
      <c r="G6478" s="20">
        <f t="shared" si="1"/>
        <v>18</v>
      </c>
      <c r="H6478" s="18" t="s">
        <v>34</v>
      </c>
      <c r="I6478" s="19" t="str">
        <f>IFERROR(__xludf.DUMMYFUNCTION("IFERROR(TO_DATE(H6478), """")"),"NA")</f>
        <v>NA</v>
      </c>
      <c r="J6478" s="19" t="s">
        <v>12</v>
      </c>
      <c r="K6478" s="22">
        <f t="shared" si="2"/>
        <v>0</v>
      </c>
    </row>
    <row r="6479">
      <c r="A6479" s="18">
        <v>6266.0</v>
      </c>
      <c r="B6479" s="18" t="s">
        <v>30</v>
      </c>
      <c r="C6479" s="18" t="s">
        <v>34</v>
      </c>
      <c r="D6479" s="18" t="s">
        <v>35</v>
      </c>
      <c r="E6479" s="27">
        <v>42566.75717592592</v>
      </c>
      <c r="F6479" s="19">
        <f>IFERROR(__xludf.DUMMYFUNCTION("IFERROR(TO_DATE(E6479), """")"),42566.75717592592)</f>
        <v>42566.75718</v>
      </c>
      <c r="G6479" s="20">
        <f t="shared" si="1"/>
        <v>18</v>
      </c>
      <c r="H6479" s="18" t="s">
        <v>34</v>
      </c>
      <c r="I6479" s="19" t="str">
        <f>IFERROR(__xludf.DUMMYFUNCTION("IFERROR(TO_DATE(H6479), """")"),"NA")</f>
        <v>NA</v>
      </c>
      <c r="J6479" s="19" t="s">
        <v>12</v>
      </c>
      <c r="K6479" s="22">
        <f t="shared" si="2"/>
        <v>0</v>
      </c>
    </row>
    <row r="6480">
      <c r="A6480" s="18">
        <v>6277.0</v>
      </c>
      <c r="B6480" s="18" t="s">
        <v>30</v>
      </c>
      <c r="C6480" s="18" t="s">
        <v>34</v>
      </c>
      <c r="D6480" s="18" t="s">
        <v>35</v>
      </c>
      <c r="E6480" s="27">
        <v>42566.75728009259</v>
      </c>
      <c r="F6480" s="19">
        <f>IFERROR(__xludf.DUMMYFUNCTION("IFERROR(TO_DATE(E6480), """")"),42566.75728009259)</f>
        <v>42566.75728</v>
      </c>
      <c r="G6480" s="20">
        <f t="shared" si="1"/>
        <v>18</v>
      </c>
      <c r="H6480" s="18" t="s">
        <v>34</v>
      </c>
      <c r="I6480" s="19" t="str">
        <f>IFERROR(__xludf.DUMMYFUNCTION("IFERROR(TO_DATE(H6480), """")"),"NA")</f>
        <v>NA</v>
      </c>
      <c r="J6480" s="19" t="s">
        <v>12</v>
      </c>
      <c r="K6480" s="22">
        <f t="shared" si="2"/>
        <v>0</v>
      </c>
    </row>
    <row r="6481">
      <c r="A6481" s="18">
        <v>6282.0</v>
      </c>
      <c r="B6481" s="18" t="s">
        <v>30</v>
      </c>
      <c r="C6481" s="18" t="s">
        <v>34</v>
      </c>
      <c r="D6481" s="18" t="s">
        <v>35</v>
      </c>
      <c r="E6481" s="27">
        <v>42566.75849537037</v>
      </c>
      <c r="F6481" s="19">
        <f>IFERROR(__xludf.DUMMYFUNCTION("IFERROR(TO_DATE(E6481), """")"),42566.75849537037)</f>
        <v>42566.7585</v>
      </c>
      <c r="G6481" s="20">
        <f t="shared" si="1"/>
        <v>18</v>
      </c>
      <c r="H6481" s="18" t="s">
        <v>34</v>
      </c>
      <c r="I6481" s="19" t="str">
        <f>IFERROR(__xludf.DUMMYFUNCTION("IFERROR(TO_DATE(H6481), """")"),"NA")</f>
        <v>NA</v>
      </c>
      <c r="J6481" s="19" t="s">
        <v>12</v>
      </c>
      <c r="K6481" s="22">
        <f t="shared" si="2"/>
        <v>0</v>
      </c>
    </row>
    <row r="6482">
      <c r="A6482" s="18">
        <v>6272.0</v>
      </c>
      <c r="B6482" s="18" t="s">
        <v>30</v>
      </c>
      <c r="C6482" s="18" t="s">
        <v>34</v>
      </c>
      <c r="D6482" s="18" t="s">
        <v>35</v>
      </c>
      <c r="E6482" s="27">
        <v>42566.75928240741</v>
      </c>
      <c r="F6482" s="19">
        <f>IFERROR(__xludf.DUMMYFUNCTION("IFERROR(TO_DATE(E6482), """")"),42566.75928240741)</f>
        <v>42566.75928</v>
      </c>
      <c r="G6482" s="20">
        <f t="shared" si="1"/>
        <v>18</v>
      </c>
      <c r="H6482" s="18" t="s">
        <v>34</v>
      </c>
      <c r="I6482" s="19" t="str">
        <f>IFERROR(__xludf.DUMMYFUNCTION("IFERROR(TO_DATE(H6482), """")"),"NA")</f>
        <v>NA</v>
      </c>
      <c r="J6482" s="19" t="s">
        <v>12</v>
      </c>
      <c r="K6482" s="22">
        <f t="shared" si="2"/>
        <v>0</v>
      </c>
    </row>
    <row r="6483">
      <c r="A6483" s="18">
        <v>6275.0</v>
      </c>
      <c r="B6483" s="18" t="s">
        <v>30</v>
      </c>
      <c r="C6483" s="18" t="s">
        <v>34</v>
      </c>
      <c r="D6483" s="18" t="s">
        <v>35</v>
      </c>
      <c r="E6483" s="27">
        <v>42566.759675925925</v>
      </c>
      <c r="F6483" s="19">
        <f>IFERROR(__xludf.DUMMYFUNCTION("IFERROR(TO_DATE(E6483), """")"),42566.759675925925)</f>
        <v>42566.75968</v>
      </c>
      <c r="G6483" s="20">
        <f t="shared" si="1"/>
        <v>18</v>
      </c>
      <c r="H6483" s="18" t="s">
        <v>34</v>
      </c>
      <c r="I6483" s="19" t="str">
        <f>IFERROR(__xludf.DUMMYFUNCTION("IFERROR(TO_DATE(H6483), """")"),"NA")</f>
        <v>NA</v>
      </c>
      <c r="J6483" s="19" t="s">
        <v>12</v>
      </c>
      <c r="K6483" s="22">
        <f t="shared" si="2"/>
        <v>0</v>
      </c>
    </row>
    <row r="6484">
      <c r="A6484" s="18">
        <v>6280.0</v>
      </c>
      <c r="B6484" s="18" t="s">
        <v>30</v>
      </c>
      <c r="C6484" s="18" t="s">
        <v>34</v>
      </c>
      <c r="D6484" s="18" t="s">
        <v>35</v>
      </c>
      <c r="E6484" s="27">
        <v>42566.76016203704</v>
      </c>
      <c r="F6484" s="19">
        <f>IFERROR(__xludf.DUMMYFUNCTION("IFERROR(TO_DATE(E6484), """")"),42566.76016203704)</f>
        <v>42566.76016</v>
      </c>
      <c r="G6484" s="20">
        <f t="shared" si="1"/>
        <v>18</v>
      </c>
      <c r="H6484" s="18" t="s">
        <v>34</v>
      </c>
      <c r="I6484" s="19" t="str">
        <f>IFERROR(__xludf.DUMMYFUNCTION("IFERROR(TO_DATE(H6484), """")"),"NA")</f>
        <v>NA</v>
      </c>
      <c r="J6484" s="19" t="s">
        <v>12</v>
      </c>
      <c r="K6484" s="22">
        <f t="shared" si="2"/>
        <v>0</v>
      </c>
    </row>
    <row r="6485">
      <c r="A6485" s="18">
        <v>6283.0</v>
      </c>
      <c r="B6485" s="18" t="s">
        <v>30</v>
      </c>
      <c r="C6485" s="18" t="s">
        <v>34</v>
      </c>
      <c r="D6485" s="18" t="s">
        <v>35</v>
      </c>
      <c r="E6485" s="27">
        <v>42566.76032407407</v>
      </c>
      <c r="F6485" s="19">
        <f>IFERROR(__xludf.DUMMYFUNCTION("IFERROR(TO_DATE(E6485), """")"),42566.76032407407)</f>
        <v>42566.76032</v>
      </c>
      <c r="G6485" s="20">
        <f t="shared" si="1"/>
        <v>18</v>
      </c>
      <c r="H6485" s="18" t="s">
        <v>34</v>
      </c>
      <c r="I6485" s="19" t="str">
        <f>IFERROR(__xludf.DUMMYFUNCTION("IFERROR(TO_DATE(H6485), """")"),"NA")</f>
        <v>NA</v>
      </c>
      <c r="J6485" s="19" t="s">
        <v>12</v>
      </c>
      <c r="K6485" s="22">
        <f t="shared" si="2"/>
        <v>0</v>
      </c>
    </row>
    <row r="6486">
      <c r="A6486" s="18">
        <v>6279.0</v>
      </c>
      <c r="B6486" s="18" t="s">
        <v>30</v>
      </c>
      <c r="C6486" s="18" t="s">
        <v>34</v>
      </c>
      <c r="D6486" s="18" t="s">
        <v>35</v>
      </c>
      <c r="E6486" s="27">
        <v>42566.76043981482</v>
      </c>
      <c r="F6486" s="19">
        <f>IFERROR(__xludf.DUMMYFUNCTION("IFERROR(TO_DATE(E6486), """")"),42566.76043981482)</f>
        <v>42566.76044</v>
      </c>
      <c r="G6486" s="20">
        <f t="shared" si="1"/>
        <v>18</v>
      </c>
      <c r="H6486" s="18" t="s">
        <v>34</v>
      </c>
      <c r="I6486" s="19" t="str">
        <f>IFERROR(__xludf.DUMMYFUNCTION("IFERROR(TO_DATE(H6486), """")"),"NA")</f>
        <v>NA</v>
      </c>
      <c r="J6486" s="19" t="s">
        <v>12</v>
      </c>
      <c r="K6486" s="22">
        <f t="shared" si="2"/>
        <v>0</v>
      </c>
    </row>
    <row r="6487">
      <c r="A6487" s="18">
        <v>6264.0</v>
      </c>
      <c r="B6487" s="18" t="s">
        <v>30</v>
      </c>
      <c r="C6487" s="18" t="s">
        <v>34</v>
      </c>
      <c r="D6487" s="18" t="s">
        <v>35</v>
      </c>
      <c r="E6487" s="27">
        <v>42566.760879629626</v>
      </c>
      <c r="F6487" s="19">
        <f>IFERROR(__xludf.DUMMYFUNCTION("IFERROR(TO_DATE(E6487), """")"),42566.760879629626)</f>
        <v>42566.76088</v>
      </c>
      <c r="G6487" s="20">
        <f t="shared" si="1"/>
        <v>18</v>
      </c>
      <c r="H6487" s="18" t="s">
        <v>34</v>
      </c>
      <c r="I6487" s="19" t="str">
        <f>IFERROR(__xludf.DUMMYFUNCTION("IFERROR(TO_DATE(H6487), """")"),"NA")</f>
        <v>NA</v>
      </c>
      <c r="J6487" s="19" t="s">
        <v>12</v>
      </c>
      <c r="K6487" s="22">
        <f t="shared" si="2"/>
        <v>0</v>
      </c>
    </row>
    <row r="6488">
      <c r="A6488" s="18">
        <v>6290.0</v>
      </c>
      <c r="B6488" s="18" t="s">
        <v>30</v>
      </c>
      <c r="C6488" s="18" t="s">
        <v>34</v>
      </c>
      <c r="D6488" s="18" t="s">
        <v>35</v>
      </c>
      <c r="E6488" s="27">
        <v>42566.76094907407</v>
      </c>
      <c r="F6488" s="19">
        <f>IFERROR(__xludf.DUMMYFUNCTION("IFERROR(TO_DATE(E6488), """")"),42566.76094907407)</f>
        <v>42566.76095</v>
      </c>
      <c r="G6488" s="20">
        <f t="shared" si="1"/>
        <v>18</v>
      </c>
      <c r="H6488" s="18" t="s">
        <v>34</v>
      </c>
      <c r="I6488" s="19" t="str">
        <f>IFERROR(__xludf.DUMMYFUNCTION("IFERROR(TO_DATE(H6488), """")"),"NA")</f>
        <v>NA</v>
      </c>
      <c r="J6488" s="19" t="s">
        <v>12</v>
      </c>
      <c r="K6488" s="22">
        <f t="shared" si="2"/>
        <v>0</v>
      </c>
    </row>
    <row r="6489">
      <c r="A6489" s="18">
        <v>6276.0</v>
      </c>
      <c r="B6489" s="18" t="s">
        <v>30</v>
      </c>
      <c r="C6489" s="18" t="s">
        <v>34</v>
      </c>
      <c r="D6489" s="18" t="s">
        <v>35</v>
      </c>
      <c r="E6489" s="27">
        <v>42566.76123842593</v>
      </c>
      <c r="F6489" s="19">
        <f>IFERROR(__xludf.DUMMYFUNCTION("IFERROR(TO_DATE(E6489), """")"),42566.76123842593)</f>
        <v>42566.76124</v>
      </c>
      <c r="G6489" s="20">
        <f t="shared" si="1"/>
        <v>18</v>
      </c>
      <c r="H6489" s="18" t="s">
        <v>34</v>
      </c>
      <c r="I6489" s="19" t="str">
        <f>IFERROR(__xludf.DUMMYFUNCTION("IFERROR(TO_DATE(H6489), """")"),"NA")</f>
        <v>NA</v>
      </c>
      <c r="J6489" s="19" t="s">
        <v>12</v>
      </c>
      <c r="K6489" s="22">
        <f t="shared" si="2"/>
        <v>0</v>
      </c>
    </row>
    <row r="6490">
      <c r="A6490" s="18">
        <v>6294.0</v>
      </c>
      <c r="B6490" s="18" t="s">
        <v>30</v>
      </c>
      <c r="C6490" s="18" t="s">
        <v>34</v>
      </c>
      <c r="D6490" s="18" t="s">
        <v>35</v>
      </c>
      <c r="E6490" s="27">
        <v>42566.76193287037</v>
      </c>
      <c r="F6490" s="19">
        <f>IFERROR(__xludf.DUMMYFUNCTION("IFERROR(TO_DATE(E6490), """")"),42566.76193287037)</f>
        <v>42566.76193</v>
      </c>
      <c r="G6490" s="20">
        <f t="shared" si="1"/>
        <v>18</v>
      </c>
      <c r="H6490" s="18" t="s">
        <v>34</v>
      </c>
      <c r="I6490" s="19" t="str">
        <f>IFERROR(__xludf.DUMMYFUNCTION("IFERROR(TO_DATE(H6490), """")"),"NA")</f>
        <v>NA</v>
      </c>
      <c r="J6490" s="19" t="s">
        <v>12</v>
      </c>
      <c r="K6490" s="22">
        <f t="shared" si="2"/>
        <v>0</v>
      </c>
    </row>
    <row r="6491">
      <c r="A6491" s="18">
        <v>6285.0</v>
      </c>
      <c r="B6491" s="18" t="s">
        <v>30</v>
      </c>
      <c r="C6491" s="18" t="s">
        <v>34</v>
      </c>
      <c r="D6491" s="18" t="s">
        <v>35</v>
      </c>
      <c r="E6491" s="27">
        <v>42566.762824074074</v>
      </c>
      <c r="F6491" s="19">
        <f>IFERROR(__xludf.DUMMYFUNCTION("IFERROR(TO_DATE(E6491), """")"),42566.762824074074)</f>
        <v>42566.76282</v>
      </c>
      <c r="G6491" s="20">
        <f t="shared" si="1"/>
        <v>18</v>
      </c>
      <c r="H6491" s="18" t="s">
        <v>34</v>
      </c>
      <c r="I6491" s="19" t="str">
        <f>IFERROR(__xludf.DUMMYFUNCTION("IFERROR(TO_DATE(H6491), """")"),"NA")</f>
        <v>NA</v>
      </c>
      <c r="J6491" s="19" t="s">
        <v>12</v>
      </c>
      <c r="K6491" s="22">
        <f t="shared" si="2"/>
        <v>0</v>
      </c>
    </row>
    <row r="6492">
      <c r="A6492" s="18">
        <v>6296.0</v>
      </c>
      <c r="B6492" s="18" t="s">
        <v>30</v>
      </c>
      <c r="C6492" s="18" t="s">
        <v>34</v>
      </c>
      <c r="D6492" s="18" t="s">
        <v>35</v>
      </c>
      <c r="E6492" s="27">
        <v>42566.76322916667</v>
      </c>
      <c r="F6492" s="19">
        <f>IFERROR(__xludf.DUMMYFUNCTION("IFERROR(TO_DATE(E6492), """")"),42566.76322916667)</f>
        <v>42566.76323</v>
      </c>
      <c r="G6492" s="20">
        <f t="shared" si="1"/>
        <v>18</v>
      </c>
      <c r="H6492" s="18" t="s">
        <v>34</v>
      </c>
      <c r="I6492" s="19" t="str">
        <f>IFERROR(__xludf.DUMMYFUNCTION("IFERROR(TO_DATE(H6492), """")"),"NA")</f>
        <v>NA</v>
      </c>
      <c r="J6492" s="19" t="s">
        <v>12</v>
      </c>
      <c r="K6492" s="22">
        <f t="shared" si="2"/>
        <v>0</v>
      </c>
    </row>
    <row r="6493">
      <c r="A6493" s="18">
        <v>6287.0</v>
      </c>
      <c r="B6493" s="18" t="s">
        <v>30</v>
      </c>
      <c r="C6493" s="18" t="s">
        <v>34</v>
      </c>
      <c r="D6493" s="18" t="s">
        <v>35</v>
      </c>
      <c r="E6493" s="27">
        <v>42566.76383101852</v>
      </c>
      <c r="F6493" s="19">
        <f>IFERROR(__xludf.DUMMYFUNCTION("IFERROR(TO_DATE(E6493), """")"),42566.76383101852)</f>
        <v>42566.76383</v>
      </c>
      <c r="G6493" s="20">
        <f t="shared" si="1"/>
        <v>18</v>
      </c>
      <c r="H6493" s="18" t="s">
        <v>34</v>
      </c>
      <c r="I6493" s="19" t="str">
        <f>IFERROR(__xludf.DUMMYFUNCTION("IFERROR(TO_DATE(H6493), """")"),"NA")</f>
        <v>NA</v>
      </c>
      <c r="J6493" s="19" t="s">
        <v>12</v>
      </c>
      <c r="K6493" s="22">
        <f t="shared" si="2"/>
        <v>0</v>
      </c>
    </row>
    <row r="6494">
      <c r="A6494" s="18">
        <v>6286.0</v>
      </c>
      <c r="B6494" s="18" t="s">
        <v>32</v>
      </c>
      <c r="C6494" s="18" t="s">
        <v>34</v>
      </c>
      <c r="D6494" s="18" t="s">
        <v>35</v>
      </c>
      <c r="E6494" s="27">
        <v>42566.76430555555</v>
      </c>
      <c r="F6494" s="19">
        <f>IFERROR(__xludf.DUMMYFUNCTION("IFERROR(TO_DATE(E6494), """")"),42566.76430555555)</f>
        <v>42566.76431</v>
      </c>
      <c r="G6494" s="20">
        <f t="shared" si="1"/>
        <v>18</v>
      </c>
      <c r="H6494" s="18" t="s">
        <v>34</v>
      </c>
      <c r="I6494" s="19" t="str">
        <f>IFERROR(__xludf.DUMMYFUNCTION("IFERROR(TO_DATE(H6494), """")"),"NA")</f>
        <v>NA</v>
      </c>
      <c r="J6494" s="19" t="s">
        <v>12</v>
      </c>
      <c r="K6494" s="22">
        <f t="shared" si="2"/>
        <v>0</v>
      </c>
    </row>
    <row r="6495">
      <c r="A6495" s="18">
        <v>6289.0</v>
      </c>
      <c r="B6495" s="18" t="s">
        <v>30</v>
      </c>
      <c r="C6495" s="18" t="s">
        <v>34</v>
      </c>
      <c r="D6495" s="18" t="s">
        <v>35</v>
      </c>
      <c r="E6495" s="27">
        <v>42566.76528935185</v>
      </c>
      <c r="F6495" s="19">
        <f>IFERROR(__xludf.DUMMYFUNCTION("IFERROR(TO_DATE(E6495), """")"),42566.76528935185)</f>
        <v>42566.76529</v>
      </c>
      <c r="G6495" s="20">
        <f t="shared" si="1"/>
        <v>18</v>
      </c>
      <c r="H6495" s="18" t="s">
        <v>34</v>
      </c>
      <c r="I6495" s="19" t="str">
        <f>IFERROR(__xludf.DUMMYFUNCTION("IFERROR(TO_DATE(H6495), """")"),"NA")</f>
        <v>NA</v>
      </c>
      <c r="J6495" s="19" t="s">
        <v>12</v>
      </c>
      <c r="K6495" s="22">
        <f t="shared" si="2"/>
        <v>0</v>
      </c>
    </row>
    <row r="6496">
      <c r="A6496" s="18">
        <v>6291.0</v>
      </c>
      <c r="B6496" s="18" t="s">
        <v>30</v>
      </c>
      <c r="C6496" s="18" t="s">
        <v>34</v>
      </c>
      <c r="D6496" s="18" t="s">
        <v>35</v>
      </c>
      <c r="E6496" s="27">
        <v>42566.765694444446</v>
      </c>
      <c r="F6496" s="19">
        <f>IFERROR(__xludf.DUMMYFUNCTION("IFERROR(TO_DATE(E6496), """")"),42566.765694444446)</f>
        <v>42566.76569</v>
      </c>
      <c r="G6496" s="20">
        <f t="shared" si="1"/>
        <v>18</v>
      </c>
      <c r="H6496" s="18" t="s">
        <v>34</v>
      </c>
      <c r="I6496" s="19" t="str">
        <f>IFERROR(__xludf.DUMMYFUNCTION("IFERROR(TO_DATE(H6496), """")"),"NA")</f>
        <v>NA</v>
      </c>
      <c r="J6496" s="19" t="s">
        <v>12</v>
      </c>
      <c r="K6496" s="22">
        <f t="shared" si="2"/>
        <v>0</v>
      </c>
    </row>
    <row r="6497">
      <c r="A6497" s="18">
        <v>6293.0</v>
      </c>
      <c r="B6497" s="18" t="s">
        <v>30</v>
      </c>
      <c r="C6497" s="18" t="s">
        <v>34</v>
      </c>
      <c r="D6497" s="18" t="s">
        <v>35</v>
      </c>
      <c r="E6497" s="27">
        <v>42566.76599537037</v>
      </c>
      <c r="F6497" s="19">
        <f>IFERROR(__xludf.DUMMYFUNCTION("IFERROR(TO_DATE(E6497), """")"),42566.76599537037)</f>
        <v>42566.766</v>
      </c>
      <c r="G6497" s="20">
        <f t="shared" si="1"/>
        <v>18</v>
      </c>
      <c r="H6497" s="18" t="s">
        <v>34</v>
      </c>
      <c r="I6497" s="19" t="str">
        <f>IFERROR(__xludf.DUMMYFUNCTION("IFERROR(TO_DATE(H6497), """")"),"NA")</f>
        <v>NA</v>
      </c>
      <c r="J6497" s="19" t="s">
        <v>12</v>
      </c>
      <c r="K6497" s="22">
        <f t="shared" si="2"/>
        <v>0</v>
      </c>
    </row>
    <row r="6498">
      <c r="A6498" s="18">
        <v>6298.0</v>
      </c>
      <c r="B6498" s="18" t="s">
        <v>30</v>
      </c>
      <c r="C6498" s="18" t="s">
        <v>34</v>
      </c>
      <c r="D6498" s="18" t="s">
        <v>35</v>
      </c>
      <c r="E6498" s="27">
        <v>42566.7668287037</v>
      </c>
      <c r="F6498" s="19">
        <f>IFERROR(__xludf.DUMMYFUNCTION("IFERROR(TO_DATE(E6498), """")"),42566.7668287037)</f>
        <v>42566.76683</v>
      </c>
      <c r="G6498" s="20">
        <f t="shared" si="1"/>
        <v>18</v>
      </c>
      <c r="H6498" s="18" t="s">
        <v>34</v>
      </c>
      <c r="I6498" s="19" t="str">
        <f>IFERROR(__xludf.DUMMYFUNCTION("IFERROR(TO_DATE(H6498), """")"),"NA")</f>
        <v>NA</v>
      </c>
      <c r="J6498" s="19" t="s">
        <v>12</v>
      </c>
      <c r="K6498" s="22">
        <f t="shared" si="2"/>
        <v>0</v>
      </c>
    </row>
    <row r="6499">
      <c r="A6499" s="18">
        <v>6295.0</v>
      </c>
      <c r="B6499" s="18" t="s">
        <v>30</v>
      </c>
      <c r="C6499" s="18" t="s">
        <v>34</v>
      </c>
      <c r="D6499" s="18" t="s">
        <v>35</v>
      </c>
      <c r="E6499" s="27">
        <v>42566.76730324074</v>
      </c>
      <c r="F6499" s="19">
        <f>IFERROR(__xludf.DUMMYFUNCTION("IFERROR(TO_DATE(E6499), """")"),42566.76730324074)</f>
        <v>42566.7673</v>
      </c>
      <c r="G6499" s="20">
        <f t="shared" si="1"/>
        <v>18</v>
      </c>
      <c r="H6499" s="18" t="s">
        <v>34</v>
      </c>
      <c r="I6499" s="19" t="str">
        <f>IFERROR(__xludf.DUMMYFUNCTION("IFERROR(TO_DATE(H6499), """")"),"NA")</f>
        <v>NA</v>
      </c>
      <c r="J6499" s="19" t="s">
        <v>12</v>
      </c>
      <c r="K6499" s="22">
        <f t="shared" si="2"/>
        <v>0</v>
      </c>
    </row>
    <row r="6500">
      <c r="A6500" s="18">
        <v>6292.0</v>
      </c>
      <c r="B6500" s="18" t="s">
        <v>30</v>
      </c>
      <c r="C6500" s="18" t="s">
        <v>34</v>
      </c>
      <c r="D6500" s="18" t="s">
        <v>35</v>
      </c>
      <c r="E6500" s="27">
        <v>42566.76744212963</v>
      </c>
      <c r="F6500" s="19">
        <f>IFERROR(__xludf.DUMMYFUNCTION("IFERROR(TO_DATE(E6500), """")"),42566.76744212963)</f>
        <v>42566.76744</v>
      </c>
      <c r="G6500" s="20">
        <f t="shared" si="1"/>
        <v>18</v>
      </c>
      <c r="H6500" s="18" t="s">
        <v>34</v>
      </c>
      <c r="I6500" s="19" t="str">
        <f>IFERROR(__xludf.DUMMYFUNCTION("IFERROR(TO_DATE(H6500), """")"),"NA")</f>
        <v>NA</v>
      </c>
      <c r="J6500" s="19" t="s">
        <v>12</v>
      </c>
      <c r="K6500" s="22">
        <f t="shared" si="2"/>
        <v>0</v>
      </c>
    </row>
    <row r="6501">
      <c r="A6501" s="18">
        <v>6312.0</v>
      </c>
      <c r="B6501" s="18" t="s">
        <v>30</v>
      </c>
      <c r="C6501" s="18" t="s">
        <v>34</v>
      </c>
      <c r="D6501" s="18" t="s">
        <v>35</v>
      </c>
      <c r="E6501" s="27">
        <v>42566.767696759256</v>
      </c>
      <c r="F6501" s="19">
        <f>IFERROR(__xludf.DUMMYFUNCTION("IFERROR(TO_DATE(E6501), """")"),42566.767696759256)</f>
        <v>42566.7677</v>
      </c>
      <c r="G6501" s="20">
        <f t="shared" si="1"/>
        <v>18</v>
      </c>
      <c r="H6501" s="18" t="s">
        <v>34</v>
      </c>
      <c r="I6501" s="19" t="str">
        <f>IFERROR(__xludf.DUMMYFUNCTION("IFERROR(TO_DATE(H6501), """")"),"NA")</f>
        <v>NA</v>
      </c>
      <c r="J6501" s="19" t="s">
        <v>12</v>
      </c>
      <c r="K6501" s="22">
        <f t="shared" si="2"/>
        <v>0</v>
      </c>
    </row>
    <row r="6502">
      <c r="A6502" s="18">
        <v>6305.0</v>
      </c>
      <c r="B6502" s="18" t="s">
        <v>30</v>
      </c>
      <c r="C6502" s="18" t="s">
        <v>34</v>
      </c>
      <c r="D6502" s="18" t="s">
        <v>35</v>
      </c>
      <c r="E6502" s="27">
        <v>42566.76931712963</v>
      </c>
      <c r="F6502" s="19">
        <f>IFERROR(__xludf.DUMMYFUNCTION("IFERROR(TO_DATE(E6502), """")"),42566.76931712963)</f>
        <v>42566.76932</v>
      </c>
      <c r="G6502" s="20">
        <f t="shared" si="1"/>
        <v>18</v>
      </c>
      <c r="H6502" s="18" t="s">
        <v>34</v>
      </c>
      <c r="I6502" s="19" t="str">
        <f>IFERROR(__xludf.DUMMYFUNCTION("IFERROR(TO_DATE(H6502), """")"),"NA")</f>
        <v>NA</v>
      </c>
      <c r="J6502" s="19" t="s">
        <v>12</v>
      </c>
      <c r="K6502" s="22">
        <f t="shared" si="2"/>
        <v>0</v>
      </c>
    </row>
    <row r="6503">
      <c r="A6503" s="18">
        <v>6307.0</v>
      </c>
      <c r="B6503" s="18" t="s">
        <v>32</v>
      </c>
      <c r="C6503" s="18" t="s">
        <v>34</v>
      </c>
      <c r="D6503" s="18" t="s">
        <v>35</v>
      </c>
      <c r="E6503" s="27">
        <v>42566.77008101852</v>
      </c>
      <c r="F6503" s="19">
        <f>IFERROR(__xludf.DUMMYFUNCTION("IFERROR(TO_DATE(E6503), """")"),42566.77008101852)</f>
        <v>42566.77008</v>
      </c>
      <c r="G6503" s="20">
        <f t="shared" si="1"/>
        <v>18</v>
      </c>
      <c r="H6503" s="18" t="s">
        <v>34</v>
      </c>
      <c r="I6503" s="19" t="str">
        <f>IFERROR(__xludf.DUMMYFUNCTION("IFERROR(TO_DATE(H6503), """")"),"NA")</f>
        <v>NA</v>
      </c>
      <c r="J6503" s="19" t="s">
        <v>12</v>
      </c>
      <c r="K6503" s="22">
        <f t="shared" si="2"/>
        <v>0</v>
      </c>
    </row>
    <row r="6504">
      <c r="A6504" s="18">
        <v>6306.0</v>
      </c>
      <c r="B6504" s="18" t="s">
        <v>30</v>
      </c>
      <c r="C6504" s="18" t="s">
        <v>34</v>
      </c>
      <c r="D6504" s="18" t="s">
        <v>35</v>
      </c>
      <c r="E6504" s="27">
        <v>42566.77055555556</v>
      </c>
      <c r="F6504" s="19">
        <f>IFERROR(__xludf.DUMMYFUNCTION("IFERROR(TO_DATE(E6504), """")"),42566.77055555556)</f>
        <v>42566.77056</v>
      </c>
      <c r="G6504" s="20">
        <f t="shared" si="1"/>
        <v>18</v>
      </c>
      <c r="H6504" s="18" t="s">
        <v>34</v>
      </c>
      <c r="I6504" s="19" t="str">
        <f>IFERROR(__xludf.DUMMYFUNCTION("IFERROR(TO_DATE(H6504), """")"),"NA")</f>
        <v>NA</v>
      </c>
      <c r="J6504" s="19" t="s">
        <v>12</v>
      </c>
      <c r="K6504" s="22">
        <f t="shared" si="2"/>
        <v>0</v>
      </c>
    </row>
    <row r="6505">
      <c r="A6505" s="18">
        <v>6315.0</v>
      </c>
      <c r="B6505" s="18" t="s">
        <v>30</v>
      </c>
      <c r="C6505" s="18" t="s">
        <v>34</v>
      </c>
      <c r="D6505" s="18" t="s">
        <v>35</v>
      </c>
      <c r="E6505" s="27">
        <v>42566.771215277775</v>
      </c>
      <c r="F6505" s="19">
        <f>IFERROR(__xludf.DUMMYFUNCTION("IFERROR(TO_DATE(E6505), """")"),42566.771215277775)</f>
        <v>42566.77122</v>
      </c>
      <c r="G6505" s="20">
        <f t="shared" si="1"/>
        <v>18</v>
      </c>
      <c r="H6505" s="18" t="s">
        <v>34</v>
      </c>
      <c r="I6505" s="19" t="str">
        <f>IFERROR(__xludf.DUMMYFUNCTION("IFERROR(TO_DATE(H6505), """")"),"NA")</f>
        <v>NA</v>
      </c>
      <c r="J6505" s="19" t="s">
        <v>12</v>
      </c>
      <c r="K6505" s="22">
        <f t="shared" si="2"/>
        <v>0</v>
      </c>
    </row>
    <row r="6506">
      <c r="A6506" s="18">
        <v>6313.0</v>
      </c>
      <c r="B6506" s="18" t="s">
        <v>30</v>
      </c>
      <c r="C6506" s="18" t="s">
        <v>34</v>
      </c>
      <c r="D6506" s="18" t="s">
        <v>35</v>
      </c>
      <c r="E6506" s="27">
        <v>42566.77135416667</v>
      </c>
      <c r="F6506" s="19">
        <f>IFERROR(__xludf.DUMMYFUNCTION("IFERROR(TO_DATE(E6506), """")"),42566.77135416667)</f>
        <v>42566.77135</v>
      </c>
      <c r="G6506" s="20">
        <f t="shared" si="1"/>
        <v>18</v>
      </c>
      <c r="H6506" s="18" t="s">
        <v>34</v>
      </c>
      <c r="I6506" s="19" t="str">
        <f>IFERROR(__xludf.DUMMYFUNCTION("IFERROR(TO_DATE(H6506), """")"),"NA")</f>
        <v>NA</v>
      </c>
      <c r="J6506" s="19" t="s">
        <v>12</v>
      </c>
      <c r="K6506" s="22">
        <f t="shared" si="2"/>
        <v>0</v>
      </c>
    </row>
    <row r="6507">
      <c r="A6507" s="18">
        <v>6308.0</v>
      </c>
      <c r="B6507" s="18" t="s">
        <v>30</v>
      </c>
      <c r="C6507" s="18" t="s">
        <v>34</v>
      </c>
      <c r="D6507" s="18" t="s">
        <v>35</v>
      </c>
      <c r="E6507" s="27">
        <v>42566.77138888889</v>
      </c>
      <c r="F6507" s="19">
        <f>IFERROR(__xludf.DUMMYFUNCTION("IFERROR(TO_DATE(E6507), """")"),42566.77138888889)</f>
        <v>42566.77139</v>
      </c>
      <c r="G6507" s="20">
        <f t="shared" si="1"/>
        <v>18</v>
      </c>
      <c r="H6507" s="18" t="s">
        <v>34</v>
      </c>
      <c r="I6507" s="19" t="str">
        <f>IFERROR(__xludf.DUMMYFUNCTION("IFERROR(TO_DATE(H6507), """")"),"NA")</f>
        <v>NA</v>
      </c>
      <c r="J6507" s="19" t="s">
        <v>12</v>
      </c>
      <c r="K6507" s="22">
        <f t="shared" si="2"/>
        <v>0</v>
      </c>
    </row>
    <row r="6508">
      <c r="A6508" s="18">
        <v>6319.0</v>
      </c>
      <c r="B6508" s="18" t="s">
        <v>32</v>
      </c>
      <c r="C6508" s="18" t="s">
        <v>34</v>
      </c>
      <c r="D6508" s="18" t="s">
        <v>35</v>
      </c>
      <c r="E6508" s="27">
        <v>42566.772210648145</v>
      </c>
      <c r="F6508" s="19">
        <f>IFERROR(__xludf.DUMMYFUNCTION("IFERROR(TO_DATE(E6508), """")"),42566.772210648145)</f>
        <v>42566.77221</v>
      </c>
      <c r="G6508" s="20">
        <f t="shared" si="1"/>
        <v>18</v>
      </c>
      <c r="H6508" s="18" t="s">
        <v>34</v>
      </c>
      <c r="I6508" s="19" t="str">
        <f>IFERROR(__xludf.DUMMYFUNCTION("IFERROR(TO_DATE(H6508), """")"),"NA")</f>
        <v>NA</v>
      </c>
      <c r="J6508" s="19" t="s">
        <v>12</v>
      </c>
      <c r="K6508" s="22">
        <f t="shared" si="2"/>
        <v>0</v>
      </c>
    </row>
    <row r="6509">
      <c r="A6509" s="18">
        <v>6320.0</v>
      </c>
      <c r="B6509" s="18" t="s">
        <v>30</v>
      </c>
      <c r="C6509" s="18" t="s">
        <v>34</v>
      </c>
      <c r="D6509" s="18" t="s">
        <v>35</v>
      </c>
      <c r="E6509" s="27">
        <v>42566.77276620371</v>
      </c>
      <c r="F6509" s="19">
        <f>IFERROR(__xludf.DUMMYFUNCTION("IFERROR(TO_DATE(E6509), """")"),42566.77276620371)</f>
        <v>42566.77277</v>
      </c>
      <c r="G6509" s="20">
        <f t="shared" si="1"/>
        <v>18</v>
      </c>
      <c r="H6509" s="18" t="s">
        <v>34</v>
      </c>
      <c r="I6509" s="19" t="str">
        <f>IFERROR(__xludf.DUMMYFUNCTION("IFERROR(TO_DATE(H6509), """")"),"NA")</f>
        <v>NA</v>
      </c>
      <c r="J6509" s="19" t="s">
        <v>12</v>
      </c>
      <c r="K6509" s="22">
        <f t="shared" si="2"/>
        <v>0</v>
      </c>
    </row>
    <row r="6510">
      <c r="A6510" s="18">
        <v>6325.0</v>
      </c>
      <c r="B6510" s="18" t="s">
        <v>30</v>
      </c>
      <c r="C6510" s="18" t="s">
        <v>34</v>
      </c>
      <c r="D6510" s="18" t="s">
        <v>35</v>
      </c>
      <c r="E6510" s="27">
        <v>42566.772997685184</v>
      </c>
      <c r="F6510" s="19">
        <f>IFERROR(__xludf.DUMMYFUNCTION("IFERROR(TO_DATE(E6510), """")"),42566.772997685184)</f>
        <v>42566.773</v>
      </c>
      <c r="G6510" s="20">
        <f t="shared" si="1"/>
        <v>18</v>
      </c>
      <c r="H6510" s="18" t="s">
        <v>34</v>
      </c>
      <c r="I6510" s="19" t="str">
        <f>IFERROR(__xludf.DUMMYFUNCTION("IFERROR(TO_DATE(H6510), """")"),"NA")</f>
        <v>NA</v>
      </c>
      <c r="J6510" s="19" t="s">
        <v>12</v>
      </c>
      <c r="K6510" s="22">
        <f t="shared" si="2"/>
        <v>0</v>
      </c>
    </row>
    <row r="6511">
      <c r="A6511" s="18">
        <v>6311.0</v>
      </c>
      <c r="B6511" s="18" t="s">
        <v>32</v>
      </c>
      <c r="C6511" s="18" t="s">
        <v>34</v>
      </c>
      <c r="D6511" s="18" t="s">
        <v>35</v>
      </c>
      <c r="E6511" s="27">
        <v>42566.773043981484</v>
      </c>
      <c r="F6511" s="19">
        <f>IFERROR(__xludf.DUMMYFUNCTION("IFERROR(TO_DATE(E6511), """")"),42566.773043981484)</f>
        <v>42566.77304</v>
      </c>
      <c r="G6511" s="20">
        <f t="shared" si="1"/>
        <v>18</v>
      </c>
      <c r="H6511" s="18" t="s">
        <v>34</v>
      </c>
      <c r="I6511" s="19" t="str">
        <f>IFERROR(__xludf.DUMMYFUNCTION("IFERROR(TO_DATE(H6511), """")"),"NA")</f>
        <v>NA</v>
      </c>
      <c r="J6511" s="19" t="s">
        <v>12</v>
      </c>
      <c r="K6511" s="22">
        <f t="shared" si="2"/>
        <v>0</v>
      </c>
    </row>
    <row r="6512">
      <c r="A6512" s="18">
        <v>6318.0</v>
      </c>
      <c r="B6512" s="18" t="s">
        <v>30</v>
      </c>
      <c r="C6512" s="18" t="s">
        <v>34</v>
      </c>
      <c r="D6512" s="18" t="s">
        <v>35</v>
      </c>
      <c r="E6512" s="27">
        <v>42566.77402777778</v>
      </c>
      <c r="F6512" s="19">
        <f>IFERROR(__xludf.DUMMYFUNCTION("IFERROR(TO_DATE(E6512), """")"),42566.77402777778)</f>
        <v>42566.77403</v>
      </c>
      <c r="G6512" s="20">
        <f t="shared" si="1"/>
        <v>18</v>
      </c>
      <c r="H6512" s="18" t="s">
        <v>34</v>
      </c>
      <c r="I6512" s="19" t="str">
        <f>IFERROR(__xludf.DUMMYFUNCTION("IFERROR(TO_DATE(H6512), """")"),"NA")</f>
        <v>NA</v>
      </c>
      <c r="J6512" s="19" t="s">
        <v>12</v>
      </c>
      <c r="K6512" s="22">
        <f t="shared" si="2"/>
        <v>0</v>
      </c>
    </row>
    <row r="6513">
      <c r="A6513" s="18">
        <v>6322.0</v>
      </c>
      <c r="B6513" s="18" t="s">
        <v>30</v>
      </c>
      <c r="C6513" s="18" t="s">
        <v>34</v>
      </c>
      <c r="D6513" s="18" t="s">
        <v>35</v>
      </c>
      <c r="E6513" s="27">
        <v>42566.77631944444</v>
      </c>
      <c r="F6513" s="19">
        <f>IFERROR(__xludf.DUMMYFUNCTION("IFERROR(TO_DATE(E6513), """")"),42566.77631944444)</f>
        <v>42566.77632</v>
      </c>
      <c r="G6513" s="20">
        <f t="shared" si="1"/>
        <v>18</v>
      </c>
      <c r="H6513" s="18" t="s">
        <v>34</v>
      </c>
      <c r="I6513" s="19" t="str">
        <f>IFERROR(__xludf.DUMMYFUNCTION("IFERROR(TO_DATE(H6513), """")"),"NA")</f>
        <v>NA</v>
      </c>
      <c r="J6513" s="19" t="s">
        <v>12</v>
      </c>
      <c r="K6513" s="22">
        <f t="shared" si="2"/>
        <v>0</v>
      </c>
    </row>
    <row r="6514">
      <c r="A6514" s="18">
        <v>6324.0</v>
      </c>
      <c r="B6514" s="18" t="s">
        <v>30</v>
      </c>
      <c r="C6514" s="18" t="s">
        <v>34</v>
      </c>
      <c r="D6514" s="18" t="s">
        <v>35</v>
      </c>
      <c r="E6514" s="27">
        <v>42566.77659722222</v>
      </c>
      <c r="F6514" s="19">
        <f>IFERROR(__xludf.DUMMYFUNCTION("IFERROR(TO_DATE(E6514), """")"),42566.77659722222)</f>
        <v>42566.7766</v>
      </c>
      <c r="G6514" s="20">
        <f t="shared" si="1"/>
        <v>18</v>
      </c>
      <c r="H6514" s="18" t="s">
        <v>34</v>
      </c>
      <c r="I6514" s="19" t="str">
        <f>IFERROR(__xludf.DUMMYFUNCTION("IFERROR(TO_DATE(H6514), """")"),"NA")</f>
        <v>NA</v>
      </c>
      <c r="J6514" s="19" t="s">
        <v>12</v>
      </c>
      <c r="K6514" s="22">
        <f t="shared" si="2"/>
        <v>0</v>
      </c>
    </row>
    <row r="6515">
      <c r="A6515" s="18">
        <v>6327.0</v>
      </c>
      <c r="B6515" s="18" t="s">
        <v>30</v>
      </c>
      <c r="C6515" s="18" t="s">
        <v>34</v>
      </c>
      <c r="D6515" s="18" t="s">
        <v>35</v>
      </c>
      <c r="E6515" s="27">
        <v>42566.779953703706</v>
      </c>
      <c r="F6515" s="19">
        <f>IFERROR(__xludf.DUMMYFUNCTION("IFERROR(TO_DATE(E6515), """")"),42566.779953703706)</f>
        <v>42566.77995</v>
      </c>
      <c r="G6515" s="20">
        <f t="shared" si="1"/>
        <v>18</v>
      </c>
      <c r="H6515" s="18" t="s">
        <v>34</v>
      </c>
      <c r="I6515" s="19" t="str">
        <f>IFERROR(__xludf.DUMMYFUNCTION("IFERROR(TO_DATE(H6515), """")"),"NA")</f>
        <v>NA</v>
      </c>
      <c r="J6515" s="19" t="s">
        <v>12</v>
      </c>
      <c r="K6515" s="22">
        <f t="shared" si="2"/>
        <v>0</v>
      </c>
    </row>
    <row r="6516">
      <c r="A6516" s="18">
        <v>6328.0</v>
      </c>
      <c r="B6516" s="18" t="s">
        <v>30</v>
      </c>
      <c r="C6516" s="18" t="s">
        <v>34</v>
      </c>
      <c r="D6516" s="18" t="s">
        <v>35</v>
      </c>
      <c r="E6516" s="27">
        <v>42566.78056712963</v>
      </c>
      <c r="F6516" s="19">
        <f>IFERROR(__xludf.DUMMYFUNCTION("IFERROR(TO_DATE(E6516), """")"),42566.78056712963)</f>
        <v>42566.78057</v>
      </c>
      <c r="G6516" s="20">
        <f t="shared" si="1"/>
        <v>18</v>
      </c>
      <c r="H6516" s="18" t="s">
        <v>34</v>
      </c>
      <c r="I6516" s="19" t="str">
        <f>IFERROR(__xludf.DUMMYFUNCTION("IFERROR(TO_DATE(H6516), """")"),"NA")</f>
        <v>NA</v>
      </c>
      <c r="J6516" s="19" t="s">
        <v>12</v>
      </c>
      <c r="K6516" s="22">
        <f t="shared" si="2"/>
        <v>0</v>
      </c>
    </row>
    <row r="6517">
      <c r="A6517" s="18">
        <v>6330.0</v>
      </c>
      <c r="B6517" s="18" t="s">
        <v>30</v>
      </c>
      <c r="C6517" s="18" t="s">
        <v>34</v>
      </c>
      <c r="D6517" s="18" t="s">
        <v>35</v>
      </c>
      <c r="E6517" s="27">
        <v>42566.780625</v>
      </c>
      <c r="F6517" s="19">
        <f>IFERROR(__xludf.DUMMYFUNCTION("IFERROR(TO_DATE(E6517), """")"),42566.780625)</f>
        <v>42566.78063</v>
      </c>
      <c r="G6517" s="20">
        <f t="shared" si="1"/>
        <v>18</v>
      </c>
      <c r="H6517" s="18" t="s">
        <v>34</v>
      </c>
      <c r="I6517" s="19" t="str">
        <f>IFERROR(__xludf.DUMMYFUNCTION("IFERROR(TO_DATE(H6517), """")"),"NA")</f>
        <v>NA</v>
      </c>
      <c r="J6517" s="19" t="s">
        <v>12</v>
      </c>
      <c r="K6517" s="22">
        <f t="shared" si="2"/>
        <v>0</v>
      </c>
    </row>
    <row r="6518">
      <c r="A6518" s="18">
        <v>6331.0</v>
      </c>
      <c r="B6518" s="18" t="s">
        <v>30</v>
      </c>
      <c r="C6518" s="18" t="s">
        <v>34</v>
      </c>
      <c r="D6518" s="18" t="s">
        <v>35</v>
      </c>
      <c r="E6518" s="27">
        <v>42566.7809837963</v>
      </c>
      <c r="F6518" s="19">
        <f>IFERROR(__xludf.DUMMYFUNCTION("IFERROR(TO_DATE(E6518), """")"),42566.7809837963)</f>
        <v>42566.78098</v>
      </c>
      <c r="G6518" s="20">
        <f t="shared" si="1"/>
        <v>18</v>
      </c>
      <c r="H6518" s="18" t="s">
        <v>34</v>
      </c>
      <c r="I6518" s="19" t="str">
        <f>IFERROR(__xludf.DUMMYFUNCTION("IFERROR(TO_DATE(H6518), """")"),"NA")</f>
        <v>NA</v>
      </c>
      <c r="J6518" s="19" t="s">
        <v>12</v>
      </c>
      <c r="K6518" s="22">
        <f t="shared" si="2"/>
        <v>0</v>
      </c>
    </row>
    <row r="6519">
      <c r="A6519" s="18">
        <v>6337.0</v>
      </c>
      <c r="B6519" s="18" t="s">
        <v>30</v>
      </c>
      <c r="C6519" s="18" t="s">
        <v>34</v>
      </c>
      <c r="D6519" s="18" t="s">
        <v>35</v>
      </c>
      <c r="E6519" s="27">
        <v>42566.78158564815</v>
      </c>
      <c r="F6519" s="19">
        <f>IFERROR(__xludf.DUMMYFUNCTION("IFERROR(TO_DATE(E6519), """")"),42566.78158564815)</f>
        <v>42566.78159</v>
      </c>
      <c r="G6519" s="20">
        <f t="shared" si="1"/>
        <v>18</v>
      </c>
      <c r="H6519" s="18" t="s">
        <v>34</v>
      </c>
      <c r="I6519" s="19" t="str">
        <f>IFERROR(__xludf.DUMMYFUNCTION("IFERROR(TO_DATE(H6519), """")"),"NA")</f>
        <v>NA</v>
      </c>
      <c r="J6519" s="19" t="s">
        <v>12</v>
      </c>
      <c r="K6519" s="22">
        <f t="shared" si="2"/>
        <v>0</v>
      </c>
    </row>
    <row r="6520">
      <c r="A6520" s="18">
        <v>6339.0</v>
      </c>
      <c r="B6520" s="18" t="s">
        <v>30</v>
      </c>
      <c r="C6520" s="18" t="s">
        <v>34</v>
      </c>
      <c r="D6520" s="18" t="s">
        <v>35</v>
      </c>
      <c r="E6520" s="27">
        <v>42566.781851851854</v>
      </c>
      <c r="F6520" s="19">
        <f>IFERROR(__xludf.DUMMYFUNCTION("IFERROR(TO_DATE(E6520), """")"),42566.781851851854)</f>
        <v>42566.78185</v>
      </c>
      <c r="G6520" s="20">
        <f t="shared" si="1"/>
        <v>18</v>
      </c>
      <c r="H6520" s="18" t="s">
        <v>34</v>
      </c>
      <c r="I6520" s="19" t="str">
        <f>IFERROR(__xludf.DUMMYFUNCTION("IFERROR(TO_DATE(H6520), """")"),"NA")</f>
        <v>NA</v>
      </c>
      <c r="J6520" s="19" t="s">
        <v>12</v>
      </c>
      <c r="K6520" s="22">
        <f t="shared" si="2"/>
        <v>0</v>
      </c>
    </row>
    <row r="6521">
      <c r="A6521" s="18">
        <v>6342.0</v>
      </c>
      <c r="B6521" s="18" t="s">
        <v>30</v>
      </c>
      <c r="C6521" s="18" t="s">
        <v>34</v>
      </c>
      <c r="D6521" s="18" t="s">
        <v>35</v>
      </c>
      <c r="E6521" s="27">
        <v>42566.78393518519</v>
      </c>
      <c r="F6521" s="19">
        <f>IFERROR(__xludf.DUMMYFUNCTION("IFERROR(TO_DATE(E6521), """")"),42566.78393518519)</f>
        <v>42566.78394</v>
      </c>
      <c r="G6521" s="20">
        <f t="shared" si="1"/>
        <v>18</v>
      </c>
      <c r="H6521" s="18" t="s">
        <v>34</v>
      </c>
      <c r="I6521" s="19" t="str">
        <f>IFERROR(__xludf.DUMMYFUNCTION("IFERROR(TO_DATE(H6521), """")"),"NA")</f>
        <v>NA</v>
      </c>
      <c r="J6521" s="19" t="s">
        <v>12</v>
      </c>
      <c r="K6521" s="22">
        <f t="shared" si="2"/>
        <v>0</v>
      </c>
    </row>
    <row r="6522">
      <c r="A6522" s="18">
        <v>6326.0</v>
      </c>
      <c r="B6522" s="18" t="s">
        <v>30</v>
      </c>
      <c r="C6522" s="18" t="s">
        <v>34</v>
      </c>
      <c r="D6522" s="18" t="s">
        <v>35</v>
      </c>
      <c r="E6522" s="27">
        <v>42566.7840625</v>
      </c>
      <c r="F6522" s="19">
        <f>IFERROR(__xludf.DUMMYFUNCTION("IFERROR(TO_DATE(E6522), """")"),42566.7840625)</f>
        <v>42566.78406</v>
      </c>
      <c r="G6522" s="20">
        <f t="shared" si="1"/>
        <v>18</v>
      </c>
      <c r="H6522" s="18" t="s">
        <v>34</v>
      </c>
      <c r="I6522" s="19" t="str">
        <f>IFERROR(__xludf.DUMMYFUNCTION("IFERROR(TO_DATE(H6522), """")"),"NA")</f>
        <v>NA</v>
      </c>
      <c r="J6522" s="19" t="s">
        <v>12</v>
      </c>
      <c r="K6522" s="22">
        <f t="shared" si="2"/>
        <v>0</v>
      </c>
    </row>
    <row r="6523">
      <c r="A6523" s="18">
        <v>6340.0</v>
      </c>
      <c r="B6523" s="18" t="s">
        <v>30</v>
      </c>
      <c r="C6523" s="18" t="s">
        <v>34</v>
      </c>
      <c r="D6523" s="18" t="s">
        <v>35</v>
      </c>
      <c r="E6523" s="27">
        <v>42566.78408564815</v>
      </c>
      <c r="F6523" s="19">
        <f>IFERROR(__xludf.DUMMYFUNCTION("IFERROR(TO_DATE(E6523), """")"),42566.78408564815)</f>
        <v>42566.78409</v>
      </c>
      <c r="G6523" s="20">
        <f t="shared" si="1"/>
        <v>18</v>
      </c>
      <c r="H6523" s="18" t="s">
        <v>34</v>
      </c>
      <c r="I6523" s="19" t="str">
        <f>IFERROR(__xludf.DUMMYFUNCTION("IFERROR(TO_DATE(H6523), """")"),"NA")</f>
        <v>NA</v>
      </c>
      <c r="J6523" s="19" t="s">
        <v>12</v>
      </c>
      <c r="K6523" s="22">
        <f t="shared" si="2"/>
        <v>0</v>
      </c>
    </row>
    <row r="6524">
      <c r="A6524" s="18">
        <v>6336.0</v>
      </c>
      <c r="B6524" s="18" t="s">
        <v>30</v>
      </c>
      <c r="C6524" s="18" t="s">
        <v>34</v>
      </c>
      <c r="D6524" s="18" t="s">
        <v>35</v>
      </c>
      <c r="E6524" s="27">
        <v>42566.784421296295</v>
      </c>
      <c r="F6524" s="19">
        <f>IFERROR(__xludf.DUMMYFUNCTION("IFERROR(TO_DATE(E6524), """")"),42566.784421296295)</f>
        <v>42566.78442</v>
      </c>
      <c r="G6524" s="20">
        <f t="shared" si="1"/>
        <v>18</v>
      </c>
      <c r="H6524" s="18" t="s">
        <v>34</v>
      </c>
      <c r="I6524" s="19" t="str">
        <f>IFERROR(__xludf.DUMMYFUNCTION("IFERROR(TO_DATE(H6524), """")"),"NA")</f>
        <v>NA</v>
      </c>
      <c r="J6524" s="19" t="s">
        <v>12</v>
      </c>
      <c r="K6524" s="22">
        <f t="shared" si="2"/>
        <v>0</v>
      </c>
    </row>
    <row r="6525">
      <c r="A6525" s="18">
        <v>6332.0</v>
      </c>
      <c r="B6525" s="18" t="s">
        <v>30</v>
      </c>
      <c r="C6525" s="18" t="s">
        <v>34</v>
      </c>
      <c r="D6525" s="18" t="s">
        <v>35</v>
      </c>
      <c r="E6525" s="27">
        <v>42566.78462962963</v>
      </c>
      <c r="F6525" s="19">
        <f>IFERROR(__xludf.DUMMYFUNCTION("IFERROR(TO_DATE(E6525), """")"),42566.78462962963)</f>
        <v>42566.78463</v>
      </c>
      <c r="G6525" s="20">
        <f t="shared" si="1"/>
        <v>18</v>
      </c>
      <c r="H6525" s="18" t="s">
        <v>34</v>
      </c>
      <c r="I6525" s="19" t="str">
        <f>IFERROR(__xludf.DUMMYFUNCTION("IFERROR(TO_DATE(H6525), """")"),"NA")</f>
        <v>NA</v>
      </c>
      <c r="J6525" s="19" t="s">
        <v>12</v>
      </c>
      <c r="K6525" s="22">
        <f t="shared" si="2"/>
        <v>0</v>
      </c>
    </row>
    <row r="6526">
      <c r="A6526" s="18">
        <v>6341.0</v>
      </c>
      <c r="B6526" s="18" t="s">
        <v>30</v>
      </c>
      <c r="C6526" s="18" t="s">
        <v>34</v>
      </c>
      <c r="D6526" s="18" t="s">
        <v>35</v>
      </c>
      <c r="E6526" s="27">
        <v>42566.78513888889</v>
      </c>
      <c r="F6526" s="19">
        <f>IFERROR(__xludf.DUMMYFUNCTION("IFERROR(TO_DATE(E6526), """")"),42566.78513888889)</f>
        <v>42566.78514</v>
      </c>
      <c r="G6526" s="20">
        <f t="shared" si="1"/>
        <v>18</v>
      </c>
      <c r="H6526" s="18" t="s">
        <v>34</v>
      </c>
      <c r="I6526" s="19" t="str">
        <f>IFERROR(__xludf.DUMMYFUNCTION("IFERROR(TO_DATE(H6526), """")"),"NA")</f>
        <v>NA</v>
      </c>
      <c r="J6526" s="19" t="s">
        <v>12</v>
      </c>
      <c r="K6526" s="22">
        <f t="shared" si="2"/>
        <v>0</v>
      </c>
    </row>
    <row r="6527">
      <c r="A6527" s="18">
        <v>6347.0</v>
      </c>
      <c r="B6527" s="18" t="s">
        <v>30</v>
      </c>
      <c r="C6527" s="18" t="s">
        <v>34</v>
      </c>
      <c r="D6527" s="18" t="s">
        <v>35</v>
      </c>
      <c r="E6527" s="27">
        <v>42566.786527777775</v>
      </c>
      <c r="F6527" s="19">
        <f>IFERROR(__xludf.DUMMYFUNCTION("IFERROR(TO_DATE(E6527), """")"),42566.786527777775)</f>
        <v>42566.78653</v>
      </c>
      <c r="G6527" s="20">
        <f t="shared" si="1"/>
        <v>18</v>
      </c>
      <c r="H6527" s="18" t="s">
        <v>34</v>
      </c>
      <c r="I6527" s="19" t="str">
        <f>IFERROR(__xludf.DUMMYFUNCTION("IFERROR(TO_DATE(H6527), """")"),"NA")</f>
        <v>NA</v>
      </c>
      <c r="J6527" s="19" t="s">
        <v>12</v>
      </c>
      <c r="K6527" s="22">
        <f t="shared" si="2"/>
        <v>0</v>
      </c>
    </row>
    <row r="6528">
      <c r="A6528" s="18">
        <v>6344.0</v>
      </c>
      <c r="B6528" s="18" t="s">
        <v>30</v>
      </c>
      <c r="C6528" s="18" t="s">
        <v>34</v>
      </c>
      <c r="D6528" s="18" t="s">
        <v>35</v>
      </c>
      <c r="E6528" s="27">
        <v>42566.78724537037</v>
      </c>
      <c r="F6528" s="19">
        <f>IFERROR(__xludf.DUMMYFUNCTION("IFERROR(TO_DATE(E6528), """")"),42566.78724537037)</f>
        <v>42566.78725</v>
      </c>
      <c r="G6528" s="20">
        <f t="shared" si="1"/>
        <v>18</v>
      </c>
      <c r="H6528" s="18" t="s">
        <v>34</v>
      </c>
      <c r="I6528" s="19" t="str">
        <f>IFERROR(__xludf.DUMMYFUNCTION("IFERROR(TO_DATE(H6528), """")"),"NA")</f>
        <v>NA</v>
      </c>
      <c r="J6528" s="19" t="s">
        <v>12</v>
      </c>
      <c r="K6528" s="22">
        <f t="shared" si="2"/>
        <v>0</v>
      </c>
    </row>
    <row r="6529">
      <c r="A6529" s="18">
        <v>6349.0</v>
      </c>
      <c r="B6529" s="18" t="s">
        <v>32</v>
      </c>
      <c r="C6529" s="18" t="s">
        <v>34</v>
      </c>
      <c r="D6529" s="18" t="s">
        <v>35</v>
      </c>
      <c r="E6529" s="27">
        <v>42566.788194444445</v>
      </c>
      <c r="F6529" s="19">
        <f>IFERROR(__xludf.DUMMYFUNCTION("IFERROR(TO_DATE(E6529), """")"),42566.788194444445)</f>
        <v>42566.78819</v>
      </c>
      <c r="G6529" s="20">
        <f t="shared" si="1"/>
        <v>18</v>
      </c>
      <c r="H6529" s="18" t="s">
        <v>34</v>
      </c>
      <c r="I6529" s="19" t="str">
        <f>IFERROR(__xludf.DUMMYFUNCTION("IFERROR(TO_DATE(H6529), """")"),"NA")</f>
        <v>NA</v>
      </c>
      <c r="J6529" s="19" t="s">
        <v>12</v>
      </c>
      <c r="K6529" s="22">
        <f t="shared" si="2"/>
        <v>0</v>
      </c>
    </row>
    <row r="6530">
      <c r="A6530" s="18">
        <v>6351.0</v>
      </c>
      <c r="B6530" s="18" t="s">
        <v>30</v>
      </c>
      <c r="C6530" s="18" t="s">
        <v>34</v>
      </c>
      <c r="D6530" s="18" t="s">
        <v>35</v>
      </c>
      <c r="E6530" s="27">
        <v>42566.78909722222</v>
      </c>
      <c r="F6530" s="19">
        <f>IFERROR(__xludf.DUMMYFUNCTION("IFERROR(TO_DATE(E6530), """")"),42566.78909722222)</f>
        <v>42566.7891</v>
      </c>
      <c r="G6530" s="20">
        <f t="shared" si="1"/>
        <v>18</v>
      </c>
      <c r="H6530" s="18" t="s">
        <v>34</v>
      </c>
      <c r="I6530" s="19" t="str">
        <f>IFERROR(__xludf.DUMMYFUNCTION("IFERROR(TO_DATE(H6530), """")"),"NA")</f>
        <v>NA</v>
      </c>
      <c r="J6530" s="19" t="s">
        <v>12</v>
      </c>
      <c r="K6530" s="22">
        <f t="shared" si="2"/>
        <v>0</v>
      </c>
    </row>
    <row r="6531">
      <c r="A6531" s="18">
        <v>6356.0</v>
      </c>
      <c r="B6531" s="18" t="s">
        <v>30</v>
      </c>
      <c r="C6531" s="18" t="s">
        <v>34</v>
      </c>
      <c r="D6531" s="18" t="s">
        <v>35</v>
      </c>
      <c r="E6531" s="27">
        <v>42566.78942129629</v>
      </c>
      <c r="F6531" s="19">
        <f>IFERROR(__xludf.DUMMYFUNCTION("IFERROR(TO_DATE(E6531), """")"),42566.78942129629)</f>
        <v>42566.78942</v>
      </c>
      <c r="G6531" s="20">
        <f t="shared" si="1"/>
        <v>18</v>
      </c>
      <c r="H6531" s="18" t="s">
        <v>34</v>
      </c>
      <c r="I6531" s="19" t="str">
        <f>IFERROR(__xludf.DUMMYFUNCTION("IFERROR(TO_DATE(H6531), """")"),"NA")</f>
        <v>NA</v>
      </c>
      <c r="J6531" s="19" t="s">
        <v>12</v>
      </c>
      <c r="K6531" s="22">
        <f t="shared" si="2"/>
        <v>0</v>
      </c>
    </row>
    <row r="6532">
      <c r="A6532" s="18">
        <v>6355.0</v>
      </c>
      <c r="B6532" s="18" t="s">
        <v>30</v>
      </c>
      <c r="C6532" s="18" t="s">
        <v>34</v>
      </c>
      <c r="D6532" s="18" t="s">
        <v>35</v>
      </c>
      <c r="E6532" s="27">
        <v>42566.79125</v>
      </c>
      <c r="F6532" s="19">
        <f>IFERROR(__xludf.DUMMYFUNCTION("IFERROR(TO_DATE(E6532), """")"),42566.79125)</f>
        <v>42566.79125</v>
      </c>
      <c r="G6532" s="20">
        <f t="shared" si="1"/>
        <v>18</v>
      </c>
      <c r="H6532" s="18" t="s">
        <v>34</v>
      </c>
      <c r="I6532" s="19" t="str">
        <f>IFERROR(__xludf.DUMMYFUNCTION("IFERROR(TO_DATE(H6532), """")"),"NA")</f>
        <v>NA</v>
      </c>
      <c r="J6532" s="19" t="s">
        <v>12</v>
      </c>
      <c r="K6532" s="22">
        <f t="shared" si="2"/>
        <v>0</v>
      </c>
    </row>
    <row r="6533">
      <c r="A6533" s="18">
        <v>6358.0</v>
      </c>
      <c r="B6533" s="18" t="s">
        <v>30</v>
      </c>
      <c r="C6533" s="18" t="s">
        <v>34</v>
      </c>
      <c r="D6533" s="18" t="s">
        <v>35</v>
      </c>
      <c r="E6533" s="27">
        <v>42566.79152777778</v>
      </c>
      <c r="F6533" s="19">
        <f>IFERROR(__xludf.DUMMYFUNCTION("IFERROR(TO_DATE(E6533), """")"),42566.79152777778)</f>
        <v>42566.79153</v>
      </c>
      <c r="G6533" s="20">
        <f t="shared" si="1"/>
        <v>18</v>
      </c>
      <c r="H6533" s="18" t="s">
        <v>34</v>
      </c>
      <c r="I6533" s="19" t="str">
        <f>IFERROR(__xludf.DUMMYFUNCTION("IFERROR(TO_DATE(H6533), """")"),"NA")</f>
        <v>NA</v>
      </c>
      <c r="J6533" s="19" t="s">
        <v>12</v>
      </c>
      <c r="K6533" s="22">
        <f t="shared" si="2"/>
        <v>0</v>
      </c>
    </row>
    <row r="6534">
      <c r="A6534" s="18">
        <v>6359.0</v>
      </c>
      <c r="B6534" s="18" t="s">
        <v>30</v>
      </c>
      <c r="C6534" s="18" t="s">
        <v>34</v>
      </c>
      <c r="D6534" s="18" t="s">
        <v>35</v>
      </c>
      <c r="E6534" s="27">
        <v>42566.79162037037</v>
      </c>
      <c r="F6534" s="19">
        <f>IFERROR(__xludf.DUMMYFUNCTION("IFERROR(TO_DATE(E6534), """")"),42566.79162037037)</f>
        <v>42566.79162</v>
      </c>
      <c r="G6534" s="20">
        <f t="shared" si="1"/>
        <v>18</v>
      </c>
      <c r="H6534" s="18" t="s">
        <v>34</v>
      </c>
      <c r="I6534" s="19" t="str">
        <f>IFERROR(__xludf.DUMMYFUNCTION("IFERROR(TO_DATE(H6534), """")"),"NA")</f>
        <v>NA</v>
      </c>
      <c r="J6534" s="19" t="s">
        <v>12</v>
      </c>
      <c r="K6534" s="22">
        <f t="shared" si="2"/>
        <v>0</v>
      </c>
    </row>
    <row r="6535">
      <c r="A6535" s="18">
        <v>6357.0</v>
      </c>
      <c r="B6535" s="18" t="s">
        <v>30</v>
      </c>
      <c r="C6535" s="18" t="s">
        <v>34</v>
      </c>
      <c r="D6535" s="18" t="s">
        <v>35</v>
      </c>
      <c r="E6535" s="27">
        <v>42566.79305555556</v>
      </c>
      <c r="F6535" s="19">
        <f>IFERROR(__xludf.DUMMYFUNCTION("IFERROR(TO_DATE(E6535), """")"),42566.79305555556)</f>
        <v>42566.79306</v>
      </c>
      <c r="G6535" s="20">
        <f t="shared" si="1"/>
        <v>19</v>
      </c>
      <c r="H6535" s="18" t="s">
        <v>34</v>
      </c>
      <c r="I6535" s="19" t="str">
        <f>IFERROR(__xludf.DUMMYFUNCTION("IFERROR(TO_DATE(H6535), """")"),"NA")</f>
        <v>NA</v>
      </c>
      <c r="J6535" s="19" t="s">
        <v>12</v>
      </c>
      <c r="K6535" s="22">
        <f t="shared" si="2"/>
        <v>0</v>
      </c>
    </row>
    <row r="6536">
      <c r="A6536" s="18">
        <v>6352.0</v>
      </c>
      <c r="B6536" s="18" t="s">
        <v>30</v>
      </c>
      <c r="C6536" s="18" t="s">
        <v>34</v>
      </c>
      <c r="D6536" s="18" t="s">
        <v>35</v>
      </c>
      <c r="E6536" s="27">
        <v>42566.793171296296</v>
      </c>
      <c r="F6536" s="19">
        <f>IFERROR(__xludf.DUMMYFUNCTION("IFERROR(TO_DATE(E6536), """")"),42566.793171296296)</f>
        <v>42566.79317</v>
      </c>
      <c r="G6536" s="20">
        <f t="shared" si="1"/>
        <v>19</v>
      </c>
      <c r="H6536" s="18" t="s">
        <v>34</v>
      </c>
      <c r="I6536" s="19" t="str">
        <f>IFERROR(__xludf.DUMMYFUNCTION("IFERROR(TO_DATE(H6536), """")"),"NA")</f>
        <v>NA</v>
      </c>
      <c r="J6536" s="19" t="s">
        <v>12</v>
      </c>
      <c r="K6536" s="22">
        <f t="shared" si="2"/>
        <v>0</v>
      </c>
    </row>
    <row r="6537">
      <c r="A6537" s="18">
        <v>6360.0</v>
      </c>
      <c r="B6537" s="18" t="s">
        <v>30</v>
      </c>
      <c r="C6537" s="18" t="s">
        <v>34</v>
      </c>
      <c r="D6537" s="18" t="s">
        <v>35</v>
      </c>
      <c r="E6537" s="27">
        <v>42566.79471064815</v>
      </c>
      <c r="F6537" s="19">
        <f>IFERROR(__xludf.DUMMYFUNCTION("IFERROR(TO_DATE(E6537), """")"),42566.79471064815)</f>
        <v>42566.79471</v>
      </c>
      <c r="G6537" s="20">
        <f t="shared" si="1"/>
        <v>19</v>
      </c>
      <c r="H6537" s="18" t="s">
        <v>34</v>
      </c>
      <c r="I6537" s="19" t="str">
        <f>IFERROR(__xludf.DUMMYFUNCTION("IFERROR(TO_DATE(H6537), """")"),"NA")</f>
        <v>NA</v>
      </c>
      <c r="J6537" s="19" t="s">
        <v>12</v>
      </c>
      <c r="K6537" s="22">
        <f t="shared" si="2"/>
        <v>0</v>
      </c>
    </row>
    <row r="6538">
      <c r="A6538" s="18">
        <v>6373.0</v>
      </c>
      <c r="B6538" s="18" t="s">
        <v>30</v>
      </c>
      <c r="C6538" s="18" t="s">
        <v>34</v>
      </c>
      <c r="D6538" s="18" t="s">
        <v>35</v>
      </c>
      <c r="E6538" s="27">
        <v>42566.79553240741</v>
      </c>
      <c r="F6538" s="19">
        <f>IFERROR(__xludf.DUMMYFUNCTION("IFERROR(TO_DATE(E6538), """")"),42566.79553240741)</f>
        <v>42566.79553</v>
      </c>
      <c r="G6538" s="20">
        <f t="shared" si="1"/>
        <v>19</v>
      </c>
      <c r="H6538" s="18" t="s">
        <v>34</v>
      </c>
      <c r="I6538" s="19" t="str">
        <f>IFERROR(__xludf.DUMMYFUNCTION("IFERROR(TO_DATE(H6538), """")"),"NA")</f>
        <v>NA</v>
      </c>
      <c r="J6538" s="19" t="s">
        <v>12</v>
      </c>
      <c r="K6538" s="22">
        <f t="shared" si="2"/>
        <v>0</v>
      </c>
    </row>
    <row r="6539">
      <c r="A6539" s="18">
        <v>6361.0</v>
      </c>
      <c r="B6539" s="18" t="s">
        <v>30</v>
      </c>
      <c r="C6539" s="18" t="s">
        <v>34</v>
      </c>
      <c r="D6539" s="18" t="s">
        <v>35</v>
      </c>
      <c r="E6539" s="27">
        <v>42566.796435185184</v>
      </c>
      <c r="F6539" s="19">
        <f>IFERROR(__xludf.DUMMYFUNCTION("IFERROR(TO_DATE(E6539), """")"),42566.796435185184)</f>
        <v>42566.79644</v>
      </c>
      <c r="G6539" s="20">
        <f t="shared" si="1"/>
        <v>19</v>
      </c>
      <c r="H6539" s="18" t="s">
        <v>34</v>
      </c>
      <c r="I6539" s="19" t="str">
        <f>IFERROR(__xludf.DUMMYFUNCTION("IFERROR(TO_DATE(H6539), """")"),"NA")</f>
        <v>NA</v>
      </c>
      <c r="J6539" s="19" t="s">
        <v>12</v>
      </c>
      <c r="K6539" s="22">
        <f t="shared" si="2"/>
        <v>0</v>
      </c>
    </row>
    <row r="6540">
      <c r="A6540" s="18">
        <v>6368.0</v>
      </c>
      <c r="B6540" s="18" t="s">
        <v>30</v>
      </c>
      <c r="C6540" s="18" t="s">
        <v>34</v>
      </c>
      <c r="D6540" s="18" t="s">
        <v>35</v>
      </c>
      <c r="E6540" s="27">
        <v>42566.79693287037</v>
      </c>
      <c r="F6540" s="19">
        <f>IFERROR(__xludf.DUMMYFUNCTION("IFERROR(TO_DATE(E6540), """")"),42566.79693287037)</f>
        <v>42566.79693</v>
      </c>
      <c r="G6540" s="20">
        <f t="shared" si="1"/>
        <v>19</v>
      </c>
      <c r="H6540" s="18" t="s">
        <v>34</v>
      </c>
      <c r="I6540" s="19" t="str">
        <f>IFERROR(__xludf.DUMMYFUNCTION("IFERROR(TO_DATE(H6540), """")"),"NA")</f>
        <v>NA</v>
      </c>
      <c r="J6540" s="19" t="s">
        <v>12</v>
      </c>
      <c r="K6540" s="22">
        <f t="shared" si="2"/>
        <v>0</v>
      </c>
    </row>
    <row r="6541">
      <c r="A6541" s="18">
        <v>6365.0</v>
      </c>
      <c r="B6541" s="18" t="s">
        <v>30</v>
      </c>
      <c r="C6541" s="18" t="s">
        <v>34</v>
      </c>
      <c r="D6541" s="18" t="s">
        <v>35</v>
      </c>
      <c r="E6541" s="27">
        <v>42566.79739583333</v>
      </c>
      <c r="F6541" s="19">
        <f>IFERROR(__xludf.DUMMYFUNCTION("IFERROR(TO_DATE(E6541), """")"),42566.79739583333)</f>
        <v>42566.7974</v>
      </c>
      <c r="G6541" s="20">
        <f t="shared" si="1"/>
        <v>19</v>
      </c>
      <c r="H6541" s="18" t="s">
        <v>34</v>
      </c>
      <c r="I6541" s="19" t="str">
        <f>IFERROR(__xludf.DUMMYFUNCTION("IFERROR(TO_DATE(H6541), """")"),"NA")</f>
        <v>NA</v>
      </c>
      <c r="J6541" s="19" t="s">
        <v>12</v>
      </c>
      <c r="K6541" s="22">
        <f t="shared" si="2"/>
        <v>0</v>
      </c>
    </row>
    <row r="6542">
      <c r="A6542" s="18">
        <v>6371.0</v>
      </c>
      <c r="B6542" s="18" t="s">
        <v>30</v>
      </c>
      <c r="C6542" s="18" t="s">
        <v>34</v>
      </c>
      <c r="D6542" s="18" t="s">
        <v>35</v>
      </c>
      <c r="E6542" s="27">
        <v>42566.79789351852</v>
      </c>
      <c r="F6542" s="19">
        <f>IFERROR(__xludf.DUMMYFUNCTION("IFERROR(TO_DATE(E6542), """")"),42566.79789351852)</f>
        <v>42566.79789</v>
      </c>
      <c r="G6542" s="20">
        <f t="shared" si="1"/>
        <v>19</v>
      </c>
      <c r="H6542" s="18" t="s">
        <v>34</v>
      </c>
      <c r="I6542" s="19" t="str">
        <f>IFERROR(__xludf.DUMMYFUNCTION("IFERROR(TO_DATE(H6542), """")"),"NA")</f>
        <v>NA</v>
      </c>
      <c r="J6542" s="19" t="s">
        <v>12</v>
      </c>
      <c r="K6542" s="22">
        <f t="shared" si="2"/>
        <v>0</v>
      </c>
    </row>
    <row r="6543">
      <c r="A6543" s="18">
        <v>6366.0</v>
      </c>
      <c r="B6543" s="18" t="s">
        <v>30</v>
      </c>
      <c r="C6543" s="18" t="s">
        <v>34</v>
      </c>
      <c r="D6543" s="18" t="s">
        <v>35</v>
      </c>
      <c r="E6543" s="27">
        <v>42566.797939814816</v>
      </c>
      <c r="F6543" s="19">
        <f>IFERROR(__xludf.DUMMYFUNCTION("IFERROR(TO_DATE(E6543), """")"),42566.797939814816)</f>
        <v>42566.79794</v>
      </c>
      <c r="G6543" s="20">
        <f t="shared" si="1"/>
        <v>19</v>
      </c>
      <c r="H6543" s="18" t="s">
        <v>34</v>
      </c>
      <c r="I6543" s="19" t="str">
        <f>IFERROR(__xludf.DUMMYFUNCTION("IFERROR(TO_DATE(H6543), """")"),"NA")</f>
        <v>NA</v>
      </c>
      <c r="J6543" s="19" t="s">
        <v>12</v>
      </c>
      <c r="K6543" s="22">
        <f t="shared" si="2"/>
        <v>0</v>
      </c>
    </row>
    <row r="6544">
      <c r="A6544" s="18">
        <v>6370.0</v>
      </c>
      <c r="B6544" s="18" t="s">
        <v>30</v>
      </c>
      <c r="C6544" s="18" t="s">
        <v>34</v>
      </c>
      <c r="D6544" s="18" t="s">
        <v>35</v>
      </c>
      <c r="E6544" s="27">
        <v>42566.79800925926</v>
      </c>
      <c r="F6544" s="19">
        <f>IFERROR(__xludf.DUMMYFUNCTION("IFERROR(TO_DATE(E6544), """")"),42566.79800925926)</f>
        <v>42566.79801</v>
      </c>
      <c r="G6544" s="20">
        <f t="shared" si="1"/>
        <v>19</v>
      </c>
      <c r="H6544" s="18" t="s">
        <v>34</v>
      </c>
      <c r="I6544" s="19" t="str">
        <f>IFERROR(__xludf.DUMMYFUNCTION("IFERROR(TO_DATE(H6544), """")"),"NA")</f>
        <v>NA</v>
      </c>
      <c r="J6544" s="19" t="s">
        <v>12</v>
      </c>
      <c r="K6544" s="22">
        <f t="shared" si="2"/>
        <v>0</v>
      </c>
    </row>
    <row r="6545">
      <c r="A6545" s="18">
        <v>6378.0</v>
      </c>
      <c r="B6545" s="18" t="s">
        <v>30</v>
      </c>
      <c r="C6545" s="18" t="s">
        <v>34</v>
      </c>
      <c r="D6545" s="18" t="s">
        <v>35</v>
      </c>
      <c r="E6545" s="27">
        <v>42566.79950231482</v>
      </c>
      <c r="F6545" s="19">
        <f>IFERROR(__xludf.DUMMYFUNCTION("IFERROR(TO_DATE(E6545), """")"),42566.79950231482)</f>
        <v>42566.7995</v>
      </c>
      <c r="G6545" s="20">
        <f t="shared" si="1"/>
        <v>19</v>
      </c>
      <c r="H6545" s="18" t="s">
        <v>34</v>
      </c>
      <c r="I6545" s="19" t="str">
        <f>IFERROR(__xludf.DUMMYFUNCTION("IFERROR(TO_DATE(H6545), """")"),"NA")</f>
        <v>NA</v>
      </c>
      <c r="J6545" s="19" t="s">
        <v>12</v>
      </c>
      <c r="K6545" s="22">
        <f t="shared" si="2"/>
        <v>0</v>
      </c>
    </row>
    <row r="6546">
      <c r="A6546" s="18">
        <v>6369.0</v>
      </c>
      <c r="B6546" s="18" t="s">
        <v>30</v>
      </c>
      <c r="C6546" s="18" t="s">
        <v>34</v>
      </c>
      <c r="D6546" s="18" t="s">
        <v>35</v>
      </c>
      <c r="E6546" s="27">
        <v>42566.79981481482</v>
      </c>
      <c r="F6546" s="19">
        <f>IFERROR(__xludf.DUMMYFUNCTION("IFERROR(TO_DATE(E6546), """")"),42566.79981481482)</f>
        <v>42566.79981</v>
      </c>
      <c r="G6546" s="20">
        <f t="shared" si="1"/>
        <v>19</v>
      </c>
      <c r="H6546" s="18" t="s">
        <v>34</v>
      </c>
      <c r="I6546" s="19" t="str">
        <f>IFERROR(__xludf.DUMMYFUNCTION("IFERROR(TO_DATE(H6546), """")"),"NA")</f>
        <v>NA</v>
      </c>
      <c r="J6546" s="19" t="s">
        <v>12</v>
      </c>
      <c r="K6546" s="22">
        <f t="shared" si="2"/>
        <v>0</v>
      </c>
    </row>
    <row r="6547">
      <c r="A6547" s="18">
        <v>6381.0</v>
      </c>
      <c r="B6547" s="18" t="s">
        <v>30</v>
      </c>
      <c r="C6547" s="18" t="s">
        <v>34</v>
      </c>
      <c r="D6547" s="18" t="s">
        <v>35</v>
      </c>
      <c r="E6547" s="27">
        <v>42566.80440972222</v>
      </c>
      <c r="F6547" s="19">
        <f>IFERROR(__xludf.DUMMYFUNCTION("IFERROR(TO_DATE(E6547), """")"),42566.80440972222)</f>
        <v>42566.80441</v>
      </c>
      <c r="G6547" s="20">
        <f t="shared" si="1"/>
        <v>19</v>
      </c>
      <c r="H6547" s="18" t="s">
        <v>34</v>
      </c>
      <c r="I6547" s="19" t="str">
        <f>IFERROR(__xludf.DUMMYFUNCTION("IFERROR(TO_DATE(H6547), """")"),"NA")</f>
        <v>NA</v>
      </c>
      <c r="J6547" s="19" t="s">
        <v>12</v>
      </c>
      <c r="K6547" s="22">
        <f t="shared" si="2"/>
        <v>0</v>
      </c>
    </row>
    <row r="6548">
      <c r="A6548" s="18">
        <v>6388.0</v>
      </c>
      <c r="B6548" s="18" t="s">
        <v>32</v>
      </c>
      <c r="C6548" s="18" t="s">
        <v>34</v>
      </c>
      <c r="D6548" s="18" t="s">
        <v>35</v>
      </c>
      <c r="E6548" s="27">
        <v>42566.80449074074</v>
      </c>
      <c r="F6548" s="19">
        <f>IFERROR(__xludf.DUMMYFUNCTION("IFERROR(TO_DATE(E6548), """")"),42566.80449074074)</f>
        <v>42566.80449</v>
      </c>
      <c r="G6548" s="20">
        <f t="shared" si="1"/>
        <v>19</v>
      </c>
      <c r="H6548" s="18" t="s">
        <v>34</v>
      </c>
      <c r="I6548" s="19" t="str">
        <f>IFERROR(__xludf.DUMMYFUNCTION("IFERROR(TO_DATE(H6548), """")"),"NA")</f>
        <v>NA</v>
      </c>
      <c r="J6548" s="19" t="s">
        <v>12</v>
      </c>
      <c r="K6548" s="22">
        <f t="shared" si="2"/>
        <v>0</v>
      </c>
    </row>
    <row r="6549">
      <c r="A6549" s="18">
        <v>6391.0</v>
      </c>
      <c r="B6549" s="18" t="s">
        <v>30</v>
      </c>
      <c r="C6549" s="18" t="s">
        <v>34</v>
      </c>
      <c r="D6549" s="18" t="s">
        <v>35</v>
      </c>
      <c r="E6549" s="27">
        <v>42566.804872685185</v>
      </c>
      <c r="F6549" s="19">
        <f>IFERROR(__xludf.DUMMYFUNCTION("IFERROR(TO_DATE(E6549), """")"),42566.804872685185)</f>
        <v>42566.80487</v>
      </c>
      <c r="G6549" s="20">
        <f t="shared" si="1"/>
        <v>19</v>
      </c>
      <c r="H6549" s="18" t="s">
        <v>34</v>
      </c>
      <c r="I6549" s="19" t="str">
        <f>IFERROR(__xludf.DUMMYFUNCTION("IFERROR(TO_DATE(H6549), """")"),"NA")</f>
        <v>NA</v>
      </c>
      <c r="J6549" s="19" t="s">
        <v>12</v>
      </c>
      <c r="K6549" s="22">
        <f t="shared" si="2"/>
        <v>0</v>
      </c>
    </row>
    <row r="6550">
      <c r="A6550" s="18">
        <v>6389.0</v>
      </c>
      <c r="B6550" s="18" t="s">
        <v>30</v>
      </c>
      <c r="C6550" s="18" t="s">
        <v>34</v>
      </c>
      <c r="D6550" s="18" t="s">
        <v>35</v>
      </c>
      <c r="E6550" s="27">
        <v>42566.80509259259</v>
      </c>
      <c r="F6550" s="19">
        <f>IFERROR(__xludf.DUMMYFUNCTION("IFERROR(TO_DATE(E6550), """")"),42566.80509259259)</f>
        <v>42566.80509</v>
      </c>
      <c r="G6550" s="20">
        <f t="shared" si="1"/>
        <v>19</v>
      </c>
      <c r="H6550" s="18" t="s">
        <v>34</v>
      </c>
      <c r="I6550" s="19" t="str">
        <f>IFERROR(__xludf.DUMMYFUNCTION("IFERROR(TO_DATE(H6550), """")"),"NA")</f>
        <v>NA</v>
      </c>
      <c r="J6550" s="19" t="s">
        <v>12</v>
      </c>
      <c r="K6550" s="22">
        <f t="shared" si="2"/>
        <v>0</v>
      </c>
    </row>
    <row r="6551">
      <c r="A6551" s="18">
        <v>6394.0</v>
      </c>
      <c r="B6551" s="18" t="s">
        <v>30</v>
      </c>
      <c r="C6551" s="18" t="s">
        <v>34</v>
      </c>
      <c r="D6551" s="18" t="s">
        <v>35</v>
      </c>
      <c r="E6551" s="27">
        <v>42566.80527777778</v>
      </c>
      <c r="F6551" s="19">
        <f>IFERROR(__xludf.DUMMYFUNCTION("IFERROR(TO_DATE(E6551), """")"),42566.80527777778)</f>
        <v>42566.80528</v>
      </c>
      <c r="G6551" s="20">
        <f t="shared" si="1"/>
        <v>19</v>
      </c>
      <c r="H6551" s="18" t="s">
        <v>34</v>
      </c>
      <c r="I6551" s="19" t="str">
        <f>IFERROR(__xludf.DUMMYFUNCTION("IFERROR(TO_DATE(H6551), """")"),"NA")</f>
        <v>NA</v>
      </c>
      <c r="J6551" s="19" t="s">
        <v>12</v>
      </c>
      <c r="K6551" s="22">
        <f t="shared" si="2"/>
        <v>0</v>
      </c>
    </row>
    <row r="6552">
      <c r="A6552" s="18">
        <v>6395.0</v>
      </c>
      <c r="B6552" s="18" t="s">
        <v>30</v>
      </c>
      <c r="C6552" s="18" t="s">
        <v>34</v>
      </c>
      <c r="D6552" s="18" t="s">
        <v>35</v>
      </c>
      <c r="E6552" s="27">
        <v>42566.805393518516</v>
      </c>
      <c r="F6552" s="19">
        <f>IFERROR(__xludf.DUMMYFUNCTION("IFERROR(TO_DATE(E6552), """")"),42566.805393518516)</f>
        <v>42566.80539</v>
      </c>
      <c r="G6552" s="20">
        <f t="shared" si="1"/>
        <v>19</v>
      </c>
      <c r="H6552" s="18" t="s">
        <v>34</v>
      </c>
      <c r="I6552" s="19" t="str">
        <f>IFERROR(__xludf.DUMMYFUNCTION("IFERROR(TO_DATE(H6552), """")"),"NA")</f>
        <v>NA</v>
      </c>
      <c r="J6552" s="19" t="s">
        <v>12</v>
      </c>
      <c r="K6552" s="22">
        <f t="shared" si="2"/>
        <v>0</v>
      </c>
    </row>
    <row r="6553">
      <c r="A6553" s="18">
        <v>6396.0</v>
      </c>
      <c r="B6553" s="18" t="s">
        <v>30</v>
      </c>
      <c r="C6553" s="18" t="s">
        <v>34</v>
      </c>
      <c r="D6553" s="18" t="s">
        <v>35</v>
      </c>
      <c r="E6553" s="27">
        <v>42566.80547453704</v>
      </c>
      <c r="F6553" s="19">
        <f>IFERROR(__xludf.DUMMYFUNCTION("IFERROR(TO_DATE(E6553), """")"),42566.80547453704)</f>
        <v>42566.80547</v>
      </c>
      <c r="G6553" s="20">
        <f t="shared" si="1"/>
        <v>19</v>
      </c>
      <c r="H6553" s="18" t="s">
        <v>34</v>
      </c>
      <c r="I6553" s="19" t="str">
        <f>IFERROR(__xludf.DUMMYFUNCTION("IFERROR(TO_DATE(H6553), """")"),"NA")</f>
        <v>NA</v>
      </c>
      <c r="J6553" s="19" t="s">
        <v>12</v>
      </c>
      <c r="K6553" s="22">
        <f t="shared" si="2"/>
        <v>0</v>
      </c>
    </row>
    <row r="6554">
      <c r="A6554" s="18">
        <v>6387.0</v>
      </c>
      <c r="B6554" s="18" t="s">
        <v>30</v>
      </c>
      <c r="C6554" s="18" t="s">
        <v>34</v>
      </c>
      <c r="D6554" s="18" t="s">
        <v>35</v>
      </c>
      <c r="E6554" s="27">
        <v>42566.8062037037</v>
      </c>
      <c r="F6554" s="19">
        <f>IFERROR(__xludf.DUMMYFUNCTION("IFERROR(TO_DATE(E6554), """")"),42566.8062037037)</f>
        <v>42566.8062</v>
      </c>
      <c r="G6554" s="20">
        <f t="shared" si="1"/>
        <v>19</v>
      </c>
      <c r="H6554" s="18" t="s">
        <v>34</v>
      </c>
      <c r="I6554" s="19" t="str">
        <f>IFERROR(__xludf.DUMMYFUNCTION("IFERROR(TO_DATE(H6554), """")"),"NA")</f>
        <v>NA</v>
      </c>
      <c r="J6554" s="19" t="s">
        <v>12</v>
      </c>
      <c r="K6554" s="22">
        <f t="shared" si="2"/>
        <v>0</v>
      </c>
    </row>
    <row r="6555">
      <c r="A6555" s="18">
        <v>6383.0</v>
      </c>
      <c r="B6555" s="18" t="s">
        <v>30</v>
      </c>
      <c r="C6555" s="18" t="s">
        <v>34</v>
      </c>
      <c r="D6555" s="18" t="s">
        <v>35</v>
      </c>
      <c r="E6555" s="27">
        <v>42566.806759259256</v>
      </c>
      <c r="F6555" s="19">
        <f>IFERROR(__xludf.DUMMYFUNCTION("IFERROR(TO_DATE(E6555), """")"),42566.806759259256)</f>
        <v>42566.80676</v>
      </c>
      <c r="G6555" s="20">
        <f t="shared" si="1"/>
        <v>19</v>
      </c>
      <c r="H6555" s="18" t="s">
        <v>34</v>
      </c>
      <c r="I6555" s="19" t="str">
        <f>IFERROR(__xludf.DUMMYFUNCTION("IFERROR(TO_DATE(H6555), """")"),"NA")</f>
        <v>NA</v>
      </c>
      <c r="J6555" s="19" t="s">
        <v>12</v>
      </c>
      <c r="K6555" s="22">
        <f t="shared" si="2"/>
        <v>0</v>
      </c>
    </row>
    <row r="6556">
      <c r="A6556" s="18">
        <v>6386.0</v>
      </c>
      <c r="B6556" s="18" t="s">
        <v>30</v>
      </c>
      <c r="C6556" s="18" t="s">
        <v>34</v>
      </c>
      <c r="D6556" s="18" t="s">
        <v>35</v>
      </c>
      <c r="E6556" s="27">
        <v>42566.80849537037</v>
      </c>
      <c r="F6556" s="19">
        <f>IFERROR(__xludf.DUMMYFUNCTION("IFERROR(TO_DATE(E6556), """")"),42566.80849537037)</f>
        <v>42566.8085</v>
      </c>
      <c r="G6556" s="20">
        <f t="shared" si="1"/>
        <v>19</v>
      </c>
      <c r="H6556" s="18" t="s">
        <v>34</v>
      </c>
      <c r="I6556" s="19" t="str">
        <f>IFERROR(__xludf.DUMMYFUNCTION("IFERROR(TO_DATE(H6556), """")"),"NA")</f>
        <v>NA</v>
      </c>
      <c r="J6556" s="19" t="s">
        <v>12</v>
      </c>
      <c r="K6556" s="22">
        <f t="shared" si="2"/>
        <v>0</v>
      </c>
    </row>
    <row r="6557">
      <c r="A6557" s="18">
        <v>6406.0</v>
      </c>
      <c r="B6557" s="18" t="s">
        <v>30</v>
      </c>
      <c r="C6557" s="18" t="s">
        <v>34</v>
      </c>
      <c r="D6557" s="18" t="s">
        <v>35</v>
      </c>
      <c r="E6557" s="27">
        <v>42566.8125462963</v>
      </c>
      <c r="F6557" s="19">
        <f>IFERROR(__xludf.DUMMYFUNCTION("IFERROR(TO_DATE(E6557), """")"),42566.8125462963)</f>
        <v>42566.81255</v>
      </c>
      <c r="G6557" s="20">
        <f t="shared" si="1"/>
        <v>19</v>
      </c>
      <c r="H6557" s="18" t="s">
        <v>34</v>
      </c>
      <c r="I6557" s="19" t="str">
        <f>IFERROR(__xludf.DUMMYFUNCTION("IFERROR(TO_DATE(H6557), """")"),"NA")</f>
        <v>NA</v>
      </c>
      <c r="J6557" s="19" t="s">
        <v>12</v>
      </c>
      <c r="K6557" s="22">
        <f t="shared" si="2"/>
        <v>0</v>
      </c>
    </row>
    <row r="6558">
      <c r="A6558" s="18">
        <v>6407.0</v>
      </c>
      <c r="B6558" s="18" t="s">
        <v>32</v>
      </c>
      <c r="C6558" s="18" t="s">
        <v>34</v>
      </c>
      <c r="D6558" s="18" t="s">
        <v>35</v>
      </c>
      <c r="E6558" s="27">
        <v>42566.813622685186</v>
      </c>
      <c r="F6558" s="19">
        <f>IFERROR(__xludf.DUMMYFUNCTION("IFERROR(TO_DATE(E6558), """")"),42566.813622685186)</f>
        <v>42566.81362</v>
      </c>
      <c r="G6558" s="20">
        <f t="shared" si="1"/>
        <v>19</v>
      </c>
      <c r="H6558" s="18" t="s">
        <v>34</v>
      </c>
      <c r="I6558" s="19" t="str">
        <f>IFERROR(__xludf.DUMMYFUNCTION("IFERROR(TO_DATE(H6558), """")"),"NA")</f>
        <v>NA</v>
      </c>
      <c r="J6558" s="19" t="s">
        <v>12</v>
      </c>
      <c r="K6558" s="22">
        <f t="shared" si="2"/>
        <v>0</v>
      </c>
    </row>
    <row r="6559">
      <c r="A6559" s="18">
        <v>6405.0</v>
      </c>
      <c r="B6559" s="18" t="s">
        <v>30</v>
      </c>
      <c r="C6559" s="18" t="s">
        <v>34</v>
      </c>
      <c r="D6559" s="18" t="s">
        <v>35</v>
      </c>
      <c r="E6559" s="27">
        <v>42566.815613425926</v>
      </c>
      <c r="F6559" s="19">
        <f>IFERROR(__xludf.DUMMYFUNCTION("IFERROR(TO_DATE(E6559), """")"),42566.815613425926)</f>
        <v>42566.81561</v>
      </c>
      <c r="G6559" s="20">
        <f t="shared" si="1"/>
        <v>19</v>
      </c>
      <c r="H6559" s="18" t="s">
        <v>34</v>
      </c>
      <c r="I6559" s="19" t="str">
        <f>IFERROR(__xludf.DUMMYFUNCTION("IFERROR(TO_DATE(H6559), """")"),"NA")</f>
        <v>NA</v>
      </c>
      <c r="J6559" s="19" t="s">
        <v>12</v>
      </c>
      <c r="K6559" s="22">
        <f t="shared" si="2"/>
        <v>0</v>
      </c>
    </row>
    <row r="6560">
      <c r="A6560" s="18">
        <v>6408.0</v>
      </c>
      <c r="B6560" s="18" t="s">
        <v>30</v>
      </c>
      <c r="C6560" s="18" t="s">
        <v>34</v>
      </c>
      <c r="D6560" s="18" t="s">
        <v>35</v>
      </c>
      <c r="E6560" s="27">
        <v>42566.81569444444</v>
      </c>
      <c r="F6560" s="19">
        <f>IFERROR(__xludf.DUMMYFUNCTION("IFERROR(TO_DATE(E6560), """")"),42566.81569444444)</f>
        <v>42566.81569</v>
      </c>
      <c r="G6560" s="20">
        <f t="shared" si="1"/>
        <v>19</v>
      </c>
      <c r="H6560" s="18" t="s">
        <v>34</v>
      </c>
      <c r="I6560" s="19" t="str">
        <f>IFERROR(__xludf.DUMMYFUNCTION("IFERROR(TO_DATE(H6560), """")"),"NA")</f>
        <v>NA</v>
      </c>
      <c r="J6560" s="19" t="s">
        <v>12</v>
      </c>
      <c r="K6560" s="22">
        <f t="shared" si="2"/>
        <v>0</v>
      </c>
    </row>
    <row r="6561">
      <c r="A6561" s="18">
        <v>6410.0</v>
      </c>
      <c r="B6561" s="18" t="s">
        <v>30</v>
      </c>
      <c r="C6561" s="18" t="s">
        <v>34</v>
      </c>
      <c r="D6561" s="18" t="s">
        <v>35</v>
      </c>
      <c r="E6561" s="27">
        <v>42566.81644675926</v>
      </c>
      <c r="F6561" s="19">
        <f>IFERROR(__xludf.DUMMYFUNCTION("IFERROR(TO_DATE(E6561), """")"),42566.81644675926)</f>
        <v>42566.81645</v>
      </c>
      <c r="G6561" s="20">
        <f t="shared" si="1"/>
        <v>19</v>
      </c>
      <c r="H6561" s="18" t="s">
        <v>34</v>
      </c>
      <c r="I6561" s="19" t="str">
        <f>IFERROR(__xludf.DUMMYFUNCTION("IFERROR(TO_DATE(H6561), """")"),"NA")</f>
        <v>NA</v>
      </c>
      <c r="J6561" s="19" t="s">
        <v>12</v>
      </c>
      <c r="K6561" s="22">
        <f t="shared" si="2"/>
        <v>0</v>
      </c>
    </row>
    <row r="6562">
      <c r="A6562" s="18">
        <v>6412.0</v>
      </c>
      <c r="B6562" s="18" t="s">
        <v>30</v>
      </c>
      <c r="C6562" s="18" t="s">
        <v>34</v>
      </c>
      <c r="D6562" s="18" t="s">
        <v>35</v>
      </c>
      <c r="E6562" s="27">
        <v>42566.81767361111</v>
      </c>
      <c r="F6562" s="19">
        <f>IFERROR(__xludf.DUMMYFUNCTION("IFERROR(TO_DATE(E6562), """")"),42566.81767361111)</f>
        <v>42566.81767</v>
      </c>
      <c r="G6562" s="20">
        <f t="shared" si="1"/>
        <v>19</v>
      </c>
      <c r="H6562" s="18" t="s">
        <v>34</v>
      </c>
      <c r="I6562" s="19" t="str">
        <f>IFERROR(__xludf.DUMMYFUNCTION("IFERROR(TO_DATE(H6562), """")"),"NA")</f>
        <v>NA</v>
      </c>
      <c r="J6562" s="19" t="s">
        <v>12</v>
      </c>
      <c r="K6562" s="22">
        <f t="shared" si="2"/>
        <v>0</v>
      </c>
    </row>
    <row r="6563">
      <c r="A6563" s="18">
        <v>6421.0</v>
      </c>
      <c r="B6563" s="18" t="s">
        <v>30</v>
      </c>
      <c r="C6563" s="18" t="s">
        <v>34</v>
      </c>
      <c r="D6563" s="18" t="s">
        <v>35</v>
      </c>
      <c r="E6563" s="27">
        <v>42566.8187962963</v>
      </c>
      <c r="F6563" s="19">
        <f>IFERROR(__xludf.DUMMYFUNCTION("IFERROR(TO_DATE(E6563), """")"),42566.8187962963)</f>
        <v>42566.8188</v>
      </c>
      <c r="G6563" s="20">
        <f t="shared" si="1"/>
        <v>19</v>
      </c>
      <c r="H6563" s="18" t="s">
        <v>34</v>
      </c>
      <c r="I6563" s="19" t="str">
        <f>IFERROR(__xludf.DUMMYFUNCTION("IFERROR(TO_DATE(H6563), """")"),"NA")</f>
        <v>NA</v>
      </c>
      <c r="J6563" s="19" t="s">
        <v>12</v>
      </c>
      <c r="K6563" s="22">
        <f t="shared" si="2"/>
        <v>0</v>
      </c>
    </row>
    <row r="6564">
      <c r="A6564" s="18">
        <v>6411.0</v>
      </c>
      <c r="B6564" s="18" t="s">
        <v>30</v>
      </c>
      <c r="C6564" s="18" t="s">
        <v>34</v>
      </c>
      <c r="D6564" s="18" t="s">
        <v>35</v>
      </c>
      <c r="E6564" s="27">
        <v>42566.8197337963</v>
      </c>
      <c r="F6564" s="19">
        <f>IFERROR(__xludf.DUMMYFUNCTION("IFERROR(TO_DATE(E6564), """")"),42566.8197337963)</f>
        <v>42566.81973</v>
      </c>
      <c r="G6564" s="20">
        <f t="shared" si="1"/>
        <v>19</v>
      </c>
      <c r="H6564" s="18" t="s">
        <v>34</v>
      </c>
      <c r="I6564" s="19" t="str">
        <f>IFERROR(__xludf.DUMMYFUNCTION("IFERROR(TO_DATE(H6564), """")"),"NA")</f>
        <v>NA</v>
      </c>
      <c r="J6564" s="19" t="s">
        <v>12</v>
      </c>
      <c r="K6564" s="22">
        <f t="shared" si="2"/>
        <v>0</v>
      </c>
    </row>
    <row r="6565">
      <c r="A6565" s="18">
        <v>6409.0</v>
      </c>
      <c r="B6565" s="18" t="s">
        <v>32</v>
      </c>
      <c r="C6565" s="18" t="s">
        <v>34</v>
      </c>
      <c r="D6565" s="18" t="s">
        <v>35</v>
      </c>
      <c r="E6565" s="27">
        <v>42566.81984953704</v>
      </c>
      <c r="F6565" s="19">
        <f>IFERROR(__xludf.DUMMYFUNCTION("IFERROR(TO_DATE(E6565), """")"),42566.81984953704)</f>
        <v>42566.81985</v>
      </c>
      <c r="G6565" s="20">
        <f t="shared" si="1"/>
        <v>19</v>
      </c>
      <c r="H6565" s="18" t="s">
        <v>34</v>
      </c>
      <c r="I6565" s="19" t="str">
        <f>IFERROR(__xludf.DUMMYFUNCTION("IFERROR(TO_DATE(H6565), """")"),"NA")</f>
        <v>NA</v>
      </c>
      <c r="J6565" s="19" t="s">
        <v>12</v>
      </c>
      <c r="K6565" s="22">
        <f t="shared" si="2"/>
        <v>0</v>
      </c>
    </row>
    <row r="6566">
      <c r="A6566" s="18">
        <v>6414.0</v>
      </c>
      <c r="B6566" s="18" t="s">
        <v>30</v>
      </c>
      <c r="C6566" s="18" t="s">
        <v>34</v>
      </c>
      <c r="D6566" s="18" t="s">
        <v>35</v>
      </c>
      <c r="E6566" s="27">
        <v>42566.82003472222</v>
      </c>
      <c r="F6566" s="19">
        <f>IFERROR(__xludf.DUMMYFUNCTION("IFERROR(TO_DATE(E6566), """")"),42566.82003472222)</f>
        <v>42566.82003</v>
      </c>
      <c r="G6566" s="20">
        <f t="shared" si="1"/>
        <v>19</v>
      </c>
      <c r="H6566" s="18" t="s">
        <v>34</v>
      </c>
      <c r="I6566" s="19" t="str">
        <f>IFERROR(__xludf.DUMMYFUNCTION("IFERROR(TO_DATE(H6566), """")"),"NA")</f>
        <v>NA</v>
      </c>
      <c r="J6566" s="19" t="s">
        <v>12</v>
      </c>
      <c r="K6566" s="22">
        <f t="shared" si="2"/>
        <v>0</v>
      </c>
    </row>
    <row r="6567">
      <c r="A6567" s="18">
        <v>6422.0</v>
      </c>
      <c r="B6567" s="18" t="s">
        <v>30</v>
      </c>
      <c r="C6567" s="18" t="s">
        <v>34</v>
      </c>
      <c r="D6567" s="18" t="s">
        <v>35</v>
      </c>
      <c r="E6567" s="27">
        <v>42566.820439814815</v>
      </c>
      <c r="F6567" s="19">
        <f>IFERROR(__xludf.DUMMYFUNCTION("IFERROR(TO_DATE(E6567), """")"),42566.820439814815)</f>
        <v>42566.82044</v>
      </c>
      <c r="G6567" s="20">
        <f t="shared" si="1"/>
        <v>19</v>
      </c>
      <c r="H6567" s="18" t="s">
        <v>34</v>
      </c>
      <c r="I6567" s="19" t="str">
        <f>IFERROR(__xludf.DUMMYFUNCTION("IFERROR(TO_DATE(H6567), """")"),"NA")</f>
        <v>NA</v>
      </c>
      <c r="J6567" s="19" t="s">
        <v>12</v>
      </c>
      <c r="K6567" s="22">
        <f t="shared" si="2"/>
        <v>0</v>
      </c>
    </row>
    <row r="6568">
      <c r="A6568" s="18">
        <v>6415.0</v>
      </c>
      <c r="B6568" s="18" t="s">
        <v>30</v>
      </c>
      <c r="C6568" s="18" t="s">
        <v>34</v>
      </c>
      <c r="D6568" s="18" t="s">
        <v>35</v>
      </c>
      <c r="E6568" s="27">
        <v>42566.822384259256</v>
      </c>
      <c r="F6568" s="19">
        <f>IFERROR(__xludf.DUMMYFUNCTION("IFERROR(TO_DATE(E6568), """")"),42566.822384259256)</f>
        <v>42566.82238</v>
      </c>
      <c r="G6568" s="20">
        <f t="shared" si="1"/>
        <v>19</v>
      </c>
      <c r="H6568" s="18" t="s">
        <v>34</v>
      </c>
      <c r="I6568" s="19" t="str">
        <f>IFERROR(__xludf.DUMMYFUNCTION("IFERROR(TO_DATE(H6568), """")"),"NA")</f>
        <v>NA</v>
      </c>
      <c r="J6568" s="19" t="s">
        <v>12</v>
      </c>
      <c r="K6568" s="22">
        <f t="shared" si="2"/>
        <v>0</v>
      </c>
    </row>
    <row r="6569">
      <c r="A6569" s="18">
        <v>6420.0</v>
      </c>
      <c r="B6569" s="18" t="s">
        <v>30</v>
      </c>
      <c r="C6569" s="18" t="s">
        <v>34</v>
      </c>
      <c r="D6569" s="18" t="s">
        <v>35</v>
      </c>
      <c r="E6569" s="27">
        <v>42566.82511574074</v>
      </c>
      <c r="F6569" s="19">
        <f>IFERROR(__xludf.DUMMYFUNCTION("IFERROR(TO_DATE(E6569), """")"),42566.82511574074)</f>
        <v>42566.82512</v>
      </c>
      <c r="G6569" s="20">
        <f t="shared" si="1"/>
        <v>19</v>
      </c>
      <c r="H6569" s="18" t="s">
        <v>34</v>
      </c>
      <c r="I6569" s="19" t="str">
        <f>IFERROR(__xludf.DUMMYFUNCTION("IFERROR(TO_DATE(H6569), """")"),"NA")</f>
        <v>NA</v>
      </c>
      <c r="J6569" s="19" t="s">
        <v>12</v>
      </c>
      <c r="K6569" s="22">
        <f t="shared" si="2"/>
        <v>0</v>
      </c>
    </row>
    <row r="6570">
      <c r="A6570" s="18">
        <v>6424.0</v>
      </c>
      <c r="B6570" s="18" t="s">
        <v>30</v>
      </c>
      <c r="C6570" s="18" t="s">
        <v>34</v>
      </c>
      <c r="D6570" s="18" t="s">
        <v>35</v>
      </c>
      <c r="E6570" s="27">
        <v>42566.825844907406</v>
      </c>
      <c r="F6570" s="19">
        <f>IFERROR(__xludf.DUMMYFUNCTION("IFERROR(TO_DATE(E6570), """")"),42566.825844907406)</f>
        <v>42566.82584</v>
      </c>
      <c r="G6570" s="20">
        <f t="shared" si="1"/>
        <v>19</v>
      </c>
      <c r="H6570" s="18" t="s">
        <v>34</v>
      </c>
      <c r="I6570" s="19" t="str">
        <f>IFERROR(__xludf.DUMMYFUNCTION("IFERROR(TO_DATE(H6570), """")"),"NA")</f>
        <v>NA</v>
      </c>
      <c r="J6570" s="19" t="s">
        <v>12</v>
      </c>
      <c r="K6570" s="22">
        <f t="shared" si="2"/>
        <v>0</v>
      </c>
    </row>
    <row r="6571">
      <c r="A6571" s="18">
        <v>6423.0</v>
      </c>
      <c r="B6571" s="18" t="s">
        <v>30</v>
      </c>
      <c r="C6571" s="18" t="s">
        <v>34</v>
      </c>
      <c r="D6571" s="18" t="s">
        <v>35</v>
      </c>
      <c r="E6571" s="27">
        <v>42566.825902777775</v>
      </c>
      <c r="F6571" s="19">
        <f>IFERROR(__xludf.DUMMYFUNCTION("IFERROR(TO_DATE(E6571), """")"),42566.825902777775)</f>
        <v>42566.8259</v>
      </c>
      <c r="G6571" s="20">
        <f t="shared" si="1"/>
        <v>19</v>
      </c>
      <c r="H6571" s="18" t="s">
        <v>34</v>
      </c>
      <c r="I6571" s="19" t="str">
        <f>IFERROR(__xludf.DUMMYFUNCTION("IFERROR(TO_DATE(H6571), """")"),"NA")</f>
        <v>NA</v>
      </c>
      <c r="J6571" s="19" t="s">
        <v>12</v>
      </c>
      <c r="K6571" s="22">
        <f t="shared" si="2"/>
        <v>0</v>
      </c>
    </row>
    <row r="6572">
      <c r="A6572" s="18">
        <v>6426.0</v>
      </c>
      <c r="B6572" s="18" t="s">
        <v>30</v>
      </c>
      <c r="C6572" s="18" t="s">
        <v>34</v>
      </c>
      <c r="D6572" s="18" t="s">
        <v>35</v>
      </c>
      <c r="E6572" s="27">
        <v>42566.826574074075</v>
      </c>
      <c r="F6572" s="19">
        <f>IFERROR(__xludf.DUMMYFUNCTION("IFERROR(TO_DATE(E6572), """")"),42566.826574074075)</f>
        <v>42566.82657</v>
      </c>
      <c r="G6572" s="20">
        <f t="shared" si="1"/>
        <v>19</v>
      </c>
      <c r="H6572" s="18" t="s">
        <v>34</v>
      </c>
      <c r="I6572" s="19" t="str">
        <f>IFERROR(__xludf.DUMMYFUNCTION("IFERROR(TO_DATE(H6572), """")"),"NA")</f>
        <v>NA</v>
      </c>
      <c r="J6572" s="19" t="s">
        <v>12</v>
      </c>
      <c r="K6572" s="22">
        <f t="shared" si="2"/>
        <v>0</v>
      </c>
    </row>
    <row r="6573">
      <c r="A6573" s="18">
        <v>6428.0</v>
      </c>
      <c r="B6573" s="18" t="s">
        <v>30</v>
      </c>
      <c r="C6573" s="18" t="s">
        <v>34</v>
      </c>
      <c r="D6573" s="18" t="s">
        <v>35</v>
      </c>
      <c r="E6573" s="27">
        <v>42566.82734953704</v>
      </c>
      <c r="F6573" s="19">
        <f>IFERROR(__xludf.DUMMYFUNCTION("IFERROR(TO_DATE(E6573), """")"),42566.82734953704)</f>
        <v>42566.82735</v>
      </c>
      <c r="G6573" s="20">
        <f t="shared" si="1"/>
        <v>19</v>
      </c>
      <c r="H6573" s="18" t="s">
        <v>34</v>
      </c>
      <c r="I6573" s="19" t="str">
        <f>IFERROR(__xludf.DUMMYFUNCTION("IFERROR(TO_DATE(H6573), """")"),"NA")</f>
        <v>NA</v>
      </c>
      <c r="J6573" s="19" t="s">
        <v>12</v>
      </c>
      <c r="K6573" s="22">
        <f t="shared" si="2"/>
        <v>0</v>
      </c>
    </row>
    <row r="6574">
      <c r="A6574" s="18">
        <v>6440.0</v>
      </c>
      <c r="B6574" s="18" t="s">
        <v>30</v>
      </c>
      <c r="C6574" s="18" t="s">
        <v>34</v>
      </c>
      <c r="D6574" s="18" t="s">
        <v>35</v>
      </c>
      <c r="E6574" s="27">
        <v>42566.82811342592</v>
      </c>
      <c r="F6574" s="19">
        <f>IFERROR(__xludf.DUMMYFUNCTION("IFERROR(TO_DATE(E6574), """")"),42566.82811342592)</f>
        <v>42566.82811</v>
      </c>
      <c r="G6574" s="20">
        <f t="shared" si="1"/>
        <v>19</v>
      </c>
      <c r="H6574" s="18" t="s">
        <v>34</v>
      </c>
      <c r="I6574" s="19" t="str">
        <f>IFERROR(__xludf.DUMMYFUNCTION("IFERROR(TO_DATE(H6574), """")"),"NA")</f>
        <v>NA</v>
      </c>
      <c r="J6574" s="19" t="s">
        <v>12</v>
      </c>
      <c r="K6574" s="22">
        <f t="shared" si="2"/>
        <v>0</v>
      </c>
    </row>
    <row r="6575">
      <c r="A6575" s="18">
        <v>6431.0</v>
      </c>
      <c r="B6575" s="18" t="s">
        <v>30</v>
      </c>
      <c r="C6575" s="18" t="s">
        <v>34</v>
      </c>
      <c r="D6575" s="18" t="s">
        <v>35</v>
      </c>
      <c r="E6575" s="27">
        <v>42566.82821759259</v>
      </c>
      <c r="F6575" s="19">
        <f>IFERROR(__xludf.DUMMYFUNCTION("IFERROR(TO_DATE(E6575), """")"),42566.82821759259)</f>
        <v>42566.82822</v>
      </c>
      <c r="G6575" s="20">
        <f t="shared" si="1"/>
        <v>19</v>
      </c>
      <c r="H6575" s="18" t="s">
        <v>34</v>
      </c>
      <c r="I6575" s="19" t="str">
        <f>IFERROR(__xludf.DUMMYFUNCTION("IFERROR(TO_DATE(H6575), """")"),"NA")</f>
        <v>NA</v>
      </c>
      <c r="J6575" s="19" t="s">
        <v>12</v>
      </c>
      <c r="K6575" s="22">
        <f t="shared" si="2"/>
        <v>0</v>
      </c>
    </row>
    <row r="6576">
      <c r="A6576" s="18">
        <v>6436.0</v>
      </c>
      <c r="B6576" s="18" t="s">
        <v>30</v>
      </c>
      <c r="C6576" s="18" t="s">
        <v>34</v>
      </c>
      <c r="D6576" s="18" t="s">
        <v>35</v>
      </c>
      <c r="E6576" s="27">
        <v>42566.82894675926</v>
      </c>
      <c r="F6576" s="19">
        <f>IFERROR(__xludf.DUMMYFUNCTION("IFERROR(TO_DATE(E6576), """")"),42566.82894675926)</f>
        <v>42566.82895</v>
      </c>
      <c r="G6576" s="20">
        <f t="shared" si="1"/>
        <v>19</v>
      </c>
      <c r="H6576" s="18" t="s">
        <v>34</v>
      </c>
      <c r="I6576" s="19" t="str">
        <f>IFERROR(__xludf.DUMMYFUNCTION("IFERROR(TO_DATE(H6576), """")"),"NA")</f>
        <v>NA</v>
      </c>
      <c r="J6576" s="19" t="s">
        <v>12</v>
      </c>
      <c r="K6576" s="22">
        <f t="shared" si="2"/>
        <v>0</v>
      </c>
    </row>
    <row r="6577">
      <c r="A6577" s="18">
        <v>6427.0</v>
      </c>
      <c r="B6577" s="18" t="s">
        <v>30</v>
      </c>
      <c r="C6577" s="18" t="s">
        <v>34</v>
      </c>
      <c r="D6577" s="18" t="s">
        <v>35</v>
      </c>
      <c r="E6577" s="27">
        <v>42566.82952546296</v>
      </c>
      <c r="F6577" s="19">
        <f>IFERROR(__xludf.DUMMYFUNCTION("IFERROR(TO_DATE(E6577), """")"),42566.82952546296)</f>
        <v>42566.82953</v>
      </c>
      <c r="G6577" s="20">
        <f t="shared" si="1"/>
        <v>19</v>
      </c>
      <c r="H6577" s="18" t="s">
        <v>34</v>
      </c>
      <c r="I6577" s="19" t="str">
        <f>IFERROR(__xludf.DUMMYFUNCTION("IFERROR(TO_DATE(H6577), """")"),"NA")</f>
        <v>NA</v>
      </c>
      <c r="J6577" s="19" t="s">
        <v>12</v>
      </c>
      <c r="K6577" s="22">
        <f t="shared" si="2"/>
        <v>0</v>
      </c>
    </row>
    <row r="6578">
      <c r="A6578" s="18">
        <v>6443.0</v>
      </c>
      <c r="B6578" s="18" t="s">
        <v>30</v>
      </c>
      <c r="C6578" s="18" t="s">
        <v>34</v>
      </c>
      <c r="D6578" s="18" t="s">
        <v>35</v>
      </c>
      <c r="E6578" s="27">
        <v>42566.82980324074</v>
      </c>
      <c r="F6578" s="19">
        <f>IFERROR(__xludf.DUMMYFUNCTION("IFERROR(TO_DATE(E6578), """")"),42566.82980324074)</f>
        <v>42566.8298</v>
      </c>
      <c r="G6578" s="20">
        <f t="shared" si="1"/>
        <v>19</v>
      </c>
      <c r="H6578" s="18" t="s">
        <v>34</v>
      </c>
      <c r="I6578" s="19" t="str">
        <f>IFERROR(__xludf.DUMMYFUNCTION("IFERROR(TO_DATE(H6578), """")"),"NA")</f>
        <v>NA</v>
      </c>
      <c r="J6578" s="19" t="s">
        <v>12</v>
      </c>
      <c r="K6578" s="22">
        <f t="shared" si="2"/>
        <v>0</v>
      </c>
    </row>
    <row r="6579">
      <c r="A6579" s="18">
        <v>6439.0</v>
      </c>
      <c r="B6579" s="18" t="s">
        <v>30</v>
      </c>
      <c r="C6579" s="18" t="s">
        <v>34</v>
      </c>
      <c r="D6579" s="18" t="s">
        <v>35</v>
      </c>
      <c r="E6579" s="27">
        <v>42566.83052083333</v>
      </c>
      <c r="F6579" s="19">
        <f>IFERROR(__xludf.DUMMYFUNCTION("IFERROR(TO_DATE(E6579), """")"),42566.83052083333)</f>
        <v>42566.83052</v>
      </c>
      <c r="G6579" s="20">
        <f t="shared" si="1"/>
        <v>19</v>
      </c>
      <c r="H6579" s="18" t="s">
        <v>34</v>
      </c>
      <c r="I6579" s="19" t="str">
        <f>IFERROR(__xludf.DUMMYFUNCTION("IFERROR(TO_DATE(H6579), """")"),"NA")</f>
        <v>NA</v>
      </c>
      <c r="J6579" s="19" t="s">
        <v>12</v>
      </c>
      <c r="K6579" s="22">
        <f t="shared" si="2"/>
        <v>0</v>
      </c>
    </row>
    <row r="6580">
      <c r="A6580" s="18">
        <v>6441.0</v>
      </c>
      <c r="B6580" s="18" t="s">
        <v>30</v>
      </c>
      <c r="C6580" s="18" t="s">
        <v>34</v>
      </c>
      <c r="D6580" s="18" t="s">
        <v>35</v>
      </c>
      <c r="E6580" s="27">
        <v>42566.832650462966</v>
      </c>
      <c r="F6580" s="19">
        <f>IFERROR(__xludf.DUMMYFUNCTION("IFERROR(TO_DATE(E6580), """")"),42566.832650462966)</f>
        <v>42566.83265</v>
      </c>
      <c r="G6580" s="20">
        <f t="shared" si="1"/>
        <v>19</v>
      </c>
      <c r="H6580" s="18" t="s">
        <v>34</v>
      </c>
      <c r="I6580" s="19" t="str">
        <f>IFERROR(__xludf.DUMMYFUNCTION("IFERROR(TO_DATE(H6580), """")"),"NA")</f>
        <v>NA</v>
      </c>
      <c r="J6580" s="19" t="s">
        <v>12</v>
      </c>
      <c r="K6580" s="22">
        <f t="shared" si="2"/>
        <v>0</v>
      </c>
    </row>
    <row r="6581">
      <c r="A6581" s="18">
        <v>6444.0</v>
      </c>
      <c r="B6581" s="18" t="s">
        <v>30</v>
      </c>
      <c r="C6581" s="18" t="s">
        <v>34</v>
      </c>
      <c r="D6581" s="18" t="s">
        <v>35</v>
      </c>
      <c r="E6581" s="27">
        <v>42566.83368055556</v>
      </c>
      <c r="F6581" s="19">
        <f>IFERROR(__xludf.DUMMYFUNCTION("IFERROR(TO_DATE(E6581), """")"),42566.83368055556)</f>
        <v>42566.83368</v>
      </c>
      <c r="G6581" s="20">
        <f t="shared" si="1"/>
        <v>20</v>
      </c>
      <c r="H6581" s="18" t="s">
        <v>34</v>
      </c>
      <c r="I6581" s="19" t="str">
        <f>IFERROR(__xludf.DUMMYFUNCTION("IFERROR(TO_DATE(H6581), """")"),"NA")</f>
        <v>NA</v>
      </c>
      <c r="J6581" s="19" t="s">
        <v>13</v>
      </c>
      <c r="K6581" s="22">
        <f t="shared" si="2"/>
        <v>0</v>
      </c>
    </row>
    <row r="6582">
      <c r="A6582" s="18">
        <v>6447.0</v>
      </c>
      <c r="B6582" s="18" t="s">
        <v>30</v>
      </c>
      <c r="C6582" s="18" t="s">
        <v>34</v>
      </c>
      <c r="D6582" s="18" t="s">
        <v>35</v>
      </c>
      <c r="E6582" s="27">
        <v>42566.83443287037</v>
      </c>
      <c r="F6582" s="19">
        <f>IFERROR(__xludf.DUMMYFUNCTION("IFERROR(TO_DATE(E6582), """")"),42566.83443287037)</f>
        <v>42566.83443</v>
      </c>
      <c r="G6582" s="20">
        <f t="shared" si="1"/>
        <v>20</v>
      </c>
      <c r="H6582" s="18" t="s">
        <v>34</v>
      </c>
      <c r="I6582" s="19" t="str">
        <f>IFERROR(__xludf.DUMMYFUNCTION("IFERROR(TO_DATE(H6582), """")"),"NA")</f>
        <v>NA</v>
      </c>
      <c r="J6582" s="19" t="s">
        <v>13</v>
      </c>
      <c r="K6582" s="22">
        <f t="shared" si="2"/>
        <v>0</v>
      </c>
    </row>
    <row r="6583">
      <c r="A6583" s="18">
        <v>6442.0</v>
      </c>
      <c r="B6583" s="18" t="s">
        <v>30</v>
      </c>
      <c r="C6583" s="18" t="s">
        <v>34</v>
      </c>
      <c r="D6583" s="18" t="s">
        <v>35</v>
      </c>
      <c r="E6583" s="27">
        <v>42566.837164351855</v>
      </c>
      <c r="F6583" s="19">
        <f>IFERROR(__xludf.DUMMYFUNCTION("IFERROR(TO_DATE(E6583), """")"),42566.837164351855)</f>
        <v>42566.83716</v>
      </c>
      <c r="G6583" s="20">
        <f t="shared" si="1"/>
        <v>20</v>
      </c>
      <c r="H6583" s="18" t="s">
        <v>34</v>
      </c>
      <c r="I6583" s="19" t="str">
        <f>IFERROR(__xludf.DUMMYFUNCTION("IFERROR(TO_DATE(H6583), """")"),"NA")</f>
        <v>NA</v>
      </c>
      <c r="J6583" s="19" t="s">
        <v>13</v>
      </c>
      <c r="K6583" s="22">
        <f t="shared" si="2"/>
        <v>0</v>
      </c>
    </row>
    <row r="6584">
      <c r="A6584" s="18">
        <v>6449.0</v>
      </c>
      <c r="B6584" s="18" t="s">
        <v>30</v>
      </c>
      <c r="C6584" s="18" t="s">
        <v>34</v>
      </c>
      <c r="D6584" s="18" t="s">
        <v>35</v>
      </c>
      <c r="E6584" s="27">
        <v>42566.83763888889</v>
      </c>
      <c r="F6584" s="19">
        <f>IFERROR(__xludf.DUMMYFUNCTION("IFERROR(TO_DATE(E6584), """")"),42566.83763888889)</f>
        <v>42566.83764</v>
      </c>
      <c r="G6584" s="20">
        <f t="shared" si="1"/>
        <v>20</v>
      </c>
      <c r="H6584" s="18" t="s">
        <v>34</v>
      </c>
      <c r="I6584" s="19" t="str">
        <f>IFERROR(__xludf.DUMMYFUNCTION("IFERROR(TO_DATE(H6584), """")"),"NA")</f>
        <v>NA</v>
      </c>
      <c r="J6584" s="19" t="s">
        <v>13</v>
      </c>
      <c r="K6584" s="22">
        <f t="shared" si="2"/>
        <v>0</v>
      </c>
    </row>
    <row r="6585">
      <c r="A6585" s="18">
        <v>6456.0</v>
      </c>
      <c r="B6585" s="18" t="s">
        <v>30</v>
      </c>
      <c r="C6585" s="18" t="s">
        <v>34</v>
      </c>
      <c r="D6585" s="18" t="s">
        <v>35</v>
      </c>
      <c r="E6585" s="27">
        <v>42566.83767361111</v>
      </c>
      <c r="F6585" s="19">
        <f>IFERROR(__xludf.DUMMYFUNCTION("IFERROR(TO_DATE(E6585), """")"),42566.83767361111)</f>
        <v>42566.83767</v>
      </c>
      <c r="G6585" s="20">
        <f t="shared" si="1"/>
        <v>20</v>
      </c>
      <c r="H6585" s="18" t="s">
        <v>34</v>
      </c>
      <c r="I6585" s="19" t="str">
        <f>IFERROR(__xludf.DUMMYFUNCTION("IFERROR(TO_DATE(H6585), """")"),"NA")</f>
        <v>NA</v>
      </c>
      <c r="J6585" s="19" t="s">
        <v>13</v>
      </c>
      <c r="K6585" s="22">
        <f t="shared" si="2"/>
        <v>0</v>
      </c>
    </row>
    <row r="6586">
      <c r="A6586" s="18">
        <v>6454.0</v>
      </c>
      <c r="B6586" s="18" t="s">
        <v>30</v>
      </c>
      <c r="C6586" s="18" t="s">
        <v>34</v>
      </c>
      <c r="D6586" s="18" t="s">
        <v>35</v>
      </c>
      <c r="E6586" s="27">
        <v>42566.83773148148</v>
      </c>
      <c r="F6586" s="19">
        <f>IFERROR(__xludf.DUMMYFUNCTION("IFERROR(TO_DATE(E6586), """")"),42566.83773148148)</f>
        <v>42566.83773</v>
      </c>
      <c r="G6586" s="20">
        <f t="shared" si="1"/>
        <v>20</v>
      </c>
      <c r="H6586" s="18" t="s">
        <v>34</v>
      </c>
      <c r="I6586" s="19" t="str">
        <f>IFERROR(__xludf.DUMMYFUNCTION("IFERROR(TO_DATE(H6586), """")"),"NA")</f>
        <v>NA</v>
      </c>
      <c r="J6586" s="19" t="s">
        <v>13</v>
      </c>
      <c r="K6586" s="22">
        <f t="shared" si="2"/>
        <v>0</v>
      </c>
    </row>
    <row r="6587">
      <c r="A6587" s="18">
        <v>6455.0</v>
      </c>
      <c r="B6587" s="18" t="s">
        <v>30</v>
      </c>
      <c r="C6587" s="18" t="s">
        <v>34</v>
      </c>
      <c r="D6587" s="18" t="s">
        <v>35</v>
      </c>
      <c r="E6587" s="27">
        <v>42566.83775462963</v>
      </c>
      <c r="F6587" s="19">
        <f>IFERROR(__xludf.DUMMYFUNCTION("IFERROR(TO_DATE(E6587), """")"),42566.83775462963)</f>
        <v>42566.83775</v>
      </c>
      <c r="G6587" s="20">
        <f t="shared" si="1"/>
        <v>20</v>
      </c>
      <c r="H6587" s="18" t="s">
        <v>34</v>
      </c>
      <c r="I6587" s="19" t="str">
        <f>IFERROR(__xludf.DUMMYFUNCTION("IFERROR(TO_DATE(H6587), """")"),"NA")</f>
        <v>NA</v>
      </c>
      <c r="J6587" s="19" t="s">
        <v>13</v>
      </c>
      <c r="K6587" s="22">
        <f t="shared" si="2"/>
        <v>0</v>
      </c>
    </row>
    <row r="6588">
      <c r="A6588" s="18">
        <v>6459.0</v>
      </c>
      <c r="B6588" s="18" t="s">
        <v>30</v>
      </c>
      <c r="C6588" s="18" t="s">
        <v>34</v>
      </c>
      <c r="D6588" s="18" t="s">
        <v>35</v>
      </c>
      <c r="E6588" s="27">
        <v>42566.83782407407</v>
      </c>
      <c r="F6588" s="19">
        <f>IFERROR(__xludf.DUMMYFUNCTION("IFERROR(TO_DATE(E6588), """")"),42566.83782407407)</f>
        <v>42566.83782</v>
      </c>
      <c r="G6588" s="20">
        <f t="shared" si="1"/>
        <v>20</v>
      </c>
      <c r="H6588" s="18" t="s">
        <v>34</v>
      </c>
      <c r="I6588" s="19" t="str">
        <f>IFERROR(__xludf.DUMMYFUNCTION("IFERROR(TO_DATE(H6588), """")"),"NA")</f>
        <v>NA</v>
      </c>
      <c r="J6588" s="19" t="s">
        <v>13</v>
      </c>
      <c r="K6588" s="22">
        <f t="shared" si="2"/>
        <v>0</v>
      </c>
    </row>
    <row r="6589">
      <c r="A6589" s="18">
        <v>6463.0</v>
      </c>
      <c r="B6589" s="18" t="s">
        <v>30</v>
      </c>
      <c r="C6589" s="18" t="s">
        <v>34</v>
      </c>
      <c r="D6589" s="18" t="s">
        <v>35</v>
      </c>
      <c r="E6589" s="27">
        <v>42566.839224537034</v>
      </c>
      <c r="F6589" s="19">
        <f>IFERROR(__xludf.DUMMYFUNCTION("IFERROR(TO_DATE(E6589), """")"),42566.839224537034)</f>
        <v>42566.83922</v>
      </c>
      <c r="G6589" s="20">
        <f t="shared" si="1"/>
        <v>20</v>
      </c>
      <c r="H6589" s="18" t="s">
        <v>34</v>
      </c>
      <c r="I6589" s="19" t="str">
        <f>IFERROR(__xludf.DUMMYFUNCTION("IFERROR(TO_DATE(H6589), """")"),"NA")</f>
        <v>NA</v>
      </c>
      <c r="J6589" s="19" t="s">
        <v>13</v>
      </c>
      <c r="K6589" s="22">
        <f t="shared" si="2"/>
        <v>0</v>
      </c>
    </row>
    <row r="6590">
      <c r="A6590" s="18">
        <v>6473.0</v>
      </c>
      <c r="B6590" s="18" t="s">
        <v>30</v>
      </c>
      <c r="C6590" s="18" t="s">
        <v>34</v>
      </c>
      <c r="D6590" s="18" t="s">
        <v>35</v>
      </c>
      <c r="E6590" s="27">
        <v>42566.84076388889</v>
      </c>
      <c r="F6590" s="19">
        <f>IFERROR(__xludf.DUMMYFUNCTION("IFERROR(TO_DATE(E6590), """")"),42566.84076388889)</f>
        <v>42566.84076</v>
      </c>
      <c r="G6590" s="20">
        <f t="shared" si="1"/>
        <v>20</v>
      </c>
      <c r="H6590" s="18" t="s">
        <v>34</v>
      </c>
      <c r="I6590" s="19" t="str">
        <f>IFERROR(__xludf.DUMMYFUNCTION("IFERROR(TO_DATE(H6590), """")"),"NA")</f>
        <v>NA</v>
      </c>
      <c r="J6590" s="19" t="s">
        <v>13</v>
      </c>
      <c r="K6590" s="22">
        <f t="shared" si="2"/>
        <v>0</v>
      </c>
    </row>
    <row r="6591">
      <c r="A6591" s="18">
        <v>6464.0</v>
      </c>
      <c r="B6591" s="18" t="s">
        <v>30</v>
      </c>
      <c r="C6591" s="18" t="s">
        <v>34</v>
      </c>
      <c r="D6591" s="18" t="s">
        <v>35</v>
      </c>
      <c r="E6591" s="27">
        <v>42566.840775462966</v>
      </c>
      <c r="F6591" s="19">
        <f>IFERROR(__xludf.DUMMYFUNCTION("IFERROR(TO_DATE(E6591), """")"),42566.840775462966)</f>
        <v>42566.84078</v>
      </c>
      <c r="G6591" s="20">
        <f t="shared" si="1"/>
        <v>20</v>
      </c>
      <c r="H6591" s="18" t="s">
        <v>34</v>
      </c>
      <c r="I6591" s="19" t="str">
        <f>IFERROR(__xludf.DUMMYFUNCTION("IFERROR(TO_DATE(H6591), """")"),"NA")</f>
        <v>NA</v>
      </c>
      <c r="J6591" s="19" t="s">
        <v>13</v>
      </c>
      <c r="K6591" s="22">
        <f t="shared" si="2"/>
        <v>0</v>
      </c>
    </row>
    <row r="6592">
      <c r="A6592" s="18">
        <v>6468.0</v>
      </c>
      <c r="B6592" s="18" t="s">
        <v>30</v>
      </c>
      <c r="C6592" s="18" t="s">
        <v>34</v>
      </c>
      <c r="D6592" s="18" t="s">
        <v>35</v>
      </c>
      <c r="E6592" s="27">
        <v>42566.842210648145</v>
      </c>
      <c r="F6592" s="19">
        <f>IFERROR(__xludf.DUMMYFUNCTION("IFERROR(TO_DATE(E6592), """")"),42566.842210648145)</f>
        <v>42566.84221</v>
      </c>
      <c r="G6592" s="20">
        <f t="shared" si="1"/>
        <v>20</v>
      </c>
      <c r="H6592" s="18" t="s">
        <v>34</v>
      </c>
      <c r="I6592" s="19" t="str">
        <f>IFERROR(__xludf.DUMMYFUNCTION("IFERROR(TO_DATE(H6592), """")"),"NA")</f>
        <v>NA</v>
      </c>
      <c r="J6592" s="19" t="s">
        <v>13</v>
      </c>
      <c r="K6592" s="22">
        <f t="shared" si="2"/>
        <v>0</v>
      </c>
    </row>
    <row r="6593">
      <c r="A6593" s="18">
        <v>6458.0</v>
      </c>
      <c r="B6593" s="18" t="s">
        <v>30</v>
      </c>
      <c r="C6593" s="18" t="s">
        <v>34</v>
      </c>
      <c r="D6593" s="18" t="s">
        <v>35</v>
      </c>
      <c r="E6593" s="27">
        <v>42566.84232638889</v>
      </c>
      <c r="F6593" s="19">
        <f>IFERROR(__xludf.DUMMYFUNCTION("IFERROR(TO_DATE(E6593), """")"),42566.84232638889)</f>
        <v>42566.84233</v>
      </c>
      <c r="G6593" s="20">
        <f t="shared" si="1"/>
        <v>20</v>
      </c>
      <c r="H6593" s="18" t="s">
        <v>34</v>
      </c>
      <c r="I6593" s="19" t="str">
        <f>IFERROR(__xludf.DUMMYFUNCTION("IFERROR(TO_DATE(H6593), """")"),"NA")</f>
        <v>NA</v>
      </c>
      <c r="J6593" s="19" t="s">
        <v>13</v>
      </c>
      <c r="K6593" s="22">
        <f t="shared" si="2"/>
        <v>0</v>
      </c>
    </row>
    <row r="6594">
      <c r="A6594" s="18">
        <v>6469.0</v>
      </c>
      <c r="B6594" s="18" t="s">
        <v>32</v>
      </c>
      <c r="C6594" s="18" t="s">
        <v>34</v>
      </c>
      <c r="D6594" s="18" t="s">
        <v>35</v>
      </c>
      <c r="E6594" s="27">
        <v>42566.84258101852</v>
      </c>
      <c r="F6594" s="19">
        <f>IFERROR(__xludf.DUMMYFUNCTION("IFERROR(TO_DATE(E6594), """")"),42566.84258101852)</f>
        <v>42566.84258</v>
      </c>
      <c r="G6594" s="20">
        <f t="shared" si="1"/>
        <v>20</v>
      </c>
      <c r="H6594" s="18" t="s">
        <v>34</v>
      </c>
      <c r="I6594" s="19" t="str">
        <f>IFERROR(__xludf.DUMMYFUNCTION("IFERROR(TO_DATE(H6594), """")"),"NA")</f>
        <v>NA</v>
      </c>
      <c r="J6594" s="19" t="s">
        <v>13</v>
      </c>
      <c r="K6594" s="22">
        <f t="shared" si="2"/>
        <v>0</v>
      </c>
    </row>
    <row r="6595">
      <c r="A6595" s="18">
        <v>6465.0</v>
      </c>
      <c r="B6595" s="18" t="s">
        <v>30</v>
      </c>
      <c r="C6595" s="18" t="s">
        <v>34</v>
      </c>
      <c r="D6595" s="18" t="s">
        <v>35</v>
      </c>
      <c r="E6595" s="27">
        <v>42566.84322916667</v>
      </c>
      <c r="F6595" s="19">
        <f>IFERROR(__xludf.DUMMYFUNCTION("IFERROR(TO_DATE(E6595), """")"),42566.84322916667)</f>
        <v>42566.84323</v>
      </c>
      <c r="G6595" s="20">
        <f t="shared" si="1"/>
        <v>20</v>
      </c>
      <c r="H6595" s="18" t="s">
        <v>34</v>
      </c>
      <c r="I6595" s="19" t="str">
        <f>IFERROR(__xludf.DUMMYFUNCTION("IFERROR(TO_DATE(H6595), """")"),"NA")</f>
        <v>NA</v>
      </c>
      <c r="J6595" s="19" t="s">
        <v>13</v>
      </c>
      <c r="K6595" s="22">
        <f t="shared" si="2"/>
        <v>0</v>
      </c>
    </row>
    <row r="6596">
      <c r="A6596" s="18">
        <v>6467.0</v>
      </c>
      <c r="B6596" s="18" t="s">
        <v>30</v>
      </c>
      <c r="C6596" s="18" t="s">
        <v>34</v>
      </c>
      <c r="D6596" s="18" t="s">
        <v>35</v>
      </c>
      <c r="E6596" s="27">
        <v>42566.8437962963</v>
      </c>
      <c r="F6596" s="19">
        <f>IFERROR(__xludf.DUMMYFUNCTION("IFERROR(TO_DATE(E6596), """")"),42566.8437962963)</f>
        <v>42566.8438</v>
      </c>
      <c r="G6596" s="20">
        <f t="shared" si="1"/>
        <v>20</v>
      </c>
      <c r="H6596" s="18" t="s">
        <v>34</v>
      </c>
      <c r="I6596" s="19" t="str">
        <f>IFERROR(__xludf.DUMMYFUNCTION("IFERROR(TO_DATE(H6596), """")"),"NA")</f>
        <v>NA</v>
      </c>
      <c r="J6596" s="19" t="s">
        <v>13</v>
      </c>
      <c r="K6596" s="22">
        <f t="shared" si="2"/>
        <v>0</v>
      </c>
    </row>
    <row r="6597">
      <c r="A6597" s="18">
        <v>6466.0</v>
      </c>
      <c r="B6597" s="18" t="s">
        <v>30</v>
      </c>
      <c r="C6597" s="18" t="s">
        <v>34</v>
      </c>
      <c r="D6597" s="18" t="s">
        <v>35</v>
      </c>
      <c r="E6597" s="27">
        <v>42566.84409722222</v>
      </c>
      <c r="F6597" s="19">
        <f>IFERROR(__xludf.DUMMYFUNCTION("IFERROR(TO_DATE(E6597), """")"),42566.84409722222)</f>
        <v>42566.8441</v>
      </c>
      <c r="G6597" s="20">
        <f t="shared" si="1"/>
        <v>20</v>
      </c>
      <c r="H6597" s="18" t="s">
        <v>34</v>
      </c>
      <c r="I6597" s="19" t="str">
        <f>IFERROR(__xludf.DUMMYFUNCTION("IFERROR(TO_DATE(H6597), """")"),"NA")</f>
        <v>NA</v>
      </c>
      <c r="J6597" s="19" t="s">
        <v>13</v>
      </c>
      <c r="K6597" s="22">
        <f t="shared" si="2"/>
        <v>0</v>
      </c>
    </row>
    <row r="6598">
      <c r="A6598" s="18">
        <v>6474.0</v>
      </c>
      <c r="B6598" s="18" t="s">
        <v>30</v>
      </c>
      <c r="C6598" s="18" t="s">
        <v>34</v>
      </c>
      <c r="D6598" s="18" t="s">
        <v>35</v>
      </c>
      <c r="E6598" s="27">
        <v>42566.84443287037</v>
      </c>
      <c r="F6598" s="19">
        <f>IFERROR(__xludf.DUMMYFUNCTION("IFERROR(TO_DATE(E6598), """")"),42566.84443287037)</f>
        <v>42566.84443</v>
      </c>
      <c r="G6598" s="20">
        <f t="shared" si="1"/>
        <v>20</v>
      </c>
      <c r="H6598" s="18" t="s">
        <v>34</v>
      </c>
      <c r="I6598" s="19" t="str">
        <f>IFERROR(__xludf.DUMMYFUNCTION("IFERROR(TO_DATE(H6598), """")"),"NA")</f>
        <v>NA</v>
      </c>
      <c r="J6598" s="19" t="s">
        <v>13</v>
      </c>
      <c r="K6598" s="22">
        <f t="shared" si="2"/>
        <v>0</v>
      </c>
    </row>
    <row r="6599">
      <c r="A6599" s="18">
        <v>6476.0</v>
      </c>
      <c r="B6599" s="18" t="s">
        <v>30</v>
      </c>
      <c r="C6599" s="18" t="s">
        <v>34</v>
      </c>
      <c r="D6599" s="18" t="s">
        <v>35</v>
      </c>
      <c r="E6599" s="27">
        <v>42566.84469907408</v>
      </c>
      <c r="F6599" s="19">
        <f>IFERROR(__xludf.DUMMYFUNCTION("IFERROR(TO_DATE(E6599), """")"),42566.84469907408)</f>
        <v>42566.8447</v>
      </c>
      <c r="G6599" s="20">
        <f t="shared" si="1"/>
        <v>20</v>
      </c>
      <c r="H6599" s="18" t="s">
        <v>34</v>
      </c>
      <c r="I6599" s="19" t="str">
        <f>IFERROR(__xludf.DUMMYFUNCTION("IFERROR(TO_DATE(H6599), """")"),"NA")</f>
        <v>NA</v>
      </c>
      <c r="J6599" s="19" t="s">
        <v>13</v>
      </c>
      <c r="K6599" s="22">
        <f t="shared" si="2"/>
        <v>0</v>
      </c>
    </row>
    <row r="6600">
      <c r="A6600" s="18">
        <v>6481.0</v>
      </c>
      <c r="B6600" s="18" t="s">
        <v>30</v>
      </c>
      <c r="C6600" s="18" t="s">
        <v>34</v>
      </c>
      <c r="D6600" s="18" t="s">
        <v>35</v>
      </c>
      <c r="E6600" s="27">
        <v>42566.84658564815</v>
      </c>
      <c r="F6600" s="19">
        <f>IFERROR(__xludf.DUMMYFUNCTION("IFERROR(TO_DATE(E6600), """")"),42566.84658564815)</f>
        <v>42566.84659</v>
      </c>
      <c r="G6600" s="20">
        <f t="shared" si="1"/>
        <v>20</v>
      </c>
      <c r="H6600" s="18" t="s">
        <v>34</v>
      </c>
      <c r="I6600" s="19" t="str">
        <f>IFERROR(__xludf.DUMMYFUNCTION("IFERROR(TO_DATE(H6600), """")"),"NA")</f>
        <v>NA</v>
      </c>
      <c r="J6600" s="19" t="s">
        <v>13</v>
      </c>
      <c r="K6600" s="22">
        <f t="shared" si="2"/>
        <v>0</v>
      </c>
    </row>
    <row r="6601">
      <c r="A6601" s="18">
        <v>6472.0</v>
      </c>
      <c r="B6601" s="18" t="s">
        <v>30</v>
      </c>
      <c r="C6601" s="18" t="s">
        <v>34</v>
      </c>
      <c r="D6601" s="18" t="s">
        <v>35</v>
      </c>
      <c r="E6601" s="27">
        <v>42566.84662037037</v>
      </c>
      <c r="F6601" s="19">
        <f>IFERROR(__xludf.DUMMYFUNCTION("IFERROR(TO_DATE(E6601), """")"),42566.84662037037)</f>
        <v>42566.84662</v>
      </c>
      <c r="G6601" s="20">
        <f t="shared" si="1"/>
        <v>20</v>
      </c>
      <c r="H6601" s="18" t="s">
        <v>34</v>
      </c>
      <c r="I6601" s="19" t="str">
        <f>IFERROR(__xludf.DUMMYFUNCTION("IFERROR(TO_DATE(H6601), """")"),"NA")</f>
        <v>NA</v>
      </c>
      <c r="J6601" s="19" t="s">
        <v>13</v>
      </c>
      <c r="K6601" s="22">
        <f t="shared" si="2"/>
        <v>0</v>
      </c>
    </row>
    <row r="6602">
      <c r="A6602" s="18">
        <v>6480.0</v>
      </c>
      <c r="B6602" s="18" t="s">
        <v>30</v>
      </c>
      <c r="C6602" s="18" t="s">
        <v>34</v>
      </c>
      <c r="D6602" s="18" t="s">
        <v>35</v>
      </c>
      <c r="E6602" s="27">
        <v>42566.84685185185</v>
      </c>
      <c r="F6602" s="19">
        <f>IFERROR(__xludf.DUMMYFUNCTION("IFERROR(TO_DATE(E6602), """")"),42566.84685185185)</f>
        <v>42566.84685</v>
      </c>
      <c r="G6602" s="20">
        <f t="shared" si="1"/>
        <v>20</v>
      </c>
      <c r="H6602" s="18" t="s">
        <v>34</v>
      </c>
      <c r="I6602" s="19" t="str">
        <f>IFERROR(__xludf.DUMMYFUNCTION("IFERROR(TO_DATE(H6602), """")"),"NA")</f>
        <v>NA</v>
      </c>
      <c r="J6602" s="19" t="s">
        <v>13</v>
      </c>
      <c r="K6602" s="22">
        <f t="shared" si="2"/>
        <v>0</v>
      </c>
    </row>
    <row r="6603">
      <c r="A6603" s="18">
        <v>6479.0</v>
      </c>
      <c r="B6603" s="18" t="s">
        <v>30</v>
      </c>
      <c r="C6603" s="18" t="s">
        <v>34</v>
      </c>
      <c r="D6603" s="18" t="s">
        <v>35</v>
      </c>
      <c r="E6603" s="27">
        <v>42566.847662037035</v>
      </c>
      <c r="F6603" s="19">
        <f>IFERROR(__xludf.DUMMYFUNCTION("IFERROR(TO_DATE(E6603), """")"),42566.847662037035)</f>
        <v>42566.84766</v>
      </c>
      <c r="G6603" s="20">
        <f t="shared" si="1"/>
        <v>20</v>
      </c>
      <c r="H6603" s="18" t="s">
        <v>34</v>
      </c>
      <c r="I6603" s="19" t="str">
        <f>IFERROR(__xludf.DUMMYFUNCTION("IFERROR(TO_DATE(H6603), """")"),"NA")</f>
        <v>NA</v>
      </c>
      <c r="J6603" s="19" t="s">
        <v>13</v>
      </c>
      <c r="K6603" s="22">
        <f t="shared" si="2"/>
        <v>0</v>
      </c>
    </row>
    <row r="6604">
      <c r="A6604" s="18">
        <v>6482.0</v>
      </c>
      <c r="B6604" s="18" t="s">
        <v>30</v>
      </c>
      <c r="C6604" s="18" t="s">
        <v>34</v>
      </c>
      <c r="D6604" s="18" t="s">
        <v>35</v>
      </c>
      <c r="E6604" s="27">
        <v>42566.84936342593</v>
      </c>
      <c r="F6604" s="19">
        <f>IFERROR(__xludf.DUMMYFUNCTION("IFERROR(TO_DATE(E6604), """")"),42566.84936342593)</f>
        <v>42566.84936</v>
      </c>
      <c r="G6604" s="20">
        <f t="shared" si="1"/>
        <v>20</v>
      </c>
      <c r="H6604" s="18" t="s">
        <v>34</v>
      </c>
      <c r="I6604" s="19" t="str">
        <f>IFERROR(__xludf.DUMMYFUNCTION("IFERROR(TO_DATE(H6604), """")"),"NA")</f>
        <v>NA</v>
      </c>
      <c r="J6604" s="19" t="s">
        <v>13</v>
      </c>
      <c r="K6604" s="22">
        <f t="shared" si="2"/>
        <v>0</v>
      </c>
    </row>
    <row r="6605">
      <c r="A6605" s="18">
        <v>6485.0</v>
      </c>
      <c r="B6605" s="18" t="s">
        <v>30</v>
      </c>
      <c r="C6605" s="18" t="s">
        <v>34</v>
      </c>
      <c r="D6605" s="18" t="s">
        <v>35</v>
      </c>
      <c r="E6605" s="27">
        <v>42566.84988425926</v>
      </c>
      <c r="F6605" s="19">
        <f>IFERROR(__xludf.DUMMYFUNCTION("IFERROR(TO_DATE(E6605), """")"),42566.84988425926)</f>
        <v>42566.84988</v>
      </c>
      <c r="G6605" s="20">
        <f t="shared" si="1"/>
        <v>20</v>
      </c>
      <c r="H6605" s="18" t="s">
        <v>34</v>
      </c>
      <c r="I6605" s="19" t="str">
        <f>IFERROR(__xludf.DUMMYFUNCTION("IFERROR(TO_DATE(H6605), """")"),"NA")</f>
        <v>NA</v>
      </c>
      <c r="J6605" s="19" t="s">
        <v>13</v>
      </c>
      <c r="K6605" s="22">
        <f t="shared" si="2"/>
        <v>0</v>
      </c>
    </row>
    <row r="6606">
      <c r="A6606" s="18">
        <v>6483.0</v>
      </c>
      <c r="B6606" s="18" t="s">
        <v>30</v>
      </c>
      <c r="C6606" s="18" t="s">
        <v>34</v>
      </c>
      <c r="D6606" s="18" t="s">
        <v>35</v>
      </c>
      <c r="E6606" s="27">
        <v>42566.84998842593</v>
      </c>
      <c r="F6606" s="19">
        <f>IFERROR(__xludf.DUMMYFUNCTION("IFERROR(TO_DATE(E6606), """")"),42566.84998842593)</f>
        <v>42566.84999</v>
      </c>
      <c r="G6606" s="20">
        <f t="shared" si="1"/>
        <v>20</v>
      </c>
      <c r="H6606" s="18" t="s">
        <v>34</v>
      </c>
      <c r="I6606" s="19" t="str">
        <f>IFERROR(__xludf.DUMMYFUNCTION("IFERROR(TO_DATE(H6606), """")"),"NA")</f>
        <v>NA</v>
      </c>
      <c r="J6606" s="19" t="s">
        <v>13</v>
      </c>
      <c r="K6606" s="22">
        <f t="shared" si="2"/>
        <v>0</v>
      </c>
    </row>
    <row r="6607">
      <c r="A6607" s="18">
        <v>6493.0</v>
      </c>
      <c r="B6607" s="18" t="s">
        <v>30</v>
      </c>
      <c r="C6607" s="18" t="s">
        <v>34</v>
      </c>
      <c r="D6607" s="18" t="s">
        <v>35</v>
      </c>
      <c r="E6607" s="27">
        <v>42566.850636574076</v>
      </c>
      <c r="F6607" s="19">
        <f>IFERROR(__xludf.DUMMYFUNCTION("IFERROR(TO_DATE(E6607), """")"),42566.850636574076)</f>
        <v>42566.85064</v>
      </c>
      <c r="G6607" s="20">
        <f t="shared" si="1"/>
        <v>20</v>
      </c>
      <c r="H6607" s="18" t="s">
        <v>34</v>
      </c>
      <c r="I6607" s="19" t="str">
        <f>IFERROR(__xludf.DUMMYFUNCTION("IFERROR(TO_DATE(H6607), """")"),"NA")</f>
        <v>NA</v>
      </c>
      <c r="J6607" s="19" t="s">
        <v>13</v>
      </c>
      <c r="K6607" s="22">
        <f t="shared" si="2"/>
        <v>0</v>
      </c>
    </row>
    <row r="6608">
      <c r="A6608" s="18">
        <v>6494.0</v>
      </c>
      <c r="B6608" s="18" t="s">
        <v>30</v>
      </c>
      <c r="C6608" s="18" t="s">
        <v>34</v>
      </c>
      <c r="D6608" s="18" t="s">
        <v>35</v>
      </c>
      <c r="E6608" s="27">
        <v>42566.85259259259</v>
      </c>
      <c r="F6608" s="19">
        <f>IFERROR(__xludf.DUMMYFUNCTION("IFERROR(TO_DATE(E6608), """")"),42566.85259259259)</f>
        <v>42566.85259</v>
      </c>
      <c r="G6608" s="20">
        <f t="shared" si="1"/>
        <v>20</v>
      </c>
      <c r="H6608" s="18" t="s">
        <v>34</v>
      </c>
      <c r="I6608" s="19" t="str">
        <f>IFERROR(__xludf.DUMMYFUNCTION("IFERROR(TO_DATE(H6608), """")"),"NA")</f>
        <v>NA</v>
      </c>
      <c r="J6608" s="19" t="s">
        <v>13</v>
      </c>
      <c r="K6608" s="22">
        <f t="shared" si="2"/>
        <v>0</v>
      </c>
    </row>
    <row r="6609">
      <c r="A6609" s="18">
        <v>6489.0</v>
      </c>
      <c r="B6609" s="18" t="s">
        <v>30</v>
      </c>
      <c r="C6609" s="18" t="s">
        <v>34</v>
      </c>
      <c r="D6609" s="18" t="s">
        <v>35</v>
      </c>
      <c r="E6609" s="27">
        <v>42566.85304398148</v>
      </c>
      <c r="F6609" s="19">
        <f>IFERROR(__xludf.DUMMYFUNCTION("IFERROR(TO_DATE(E6609), """")"),42566.85304398148)</f>
        <v>42566.85304</v>
      </c>
      <c r="G6609" s="20">
        <f t="shared" si="1"/>
        <v>20</v>
      </c>
      <c r="H6609" s="18" t="s">
        <v>34</v>
      </c>
      <c r="I6609" s="19" t="str">
        <f>IFERROR(__xludf.DUMMYFUNCTION("IFERROR(TO_DATE(H6609), """")"),"NA")</f>
        <v>NA</v>
      </c>
      <c r="J6609" s="19" t="s">
        <v>13</v>
      </c>
      <c r="K6609" s="22">
        <f t="shared" si="2"/>
        <v>0</v>
      </c>
    </row>
    <row r="6610">
      <c r="A6610" s="18">
        <v>6495.0</v>
      </c>
      <c r="B6610" s="18" t="s">
        <v>30</v>
      </c>
      <c r="C6610" s="18" t="s">
        <v>34</v>
      </c>
      <c r="D6610" s="18" t="s">
        <v>35</v>
      </c>
      <c r="E6610" s="27">
        <v>42566.8530787037</v>
      </c>
      <c r="F6610" s="19">
        <f>IFERROR(__xludf.DUMMYFUNCTION("IFERROR(TO_DATE(E6610), """")"),42566.8530787037)</f>
        <v>42566.85308</v>
      </c>
      <c r="G6610" s="20">
        <f t="shared" si="1"/>
        <v>20</v>
      </c>
      <c r="H6610" s="18" t="s">
        <v>34</v>
      </c>
      <c r="I6610" s="19" t="str">
        <f>IFERROR(__xludf.DUMMYFUNCTION("IFERROR(TO_DATE(H6610), """")"),"NA")</f>
        <v>NA</v>
      </c>
      <c r="J6610" s="19" t="s">
        <v>13</v>
      </c>
      <c r="K6610" s="22">
        <f t="shared" si="2"/>
        <v>0</v>
      </c>
    </row>
    <row r="6611">
      <c r="A6611" s="18">
        <v>6504.0</v>
      </c>
      <c r="B6611" s="18" t="s">
        <v>30</v>
      </c>
      <c r="C6611" s="18" t="s">
        <v>34</v>
      </c>
      <c r="D6611" s="18" t="s">
        <v>35</v>
      </c>
      <c r="E6611" s="27">
        <v>42566.85513888889</v>
      </c>
      <c r="F6611" s="19">
        <f>IFERROR(__xludf.DUMMYFUNCTION("IFERROR(TO_DATE(E6611), """")"),42566.85513888889)</f>
        <v>42566.85514</v>
      </c>
      <c r="G6611" s="20">
        <f t="shared" si="1"/>
        <v>20</v>
      </c>
      <c r="H6611" s="18" t="s">
        <v>34</v>
      </c>
      <c r="I6611" s="19" t="str">
        <f>IFERROR(__xludf.DUMMYFUNCTION("IFERROR(TO_DATE(H6611), """")"),"NA")</f>
        <v>NA</v>
      </c>
      <c r="J6611" s="19" t="s">
        <v>13</v>
      </c>
      <c r="K6611" s="22">
        <f t="shared" si="2"/>
        <v>0</v>
      </c>
    </row>
    <row r="6612">
      <c r="A6612" s="18">
        <v>6498.0</v>
      </c>
      <c r="B6612" s="18" t="s">
        <v>30</v>
      </c>
      <c r="C6612" s="18" t="s">
        <v>34</v>
      </c>
      <c r="D6612" s="18" t="s">
        <v>35</v>
      </c>
      <c r="E6612" s="27">
        <v>42566.85667824074</v>
      </c>
      <c r="F6612" s="19">
        <f>IFERROR(__xludf.DUMMYFUNCTION("IFERROR(TO_DATE(E6612), """")"),42566.85667824074)</f>
        <v>42566.85668</v>
      </c>
      <c r="G6612" s="20">
        <f t="shared" si="1"/>
        <v>20</v>
      </c>
      <c r="H6612" s="18" t="s">
        <v>34</v>
      </c>
      <c r="I6612" s="19" t="str">
        <f>IFERROR(__xludf.DUMMYFUNCTION("IFERROR(TO_DATE(H6612), """")"),"NA")</f>
        <v>NA</v>
      </c>
      <c r="J6612" s="19" t="s">
        <v>13</v>
      </c>
      <c r="K6612" s="22">
        <f t="shared" si="2"/>
        <v>0</v>
      </c>
    </row>
    <row r="6613">
      <c r="A6613" s="18">
        <v>6500.0</v>
      </c>
      <c r="B6613" s="18" t="s">
        <v>30</v>
      </c>
      <c r="C6613" s="18" t="s">
        <v>34</v>
      </c>
      <c r="D6613" s="18" t="s">
        <v>35</v>
      </c>
      <c r="E6613" s="27">
        <v>42566.856782407405</v>
      </c>
      <c r="F6613" s="19">
        <f>IFERROR(__xludf.DUMMYFUNCTION("IFERROR(TO_DATE(E6613), """")"),42566.856782407405)</f>
        <v>42566.85678</v>
      </c>
      <c r="G6613" s="20">
        <f t="shared" si="1"/>
        <v>20</v>
      </c>
      <c r="H6613" s="18" t="s">
        <v>34</v>
      </c>
      <c r="I6613" s="19" t="str">
        <f>IFERROR(__xludf.DUMMYFUNCTION("IFERROR(TO_DATE(H6613), """")"),"NA")</f>
        <v>NA</v>
      </c>
      <c r="J6613" s="19" t="s">
        <v>13</v>
      </c>
      <c r="K6613" s="22">
        <f t="shared" si="2"/>
        <v>0</v>
      </c>
    </row>
    <row r="6614">
      <c r="A6614" s="18">
        <v>6512.0</v>
      </c>
      <c r="B6614" s="18" t="s">
        <v>30</v>
      </c>
      <c r="C6614" s="18" t="s">
        <v>34</v>
      </c>
      <c r="D6614" s="18" t="s">
        <v>35</v>
      </c>
      <c r="E6614" s="27">
        <v>42566.85702546296</v>
      </c>
      <c r="F6614" s="19">
        <f>IFERROR(__xludf.DUMMYFUNCTION("IFERROR(TO_DATE(E6614), """")"),42566.85702546296)</f>
        <v>42566.85703</v>
      </c>
      <c r="G6614" s="20">
        <f t="shared" si="1"/>
        <v>20</v>
      </c>
      <c r="H6614" s="18" t="s">
        <v>34</v>
      </c>
      <c r="I6614" s="19" t="str">
        <f>IFERROR(__xludf.DUMMYFUNCTION("IFERROR(TO_DATE(H6614), """")"),"NA")</f>
        <v>NA</v>
      </c>
      <c r="J6614" s="19" t="s">
        <v>13</v>
      </c>
      <c r="K6614" s="22">
        <f t="shared" si="2"/>
        <v>0</v>
      </c>
    </row>
    <row r="6615">
      <c r="A6615" s="18">
        <v>6511.0</v>
      </c>
      <c r="B6615" s="18" t="s">
        <v>30</v>
      </c>
      <c r="C6615" s="18" t="s">
        <v>34</v>
      </c>
      <c r="D6615" s="18" t="s">
        <v>35</v>
      </c>
      <c r="E6615" s="27">
        <v>42566.85716435185</v>
      </c>
      <c r="F6615" s="19">
        <f>IFERROR(__xludf.DUMMYFUNCTION("IFERROR(TO_DATE(E6615), """")"),42566.85716435185)</f>
        <v>42566.85716</v>
      </c>
      <c r="G6615" s="20">
        <f t="shared" si="1"/>
        <v>20</v>
      </c>
      <c r="H6615" s="18" t="s">
        <v>34</v>
      </c>
      <c r="I6615" s="19" t="str">
        <f>IFERROR(__xludf.DUMMYFUNCTION("IFERROR(TO_DATE(H6615), """")"),"NA")</f>
        <v>NA</v>
      </c>
      <c r="J6615" s="19" t="s">
        <v>13</v>
      </c>
      <c r="K6615" s="22">
        <f t="shared" si="2"/>
        <v>0</v>
      </c>
    </row>
    <row r="6616">
      <c r="A6616" s="18">
        <v>6502.0</v>
      </c>
      <c r="B6616" s="18" t="s">
        <v>30</v>
      </c>
      <c r="C6616" s="18" t="s">
        <v>34</v>
      </c>
      <c r="D6616" s="18" t="s">
        <v>35</v>
      </c>
      <c r="E6616" s="27">
        <v>42566.85722222222</v>
      </c>
      <c r="F6616" s="19">
        <f>IFERROR(__xludf.DUMMYFUNCTION("IFERROR(TO_DATE(E6616), """")"),42566.85722222222)</f>
        <v>42566.85722</v>
      </c>
      <c r="G6616" s="20">
        <f t="shared" si="1"/>
        <v>20</v>
      </c>
      <c r="H6616" s="18" t="s">
        <v>34</v>
      </c>
      <c r="I6616" s="19" t="str">
        <f>IFERROR(__xludf.DUMMYFUNCTION("IFERROR(TO_DATE(H6616), """")"),"NA")</f>
        <v>NA</v>
      </c>
      <c r="J6616" s="19" t="s">
        <v>13</v>
      </c>
      <c r="K6616" s="22">
        <f t="shared" si="2"/>
        <v>0</v>
      </c>
    </row>
    <row r="6617">
      <c r="A6617" s="18">
        <v>6506.0</v>
      </c>
      <c r="B6617" s="18" t="s">
        <v>30</v>
      </c>
      <c r="C6617" s="18" t="s">
        <v>34</v>
      </c>
      <c r="D6617" s="18" t="s">
        <v>35</v>
      </c>
      <c r="E6617" s="27">
        <v>42566.85796296296</v>
      </c>
      <c r="F6617" s="19">
        <f>IFERROR(__xludf.DUMMYFUNCTION("IFERROR(TO_DATE(E6617), """")"),42566.85796296296)</f>
        <v>42566.85796</v>
      </c>
      <c r="G6617" s="20">
        <f t="shared" si="1"/>
        <v>20</v>
      </c>
      <c r="H6617" s="18" t="s">
        <v>34</v>
      </c>
      <c r="I6617" s="19" t="str">
        <f>IFERROR(__xludf.DUMMYFUNCTION("IFERROR(TO_DATE(H6617), """")"),"NA")</f>
        <v>NA</v>
      </c>
      <c r="J6617" s="19" t="s">
        <v>13</v>
      </c>
      <c r="K6617" s="22">
        <f t="shared" si="2"/>
        <v>0</v>
      </c>
    </row>
    <row r="6618">
      <c r="A6618" s="18">
        <v>6507.0</v>
      </c>
      <c r="B6618" s="18" t="s">
        <v>30</v>
      </c>
      <c r="C6618" s="18" t="s">
        <v>34</v>
      </c>
      <c r="D6618" s="18" t="s">
        <v>35</v>
      </c>
      <c r="E6618" s="27">
        <v>42566.858761574076</v>
      </c>
      <c r="F6618" s="19">
        <f>IFERROR(__xludf.DUMMYFUNCTION("IFERROR(TO_DATE(E6618), """")"),42566.858761574076)</f>
        <v>42566.85876</v>
      </c>
      <c r="G6618" s="20">
        <f t="shared" si="1"/>
        <v>20</v>
      </c>
      <c r="H6618" s="18" t="s">
        <v>34</v>
      </c>
      <c r="I6618" s="19" t="str">
        <f>IFERROR(__xludf.DUMMYFUNCTION("IFERROR(TO_DATE(H6618), """")"),"NA")</f>
        <v>NA</v>
      </c>
      <c r="J6618" s="19" t="s">
        <v>13</v>
      </c>
      <c r="K6618" s="22">
        <f t="shared" si="2"/>
        <v>0</v>
      </c>
    </row>
    <row r="6619">
      <c r="A6619" s="18">
        <v>6510.0</v>
      </c>
      <c r="B6619" s="18" t="s">
        <v>30</v>
      </c>
      <c r="C6619" s="18" t="s">
        <v>34</v>
      </c>
      <c r="D6619" s="18" t="s">
        <v>35</v>
      </c>
      <c r="E6619" s="27">
        <v>42566.86041666667</v>
      </c>
      <c r="F6619" s="19">
        <f>IFERROR(__xludf.DUMMYFUNCTION("IFERROR(TO_DATE(E6619), """")"),42566.86041666667)</f>
        <v>42566.86042</v>
      </c>
      <c r="G6619" s="20">
        <f t="shared" si="1"/>
        <v>20</v>
      </c>
      <c r="H6619" s="18" t="s">
        <v>34</v>
      </c>
      <c r="I6619" s="19" t="str">
        <f>IFERROR(__xludf.DUMMYFUNCTION("IFERROR(TO_DATE(H6619), """")"),"NA")</f>
        <v>NA</v>
      </c>
      <c r="J6619" s="19" t="s">
        <v>13</v>
      </c>
      <c r="K6619" s="22">
        <f t="shared" si="2"/>
        <v>0</v>
      </c>
    </row>
    <row r="6620">
      <c r="A6620" s="18">
        <v>6501.0</v>
      </c>
      <c r="B6620" s="18" t="s">
        <v>30</v>
      </c>
      <c r="C6620" s="18" t="s">
        <v>34</v>
      </c>
      <c r="D6620" s="18" t="s">
        <v>35</v>
      </c>
      <c r="E6620" s="27">
        <v>42566.8608912037</v>
      </c>
      <c r="F6620" s="19">
        <f>IFERROR(__xludf.DUMMYFUNCTION("IFERROR(TO_DATE(E6620), """")"),42566.8608912037)</f>
        <v>42566.86089</v>
      </c>
      <c r="G6620" s="20">
        <f t="shared" si="1"/>
        <v>20</v>
      </c>
      <c r="H6620" s="18" t="s">
        <v>34</v>
      </c>
      <c r="I6620" s="19" t="str">
        <f>IFERROR(__xludf.DUMMYFUNCTION("IFERROR(TO_DATE(H6620), """")"),"NA")</f>
        <v>NA</v>
      </c>
      <c r="J6620" s="19" t="s">
        <v>13</v>
      </c>
      <c r="K6620" s="22">
        <f t="shared" si="2"/>
        <v>0</v>
      </c>
    </row>
    <row r="6621">
      <c r="A6621" s="18">
        <v>6513.0</v>
      </c>
      <c r="B6621" s="18" t="s">
        <v>30</v>
      </c>
      <c r="C6621" s="18" t="s">
        <v>34</v>
      </c>
      <c r="D6621" s="18" t="s">
        <v>35</v>
      </c>
      <c r="E6621" s="27">
        <v>42566.861655092594</v>
      </c>
      <c r="F6621" s="19">
        <f>IFERROR(__xludf.DUMMYFUNCTION("IFERROR(TO_DATE(E6621), """")"),42566.861655092594)</f>
        <v>42566.86166</v>
      </c>
      <c r="G6621" s="20">
        <f t="shared" si="1"/>
        <v>20</v>
      </c>
      <c r="H6621" s="18" t="s">
        <v>34</v>
      </c>
      <c r="I6621" s="19" t="str">
        <f>IFERROR(__xludf.DUMMYFUNCTION("IFERROR(TO_DATE(H6621), """")"),"NA")</f>
        <v>NA</v>
      </c>
      <c r="J6621" s="19" t="s">
        <v>13</v>
      </c>
      <c r="K6621" s="22">
        <f t="shared" si="2"/>
        <v>0</v>
      </c>
    </row>
    <row r="6622">
      <c r="A6622" s="18">
        <v>6517.0</v>
      </c>
      <c r="B6622" s="18" t="s">
        <v>30</v>
      </c>
      <c r="C6622" s="18" t="s">
        <v>34</v>
      </c>
      <c r="D6622" s="18" t="s">
        <v>35</v>
      </c>
      <c r="E6622" s="27">
        <v>42566.86219907407</v>
      </c>
      <c r="F6622" s="19">
        <f>IFERROR(__xludf.DUMMYFUNCTION("IFERROR(TO_DATE(E6622), """")"),42566.86219907407)</f>
        <v>42566.8622</v>
      </c>
      <c r="G6622" s="20">
        <f t="shared" si="1"/>
        <v>20</v>
      </c>
      <c r="H6622" s="18" t="s">
        <v>34</v>
      </c>
      <c r="I6622" s="19" t="str">
        <f>IFERROR(__xludf.DUMMYFUNCTION("IFERROR(TO_DATE(H6622), """")"),"NA")</f>
        <v>NA</v>
      </c>
      <c r="J6622" s="19" t="s">
        <v>13</v>
      </c>
      <c r="K6622" s="22">
        <f t="shared" si="2"/>
        <v>0</v>
      </c>
    </row>
    <row r="6623">
      <c r="A6623" s="18">
        <v>6516.0</v>
      </c>
      <c r="B6623" s="18" t="s">
        <v>30</v>
      </c>
      <c r="C6623" s="18" t="s">
        <v>34</v>
      </c>
      <c r="D6623" s="18" t="s">
        <v>35</v>
      </c>
      <c r="E6623" s="27">
        <v>42566.8637962963</v>
      </c>
      <c r="F6623" s="19">
        <f>IFERROR(__xludf.DUMMYFUNCTION("IFERROR(TO_DATE(E6623), """")"),42566.8637962963)</f>
        <v>42566.8638</v>
      </c>
      <c r="G6623" s="20">
        <f t="shared" si="1"/>
        <v>20</v>
      </c>
      <c r="H6623" s="18" t="s">
        <v>34</v>
      </c>
      <c r="I6623" s="19" t="str">
        <f>IFERROR(__xludf.DUMMYFUNCTION("IFERROR(TO_DATE(H6623), """")"),"NA")</f>
        <v>NA</v>
      </c>
      <c r="J6623" s="19" t="s">
        <v>13</v>
      </c>
      <c r="K6623" s="22">
        <f t="shared" si="2"/>
        <v>0</v>
      </c>
    </row>
    <row r="6624">
      <c r="A6624" s="18">
        <v>6518.0</v>
      </c>
      <c r="B6624" s="18" t="s">
        <v>30</v>
      </c>
      <c r="C6624" s="18" t="s">
        <v>34</v>
      </c>
      <c r="D6624" s="18" t="s">
        <v>35</v>
      </c>
      <c r="E6624" s="27">
        <v>42566.86380787037</v>
      </c>
      <c r="F6624" s="19">
        <f>IFERROR(__xludf.DUMMYFUNCTION("IFERROR(TO_DATE(E6624), """")"),42566.86380787037)</f>
        <v>42566.86381</v>
      </c>
      <c r="G6624" s="20">
        <f t="shared" si="1"/>
        <v>20</v>
      </c>
      <c r="H6624" s="18" t="s">
        <v>34</v>
      </c>
      <c r="I6624" s="19" t="str">
        <f>IFERROR(__xludf.DUMMYFUNCTION("IFERROR(TO_DATE(H6624), """")"),"NA")</f>
        <v>NA</v>
      </c>
      <c r="J6624" s="19" t="s">
        <v>13</v>
      </c>
      <c r="K6624" s="22">
        <f t="shared" si="2"/>
        <v>0</v>
      </c>
    </row>
    <row r="6625">
      <c r="A6625" s="18">
        <v>6514.0</v>
      </c>
      <c r="B6625" s="18" t="s">
        <v>30</v>
      </c>
      <c r="C6625" s="18" t="s">
        <v>34</v>
      </c>
      <c r="D6625" s="18" t="s">
        <v>35</v>
      </c>
      <c r="E6625" s="27">
        <v>42566.86493055556</v>
      </c>
      <c r="F6625" s="19">
        <f>IFERROR(__xludf.DUMMYFUNCTION("IFERROR(TO_DATE(E6625), """")"),42566.86493055556)</f>
        <v>42566.86493</v>
      </c>
      <c r="G6625" s="20">
        <f t="shared" si="1"/>
        <v>20</v>
      </c>
      <c r="H6625" s="18" t="s">
        <v>34</v>
      </c>
      <c r="I6625" s="19" t="str">
        <f>IFERROR(__xludf.DUMMYFUNCTION("IFERROR(TO_DATE(H6625), """")"),"NA")</f>
        <v>NA</v>
      </c>
      <c r="J6625" s="19" t="s">
        <v>13</v>
      </c>
      <c r="K6625" s="22">
        <f t="shared" si="2"/>
        <v>0</v>
      </c>
    </row>
    <row r="6626">
      <c r="A6626" s="18">
        <v>6515.0</v>
      </c>
      <c r="B6626" s="18" t="s">
        <v>30</v>
      </c>
      <c r="C6626" s="18" t="s">
        <v>34</v>
      </c>
      <c r="D6626" s="18" t="s">
        <v>35</v>
      </c>
      <c r="E6626" s="27">
        <v>42566.865266203706</v>
      </c>
      <c r="F6626" s="19">
        <f>IFERROR(__xludf.DUMMYFUNCTION("IFERROR(TO_DATE(E6626), """")"),42566.865266203706)</f>
        <v>42566.86527</v>
      </c>
      <c r="G6626" s="20">
        <f t="shared" si="1"/>
        <v>20</v>
      </c>
      <c r="H6626" s="18" t="s">
        <v>34</v>
      </c>
      <c r="I6626" s="19" t="str">
        <f>IFERROR(__xludf.DUMMYFUNCTION("IFERROR(TO_DATE(H6626), """")"),"NA")</f>
        <v>NA</v>
      </c>
      <c r="J6626" s="19" t="s">
        <v>13</v>
      </c>
      <c r="K6626" s="22">
        <f t="shared" si="2"/>
        <v>0</v>
      </c>
    </row>
    <row r="6627">
      <c r="A6627" s="18">
        <v>6521.0</v>
      </c>
      <c r="B6627" s="18" t="s">
        <v>30</v>
      </c>
      <c r="C6627" s="18" t="s">
        <v>34</v>
      </c>
      <c r="D6627" s="18" t="s">
        <v>35</v>
      </c>
      <c r="E6627" s="27">
        <v>42566.86530092593</v>
      </c>
      <c r="F6627" s="19">
        <f>IFERROR(__xludf.DUMMYFUNCTION("IFERROR(TO_DATE(E6627), """")"),42566.86530092593)</f>
        <v>42566.8653</v>
      </c>
      <c r="G6627" s="20">
        <f t="shared" si="1"/>
        <v>20</v>
      </c>
      <c r="H6627" s="18" t="s">
        <v>34</v>
      </c>
      <c r="I6627" s="19" t="str">
        <f>IFERROR(__xludf.DUMMYFUNCTION("IFERROR(TO_DATE(H6627), """")"),"NA")</f>
        <v>NA</v>
      </c>
      <c r="J6627" s="19" t="s">
        <v>13</v>
      </c>
      <c r="K6627" s="22">
        <f t="shared" si="2"/>
        <v>0</v>
      </c>
    </row>
    <row r="6628">
      <c r="A6628" s="18">
        <v>6522.0</v>
      </c>
      <c r="B6628" s="18" t="s">
        <v>32</v>
      </c>
      <c r="C6628" s="18" t="s">
        <v>34</v>
      </c>
      <c r="D6628" s="18" t="s">
        <v>35</v>
      </c>
      <c r="E6628" s="27">
        <v>42566.86584490741</v>
      </c>
      <c r="F6628" s="19">
        <f>IFERROR(__xludf.DUMMYFUNCTION("IFERROR(TO_DATE(E6628), """")"),42566.86584490741)</f>
        <v>42566.86584</v>
      </c>
      <c r="G6628" s="20">
        <f t="shared" si="1"/>
        <v>20</v>
      </c>
      <c r="H6628" s="18" t="s">
        <v>34</v>
      </c>
      <c r="I6628" s="19" t="str">
        <f>IFERROR(__xludf.DUMMYFUNCTION("IFERROR(TO_DATE(H6628), """")"),"NA")</f>
        <v>NA</v>
      </c>
      <c r="J6628" s="19" t="s">
        <v>13</v>
      </c>
      <c r="K6628" s="22">
        <f t="shared" si="2"/>
        <v>0</v>
      </c>
    </row>
    <row r="6629">
      <c r="A6629" s="18">
        <v>6524.0</v>
      </c>
      <c r="B6629" s="18" t="s">
        <v>30</v>
      </c>
      <c r="C6629" s="18" t="s">
        <v>34</v>
      </c>
      <c r="D6629" s="18" t="s">
        <v>35</v>
      </c>
      <c r="E6629" s="27">
        <v>42566.866689814815</v>
      </c>
      <c r="F6629" s="19">
        <f>IFERROR(__xludf.DUMMYFUNCTION("IFERROR(TO_DATE(E6629), """")"),42566.866689814815)</f>
        <v>42566.86669</v>
      </c>
      <c r="G6629" s="20">
        <f t="shared" si="1"/>
        <v>20</v>
      </c>
      <c r="H6629" s="18" t="s">
        <v>34</v>
      </c>
      <c r="I6629" s="19" t="str">
        <f>IFERROR(__xludf.DUMMYFUNCTION("IFERROR(TO_DATE(H6629), """")"),"NA")</f>
        <v>NA</v>
      </c>
      <c r="J6629" s="19" t="s">
        <v>13</v>
      </c>
      <c r="K6629" s="22">
        <f t="shared" si="2"/>
        <v>0</v>
      </c>
    </row>
    <row r="6630">
      <c r="A6630" s="18">
        <v>6529.0</v>
      </c>
      <c r="B6630" s="18" t="s">
        <v>30</v>
      </c>
      <c r="C6630" s="18" t="s">
        <v>34</v>
      </c>
      <c r="D6630" s="18" t="s">
        <v>35</v>
      </c>
      <c r="E6630" s="27">
        <v>42566.867002314815</v>
      </c>
      <c r="F6630" s="19">
        <f>IFERROR(__xludf.DUMMYFUNCTION("IFERROR(TO_DATE(E6630), """")"),42566.867002314815)</f>
        <v>42566.867</v>
      </c>
      <c r="G6630" s="20">
        <f t="shared" si="1"/>
        <v>20</v>
      </c>
      <c r="H6630" s="18" t="s">
        <v>34</v>
      </c>
      <c r="I6630" s="19" t="str">
        <f>IFERROR(__xludf.DUMMYFUNCTION("IFERROR(TO_DATE(H6630), """")"),"NA")</f>
        <v>NA</v>
      </c>
      <c r="J6630" s="19" t="s">
        <v>13</v>
      </c>
      <c r="K6630" s="22">
        <f t="shared" si="2"/>
        <v>0</v>
      </c>
    </row>
    <row r="6631">
      <c r="A6631" s="18">
        <v>6532.0</v>
      </c>
      <c r="B6631" s="18" t="s">
        <v>30</v>
      </c>
      <c r="C6631" s="18" t="s">
        <v>34</v>
      </c>
      <c r="D6631" s="18" t="s">
        <v>35</v>
      </c>
      <c r="E6631" s="27">
        <v>42566.867939814816</v>
      </c>
      <c r="F6631" s="19">
        <f>IFERROR(__xludf.DUMMYFUNCTION("IFERROR(TO_DATE(E6631), """")"),42566.867939814816)</f>
        <v>42566.86794</v>
      </c>
      <c r="G6631" s="20">
        <f t="shared" si="1"/>
        <v>20</v>
      </c>
      <c r="H6631" s="18" t="s">
        <v>34</v>
      </c>
      <c r="I6631" s="19" t="str">
        <f>IFERROR(__xludf.DUMMYFUNCTION("IFERROR(TO_DATE(H6631), """")"),"NA")</f>
        <v>NA</v>
      </c>
      <c r="J6631" s="19" t="s">
        <v>13</v>
      </c>
      <c r="K6631" s="22">
        <f t="shared" si="2"/>
        <v>0</v>
      </c>
    </row>
    <row r="6632">
      <c r="A6632" s="18">
        <v>6520.0</v>
      </c>
      <c r="B6632" s="18" t="s">
        <v>30</v>
      </c>
      <c r="C6632" s="18" t="s">
        <v>34</v>
      </c>
      <c r="D6632" s="18" t="s">
        <v>35</v>
      </c>
      <c r="E6632" s="27">
        <v>42566.86913194445</v>
      </c>
      <c r="F6632" s="19">
        <f>IFERROR(__xludf.DUMMYFUNCTION("IFERROR(TO_DATE(E6632), """")"),42566.86913194445)</f>
        <v>42566.86913</v>
      </c>
      <c r="G6632" s="20">
        <f t="shared" si="1"/>
        <v>20</v>
      </c>
      <c r="H6632" s="18" t="s">
        <v>34</v>
      </c>
      <c r="I6632" s="19" t="str">
        <f>IFERROR(__xludf.DUMMYFUNCTION("IFERROR(TO_DATE(H6632), """")"),"NA")</f>
        <v>NA</v>
      </c>
      <c r="J6632" s="19" t="s">
        <v>13</v>
      </c>
      <c r="K6632" s="22">
        <f t="shared" si="2"/>
        <v>0</v>
      </c>
    </row>
    <row r="6633">
      <c r="A6633" s="18">
        <v>6525.0</v>
      </c>
      <c r="B6633" s="18" t="s">
        <v>30</v>
      </c>
      <c r="C6633" s="18" t="s">
        <v>34</v>
      </c>
      <c r="D6633" s="18" t="s">
        <v>35</v>
      </c>
      <c r="E6633" s="27">
        <v>42566.86931712963</v>
      </c>
      <c r="F6633" s="19">
        <f>IFERROR(__xludf.DUMMYFUNCTION("IFERROR(TO_DATE(E6633), """")"),42566.86931712963)</f>
        <v>42566.86932</v>
      </c>
      <c r="G6633" s="20">
        <f t="shared" si="1"/>
        <v>20</v>
      </c>
      <c r="H6633" s="18" t="s">
        <v>34</v>
      </c>
      <c r="I6633" s="19" t="str">
        <f>IFERROR(__xludf.DUMMYFUNCTION("IFERROR(TO_DATE(H6633), """")"),"NA")</f>
        <v>NA</v>
      </c>
      <c r="J6633" s="19" t="s">
        <v>13</v>
      </c>
      <c r="K6633" s="22">
        <f t="shared" si="2"/>
        <v>0</v>
      </c>
    </row>
    <row r="6634">
      <c r="A6634" s="18">
        <v>6536.0</v>
      </c>
      <c r="B6634" s="18" t="s">
        <v>30</v>
      </c>
      <c r="C6634" s="18" t="s">
        <v>34</v>
      </c>
      <c r="D6634" s="18" t="s">
        <v>35</v>
      </c>
      <c r="E6634" s="27">
        <v>42566.8693287037</v>
      </c>
      <c r="F6634" s="19">
        <f>IFERROR(__xludf.DUMMYFUNCTION("IFERROR(TO_DATE(E6634), """")"),42566.8693287037)</f>
        <v>42566.86933</v>
      </c>
      <c r="G6634" s="20">
        <f t="shared" si="1"/>
        <v>20</v>
      </c>
      <c r="H6634" s="18" t="s">
        <v>34</v>
      </c>
      <c r="I6634" s="19" t="str">
        <f>IFERROR(__xludf.DUMMYFUNCTION("IFERROR(TO_DATE(H6634), """")"),"NA")</f>
        <v>NA</v>
      </c>
      <c r="J6634" s="19" t="s">
        <v>13</v>
      </c>
      <c r="K6634" s="22">
        <f t="shared" si="2"/>
        <v>0</v>
      </c>
    </row>
    <row r="6635">
      <c r="A6635" s="18">
        <v>6526.0</v>
      </c>
      <c r="B6635" s="18" t="s">
        <v>30</v>
      </c>
      <c r="C6635" s="18" t="s">
        <v>34</v>
      </c>
      <c r="D6635" s="18" t="s">
        <v>35</v>
      </c>
      <c r="E6635" s="27">
        <v>42566.86976851852</v>
      </c>
      <c r="F6635" s="19">
        <f>IFERROR(__xludf.DUMMYFUNCTION("IFERROR(TO_DATE(E6635), """")"),42566.86976851852)</f>
        <v>42566.86977</v>
      </c>
      <c r="G6635" s="20">
        <f t="shared" si="1"/>
        <v>20</v>
      </c>
      <c r="H6635" s="18" t="s">
        <v>34</v>
      </c>
      <c r="I6635" s="19" t="str">
        <f>IFERROR(__xludf.DUMMYFUNCTION("IFERROR(TO_DATE(H6635), """")"),"NA")</f>
        <v>NA</v>
      </c>
      <c r="J6635" s="19" t="s">
        <v>13</v>
      </c>
      <c r="K6635" s="22">
        <f t="shared" si="2"/>
        <v>0</v>
      </c>
    </row>
    <row r="6636">
      <c r="A6636" s="18">
        <v>6535.0</v>
      </c>
      <c r="B6636" s="18" t="s">
        <v>30</v>
      </c>
      <c r="C6636" s="18" t="s">
        <v>34</v>
      </c>
      <c r="D6636" s="18" t="s">
        <v>35</v>
      </c>
      <c r="E6636" s="27">
        <v>42566.869780092595</v>
      </c>
      <c r="F6636" s="19">
        <f>IFERROR(__xludf.DUMMYFUNCTION("IFERROR(TO_DATE(E6636), """")"),42566.869780092595)</f>
        <v>42566.86978</v>
      </c>
      <c r="G6636" s="20">
        <f t="shared" si="1"/>
        <v>20</v>
      </c>
      <c r="H6636" s="18" t="s">
        <v>34</v>
      </c>
      <c r="I6636" s="19" t="str">
        <f>IFERROR(__xludf.DUMMYFUNCTION("IFERROR(TO_DATE(H6636), """")"),"NA")</f>
        <v>NA</v>
      </c>
      <c r="J6636" s="19" t="s">
        <v>13</v>
      </c>
      <c r="K6636" s="22">
        <f t="shared" si="2"/>
        <v>0</v>
      </c>
    </row>
    <row r="6637">
      <c r="A6637" s="18">
        <v>6528.0</v>
      </c>
      <c r="B6637" s="18" t="s">
        <v>30</v>
      </c>
      <c r="C6637" s="18" t="s">
        <v>34</v>
      </c>
      <c r="D6637" s="18" t="s">
        <v>35</v>
      </c>
      <c r="E6637" s="27">
        <v>42566.8699537037</v>
      </c>
      <c r="F6637" s="19">
        <f>IFERROR(__xludf.DUMMYFUNCTION("IFERROR(TO_DATE(E6637), """")"),42566.8699537037)</f>
        <v>42566.86995</v>
      </c>
      <c r="G6637" s="20">
        <f t="shared" si="1"/>
        <v>20</v>
      </c>
      <c r="H6637" s="18" t="s">
        <v>34</v>
      </c>
      <c r="I6637" s="19" t="str">
        <f>IFERROR(__xludf.DUMMYFUNCTION("IFERROR(TO_DATE(H6637), """")"),"NA")</f>
        <v>NA</v>
      </c>
      <c r="J6637" s="19" t="s">
        <v>13</v>
      </c>
      <c r="K6637" s="22">
        <f t="shared" si="2"/>
        <v>0</v>
      </c>
    </row>
    <row r="6638">
      <c r="A6638" s="18">
        <v>6523.0</v>
      </c>
      <c r="B6638" s="18" t="s">
        <v>30</v>
      </c>
      <c r="C6638" s="18" t="s">
        <v>34</v>
      </c>
      <c r="D6638" s="18" t="s">
        <v>35</v>
      </c>
      <c r="E6638" s="27">
        <v>42566.87086805556</v>
      </c>
      <c r="F6638" s="19">
        <f>IFERROR(__xludf.DUMMYFUNCTION("IFERROR(TO_DATE(E6638), """")"),42566.87086805556)</f>
        <v>42566.87087</v>
      </c>
      <c r="G6638" s="20">
        <f t="shared" si="1"/>
        <v>20</v>
      </c>
      <c r="H6638" s="18" t="s">
        <v>34</v>
      </c>
      <c r="I6638" s="19" t="str">
        <f>IFERROR(__xludf.DUMMYFUNCTION("IFERROR(TO_DATE(H6638), """")"),"NA")</f>
        <v>NA</v>
      </c>
      <c r="J6638" s="19" t="s">
        <v>13</v>
      </c>
      <c r="K6638" s="22">
        <f t="shared" si="2"/>
        <v>0</v>
      </c>
    </row>
    <row r="6639">
      <c r="A6639" s="18">
        <v>6545.0</v>
      </c>
      <c r="B6639" s="18" t="s">
        <v>30</v>
      </c>
      <c r="C6639" s="18" t="s">
        <v>34</v>
      </c>
      <c r="D6639" s="18" t="s">
        <v>35</v>
      </c>
      <c r="E6639" s="27">
        <v>42566.871354166666</v>
      </c>
      <c r="F6639" s="19">
        <f>IFERROR(__xludf.DUMMYFUNCTION("IFERROR(TO_DATE(E6639), """")"),42566.871354166666)</f>
        <v>42566.87135</v>
      </c>
      <c r="G6639" s="20">
        <f t="shared" si="1"/>
        <v>20</v>
      </c>
      <c r="H6639" s="18" t="s">
        <v>34</v>
      </c>
      <c r="I6639" s="19" t="str">
        <f>IFERROR(__xludf.DUMMYFUNCTION("IFERROR(TO_DATE(H6639), """")"),"NA")</f>
        <v>NA</v>
      </c>
      <c r="J6639" s="19" t="s">
        <v>13</v>
      </c>
      <c r="K6639" s="22">
        <f t="shared" si="2"/>
        <v>0</v>
      </c>
    </row>
    <row r="6640">
      <c r="A6640" s="18">
        <v>6544.0</v>
      </c>
      <c r="B6640" s="18" t="s">
        <v>30</v>
      </c>
      <c r="C6640" s="18" t="s">
        <v>34</v>
      </c>
      <c r="D6640" s="18" t="s">
        <v>35</v>
      </c>
      <c r="E6640" s="27">
        <v>42566.871412037035</v>
      </c>
      <c r="F6640" s="19">
        <f>IFERROR(__xludf.DUMMYFUNCTION("IFERROR(TO_DATE(E6640), """")"),42566.871412037035)</f>
        <v>42566.87141</v>
      </c>
      <c r="G6640" s="20">
        <f t="shared" si="1"/>
        <v>20</v>
      </c>
      <c r="H6640" s="18" t="s">
        <v>34</v>
      </c>
      <c r="I6640" s="19" t="str">
        <f>IFERROR(__xludf.DUMMYFUNCTION("IFERROR(TO_DATE(H6640), """")"),"NA")</f>
        <v>NA</v>
      </c>
      <c r="J6640" s="19" t="s">
        <v>13</v>
      </c>
      <c r="K6640" s="22">
        <f t="shared" si="2"/>
        <v>0</v>
      </c>
    </row>
    <row r="6641">
      <c r="A6641" s="18">
        <v>6534.0</v>
      </c>
      <c r="B6641" s="18" t="s">
        <v>30</v>
      </c>
      <c r="C6641" s="18" t="s">
        <v>34</v>
      </c>
      <c r="D6641" s="18" t="s">
        <v>35</v>
      </c>
      <c r="E6641" s="27">
        <v>42566.87186342593</v>
      </c>
      <c r="F6641" s="19">
        <f>IFERROR(__xludf.DUMMYFUNCTION("IFERROR(TO_DATE(E6641), """")"),42566.87186342593)</f>
        <v>42566.87186</v>
      </c>
      <c r="G6641" s="20">
        <f t="shared" si="1"/>
        <v>20</v>
      </c>
      <c r="H6641" s="18" t="s">
        <v>34</v>
      </c>
      <c r="I6641" s="19" t="str">
        <f>IFERROR(__xludf.DUMMYFUNCTION("IFERROR(TO_DATE(H6641), """")"),"NA")</f>
        <v>NA</v>
      </c>
      <c r="J6641" s="19" t="s">
        <v>13</v>
      </c>
      <c r="K6641" s="22">
        <f t="shared" si="2"/>
        <v>0</v>
      </c>
    </row>
    <row r="6642">
      <c r="A6642" s="18">
        <v>6542.0</v>
      </c>
      <c r="B6642" s="18" t="s">
        <v>32</v>
      </c>
      <c r="C6642" s="18" t="s">
        <v>34</v>
      </c>
      <c r="D6642" s="18" t="s">
        <v>35</v>
      </c>
      <c r="E6642" s="27">
        <v>42566.87206018518</v>
      </c>
      <c r="F6642" s="19">
        <f>IFERROR(__xludf.DUMMYFUNCTION("IFERROR(TO_DATE(E6642), """")"),42566.87206018518)</f>
        <v>42566.87206</v>
      </c>
      <c r="G6642" s="20">
        <f t="shared" si="1"/>
        <v>20</v>
      </c>
      <c r="H6642" s="18" t="s">
        <v>34</v>
      </c>
      <c r="I6642" s="19" t="str">
        <f>IFERROR(__xludf.DUMMYFUNCTION("IFERROR(TO_DATE(H6642), """")"),"NA")</f>
        <v>NA</v>
      </c>
      <c r="J6642" s="19" t="s">
        <v>13</v>
      </c>
      <c r="K6642" s="22">
        <f t="shared" si="2"/>
        <v>0</v>
      </c>
    </row>
    <row r="6643">
      <c r="A6643" s="18">
        <v>6539.0</v>
      </c>
      <c r="B6643" s="18" t="s">
        <v>30</v>
      </c>
      <c r="C6643" s="18" t="s">
        <v>34</v>
      </c>
      <c r="D6643" s="18" t="s">
        <v>35</v>
      </c>
      <c r="E6643" s="27">
        <v>42566.872928240744</v>
      </c>
      <c r="F6643" s="19">
        <f>IFERROR(__xludf.DUMMYFUNCTION("IFERROR(TO_DATE(E6643), """")"),42566.872928240744)</f>
        <v>42566.87293</v>
      </c>
      <c r="G6643" s="20">
        <f t="shared" si="1"/>
        <v>20</v>
      </c>
      <c r="H6643" s="18" t="s">
        <v>34</v>
      </c>
      <c r="I6643" s="19" t="str">
        <f>IFERROR(__xludf.DUMMYFUNCTION("IFERROR(TO_DATE(H6643), """")"),"NA")</f>
        <v>NA</v>
      </c>
      <c r="J6643" s="19" t="s">
        <v>13</v>
      </c>
      <c r="K6643" s="22">
        <f t="shared" si="2"/>
        <v>0</v>
      </c>
    </row>
    <row r="6644">
      <c r="A6644" s="18">
        <v>6547.0</v>
      </c>
      <c r="B6644" s="18" t="s">
        <v>30</v>
      </c>
      <c r="C6644" s="18" t="s">
        <v>34</v>
      </c>
      <c r="D6644" s="18" t="s">
        <v>35</v>
      </c>
      <c r="E6644" s="27">
        <v>42566.874768518515</v>
      </c>
      <c r="F6644" s="19">
        <f>IFERROR(__xludf.DUMMYFUNCTION("IFERROR(TO_DATE(E6644), """")"),42566.874768518515)</f>
        <v>42566.87477</v>
      </c>
      <c r="G6644" s="20">
        <f t="shared" si="1"/>
        <v>20</v>
      </c>
      <c r="H6644" s="18" t="s">
        <v>34</v>
      </c>
      <c r="I6644" s="19" t="str">
        <f>IFERROR(__xludf.DUMMYFUNCTION("IFERROR(TO_DATE(H6644), """")"),"NA")</f>
        <v>NA</v>
      </c>
      <c r="J6644" s="19" t="s">
        <v>13</v>
      </c>
      <c r="K6644" s="22">
        <f t="shared" si="2"/>
        <v>0</v>
      </c>
    </row>
    <row r="6645">
      <c r="A6645" s="18">
        <v>6546.0</v>
      </c>
      <c r="B6645" s="18" t="s">
        <v>30</v>
      </c>
      <c r="C6645" s="18" t="s">
        <v>34</v>
      </c>
      <c r="D6645" s="18" t="s">
        <v>35</v>
      </c>
      <c r="E6645" s="27">
        <v>42566.87578703704</v>
      </c>
      <c r="F6645" s="19">
        <f>IFERROR(__xludf.DUMMYFUNCTION("IFERROR(TO_DATE(E6645), """")"),42566.87578703704)</f>
        <v>42566.87579</v>
      </c>
      <c r="G6645" s="20">
        <f t="shared" si="1"/>
        <v>21</v>
      </c>
      <c r="H6645" s="18" t="s">
        <v>34</v>
      </c>
      <c r="I6645" s="19" t="str">
        <f>IFERROR(__xludf.DUMMYFUNCTION("IFERROR(TO_DATE(H6645), """")"),"NA")</f>
        <v>NA</v>
      </c>
      <c r="J6645" s="19" t="s">
        <v>13</v>
      </c>
      <c r="K6645" s="22">
        <f t="shared" si="2"/>
        <v>0</v>
      </c>
    </row>
    <row r="6646">
      <c r="A6646" s="18">
        <v>6549.0</v>
      </c>
      <c r="B6646" s="18" t="s">
        <v>30</v>
      </c>
      <c r="C6646" s="18" t="s">
        <v>34</v>
      </c>
      <c r="D6646" s="18" t="s">
        <v>35</v>
      </c>
      <c r="E6646" s="27">
        <v>42566.87667824074</v>
      </c>
      <c r="F6646" s="19">
        <f>IFERROR(__xludf.DUMMYFUNCTION("IFERROR(TO_DATE(E6646), """")"),42566.87667824074)</f>
        <v>42566.87668</v>
      </c>
      <c r="G6646" s="20">
        <f t="shared" si="1"/>
        <v>21</v>
      </c>
      <c r="H6646" s="18" t="s">
        <v>34</v>
      </c>
      <c r="I6646" s="19" t="str">
        <f>IFERROR(__xludf.DUMMYFUNCTION("IFERROR(TO_DATE(H6646), """")"),"NA")</f>
        <v>NA</v>
      </c>
      <c r="J6646" s="19" t="s">
        <v>13</v>
      </c>
      <c r="K6646" s="22">
        <f t="shared" si="2"/>
        <v>0</v>
      </c>
    </row>
    <row r="6647">
      <c r="A6647" s="18">
        <v>6550.0</v>
      </c>
      <c r="B6647" s="18" t="s">
        <v>30</v>
      </c>
      <c r="C6647" s="18" t="s">
        <v>34</v>
      </c>
      <c r="D6647" s="18" t="s">
        <v>35</v>
      </c>
      <c r="E6647" s="27">
        <v>42566.87778935185</v>
      </c>
      <c r="F6647" s="19">
        <f>IFERROR(__xludf.DUMMYFUNCTION("IFERROR(TO_DATE(E6647), """")"),42566.87778935185)</f>
        <v>42566.87779</v>
      </c>
      <c r="G6647" s="20">
        <f t="shared" si="1"/>
        <v>21</v>
      </c>
      <c r="H6647" s="18" t="s">
        <v>34</v>
      </c>
      <c r="I6647" s="19" t="str">
        <f>IFERROR(__xludf.DUMMYFUNCTION("IFERROR(TO_DATE(H6647), """")"),"NA")</f>
        <v>NA</v>
      </c>
      <c r="J6647" s="19" t="s">
        <v>13</v>
      </c>
      <c r="K6647" s="22">
        <f t="shared" si="2"/>
        <v>0</v>
      </c>
    </row>
    <row r="6648">
      <c r="A6648" s="18">
        <v>6555.0</v>
      </c>
      <c r="B6648" s="18" t="s">
        <v>30</v>
      </c>
      <c r="C6648" s="18" t="s">
        <v>34</v>
      </c>
      <c r="D6648" s="18" t="s">
        <v>35</v>
      </c>
      <c r="E6648" s="27">
        <v>42566.87912037037</v>
      </c>
      <c r="F6648" s="19">
        <f>IFERROR(__xludf.DUMMYFUNCTION("IFERROR(TO_DATE(E6648), """")"),42566.87912037037)</f>
        <v>42566.87912</v>
      </c>
      <c r="G6648" s="20">
        <f t="shared" si="1"/>
        <v>21</v>
      </c>
      <c r="H6648" s="18" t="s">
        <v>34</v>
      </c>
      <c r="I6648" s="19" t="str">
        <f>IFERROR(__xludf.DUMMYFUNCTION("IFERROR(TO_DATE(H6648), """")"),"NA")</f>
        <v>NA</v>
      </c>
      <c r="J6648" s="19" t="s">
        <v>13</v>
      </c>
      <c r="K6648" s="22">
        <f t="shared" si="2"/>
        <v>0</v>
      </c>
    </row>
    <row r="6649">
      <c r="A6649" s="18">
        <v>6553.0</v>
      </c>
      <c r="B6649" s="18" t="s">
        <v>30</v>
      </c>
      <c r="C6649" s="18" t="s">
        <v>34</v>
      </c>
      <c r="D6649" s="18" t="s">
        <v>35</v>
      </c>
      <c r="E6649" s="27">
        <v>42566.87925925926</v>
      </c>
      <c r="F6649" s="19">
        <f>IFERROR(__xludf.DUMMYFUNCTION("IFERROR(TO_DATE(E6649), """")"),42566.87925925926)</f>
        <v>42566.87926</v>
      </c>
      <c r="G6649" s="20">
        <f t="shared" si="1"/>
        <v>21</v>
      </c>
      <c r="H6649" s="18" t="s">
        <v>34</v>
      </c>
      <c r="I6649" s="19" t="str">
        <f>IFERROR(__xludf.DUMMYFUNCTION("IFERROR(TO_DATE(H6649), """")"),"NA")</f>
        <v>NA</v>
      </c>
      <c r="J6649" s="19" t="s">
        <v>13</v>
      </c>
      <c r="K6649" s="22">
        <f t="shared" si="2"/>
        <v>0</v>
      </c>
    </row>
    <row r="6650">
      <c r="A6650" s="18">
        <v>6564.0</v>
      </c>
      <c r="B6650" s="18" t="s">
        <v>30</v>
      </c>
      <c r="C6650" s="18" t="s">
        <v>34</v>
      </c>
      <c r="D6650" s="18" t="s">
        <v>35</v>
      </c>
      <c r="E6650" s="27">
        <v>42566.88085648148</v>
      </c>
      <c r="F6650" s="19">
        <f>IFERROR(__xludf.DUMMYFUNCTION("IFERROR(TO_DATE(E6650), """")"),42566.88085648148)</f>
        <v>42566.88086</v>
      </c>
      <c r="G6650" s="20">
        <f t="shared" si="1"/>
        <v>21</v>
      </c>
      <c r="H6650" s="18" t="s">
        <v>34</v>
      </c>
      <c r="I6650" s="19" t="str">
        <f>IFERROR(__xludf.DUMMYFUNCTION("IFERROR(TO_DATE(H6650), """")"),"NA")</f>
        <v>NA</v>
      </c>
      <c r="J6650" s="19" t="s">
        <v>13</v>
      </c>
      <c r="K6650" s="22">
        <f t="shared" si="2"/>
        <v>0</v>
      </c>
    </row>
    <row r="6651">
      <c r="A6651" s="18">
        <v>6552.0</v>
      </c>
      <c r="B6651" s="18" t="s">
        <v>30</v>
      </c>
      <c r="C6651" s="18" t="s">
        <v>34</v>
      </c>
      <c r="D6651" s="18" t="s">
        <v>35</v>
      </c>
      <c r="E6651" s="27">
        <v>42566.88118055555</v>
      </c>
      <c r="F6651" s="19">
        <f>IFERROR(__xludf.DUMMYFUNCTION("IFERROR(TO_DATE(E6651), """")"),42566.88118055555)</f>
        <v>42566.88118</v>
      </c>
      <c r="G6651" s="20">
        <f t="shared" si="1"/>
        <v>21</v>
      </c>
      <c r="H6651" s="18" t="s">
        <v>34</v>
      </c>
      <c r="I6651" s="19" t="str">
        <f>IFERROR(__xludf.DUMMYFUNCTION("IFERROR(TO_DATE(H6651), """")"),"NA")</f>
        <v>NA</v>
      </c>
      <c r="J6651" s="19" t="s">
        <v>13</v>
      </c>
      <c r="K6651" s="22">
        <f t="shared" si="2"/>
        <v>0</v>
      </c>
    </row>
    <row r="6652">
      <c r="A6652" s="18">
        <v>6565.0</v>
      </c>
      <c r="B6652" s="18" t="s">
        <v>30</v>
      </c>
      <c r="C6652" s="18" t="s">
        <v>34</v>
      </c>
      <c r="D6652" s="18" t="s">
        <v>35</v>
      </c>
      <c r="E6652" s="27">
        <v>42566.88165509259</v>
      </c>
      <c r="F6652" s="19">
        <f>IFERROR(__xludf.DUMMYFUNCTION("IFERROR(TO_DATE(E6652), """")"),42566.88165509259)</f>
        <v>42566.88166</v>
      </c>
      <c r="G6652" s="20">
        <f t="shared" si="1"/>
        <v>21</v>
      </c>
      <c r="H6652" s="18" t="s">
        <v>34</v>
      </c>
      <c r="I6652" s="19" t="str">
        <f>IFERROR(__xludf.DUMMYFUNCTION("IFERROR(TO_DATE(H6652), """")"),"NA")</f>
        <v>NA</v>
      </c>
      <c r="J6652" s="19" t="s">
        <v>13</v>
      </c>
      <c r="K6652" s="22">
        <f t="shared" si="2"/>
        <v>0</v>
      </c>
    </row>
    <row r="6653">
      <c r="A6653" s="18">
        <v>6570.0</v>
      </c>
      <c r="B6653" s="18" t="s">
        <v>30</v>
      </c>
      <c r="C6653" s="18" t="s">
        <v>34</v>
      </c>
      <c r="D6653" s="18" t="s">
        <v>35</v>
      </c>
      <c r="E6653" s="27">
        <v>42566.883101851854</v>
      </c>
      <c r="F6653" s="19">
        <f>IFERROR(__xludf.DUMMYFUNCTION("IFERROR(TO_DATE(E6653), """")"),42566.883101851854)</f>
        <v>42566.8831</v>
      </c>
      <c r="G6653" s="20">
        <f t="shared" si="1"/>
        <v>21</v>
      </c>
      <c r="H6653" s="18" t="s">
        <v>34</v>
      </c>
      <c r="I6653" s="19" t="str">
        <f>IFERROR(__xludf.DUMMYFUNCTION("IFERROR(TO_DATE(H6653), """")"),"NA")</f>
        <v>NA</v>
      </c>
      <c r="J6653" s="19" t="s">
        <v>13</v>
      </c>
      <c r="K6653" s="22">
        <f t="shared" si="2"/>
        <v>0</v>
      </c>
    </row>
    <row r="6654">
      <c r="A6654" s="18">
        <v>6567.0</v>
      </c>
      <c r="B6654" s="18" t="s">
        <v>30</v>
      </c>
      <c r="C6654" s="18" t="s">
        <v>34</v>
      </c>
      <c r="D6654" s="18" t="s">
        <v>35</v>
      </c>
      <c r="E6654" s="27">
        <v>42566.8837037037</v>
      </c>
      <c r="F6654" s="19">
        <f>IFERROR(__xludf.DUMMYFUNCTION("IFERROR(TO_DATE(E6654), """")"),42566.8837037037)</f>
        <v>42566.8837</v>
      </c>
      <c r="G6654" s="20">
        <f t="shared" si="1"/>
        <v>21</v>
      </c>
      <c r="H6654" s="18" t="s">
        <v>34</v>
      </c>
      <c r="I6654" s="19" t="str">
        <f>IFERROR(__xludf.DUMMYFUNCTION("IFERROR(TO_DATE(H6654), """")"),"NA")</f>
        <v>NA</v>
      </c>
      <c r="J6654" s="19" t="s">
        <v>13</v>
      </c>
      <c r="K6654" s="22">
        <f t="shared" si="2"/>
        <v>0</v>
      </c>
    </row>
    <row r="6655">
      <c r="A6655" s="18">
        <v>6566.0</v>
      </c>
      <c r="B6655" s="18" t="s">
        <v>30</v>
      </c>
      <c r="C6655" s="18" t="s">
        <v>34</v>
      </c>
      <c r="D6655" s="18" t="s">
        <v>35</v>
      </c>
      <c r="E6655" s="27">
        <v>42566.88385416667</v>
      </c>
      <c r="F6655" s="19">
        <f>IFERROR(__xludf.DUMMYFUNCTION("IFERROR(TO_DATE(E6655), """")"),42566.88385416667)</f>
        <v>42566.88385</v>
      </c>
      <c r="G6655" s="20">
        <f t="shared" si="1"/>
        <v>21</v>
      </c>
      <c r="H6655" s="18" t="s">
        <v>34</v>
      </c>
      <c r="I6655" s="19" t="str">
        <f>IFERROR(__xludf.DUMMYFUNCTION("IFERROR(TO_DATE(H6655), """")"),"NA")</f>
        <v>NA</v>
      </c>
      <c r="J6655" s="19" t="s">
        <v>13</v>
      </c>
      <c r="K6655" s="22">
        <f t="shared" si="2"/>
        <v>0</v>
      </c>
    </row>
    <row r="6656">
      <c r="A6656" s="18">
        <v>6569.0</v>
      </c>
      <c r="B6656" s="18" t="s">
        <v>30</v>
      </c>
      <c r="C6656" s="18" t="s">
        <v>34</v>
      </c>
      <c r="D6656" s="18" t="s">
        <v>35</v>
      </c>
      <c r="E6656" s="27">
        <v>42566.885659722226</v>
      </c>
      <c r="F6656" s="19">
        <f>IFERROR(__xludf.DUMMYFUNCTION("IFERROR(TO_DATE(E6656), """")"),42566.885659722226)</f>
        <v>42566.88566</v>
      </c>
      <c r="G6656" s="20">
        <f t="shared" si="1"/>
        <v>21</v>
      </c>
      <c r="H6656" s="18" t="s">
        <v>34</v>
      </c>
      <c r="I6656" s="19" t="str">
        <f>IFERROR(__xludf.DUMMYFUNCTION("IFERROR(TO_DATE(H6656), """")"),"NA")</f>
        <v>NA</v>
      </c>
      <c r="J6656" s="19" t="s">
        <v>13</v>
      </c>
      <c r="K6656" s="22">
        <f t="shared" si="2"/>
        <v>0</v>
      </c>
    </row>
    <row r="6657">
      <c r="A6657" s="18">
        <v>6579.0</v>
      </c>
      <c r="B6657" s="18" t="s">
        <v>30</v>
      </c>
      <c r="C6657" s="18" t="s">
        <v>34</v>
      </c>
      <c r="D6657" s="18" t="s">
        <v>35</v>
      </c>
      <c r="E6657" s="27">
        <v>42566.886145833334</v>
      </c>
      <c r="F6657" s="19">
        <f>IFERROR(__xludf.DUMMYFUNCTION("IFERROR(TO_DATE(E6657), """")"),42566.886145833334)</f>
        <v>42566.88615</v>
      </c>
      <c r="G6657" s="20">
        <f t="shared" si="1"/>
        <v>21</v>
      </c>
      <c r="H6657" s="18" t="s">
        <v>34</v>
      </c>
      <c r="I6657" s="19" t="str">
        <f>IFERROR(__xludf.DUMMYFUNCTION("IFERROR(TO_DATE(H6657), """")"),"NA")</f>
        <v>NA</v>
      </c>
      <c r="J6657" s="19" t="s">
        <v>13</v>
      </c>
      <c r="K6657" s="22">
        <f t="shared" si="2"/>
        <v>0</v>
      </c>
    </row>
    <row r="6658">
      <c r="A6658" s="18">
        <v>6574.0</v>
      </c>
      <c r="B6658" s="18" t="s">
        <v>30</v>
      </c>
      <c r="C6658" s="18" t="s">
        <v>34</v>
      </c>
      <c r="D6658" s="18" t="s">
        <v>35</v>
      </c>
      <c r="E6658" s="27">
        <v>42566.88630787037</v>
      </c>
      <c r="F6658" s="19">
        <f>IFERROR(__xludf.DUMMYFUNCTION("IFERROR(TO_DATE(E6658), """")"),42566.88630787037)</f>
        <v>42566.88631</v>
      </c>
      <c r="G6658" s="20">
        <f t="shared" si="1"/>
        <v>21</v>
      </c>
      <c r="H6658" s="18" t="s">
        <v>34</v>
      </c>
      <c r="I6658" s="19" t="str">
        <f>IFERROR(__xludf.DUMMYFUNCTION("IFERROR(TO_DATE(H6658), """")"),"NA")</f>
        <v>NA</v>
      </c>
      <c r="J6658" s="19" t="s">
        <v>13</v>
      </c>
      <c r="K6658" s="22">
        <f t="shared" si="2"/>
        <v>0</v>
      </c>
    </row>
    <row r="6659">
      <c r="A6659" s="18">
        <v>6578.0</v>
      </c>
      <c r="B6659" s="18" t="s">
        <v>30</v>
      </c>
      <c r="C6659" s="18" t="s">
        <v>34</v>
      </c>
      <c r="D6659" s="18" t="s">
        <v>35</v>
      </c>
      <c r="E6659" s="27">
        <v>42566.886469907404</v>
      </c>
      <c r="F6659" s="19">
        <f>IFERROR(__xludf.DUMMYFUNCTION("IFERROR(TO_DATE(E6659), """")"),42566.886469907404)</f>
        <v>42566.88647</v>
      </c>
      <c r="G6659" s="20">
        <f t="shared" si="1"/>
        <v>21</v>
      </c>
      <c r="H6659" s="18" t="s">
        <v>34</v>
      </c>
      <c r="I6659" s="19" t="str">
        <f>IFERROR(__xludf.DUMMYFUNCTION("IFERROR(TO_DATE(H6659), """")"),"NA")</f>
        <v>NA</v>
      </c>
      <c r="J6659" s="19" t="s">
        <v>13</v>
      </c>
      <c r="K6659" s="22">
        <f t="shared" si="2"/>
        <v>0</v>
      </c>
    </row>
    <row r="6660">
      <c r="A6660" s="18">
        <v>6576.0</v>
      </c>
      <c r="B6660" s="18" t="s">
        <v>30</v>
      </c>
      <c r="C6660" s="18" t="s">
        <v>34</v>
      </c>
      <c r="D6660" s="18" t="s">
        <v>35</v>
      </c>
      <c r="E6660" s="27">
        <v>42566.889131944445</v>
      </c>
      <c r="F6660" s="19">
        <f>IFERROR(__xludf.DUMMYFUNCTION("IFERROR(TO_DATE(E6660), """")"),42566.889131944445)</f>
        <v>42566.88913</v>
      </c>
      <c r="G6660" s="20">
        <f t="shared" si="1"/>
        <v>21</v>
      </c>
      <c r="H6660" s="18" t="s">
        <v>34</v>
      </c>
      <c r="I6660" s="19" t="str">
        <f>IFERROR(__xludf.DUMMYFUNCTION("IFERROR(TO_DATE(H6660), """")"),"NA")</f>
        <v>NA</v>
      </c>
      <c r="J6660" s="19" t="s">
        <v>13</v>
      </c>
      <c r="K6660" s="22">
        <f t="shared" si="2"/>
        <v>0</v>
      </c>
    </row>
    <row r="6661">
      <c r="A6661" s="18">
        <v>6581.0</v>
      </c>
      <c r="B6661" s="18" t="s">
        <v>30</v>
      </c>
      <c r="C6661" s="18" t="s">
        <v>34</v>
      </c>
      <c r="D6661" s="18" t="s">
        <v>35</v>
      </c>
      <c r="E6661" s="27">
        <v>42566.88921296296</v>
      </c>
      <c r="F6661" s="19">
        <f>IFERROR(__xludf.DUMMYFUNCTION("IFERROR(TO_DATE(E6661), """")"),42566.88921296296)</f>
        <v>42566.88921</v>
      </c>
      <c r="G6661" s="20">
        <f t="shared" si="1"/>
        <v>21</v>
      </c>
      <c r="H6661" s="18" t="s">
        <v>34</v>
      </c>
      <c r="I6661" s="19" t="str">
        <f>IFERROR(__xludf.DUMMYFUNCTION("IFERROR(TO_DATE(H6661), """")"),"NA")</f>
        <v>NA</v>
      </c>
      <c r="J6661" s="19" t="s">
        <v>13</v>
      </c>
      <c r="K6661" s="22">
        <f t="shared" si="2"/>
        <v>0</v>
      </c>
    </row>
    <row r="6662">
      <c r="A6662" s="18">
        <v>6586.0</v>
      </c>
      <c r="B6662" s="18" t="s">
        <v>30</v>
      </c>
      <c r="C6662" s="18" t="s">
        <v>34</v>
      </c>
      <c r="D6662" s="18" t="s">
        <v>35</v>
      </c>
      <c r="E6662" s="27">
        <v>42566.890543981484</v>
      </c>
      <c r="F6662" s="19">
        <f>IFERROR(__xludf.DUMMYFUNCTION("IFERROR(TO_DATE(E6662), """")"),42566.890543981484)</f>
        <v>42566.89054</v>
      </c>
      <c r="G6662" s="20">
        <f t="shared" si="1"/>
        <v>21</v>
      </c>
      <c r="H6662" s="18" t="s">
        <v>34</v>
      </c>
      <c r="I6662" s="19" t="str">
        <f>IFERROR(__xludf.DUMMYFUNCTION("IFERROR(TO_DATE(H6662), """")"),"NA")</f>
        <v>NA</v>
      </c>
      <c r="J6662" s="19" t="s">
        <v>13</v>
      </c>
      <c r="K6662" s="22">
        <f t="shared" si="2"/>
        <v>0</v>
      </c>
    </row>
    <row r="6663">
      <c r="A6663" s="18">
        <v>6583.0</v>
      </c>
      <c r="B6663" s="18" t="s">
        <v>30</v>
      </c>
      <c r="C6663" s="18" t="s">
        <v>34</v>
      </c>
      <c r="D6663" s="18" t="s">
        <v>35</v>
      </c>
      <c r="E6663" s="27">
        <v>42566.89114583333</v>
      </c>
      <c r="F6663" s="19">
        <f>IFERROR(__xludf.DUMMYFUNCTION("IFERROR(TO_DATE(E6663), """")"),42566.89114583333)</f>
        <v>42566.89115</v>
      </c>
      <c r="G6663" s="20">
        <f t="shared" si="1"/>
        <v>21</v>
      </c>
      <c r="H6663" s="18" t="s">
        <v>34</v>
      </c>
      <c r="I6663" s="19" t="str">
        <f>IFERROR(__xludf.DUMMYFUNCTION("IFERROR(TO_DATE(H6663), """")"),"NA")</f>
        <v>NA</v>
      </c>
      <c r="J6663" s="19" t="s">
        <v>13</v>
      </c>
      <c r="K6663" s="22">
        <f t="shared" si="2"/>
        <v>0</v>
      </c>
    </row>
    <row r="6664">
      <c r="A6664" s="18">
        <v>6585.0</v>
      </c>
      <c r="B6664" s="18" t="s">
        <v>32</v>
      </c>
      <c r="C6664" s="18" t="s">
        <v>34</v>
      </c>
      <c r="D6664" s="18" t="s">
        <v>35</v>
      </c>
      <c r="E6664" s="27">
        <v>42566.89125</v>
      </c>
      <c r="F6664" s="19">
        <f>IFERROR(__xludf.DUMMYFUNCTION("IFERROR(TO_DATE(E6664), """")"),42566.89125)</f>
        <v>42566.89125</v>
      </c>
      <c r="G6664" s="20">
        <f t="shared" si="1"/>
        <v>21</v>
      </c>
      <c r="H6664" s="18" t="s">
        <v>34</v>
      </c>
      <c r="I6664" s="19" t="str">
        <f>IFERROR(__xludf.DUMMYFUNCTION("IFERROR(TO_DATE(H6664), """")"),"NA")</f>
        <v>NA</v>
      </c>
      <c r="J6664" s="19" t="s">
        <v>13</v>
      </c>
      <c r="K6664" s="22">
        <f t="shared" si="2"/>
        <v>0</v>
      </c>
    </row>
    <row r="6665">
      <c r="A6665" s="18">
        <v>6580.0</v>
      </c>
      <c r="B6665" s="18" t="s">
        <v>30</v>
      </c>
      <c r="C6665" s="18" t="s">
        <v>34</v>
      </c>
      <c r="D6665" s="18" t="s">
        <v>35</v>
      </c>
      <c r="E6665" s="27">
        <v>42566.89172453704</v>
      </c>
      <c r="F6665" s="19">
        <f>IFERROR(__xludf.DUMMYFUNCTION("IFERROR(TO_DATE(E6665), """")"),42566.89172453704)</f>
        <v>42566.89172</v>
      </c>
      <c r="G6665" s="20">
        <f t="shared" si="1"/>
        <v>21</v>
      </c>
      <c r="H6665" s="18" t="s">
        <v>34</v>
      </c>
      <c r="I6665" s="19" t="str">
        <f>IFERROR(__xludf.DUMMYFUNCTION("IFERROR(TO_DATE(H6665), """")"),"NA")</f>
        <v>NA</v>
      </c>
      <c r="J6665" s="19" t="s">
        <v>13</v>
      </c>
      <c r="K6665" s="22">
        <f t="shared" si="2"/>
        <v>0</v>
      </c>
    </row>
    <row r="6666">
      <c r="A6666" s="18">
        <v>6588.0</v>
      </c>
      <c r="B6666" s="18" t="s">
        <v>30</v>
      </c>
      <c r="C6666" s="18" t="s">
        <v>34</v>
      </c>
      <c r="D6666" s="18" t="s">
        <v>35</v>
      </c>
      <c r="E6666" s="27">
        <v>42566.893599537034</v>
      </c>
      <c r="F6666" s="19">
        <f>IFERROR(__xludf.DUMMYFUNCTION("IFERROR(TO_DATE(E6666), """")"),42566.893599537034)</f>
        <v>42566.8936</v>
      </c>
      <c r="G6666" s="20">
        <f t="shared" si="1"/>
        <v>21</v>
      </c>
      <c r="H6666" s="18" t="s">
        <v>34</v>
      </c>
      <c r="I6666" s="19" t="str">
        <f>IFERROR(__xludf.DUMMYFUNCTION("IFERROR(TO_DATE(H6666), """")"),"NA")</f>
        <v>NA</v>
      </c>
      <c r="J6666" s="19" t="s">
        <v>13</v>
      </c>
      <c r="K6666" s="22">
        <f t="shared" si="2"/>
        <v>0</v>
      </c>
    </row>
    <row r="6667">
      <c r="A6667" s="18">
        <v>6584.0</v>
      </c>
      <c r="B6667" s="18" t="s">
        <v>30</v>
      </c>
      <c r="C6667" s="18" t="s">
        <v>34</v>
      </c>
      <c r="D6667" s="18" t="s">
        <v>35</v>
      </c>
      <c r="E6667" s="27">
        <v>42566.89462962963</v>
      </c>
      <c r="F6667" s="19">
        <f>IFERROR(__xludf.DUMMYFUNCTION("IFERROR(TO_DATE(E6667), """")"),42566.89462962963)</f>
        <v>42566.89463</v>
      </c>
      <c r="G6667" s="20">
        <f t="shared" si="1"/>
        <v>21</v>
      </c>
      <c r="H6667" s="18" t="s">
        <v>34</v>
      </c>
      <c r="I6667" s="19" t="str">
        <f>IFERROR(__xludf.DUMMYFUNCTION("IFERROR(TO_DATE(H6667), """")"),"NA")</f>
        <v>NA</v>
      </c>
      <c r="J6667" s="19" t="s">
        <v>13</v>
      </c>
      <c r="K6667" s="22">
        <f t="shared" si="2"/>
        <v>0</v>
      </c>
    </row>
    <row r="6668">
      <c r="A6668" s="18">
        <v>6593.0</v>
      </c>
      <c r="B6668" s="18" t="s">
        <v>30</v>
      </c>
      <c r="C6668" s="18" t="s">
        <v>34</v>
      </c>
      <c r="D6668" s="18" t="s">
        <v>35</v>
      </c>
      <c r="E6668" s="27">
        <v>42566.89579861111</v>
      </c>
      <c r="F6668" s="19">
        <f>IFERROR(__xludf.DUMMYFUNCTION("IFERROR(TO_DATE(E6668), """")"),42566.89579861111)</f>
        <v>42566.8958</v>
      </c>
      <c r="G6668" s="20">
        <f t="shared" si="1"/>
        <v>21</v>
      </c>
      <c r="H6668" s="18" t="s">
        <v>34</v>
      </c>
      <c r="I6668" s="19" t="str">
        <f>IFERROR(__xludf.DUMMYFUNCTION("IFERROR(TO_DATE(H6668), """")"),"NA")</f>
        <v>NA</v>
      </c>
      <c r="J6668" s="19" t="s">
        <v>13</v>
      </c>
      <c r="K6668" s="22">
        <f t="shared" si="2"/>
        <v>0</v>
      </c>
    </row>
    <row r="6669">
      <c r="A6669" s="18">
        <v>6589.0</v>
      </c>
      <c r="B6669" s="18" t="s">
        <v>30</v>
      </c>
      <c r="C6669" s="18" t="s">
        <v>34</v>
      </c>
      <c r="D6669" s="18" t="s">
        <v>35</v>
      </c>
      <c r="E6669" s="27">
        <v>42566.895949074074</v>
      </c>
      <c r="F6669" s="19">
        <f>IFERROR(__xludf.DUMMYFUNCTION("IFERROR(TO_DATE(E6669), """")"),42566.895949074074)</f>
        <v>42566.89595</v>
      </c>
      <c r="G6669" s="20">
        <f t="shared" si="1"/>
        <v>21</v>
      </c>
      <c r="H6669" s="18" t="s">
        <v>34</v>
      </c>
      <c r="I6669" s="19" t="str">
        <f>IFERROR(__xludf.DUMMYFUNCTION("IFERROR(TO_DATE(H6669), """")"),"NA")</f>
        <v>NA</v>
      </c>
      <c r="J6669" s="19" t="s">
        <v>13</v>
      </c>
      <c r="K6669" s="22">
        <f t="shared" si="2"/>
        <v>0</v>
      </c>
    </row>
    <row r="6670">
      <c r="A6670" s="18">
        <v>6595.0</v>
      </c>
      <c r="B6670" s="18" t="s">
        <v>30</v>
      </c>
      <c r="C6670" s="18" t="s">
        <v>34</v>
      </c>
      <c r="D6670" s="18" t="s">
        <v>35</v>
      </c>
      <c r="E6670" s="27">
        <v>42566.89644675926</v>
      </c>
      <c r="F6670" s="19">
        <f>IFERROR(__xludf.DUMMYFUNCTION("IFERROR(TO_DATE(E6670), """")"),42566.89644675926)</f>
        <v>42566.89645</v>
      </c>
      <c r="G6670" s="20">
        <f t="shared" si="1"/>
        <v>21</v>
      </c>
      <c r="H6670" s="18" t="s">
        <v>34</v>
      </c>
      <c r="I6670" s="19" t="str">
        <f>IFERROR(__xludf.DUMMYFUNCTION("IFERROR(TO_DATE(H6670), """")"),"NA")</f>
        <v>NA</v>
      </c>
      <c r="J6670" s="19" t="s">
        <v>13</v>
      </c>
      <c r="K6670" s="22">
        <f t="shared" si="2"/>
        <v>0</v>
      </c>
    </row>
    <row r="6671">
      <c r="A6671" s="18">
        <v>6591.0</v>
      </c>
      <c r="B6671" s="18" t="s">
        <v>32</v>
      </c>
      <c r="C6671" s="18" t="s">
        <v>34</v>
      </c>
      <c r="D6671" s="18" t="s">
        <v>35</v>
      </c>
      <c r="E6671" s="27">
        <v>42566.8978587963</v>
      </c>
      <c r="F6671" s="19">
        <f>IFERROR(__xludf.DUMMYFUNCTION("IFERROR(TO_DATE(E6671), """")"),42566.8978587963)</f>
        <v>42566.89786</v>
      </c>
      <c r="G6671" s="20">
        <f t="shared" si="1"/>
        <v>21</v>
      </c>
      <c r="H6671" s="18" t="s">
        <v>34</v>
      </c>
      <c r="I6671" s="19" t="str">
        <f>IFERROR(__xludf.DUMMYFUNCTION("IFERROR(TO_DATE(H6671), """")"),"NA")</f>
        <v>NA</v>
      </c>
      <c r="J6671" s="19" t="s">
        <v>13</v>
      </c>
      <c r="K6671" s="22">
        <f t="shared" si="2"/>
        <v>0</v>
      </c>
    </row>
    <row r="6672">
      <c r="A6672" s="18">
        <v>6599.0</v>
      </c>
      <c r="B6672" s="18" t="s">
        <v>30</v>
      </c>
      <c r="C6672" s="18" t="s">
        <v>34</v>
      </c>
      <c r="D6672" s="18" t="s">
        <v>35</v>
      </c>
      <c r="E6672" s="27">
        <v>42566.90085648148</v>
      </c>
      <c r="F6672" s="19">
        <f>IFERROR(__xludf.DUMMYFUNCTION("IFERROR(TO_DATE(E6672), """")"),42566.90085648148)</f>
        <v>42566.90086</v>
      </c>
      <c r="G6672" s="20">
        <f t="shared" si="1"/>
        <v>21</v>
      </c>
      <c r="H6672" s="18" t="s">
        <v>34</v>
      </c>
      <c r="I6672" s="19" t="str">
        <f>IFERROR(__xludf.DUMMYFUNCTION("IFERROR(TO_DATE(H6672), """")"),"NA")</f>
        <v>NA</v>
      </c>
      <c r="J6672" s="19" t="s">
        <v>13</v>
      </c>
      <c r="K6672" s="22">
        <f t="shared" si="2"/>
        <v>0</v>
      </c>
    </row>
    <row r="6673">
      <c r="A6673" s="18">
        <v>6592.0</v>
      </c>
      <c r="B6673" s="18" t="s">
        <v>30</v>
      </c>
      <c r="C6673" s="18" t="s">
        <v>34</v>
      </c>
      <c r="D6673" s="18" t="s">
        <v>35</v>
      </c>
      <c r="E6673" s="27">
        <v>42566.90212962963</v>
      </c>
      <c r="F6673" s="19">
        <f>IFERROR(__xludf.DUMMYFUNCTION("IFERROR(TO_DATE(E6673), """")"),42566.90212962963)</f>
        <v>42566.90213</v>
      </c>
      <c r="G6673" s="20">
        <f t="shared" si="1"/>
        <v>21</v>
      </c>
      <c r="H6673" s="18" t="s">
        <v>34</v>
      </c>
      <c r="I6673" s="19" t="str">
        <f>IFERROR(__xludf.DUMMYFUNCTION("IFERROR(TO_DATE(H6673), """")"),"NA")</f>
        <v>NA</v>
      </c>
      <c r="J6673" s="19" t="s">
        <v>13</v>
      </c>
      <c r="K6673" s="22">
        <f t="shared" si="2"/>
        <v>0</v>
      </c>
    </row>
    <row r="6674">
      <c r="A6674" s="18">
        <v>6594.0</v>
      </c>
      <c r="B6674" s="18" t="s">
        <v>30</v>
      </c>
      <c r="C6674" s="18" t="s">
        <v>34</v>
      </c>
      <c r="D6674" s="18" t="s">
        <v>35</v>
      </c>
      <c r="E6674" s="27">
        <v>42566.90268518519</v>
      </c>
      <c r="F6674" s="19">
        <f>IFERROR(__xludf.DUMMYFUNCTION("IFERROR(TO_DATE(E6674), """")"),42566.90268518519)</f>
        <v>42566.90269</v>
      </c>
      <c r="G6674" s="20">
        <f t="shared" si="1"/>
        <v>21</v>
      </c>
      <c r="H6674" s="18" t="s">
        <v>34</v>
      </c>
      <c r="I6674" s="19" t="str">
        <f>IFERROR(__xludf.DUMMYFUNCTION("IFERROR(TO_DATE(H6674), """")"),"NA")</f>
        <v>NA</v>
      </c>
      <c r="J6674" s="19" t="s">
        <v>13</v>
      </c>
      <c r="K6674" s="22">
        <f t="shared" si="2"/>
        <v>0</v>
      </c>
    </row>
    <row r="6675">
      <c r="A6675" s="18">
        <v>6601.0</v>
      </c>
      <c r="B6675" s="18" t="s">
        <v>30</v>
      </c>
      <c r="C6675" s="18" t="s">
        <v>34</v>
      </c>
      <c r="D6675" s="18" t="s">
        <v>35</v>
      </c>
      <c r="E6675" s="27">
        <v>42566.90274305556</v>
      </c>
      <c r="F6675" s="19">
        <f>IFERROR(__xludf.DUMMYFUNCTION("IFERROR(TO_DATE(E6675), """")"),42566.90274305556)</f>
        <v>42566.90274</v>
      </c>
      <c r="G6675" s="20">
        <f t="shared" si="1"/>
        <v>21</v>
      </c>
      <c r="H6675" s="18" t="s">
        <v>34</v>
      </c>
      <c r="I6675" s="19" t="str">
        <f>IFERROR(__xludf.DUMMYFUNCTION("IFERROR(TO_DATE(H6675), """")"),"NA")</f>
        <v>NA</v>
      </c>
      <c r="J6675" s="19" t="s">
        <v>13</v>
      </c>
      <c r="K6675" s="22">
        <f t="shared" si="2"/>
        <v>0</v>
      </c>
    </row>
    <row r="6676">
      <c r="A6676" s="18">
        <v>6603.0</v>
      </c>
      <c r="B6676" s="18" t="s">
        <v>30</v>
      </c>
      <c r="C6676" s="18" t="s">
        <v>34</v>
      </c>
      <c r="D6676" s="18" t="s">
        <v>35</v>
      </c>
      <c r="E6676" s="27">
        <v>42566.90289351852</v>
      </c>
      <c r="F6676" s="19">
        <f>IFERROR(__xludf.DUMMYFUNCTION("IFERROR(TO_DATE(E6676), """")"),42566.90289351852)</f>
        <v>42566.90289</v>
      </c>
      <c r="G6676" s="20">
        <f t="shared" si="1"/>
        <v>21</v>
      </c>
      <c r="H6676" s="18" t="s">
        <v>34</v>
      </c>
      <c r="I6676" s="19" t="str">
        <f>IFERROR(__xludf.DUMMYFUNCTION("IFERROR(TO_DATE(H6676), """")"),"NA")</f>
        <v>NA</v>
      </c>
      <c r="J6676" s="19" t="s">
        <v>13</v>
      </c>
      <c r="K6676" s="22">
        <f t="shared" si="2"/>
        <v>0</v>
      </c>
    </row>
    <row r="6677">
      <c r="A6677" s="18">
        <v>6598.0</v>
      </c>
      <c r="B6677" s="18" t="s">
        <v>30</v>
      </c>
      <c r="C6677" s="18" t="s">
        <v>34</v>
      </c>
      <c r="D6677" s="18" t="s">
        <v>35</v>
      </c>
      <c r="E6677" s="27">
        <v>42566.90315972222</v>
      </c>
      <c r="F6677" s="19">
        <f>IFERROR(__xludf.DUMMYFUNCTION("IFERROR(TO_DATE(E6677), """")"),42566.90315972222)</f>
        <v>42566.90316</v>
      </c>
      <c r="G6677" s="20">
        <f t="shared" si="1"/>
        <v>21</v>
      </c>
      <c r="H6677" s="18" t="s">
        <v>34</v>
      </c>
      <c r="I6677" s="19" t="str">
        <f>IFERROR(__xludf.DUMMYFUNCTION("IFERROR(TO_DATE(H6677), """")"),"NA")</f>
        <v>NA</v>
      </c>
      <c r="J6677" s="19" t="s">
        <v>13</v>
      </c>
      <c r="K6677" s="22">
        <f t="shared" si="2"/>
        <v>0</v>
      </c>
    </row>
    <row r="6678">
      <c r="A6678" s="18">
        <v>6600.0</v>
      </c>
      <c r="B6678" s="18" t="s">
        <v>30</v>
      </c>
      <c r="C6678" s="18" t="s">
        <v>34</v>
      </c>
      <c r="D6678" s="18" t="s">
        <v>35</v>
      </c>
      <c r="E6678" s="27">
        <v>42566.903495370374</v>
      </c>
      <c r="F6678" s="19">
        <f>IFERROR(__xludf.DUMMYFUNCTION("IFERROR(TO_DATE(E6678), """")"),42566.903495370374)</f>
        <v>42566.9035</v>
      </c>
      <c r="G6678" s="20">
        <f t="shared" si="1"/>
        <v>21</v>
      </c>
      <c r="H6678" s="18" t="s">
        <v>34</v>
      </c>
      <c r="I6678" s="19" t="str">
        <f>IFERROR(__xludf.DUMMYFUNCTION("IFERROR(TO_DATE(H6678), """")"),"NA")</f>
        <v>NA</v>
      </c>
      <c r="J6678" s="19" t="s">
        <v>13</v>
      </c>
      <c r="K6678" s="22">
        <f t="shared" si="2"/>
        <v>0</v>
      </c>
    </row>
    <row r="6679">
      <c r="A6679" s="18">
        <v>6607.0</v>
      </c>
      <c r="B6679" s="18" t="s">
        <v>32</v>
      </c>
      <c r="C6679" s="18" t="s">
        <v>34</v>
      </c>
      <c r="D6679" s="18" t="s">
        <v>35</v>
      </c>
      <c r="E6679" s="27">
        <v>42566.90494212963</v>
      </c>
      <c r="F6679" s="19">
        <f>IFERROR(__xludf.DUMMYFUNCTION("IFERROR(TO_DATE(E6679), """")"),42566.90494212963)</f>
        <v>42566.90494</v>
      </c>
      <c r="G6679" s="20">
        <f t="shared" si="1"/>
        <v>21</v>
      </c>
      <c r="H6679" s="18" t="s">
        <v>34</v>
      </c>
      <c r="I6679" s="19" t="str">
        <f>IFERROR(__xludf.DUMMYFUNCTION("IFERROR(TO_DATE(H6679), """")"),"NA")</f>
        <v>NA</v>
      </c>
      <c r="J6679" s="19" t="s">
        <v>13</v>
      </c>
      <c r="K6679" s="22">
        <f t="shared" si="2"/>
        <v>0</v>
      </c>
    </row>
    <row r="6680">
      <c r="A6680" s="18">
        <v>6602.0</v>
      </c>
      <c r="B6680" s="18" t="s">
        <v>30</v>
      </c>
      <c r="C6680" s="18" t="s">
        <v>34</v>
      </c>
      <c r="D6680" s="18" t="s">
        <v>35</v>
      </c>
      <c r="E6680" s="27">
        <v>42566.905497685184</v>
      </c>
      <c r="F6680" s="19">
        <f>IFERROR(__xludf.DUMMYFUNCTION("IFERROR(TO_DATE(E6680), """")"),42566.905497685184)</f>
        <v>42566.9055</v>
      </c>
      <c r="G6680" s="20">
        <f t="shared" si="1"/>
        <v>21</v>
      </c>
      <c r="H6680" s="18" t="s">
        <v>34</v>
      </c>
      <c r="I6680" s="19" t="str">
        <f>IFERROR(__xludf.DUMMYFUNCTION("IFERROR(TO_DATE(H6680), """")"),"NA")</f>
        <v>NA</v>
      </c>
      <c r="J6680" s="19" t="s">
        <v>13</v>
      </c>
      <c r="K6680" s="22">
        <f t="shared" si="2"/>
        <v>0</v>
      </c>
    </row>
    <row r="6681">
      <c r="A6681" s="18">
        <v>6606.0</v>
      </c>
      <c r="B6681" s="18" t="s">
        <v>30</v>
      </c>
      <c r="C6681" s="18" t="s">
        <v>34</v>
      </c>
      <c r="D6681" s="18" t="s">
        <v>35</v>
      </c>
      <c r="E6681" s="27">
        <v>42566.90561342592</v>
      </c>
      <c r="F6681" s="19">
        <f>IFERROR(__xludf.DUMMYFUNCTION("IFERROR(TO_DATE(E6681), """")"),42566.90561342592)</f>
        <v>42566.90561</v>
      </c>
      <c r="G6681" s="20">
        <f t="shared" si="1"/>
        <v>21</v>
      </c>
      <c r="H6681" s="18" t="s">
        <v>34</v>
      </c>
      <c r="I6681" s="19" t="str">
        <f>IFERROR(__xludf.DUMMYFUNCTION("IFERROR(TO_DATE(H6681), """")"),"NA")</f>
        <v>NA</v>
      </c>
      <c r="J6681" s="19" t="s">
        <v>13</v>
      </c>
      <c r="K6681" s="22">
        <f t="shared" si="2"/>
        <v>0</v>
      </c>
    </row>
    <row r="6682">
      <c r="A6682" s="18">
        <v>6605.0</v>
      </c>
      <c r="B6682" s="18" t="s">
        <v>30</v>
      </c>
      <c r="C6682" s="18" t="s">
        <v>34</v>
      </c>
      <c r="D6682" s="18" t="s">
        <v>35</v>
      </c>
      <c r="E6682" s="27">
        <v>42566.90619212963</v>
      </c>
      <c r="F6682" s="19">
        <f>IFERROR(__xludf.DUMMYFUNCTION("IFERROR(TO_DATE(E6682), """")"),42566.90619212963)</f>
        <v>42566.90619</v>
      </c>
      <c r="G6682" s="20">
        <f t="shared" si="1"/>
        <v>21</v>
      </c>
      <c r="H6682" s="18" t="s">
        <v>34</v>
      </c>
      <c r="I6682" s="19" t="str">
        <f>IFERROR(__xludf.DUMMYFUNCTION("IFERROR(TO_DATE(H6682), """")"),"NA")</f>
        <v>NA</v>
      </c>
      <c r="J6682" s="19" t="s">
        <v>13</v>
      </c>
      <c r="K6682" s="22">
        <f t="shared" si="2"/>
        <v>0</v>
      </c>
    </row>
    <row r="6683">
      <c r="A6683" s="18">
        <v>6611.0</v>
      </c>
      <c r="B6683" s="18" t="s">
        <v>30</v>
      </c>
      <c r="C6683" s="18" t="s">
        <v>34</v>
      </c>
      <c r="D6683" s="18" t="s">
        <v>35</v>
      </c>
      <c r="E6683" s="27">
        <v>42566.90771990741</v>
      </c>
      <c r="F6683" s="19">
        <f>IFERROR(__xludf.DUMMYFUNCTION("IFERROR(TO_DATE(E6683), """")"),42566.90771990741)</f>
        <v>42566.90772</v>
      </c>
      <c r="G6683" s="20">
        <f t="shared" si="1"/>
        <v>21</v>
      </c>
      <c r="H6683" s="18" t="s">
        <v>34</v>
      </c>
      <c r="I6683" s="19" t="str">
        <f>IFERROR(__xludf.DUMMYFUNCTION("IFERROR(TO_DATE(H6683), """")"),"NA")</f>
        <v>NA</v>
      </c>
      <c r="J6683" s="19" t="s">
        <v>13</v>
      </c>
      <c r="K6683" s="22">
        <f t="shared" si="2"/>
        <v>0</v>
      </c>
    </row>
    <row r="6684">
      <c r="A6684" s="18">
        <v>6626.0</v>
      </c>
      <c r="B6684" s="18" t="s">
        <v>30</v>
      </c>
      <c r="C6684" s="18" t="s">
        <v>34</v>
      </c>
      <c r="D6684" s="18" t="s">
        <v>35</v>
      </c>
      <c r="E6684" s="27">
        <v>42566.910462962966</v>
      </c>
      <c r="F6684" s="19">
        <f>IFERROR(__xludf.DUMMYFUNCTION("IFERROR(TO_DATE(E6684), """")"),42566.910462962966)</f>
        <v>42566.91046</v>
      </c>
      <c r="G6684" s="20">
        <f t="shared" si="1"/>
        <v>21</v>
      </c>
      <c r="H6684" s="18" t="s">
        <v>34</v>
      </c>
      <c r="I6684" s="19" t="str">
        <f>IFERROR(__xludf.DUMMYFUNCTION("IFERROR(TO_DATE(H6684), """")"),"NA")</f>
        <v>NA</v>
      </c>
      <c r="J6684" s="19" t="s">
        <v>13</v>
      </c>
      <c r="K6684" s="22">
        <f t="shared" si="2"/>
        <v>0</v>
      </c>
    </row>
    <row r="6685">
      <c r="A6685" s="18">
        <v>6627.0</v>
      </c>
      <c r="B6685" s="18" t="s">
        <v>30</v>
      </c>
      <c r="C6685" s="18" t="s">
        <v>34</v>
      </c>
      <c r="D6685" s="18" t="s">
        <v>35</v>
      </c>
      <c r="E6685" s="27">
        <v>42566.910532407404</v>
      </c>
      <c r="F6685" s="19">
        <f>IFERROR(__xludf.DUMMYFUNCTION("IFERROR(TO_DATE(E6685), """")"),42566.910532407404)</f>
        <v>42566.91053</v>
      </c>
      <c r="G6685" s="20">
        <f t="shared" si="1"/>
        <v>21</v>
      </c>
      <c r="H6685" s="18" t="s">
        <v>34</v>
      </c>
      <c r="I6685" s="19" t="str">
        <f>IFERROR(__xludf.DUMMYFUNCTION("IFERROR(TO_DATE(H6685), """")"),"NA")</f>
        <v>NA</v>
      </c>
      <c r="J6685" s="19" t="s">
        <v>13</v>
      </c>
      <c r="K6685" s="22">
        <f t="shared" si="2"/>
        <v>0</v>
      </c>
    </row>
    <row r="6686">
      <c r="A6686" s="18">
        <v>6618.0</v>
      </c>
      <c r="B6686" s="18" t="s">
        <v>30</v>
      </c>
      <c r="C6686" s="18" t="s">
        <v>34</v>
      </c>
      <c r="D6686" s="18" t="s">
        <v>35</v>
      </c>
      <c r="E6686" s="27">
        <v>42566.91112268518</v>
      </c>
      <c r="F6686" s="19">
        <f>IFERROR(__xludf.DUMMYFUNCTION("IFERROR(TO_DATE(E6686), """")"),42566.91112268518)</f>
        <v>42566.91112</v>
      </c>
      <c r="G6686" s="20">
        <f t="shared" si="1"/>
        <v>21</v>
      </c>
      <c r="H6686" s="18" t="s">
        <v>34</v>
      </c>
      <c r="I6686" s="19" t="str">
        <f>IFERROR(__xludf.DUMMYFUNCTION("IFERROR(TO_DATE(H6686), """")"),"NA")</f>
        <v>NA</v>
      </c>
      <c r="J6686" s="19" t="s">
        <v>13</v>
      </c>
      <c r="K6686" s="22">
        <f t="shared" si="2"/>
        <v>0</v>
      </c>
    </row>
    <row r="6687">
      <c r="A6687" s="18">
        <v>6625.0</v>
      </c>
      <c r="B6687" s="18" t="s">
        <v>30</v>
      </c>
      <c r="C6687" s="18" t="s">
        <v>34</v>
      </c>
      <c r="D6687" s="18" t="s">
        <v>35</v>
      </c>
      <c r="E6687" s="27">
        <v>42566.911724537036</v>
      </c>
      <c r="F6687" s="19">
        <f>IFERROR(__xludf.DUMMYFUNCTION("IFERROR(TO_DATE(E6687), """")"),42566.911724537036)</f>
        <v>42566.91172</v>
      </c>
      <c r="G6687" s="20">
        <f t="shared" si="1"/>
        <v>21</v>
      </c>
      <c r="H6687" s="18" t="s">
        <v>34</v>
      </c>
      <c r="I6687" s="19" t="str">
        <f>IFERROR(__xludf.DUMMYFUNCTION("IFERROR(TO_DATE(H6687), """")"),"NA")</f>
        <v>NA</v>
      </c>
      <c r="J6687" s="19" t="s">
        <v>13</v>
      </c>
      <c r="K6687" s="22">
        <f t="shared" si="2"/>
        <v>0</v>
      </c>
    </row>
    <row r="6688">
      <c r="A6688" s="18">
        <v>6629.0</v>
      </c>
      <c r="B6688" s="18" t="s">
        <v>30</v>
      </c>
      <c r="C6688" s="18" t="s">
        <v>34</v>
      </c>
      <c r="D6688" s="18" t="s">
        <v>35</v>
      </c>
      <c r="E6688" s="27">
        <v>42566.9122337963</v>
      </c>
      <c r="F6688" s="19">
        <f>IFERROR(__xludf.DUMMYFUNCTION("IFERROR(TO_DATE(E6688), """")"),42566.9122337963)</f>
        <v>42566.91223</v>
      </c>
      <c r="G6688" s="20">
        <f t="shared" si="1"/>
        <v>21</v>
      </c>
      <c r="H6688" s="18" t="s">
        <v>34</v>
      </c>
      <c r="I6688" s="19" t="str">
        <f>IFERROR(__xludf.DUMMYFUNCTION("IFERROR(TO_DATE(H6688), """")"),"NA")</f>
        <v>NA</v>
      </c>
      <c r="J6688" s="19" t="s">
        <v>13</v>
      </c>
      <c r="K6688" s="22">
        <f t="shared" si="2"/>
        <v>0</v>
      </c>
    </row>
    <row r="6689">
      <c r="A6689" s="18">
        <v>6628.0</v>
      </c>
      <c r="B6689" s="18" t="s">
        <v>30</v>
      </c>
      <c r="C6689" s="18" t="s">
        <v>34</v>
      </c>
      <c r="D6689" s="18" t="s">
        <v>35</v>
      </c>
      <c r="E6689" s="27">
        <v>42566.91274305555</v>
      </c>
      <c r="F6689" s="19">
        <f>IFERROR(__xludf.DUMMYFUNCTION("IFERROR(TO_DATE(E6689), """")"),42566.91274305555)</f>
        <v>42566.91274</v>
      </c>
      <c r="G6689" s="20">
        <f t="shared" si="1"/>
        <v>21</v>
      </c>
      <c r="H6689" s="18" t="s">
        <v>34</v>
      </c>
      <c r="I6689" s="19" t="str">
        <f>IFERROR(__xludf.DUMMYFUNCTION("IFERROR(TO_DATE(H6689), """")"),"NA")</f>
        <v>NA</v>
      </c>
      <c r="J6689" s="19" t="s">
        <v>13</v>
      </c>
      <c r="K6689" s="22">
        <f t="shared" si="2"/>
        <v>0</v>
      </c>
    </row>
    <row r="6690">
      <c r="A6690" s="18">
        <v>6624.0</v>
      </c>
      <c r="B6690" s="18" t="s">
        <v>30</v>
      </c>
      <c r="C6690" s="18" t="s">
        <v>34</v>
      </c>
      <c r="D6690" s="18" t="s">
        <v>35</v>
      </c>
      <c r="E6690" s="27">
        <v>42566.91388888889</v>
      </c>
      <c r="F6690" s="19">
        <f>IFERROR(__xludf.DUMMYFUNCTION("IFERROR(TO_DATE(E6690), """")"),42566.91388888889)</f>
        <v>42566.91389</v>
      </c>
      <c r="G6690" s="20">
        <f t="shared" si="1"/>
        <v>21</v>
      </c>
      <c r="H6690" s="18" t="s">
        <v>34</v>
      </c>
      <c r="I6690" s="19" t="str">
        <f>IFERROR(__xludf.DUMMYFUNCTION("IFERROR(TO_DATE(H6690), """")"),"NA")</f>
        <v>NA</v>
      </c>
      <c r="J6690" s="19" t="s">
        <v>13</v>
      </c>
      <c r="K6690" s="22">
        <f t="shared" si="2"/>
        <v>0</v>
      </c>
    </row>
    <row r="6691">
      <c r="A6691" s="18">
        <v>6632.0</v>
      </c>
      <c r="B6691" s="18" t="s">
        <v>30</v>
      </c>
      <c r="C6691" s="18" t="s">
        <v>34</v>
      </c>
      <c r="D6691" s="18" t="s">
        <v>35</v>
      </c>
      <c r="E6691" s="27">
        <v>42566.91643518519</v>
      </c>
      <c r="F6691" s="19">
        <f>IFERROR(__xludf.DUMMYFUNCTION("IFERROR(TO_DATE(E6691), """")"),42566.91643518519)</f>
        <v>42566.91644</v>
      </c>
      <c r="G6691" s="20">
        <f t="shared" si="1"/>
        <v>21</v>
      </c>
      <c r="H6691" s="18" t="s">
        <v>34</v>
      </c>
      <c r="I6691" s="19" t="str">
        <f>IFERROR(__xludf.DUMMYFUNCTION("IFERROR(TO_DATE(H6691), """")"),"NA")</f>
        <v>NA</v>
      </c>
      <c r="J6691" s="19" t="s">
        <v>13</v>
      </c>
      <c r="K6691" s="22">
        <f t="shared" si="2"/>
        <v>0</v>
      </c>
    </row>
    <row r="6692">
      <c r="A6692" s="18">
        <v>6637.0</v>
      </c>
      <c r="B6692" s="18" t="s">
        <v>30</v>
      </c>
      <c r="C6692" s="18" t="s">
        <v>34</v>
      </c>
      <c r="D6692" s="18" t="s">
        <v>35</v>
      </c>
      <c r="E6692" s="27">
        <v>42566.91789351852</v>
      </c>
      <c r="F6692" s="19">
        <f>IFERROR(__xludf.DUMMYFUNCTION("IFERROR(TO_DATE(E6692), """")"),42566.91789351852)</f>
        <v>42566.91789</v>
      </c>
      <c r="G6692" s="20">
        <f t="shared" si="1"/>
        <v>22</v>
      </c>
      <c r="H6692" s="18" t="s">
        <v>34</v>
      </c>
      <c r="I6692" s="19" t="str">
        <f>IFERROR(__xludf.DUMMYFUNCTION("IFERROR(TO_DATE(H6692), """")"),"NA")</f>
        <v>NA</v>
      </c>
      <c r="J6692" s="19" t="s">
        <v>13</v>
      </c>
      <c r="K6692" s="22">
        <f t="shared" si="2"/>
        <v>0</v>
      </c>
    </row>
    <row r="6693">
      <c r="A6693" s="18">
        <v>6640.0</v>
      </c>
      <c r="B6693" s="18" t="s">
        <v>30</v>
      </c>
      <c r="C6693" s="18" t="s">
        <v>34</v>
      </c>
      <c r="D6693" s="18" t="s">
        <v>35</v>
      </c>
      <c r="E6693" s="27">
        <v>42566.91806712963</v>
      </c>
      <c r="F6693" s="19">
        <f>IFERROR(__xludf.DUMMYFUNCTION("IFERROR(TO_DATE(E6693), """")"),42566.91806712963)</f>
        <v>42566.91807</v>
      </c>
      <c r="G6693" s="20">
        <f t="shared" si="1"/>
        <v>22</v>
      </c>
      <c r="H6693" s="18" t="s">
        <v>34</v>
      </c>
      <c r="I6693" s="19" t="str">
        <f>IFERROR(__xludf.DUMMYFUNCTION("IFERROR(TO_DATE(H6693), """")"),"NA")</f>
        <v>NA</v>
      </c>
      <c r="J6693" s="19" t="s">
        <v>13</v>
      </c>
      <c r="K6693" s="22">
        <f t="shared" si="2"/>
        <v>0</v>
      </c>
    </row>
    <row r="6694">
      <c r="A6694" s="18">
        <v>6641.0</v>
      </c>
      <c r="B6694" s="18" t="s">
        <v>30</v>
      </c>
      <c r="C6694" s="18" t="s">
        <v>34</v>
      </c>
      <c r="D6694" s="18" t="s">
        <v>35</v>
      </c>
      <c r="E6694" s="27">
        <v>42566.91877314815</v>
      </c>
      <c r="F6694" s="19">
        <f>IFERROR(__xludf.DUMMYFUNCTION("IFERROR(TO_DATE(E6694), """")"),42566.91877314815)</f>
        <v>42566.91877</v>
      </c>
      <c r="G6694" s="20">
        <f t="shared" si="1"/>
        <v>22</v>
      </c>
      <c r="H6694" s="18" t="s">
        <v>34</v>
      </c>
      <c r="I6694" s="19" t="str">
        <f>IFERROR(__xludf.DUMMYFUNCTION("IFERROR(TO_DATE(H6694), """")"),"NA")</f>
        <v>NA</v>
      </c>
      <c r="J6694" s="19" t="s">
        <v>13</v>
      </c>
      <c r="K6694" s="22">
        <f t="shared" si="2"/>
        <v>0</v>
      </c>
    </row>
    <row r="6695">
      <c r="A6695" s="18">
        <v>6631.0</v>
      </c>
      <c r="B6695" s="18" t="s">
        <v>30</v>
      </c>
      <c r="C6695" s="18" t="s">
        <v>34</v>
      </c>
      <c r="D6695" s="18" t="s">
        <v>35</v>
      </c>
      <c r="E6695" s="27">
        <v>42566.91920138889</v>
      </c>
      <c r="F6695" s="19">
        <f>IFERROR(__xludf.DUMMYFUNCTION("IFERROR(TO_DATE(E6695), """")"),42566.91920138889)</f>
        <v>42566.9192</v>
      </c>
      <c r="G6695" s="20">
        <f t="shared" si="1"/>
        <v>22</v>
      </c>
      <c r="H6695" s="18" t="s">
        <v>34</v>
      </c>
      <c r="I6695" s="19" t="str">
        <f>IFERROR(__xludf.DUMMYFUNCTION("IFERROR(TO_DATE(H6695), """")"),"NA")</f>
        <v>NA</v>
      </c>
      <c r="J6695" s="19" t="s">
        <v>13</v>
      </c>
      <c r="K6695" s="22">
        <f t="shared" si="2"/>
        <v>0</v>
      </c>
    </row>
    <row r="6696">
      <c r="A6696" s="18">
        <v>6652.0</v>
      </c>
      <c r="B6696" s="18" t="s">
        <v>30</v>
      </c>
      <c r="C6696" s="18" t="s">
        <v>34</v>
      </c>
      <c r="D6696" s="18" t="s">
        <v>35</v>
      </c>
      <c r="E6696" s="27">
        <v>42566.9197337963</v>
      </c>
      <c r="F6696" s="19">
        <f>IFERROR(__xludf.DUMMYFUNCTION("IFERROR(TO_DATE(E6696), """")"),42566.9197337963)</f>
        <v>42566.91973</v>
      </c>
      <c r="G6696" s="20">
        <f t="shared" si="1"/>
        <v>22</v>
      </c>
      <c r="H6696" s="18" t="s">
        <v>34</v>
      </c>
      <c r="I6696" s="19" t="str">
        <f>IFERROR(__xludf.DUMMYFUNCTION("IFERROR(TO_DATE(H6696), """")"),"NA")</f>
        <v>NA</v>
      </c>
      <c r="J6696" s="19" t="s">
        <v>13</v>
      </c>
      <c r="K6696" s="22">
        <f t="shared" si="2"/>
        <v>0</v>
      </c>
    </row>
    <row r="6697">
      <c r="A6697" s="18">
        <v>6639.0</v>
      </c>
      <c r="B6697" s="18" t="s">
        <v>30</v>
      </c>
      <c r="C6697" s="18" t="s">
        <v>34</v>
      </c>
      <c r="D6697" s="18" t="s">
        <v>35</v>
      </c>
      <c r="E6697" s="27">
        <v>42566.919965277775</v>
      </c>
      <c r="F6697" s="19">
        <f>IFERROR(__xludf.DUMMYFUNCTION("IFERROR(TO_DATE(E6697), """")"),42566.919965277775)</f>
        <v>42566.91997</v>
      </c>
      <c r="G6697" s="20">
        <f t="shared" si="1"/>
        <v>22</v>
      </c>
      <c r="H6697" s="18" t="s">
        <v>34</v>
      </c>
      <c r="I6697" s="19" t="str">
        <f>IFERROR(__xludf.DUMMYFUNCTION("IFERROR(TO_DATE(H6697), """")"),"NA")</f>
        <v>NA</v>
      </c>
      <c r="J6697" s="19" t="s">
        <v>13</v>
      </c>
      <c r="K6697" s="22">
        <f t="shared" si="2"/>
        <v>0</v>
      </c>
    </row>
    <row r="6698">
      <c r="A6698" s="18">
        <v>6636.0</v>
      </c>
      <c r="B6698" s="18" t="s">
        <v>30</v>
      </c>
      <c r="C6698" s="18" t="s">
        <v>34</v>
      </c>
      <c r="D6698" s="18" t="s">
        <v>35</v>
      </c>
      <c r="E6698" s="27">
        <v>42566.920115740744</v>
      </c>
      <c r="F6698" s="19">
        <f>IFERROR(__xludf.DUMMYFUNCTION("IFERROR(TO_DATE(E6698), """")"),42566.920115740744)</f>
        <v>42566.92012</v>
      </c>
      <c r="G6698" s="20">
        <f t="shared" si="1"/>
        <v>22</v>
      </c>
      <c r="H6698" s="18" t="s">
        <v>34</v>
      </c>
      <c r="I6698" s="19" t="str">
        <f>IFERROR(__xludf.DUMMYFUNCTION("IFERROR(TO_DATE(H6698), """")"),"NA")</f>
        <v>NA</v>
      </c>
      <c r="J6698" s="19" t="s">
        <v>13</v>
      </c>
      <c r="K6698" s="22">
        <f t="shared" si="2"/>
        <v>0</v>
      </c>
    </row>
    <row r="6699">
      <c r="A6699" s="18">
        <v>6646.0</v>
      </c>
      <c r="B6699" s="18" t="s">
        <v>30</v>
      </c>
      <c r="C6699" s="18" t="s">
        <v>34</v>
      </c>
      <c r="D6699" s="18" t="s">
        <v>35</v>
      </c>
      <c r="E6699" s="27">
        <v>42566.92105324074</v>
      </c>
      <c r="F6699" s="19">
        <f>IFERROR(__xludf.DUMMYFUNCTION("IFERROR(TO_DATE(E6699), """")"),42566.92105324074)</f>
        <v>42566.92105</v>
      </c>
      <c r="G6699" s="20">
        <f t="shared" si="1"/>
        <v>22</v>
      </c>
      <c r="H6699" s="18" t="s">
        <v>34</v>
      </c>
      <c r="I6699" s="19" t="str">
        <f>IFERROR(__xludf.DUMMYFUNCTION("IFERROR(TO_DATE(H6699), """")"),"NA")</f>
        <v>NA</v>
      </c>
      <c r="J6699" s="19" t="s">
        <v>13</v>
      </c>
      <c r="K6699" s="22">
        <f t="shared" si="2"/>
        <v>0</v>
      </c>
    </row>
    <row r="6700">
      <c r="A6700" s="18">
        <v>6650.0</v>
      </c>
      <c r="B6700" s="18" t="s">
        <v>30</v>
      </c>
      <c r="C6700" s="18" t="s">
        <v>34</v>
      </c>
      <c r="D6700" s="18" t="s">
        <v>35</v>
      </c>
      <c r="E6700" s="27">
        <v>42566.922847222224</v>
      </c>
      <c r="F6700" s="19">
        <f>IFERROR(__xludf.DUMMYFUNCTION("IFERROR(TO_DATE(E6700), """")"),42566.922847222224)</f>
        <v>42566.92285</v>
      </c>
      <c r="G6700" s="20">
        <f t="shared" si="1"/>
        <v>22</v>
      </c>
      <c r="H6700" s="18" t="s">
        <v>34</v>
      </c>
      <c r="I6700" s="19" t="str">
        <f>IFERROR(__xludf.DUMMYFUNCTION("IFERROR(TO_DATE(H6700), """")"),"NA")</f>
        <v>NA</v>
      </c>
      <c r="J6700" s="19" t="s">
        <v>13</v>
      </c>
      <c r="K6700" s="22">
        <f t="shared" si="2"/>
        <v>0</v>
      </c>
    </row>
    <row r="6701">
      <c r="A6701" s="18">
        <v>6644.0</v>
      </c>
      <c r="B6701" s="18" t="s">
        <v>30</v>
      </c>
      <c r="C6701" s="18" t="s">
        <v>34</v>
      </c>
      <c r="D6701" s="18" t="s">
        <v>35</v>
      </c>
      <c r="E6701" s="27">
        <v>42566.92439814815</v>
      </c>
      <c r="F6701" s="19">
        <f>IFERROR(__xludf.DUMMYFUNCTION("IFERROR(TO_DATE(E6701), """")"),42566.92439814815)</f>
        <v>42566.9244</v>
      </c>
      <c r="G6701" s="20">
        <f t="shared" si="1"/>
        <v>22</v>
      </c>
      <c r="H6701" s="18" t="s">
        <v>34</v>
      </c>
      <c r="I6701" s="19" t="str">
        <f>IFERROR(__xludf.DUMMYFUNCTION("IFERROR(TO_DATE(H6701), """")"),"NA")</f>
        <v>NA</v>
      </c>
      <c r="J6701" s="19" t="s">
        <v>13</v>
      </c>
      <c r="K6701" s="22">
        <f t="shared" si="2"/>
        <v>0</v>
      </c>
    </row>
    <row r="6702">
      <c r="A6702" s="18">
        <v>6655.0</v>
      </c>
      <c r="B6702" s="18" t="s">
        <v>30</v>
      </c>
      <c r="C6702" s="18" t="s">
        <v>34</v>
      </c>
      <c r="D6702" s="18" t="s">
        <v>35</v>
      </c>
      <c r="E6702" s="27">
        <v>42566.92543981481</v>
      </c>
      <c r="F6702" s="19">
        <f>IFERROR(__xludf.DUMMYFUNCTION("IFERROR(TO_DATE(E6702), """")"),42566.92543981481)</f>
        <v>42566.92544</v>
      </c>
      <c r="G6702" s="20">
        <f t="shared" si="1"/>
        <v>22</v>
      </c>
      <c r="H6702" s="18" t="s">
        <v>34</v>
      </c>
      <c r="I6702" s="19" t="str">
        <f>IFERROR(__xludf.DUMMYFUNCTION("IFERROR(TO_DATE(H6702), """")"),"NA")</f>
        <v>NA</v>
      </c>
      <c r="J6702" s="19" t="s">
        <v>13</v>
      </c>
      <c r="K6702" s="22">
        <f t="shared" si="2"/>
        <v>0</v>
      </c>
    </row>
    <row r="6703">
      <c r="A6703" s="18">
        <v>6666.0</v>
      </c>
      <c r="B6703" s="18" t="s">
        <v>30</v>
      </c>
      <c r="C6703" s="18" t="s">
        <v>34</v>
      </c>
      <c r="D6703" s="18" t="s">
        <v>35</v>
      </c>
      <c r="E6703" s="27">
        <v>42566.928877314815</v>
      </c>
      <c r="F6703" s="19">
        <f>IFERROR(__xludf.DUMMYFUNCTION("IFERROR(TO_DATE(E6703), """")"),42566.928877314815)</f>
        <v>42566.92888</v>
      </c>
      <c r="G6703" s="20">
        <f t="shared" si="1"/>
        <v>22</v>
      </c>
      <c r="H6703" s="18" t="s">
        <v>34</v>
      </c>
      <c r="I6703" s="19" t="str">
        <f>IFERROR(__xludf.DUMMYFUNCTION("IFERROR(TO_DATE(H6703), """")"),"NA")</f>
        <v>NA</v>
      </c>
      <c r="J6703" s="19" t="s">
        <v>13</v>
      </c>
      <c r="K6703" s="22">
        <f t="shared" si="2"/>
        <v>0</v>
      </c>
    </row>
    <row r="6704">
      <c r="A6704" s="18">
        <v>6662.0</v>
      </c>
      <c r="B6704" s="18" t="s">
        <v>32</v>
      </c>
      <c r="C6704" s="18" t="s">
        <v>34</v>
      </c>
      <c r="D6704" s="18" t="s">
        <v>35</v>
      </c>
      <c r="E6704" s="27">
        <v>42566.92959490741</v>
      </c>
      <c r="F6704" s="19">
        <f>IFERROR(__xludf.DUMMYFUNCTION("IFERROR(TO_DATE(E6704), """")"),42566.92959490741)</f>
        <v>42566.92959</v>
      </c>
      <c r="G6704" s="20">
        <f t="shared" si="1"/>
        <v>22</v>
      </c>
      <c r="H6704" s="18" t="s">
        <v>34</v>
      </c>
      <c r="I6704" s="19" t="str">
        <f>IFERROR(__xludf.DUMMYFUNCTION("IFERROR(TO_DATE(H6704), """")"),"NA")</f>
        <v>NA</v>
      </c>
      <c r="J6704" s="19" t="s">
        <v>13</v>
      </c>
      <c r="K6704" s="22">
        <f t="shared" si="2"/>
        <v>0</v>
      </c>
    </row>
    <row r="6705">
      <c r="A6705" s="18">
        <v>6668.0</v>
      </c>
      <c r="B6705" s="18" t="s">
        <v>30</v>
      </c>
      <c r="C6705" s="18" t="s">
        <v>34</v>
      </c>
      <c r="D6705" s="18" t="s">
        <v>35</v>
      </c>
      <c r="E6705" s="27">
        <v>42566.92978009259</v>
      </c>
      <c r="F6705" s="19">
        <f>IFERROR(__xludf.DUMMYFUNCTION("IFERROR(TO_DATE(E6705), """")"),42566.92978009259)</f>
        <v>42566.92978</v>
      </c>
      <c r="G6705" s="20">
        <f t="shared" si="1"/>
        <v>22</v>
      </c>
      <c r="H6705" s="18" t="s">
        <v>34</v>
      </c>
      <c r="I6705" s="19" t="str">
        <f>IFERROR(__xludf.DUMMYFUNCTION("IFERROR(TO_DATE(H6705), """")"),"NA")</f>
        <v>NA</v>
      </c>
      <c r="J6705" s="19" t="s">
        <v>13</v>
      </c>
      <c r="K6705" s="22">
        <f t="shared" si="2"/>
        <v>0</v>
      </c>
    </row>
    <row r="6706">
      <c r="A6706" s="18">
        <v>6670.0</v>
      </c>
      <c r="B6706" s="18" t="s">
        <v>30</v>
      </c>
      <c r="C6706" s="18" t="s">
        <v>34</v>
      </c>
      <c r="D6706" s="18" t="s">
        <v>35</v>
      </c>
      <c r="E6706" s="27">
        <v>42566.93108796296</v>
      </c>
      <c r="F6706" s="19">
        <f>IFERROR(__xludf.DUMMYFUNCTION("IFERROR(TO_DATE(E6706), """")"),42566.93108796296)</f>
        <v>42566.93109</v>
      </c>
      <c r="G6706" s="20">
        <f t="shared" si="1"/>
        <v>22</v>
      </c>
      <c r="H6706" s="18" t="s">
        <v>34</v>
      </c>
      <c r="I6706" s="19" t="str">
        <f>IFERROR(__xludf.DUMMYFUNCTION("IFERROR(TO_DATE(H6706), """")"),"NA")</f>
        <v>NA</v>
      </c>
      <c r="J6706" s="19" t="s">
        <v>13</v>
      </c>
      <c r="K6706" s="22">
        <f t="shared" si="2"/>
        <v>0</v>
      </c>
    </row>
    <row r="6707">
      <c r="A6707" s="18">
        <v>6667.0</v>
      </c>
      <c r="B6707" s="18" t="s">
        <v>30</v>
      </c>
      <c r="C6707" s="18" t="s">
        <v>34</v>
      </c>
      <c r="D6707" s="18" t="s">
        <v>35</v>
      </c>
      <c r="E6707" s="27">
        <v>42566.93141203704</v>
      </c>
      <c r="F6707" s="19">
        <f>IFERROR(__xludf.DUMMYFUNCTION("IFERROR(TO_DATE(E6707), """")"),42566.93141203704)</f>
        <v>42566.93141</v>
      </c>
      <c r="G6707" s="20">
        <f t="shared" si="1"/>
        <v>22</v>
      </c>
      <c r="H6707" s="18" t="s">
        <v>34</v>
      </c>
      <c r="I6707" s="19" t="str">
        <f>IFERROR(__xludf.DUMMYFUNCTION("IFERROR(TO_DATE(H6707), """")"),"NA")</f>
        <v>NA</v>
      </c>
      <c r="J6707" s="19" t="s">
        <v>13</v>
      </c>
      <c r="K6707" s="22">
        <f t="shared" si="2"/>
        <v>0</v>
      </c>
    </row>
    <row r="6708">
      <c r="A6708" s="18">
        <v>6654.0</v>
      </c>
      <c r="B6708" s="18" t="s">
        <v>30</v>
      </c>
      <c r="C6708" s="18" t="s">
        <v>34</v>
      </c>
      <c r="D6708" s="18" t="s">
        <v>35</v>
      </c>
      <c r="E6708" s="27">
        <v>42566.93146990741</v>
      </c>
      <c r="F6708" s="19">
        <f>IFERROR(__xludf.DUMMYFUNCTION("IFERROR(TO_DATE(E6708), """")"),42566.93146990741)</f>
        <v>42566.93147</v>
      </c>
      <c r="G6708" s="20">
        <f t="shared" si="1"/>
        <v>22</v>
      </c>
      <c r="H6708" s="18" t="s">
        <v>34</v>
      </c>
      <c r="I6708" s="19" t="str">
        <f>IFERROR(__xludf.DUMMYFUNCTION("IFERROR(TO_DATE(H6708), """")"),"NA")</f>
        <v>NA</v>
      </c>
      <c r="J6708" s="19" t="s">
        <v>13</v>
      </c>
      <c r="K6708" s="22">
        <f t="shared" si="2"/>
        <v>0</v>
      </c>
    </row>
    <row r="6709">
      <c r="A6709" s="18">
        <v>6664.0</v>
      </c>
      <c r="B6709" s="18" t="s">
        <v>32</v>
      </c>
      <c r="C6709" s="18" t="s">
        <v>34</v>
      </c>
      <c r="D6709" s="18" t="s">
        <v>35</v>
      </c>
      <c r="E6709" s="27">
        <v>42566.93221064815</v>
      </c>
      <c r="F6709" s="19">
        <f>IFERROR(__xludf.DUMMYFUNCTION("IFERROR(TO_DATE(E6709), """")"),42566.93221064815)</f>
        <v>42566.93221</v>
      </c>
      <c r="G6709" s="20">
        <f t="shared" si="1"/>
        <v>22</v>
      </c>
      <c r="H6709" s="18" t="s">
        <v>34</v>
      </c>
      <c r="I6709" s="19" t="str">
        <f>IFERROR(__xludf.DUMMYFUNCTION("IFERROR(TO_DATE(H6709), """")"),"NA")</f>
        <v>NA</v>
      </c>
      <c r="J6709" s="19" t="s">
        <v>13</v>
      </c>
      <c r="K6709" s="22">
        <f t="shared" si="2"/>
        <v>0</v>
      </c>
    </row>
    <row r="6710">
      <c r="A6710" s="18">
        <v>6665.0</v>
      </c>
      <c r="B6710" s="18" t="s">
        <v>30</v>
      </c>
      <c r="C6710" s="18" t="s">
        <v>34</v>
      </c>
      <c r="D6710" s="18" t="s">
        <v>35</v>
      </c>
      <c r="E6710" s="27">
        <v>42566.933125</v>
      </c>
      <c r="F6710" s="19">
        <f>IFERROR(__xludf.DUMMYFUNCTION("IFERROR(TO_DATE(E6710), """")"),42566.933125)</f>
        <v>42566.93313</v>
      </c>
      <c r="G6710" s="20">
        <f t="shared" si="1"/>
        <v>22</v>
      </c>
      <c r="H6710" s="18" t="s">
        <v>34</v>
      </c>
      <c r="I6710" s="19" t="str">
        <f>IFERROR(__xludf.DUMMYFUNCTION("IFERROR(TO_DATE(H6710), """")"),"NA")</f>
        <v>NA</v>
      </c>
      <c r="J6710" s="19" t="s">
        <v>13</v>
      </c>
      <c r="K6710" s="22">
        <f t="shared" si="2"/>
        <v>0</v>
      </c>
    </row>
    <row r="6711">
      <c r="A6711" s="18">
        <v>6671.0</v>
      </c>
      <c r="B6711" s="18" t="s">
        <v>30</v>
      </c>
      <c r="C6711" s="18" t="s">
        <v>34</v>
      </c>
      <c r="D6711" s="18" t="s">
        <v>35</v>
      </c>
      <c r="E6711" s="27">
        <v>42566.93407407407</v>
      </c>
      <c r="F6711" s="19">
        <f>IFERROR(__xludf.DUMMYFUNCTION("IFERROR(TO_DATE(E6711), """")"),42566.93407407407)</f>
        <v>42566.93407</v>
      </c>
      <c r="G6711" s="20">
        <f t="shared" si="1"/>
        <v>22</v>
      </c>
      <c r="H6711" s="18" t="s">
        <v>34</v>
      </c>
      <c r="I6711" s="19" t="str">
        <f>IFERROR(__xludf.DUMMYFUNCTION("IFERROR(TO_DATE(H6711), """")"),"NA")</f>
        <v>NA</v>
      </c>
      <c r="J6711" s="19" t="s">
        <v>13</v>
      </c>
      <c r="K6711" s="22">
        <f t="shared" si="2"/>
        <v>0</v>
      </c>
    </row>
    <row r="6712">
      <c r="A6712" s="18">
        <v>6672.0</v>
      </c>
      <c r="B6712" s="18" t="s">
        <v>32</v>
      </c>
      <c r="C6712" s="18" t="s">
        <v>34</v>
      </c>
      <c r="D6712" s="18" t="s">
        <v>35</v>
      </c>
      <c r="E6712" s="27">
        <v>42566.93479166667</v>
      </c>
      <c r="F6712" s="19">
        <f>IFERROR(__xludf.DUMMYFUNCTION("IFERROR(TO_DATE(E6712), """")"),42566.93479166667)</f>
        <v>42566.93479</v>
      </c>
      <c r="G6712" s="20">
        <f t="shared" si="1"/>
        <v>22</v>
      </c>
      <c r="H6712" s="18" t="s">
        <v>34</v>
      </c>
      <c r="I6712" s="19" t="str">
        <f>IFERROR(__xludf.DUMMYFUNCTION("IFERROR(TO_DATE(H6712), """")"),"NA")</f>
        <v>NA</v>
      </c>
      <c r="J6712" s="19" t="s">
        <v>13</v>
      </c>
      <c r="K6712" s="22">
        <f t="shared" si="2"/>
        <v>0</v>
      </c>
    </row>
    <row r="6713">
      <c r="A6713" s="18">
        <v>6678.0</v>
      </c>
      <c r="B6713" s="18" t="s">
        <v>30</v>
      </c>
      <c r="C6713" s="18" t="s">
        <v>34</v>
      </c>
      <c r="D6713" s="18" t="s">
        <v>35</v>
      </c>
      <c r="E6713" s="27">
        <v>42566.93502314815</v>
      </c>
      <c r="F6713" s="19">
        <f>IFERROR(__xludf.DUMMYFUNCTION("IFERROR(TO_DATE(E6713), """")"),42566.93502314815)</f>
        <v>42566.93502</v>
      </c>
      <c r="G6713" s="20">
        <f t="shared" si="1"/>
        <v>22</v>
      </c>
      <c r="H6713" s="18" t="s">
        <v>34</v>
      </c>
      <c r="I6713" s="19" t="str">
        <f>IFERROR(__xludf.DUMMYFUNCTION("IFERROR(TO_DATE(H6713), """")"),"NA")</f>
        <v>NA</v>
      </c>
      <c r="J6713" s="19" t="s">
        <v>13</v>
      </c>
      <c r="K6713" s="22">
        <f t="shared" si="2"/>
        <v>0</v>
      </c>
    </row>
    <row r="6714">
      <c r="A6714" s="18">
        <v>6673.0</v>
      </c>
      <c r="B6714" s="18" t="s">
        <v>30</v>
      </c>
      <c r="C6714" s="18" t="s">
        <v>34</v>
      </c>
      <c r="D6714" s="18" t="s">
        <v>35</v>
      </c>
      <c r="E6714" s="27">
        <v>42566.93671296296</v>
      </c>
      <c r="F6714" s="19">
        <f>IFERROR(__xludf.DUMMYFUNCTION("IFERROR(TO_DATE(E6714), """")"),42566.93671296296)</f>
        <v>42566.93671</v>
      </c>
      <c r="G6714" s="20">
        <f t="shared" si="1"/>
        <v>22</v>
      </c>
      <c r="H6714" s="18" t="s">
        <v>34</v>
      </c>
      <c r="I6714" s="19" t="str">
        <f>IFERROR(__xludf.DUMMYFUNCTION("IFERROR(TO_DATE(H6714), """")"),"NA")</f>
        <v>NA</v>
      </c>
      <c r="J6714" s="19" t="s">
        <v>13</v>
      </c>
      <c r="K6714" s="22">
        <f t="shared" si="2"/>
        <v>0</v>
      </c>
    </row>
    <row r="6715">
      <c r="A6715" s="18">
        <v>6680.0</v>
      </c>
      <c r="B6715" s="18" t="s">
        <v>30</v>
      </c>
      <c r="C6715" s="18" t="s">
        <v>34</v>
      </c>
      <c r="D6715" s="18" t="s">
        <v>35</v>
      </c>
      <c r="E6715" s="27">
        <v>42566.938993055555</v>
      </c>
      <c r="F6715" s="19">
        <f>IFERROR(__xludf.DUMMYFUNCTION("IFERROR(TO_DATE(E6715), """")"),42566.938993055555)</f>
        <v>42566.93899</v>
      </c>
      <c r="G6715" s="20">
        <f t="shared" si="1"/>
        <v>22</v>
      </c>
      <c r="H6715" s="18" t="s">
        <v>34</v>
      </c>
      <c r="I6715" s="19" t="str">
        <f>IFERROR(__xludf.DUMMYFUNCTION("IFERROR(TO_DATE(H6715), """")"),"NA")</f>
        <v>NA</v>
      </c>
      <c r="J6715" s="19" t="s">
        <v>13</v>
      </c>
      <c r="K6715" s="22">
        <f t="shared" si="2"/>
        <v>0</v>
      </c>
    </row>
    <row r="6716">
      <c r="A6716" s="18">
        <v>6687.0</v>
      </c>
      <c r="B6716" s="18" t="s">
        <v>30</v>
      </c>
      <c r="C6716" s="18" t="s">
        <v>34</v>
      </c>
      <c r="D6716" s="18" t="s">
        <v>35</v>
      </c>
      <c r="E6716" s="27">
        <v>42566.94016203703</v>
      </c>
      <c r="F6716" s="19">
        <f>IFERROR(__xludf.DUMMYFUNCTION("IFERROR(TO_DATE(E6716), """")"),42566.94016203703)</f>
        <v>42566.94016</v>
      </c>
      <c r="G6716" s="20">
        <f t="shared" si="1"/>
        <v>22</v>
      </c>
      <c r="H6716" s="18" t="s">
        <v>34</v>
      </c>
      <c r="I6716" s="19" t="str">
        <f>IFERROR(__xludf.DUMMYFUNCTION("IFERROR(TO_DATE(H6716), """")"),"NA")</f>
        <v>NA</v>
      </c>
      <c r="J6716" s="19" t="s">
        <v>13</v>
      </c>
      <c r="K6716" s="22">
        <f t="shared" si="2"/>
        <v>0</v>
      </c>
    </row>
    <row r="6717">
      <c r="A6717" s="18">
        <v>6683.0</v>
      </c>
      <c r="B6717" s="18" t="s">
        <v>32</v>
      </c>
      <c r="C6717" s="18" t="s">
        <v>34</v>
      </c>
      <c r="D6717" s="18" t="s">
        <v>35</v>
      </c>
      <c r="E6717" s="27">
        <v>42566.94028935185</v>
      </c>
      <c r="F6717" s="19">
        <f>IFERROR(__xludf.DUMMYFUNCTION("IFERROR(TO_DATE(E6717), """")"),42566.94028935185)</f>
        <v>42566.94029</v>
      </c>
      <c r="G6717" s="20">
        <f t="shared" si="1"/>
        <v>22</v>
      </c>
      <c r="H6717" s="18" t="s">
        <v>34</v>
      </c>
      <c r="I6717" s="19" t="str">
        <f>IFERROR(__xludf.DUMMYFUNCTION("IFERROR(TO_DATE(H6717), """")"),"NA")</f>
        <v>NA</v>
      </c>
      <c r="J6717" s="19" t="s">
        <v>13</v>
      </c>
      <c r="K6717" s="22">
        <f t="shared" si="2"/>
        <v>0</v>
      </c>
    </row>
    <row r="6718">
      <c r="A6718" s="18">
        <v>6686.0</v>
      </c>
      <c r="B6718" s="18" t="s">
        <v>30</v>
      </c>
      <c r="C6718" s="18" t="s">
        <v>34</v>
      </c>
      <c r="D6718" s="18" t="s">
        <v>35</v>
      </c>
      <c r="E6718" s="27">
        <v>42566.94181712963</v>
      </c>
      <c r="F6718" s="19">
        <f>IFERROR(__xludf.DUMMYFUNCTION("IFERROR(TO_DATE(E6718), """")"),42566.94181712963)</f>
        <v>42566.94182</v>
      </c>
      <c r="G6718" s="20">
        <f t="shared" si="1"/>
        <v>22</v>
      </c>
      <c r="H6718" s="18" t="s">
        <v>34</v>
      </c>
      <c r="I6718" s="19" t="str">
        <f>IFERROR(__xludf.DUMMYFUNCTION("IFERROR(TO_DATE(H6718), """")"),"NA")</f>
        <v>NA</v>
      </c>
      <c r="J6718" s="19" t="s">
        <v>13</v>
      </c>
      <c r="K6718" s="22">
        <f t="shared" si="2"/>
        <v>0</v>
      </c>
    </row>
    <row r="6719">
      <c r="A6719" s="18">
        <v>6688.0</v>
      </c>
      <c r="B6719" s="18" t="s">
        <v>30</v>
      </c>
      <c r="C6719" s="18" t="s">
        <v>34</v>
      </c>
      <c r="D6719" s="18" t="s">
        <v>35</v>
      </c>
      <c r="E6719" s="27">
        <v>42566.94278935185</v>
      </c>
      <c r="F6719" s="19">
        <f>IFERROR(__xludf.DUMMYFUNCTION("IFERROR(TO_DATE(E6719), """")"),42566.94278935185)</f>
        <v>42566.94279</v>
      </c>
      <c r="G6719" s="20">
        <f t="shared" si="1"/>
        <v>22</v>
      </c>
      <c r="H6719" s="18" t="s">
        <v>34</v>
      </c>
      <c r="I6719" s="19" t="str">
        <f>IFERROR(__xludf.DUMMYFUNCTION("IFERROR(TO_DATE(H6719), """")"),"NA")</f>
        <v>NA</v>
      </c>
      <c r="J6719" s="19" t="s">
        <v>13</v>
      </c>
      <c r="K6719" s="22">
        <f t="shared" si="2"/>
        <v>0</v>
      </c>
    </row>
    <row r="6720">
      <c r="A6720" s="18">
        <v>6689.0</v>
      </c>
      <c r="B6720" s="18" t="s">
        <v>30</v>
      </c>
      <c r="C6720" s="18" t="s">
        <v>34</v>
      </c>
      <c r="D6720" s="18" t="s">
        <v>35</v>
      </c>
      <c r="E6720" s="27">
        <v>42566.947060185186</v>
      </c>
      <c r="F6720" s="19">
        <f>IFERROR(__xludf.DUMMYFUNCTION("IFERROR(TO_DATE(E6720), """")"),42566.947060185186)</f>
        <v>42566.94706</v>
      </c>
      <c r="G6720" s="20">
        <f t="shared" si="1"/>
        <v>22</v>
      </c>
      <c r="H6720" s="18" t="s">
        <v>34</v>
      </c>
      <c r="I6720" s="19" t="str">
        <f>IFERROR(__xludf.DUMMYFUNCTION("IFERROR(TO_DATE(H6720), """")"),"NA")</f>
        <v>NA</v>
      </c>
      <c r="J6720" s="19" t="s">
        <v>13</v>
      </c>
      <c r="K6720" s="22">
        <f t="shared" si="2"/>
        <v>0</v>
      </c>
    </row>
    <row r="6721">
      <c r="A6721" s="18">
        <v>6693.0</v>
      </c>
      <c r="B6721" s="18" t="s">
        <v>32</v>
      </c>
      <c r="C6721" s="18" t="s">
        <v>34</v>
      </c>
      <c r="D6721" s="18" t="s">
        <v>35</v>
      </c>
      <c r="E6721" s="27">
        <v>42566.95107638889</v>
      </c>
      <c r="F6721" s="19">
        <f>IFERROR(__xludf.DUMMYFUNCTION("IFERROR(TO_DATE(E6721), """")"),42566.95107638889)</f>
        <v>42566.95108</v>
      </c>
      <c r="G6721" s="20">
        <f t="shared" si="1"/>
        <v>22</v>
      </c>
      <c r="H6721" s="18" t="s">
        <v>34</v>
      </c>
      <c r="I6721" s="19" t="str">
        <f>IFERROR(__xludf.DUMMYFUNCTION("IFERROR(TO_DATE(H6721), """")"),"NA")</f>
        <v>NA</v>
      </c>
      <c r="J6721" s="19" t="s">
        <v>13</v>
      </c>
      <c r="K6721" s="22">
        <f t="shared" si="2"/>
        <v>0</v>
      </c>
    </row>
    <row r="6722">
      <c r="A6722" s="18">
        <v>6696.0</v>
      </c>
      <c r="B6722" s="18" t="s">
        <v>32</v>
      </c>
      <c r="C6722" s="18" t="s">
        <v>34</v>
      </c>
      <c r="D6722" s="18" t="s">
        <v>35</v>
      </c>
      <c r="E6722" s="27">
        <v>42566.951215277775</v>
      </c>
      <c r="F6722" s="19">
        <f>IFERROR(__xludf.DUMMYFUNCTION("IFERROR(TO_DATE(E6722), """")"),42566.951215277775)</f>
        <v>42566.95122</v>
      </c>
      <c r="G6722" s="20">
        <f t="shared" si="1"/>
        <v>22</v>
      </c>
      <c r="H6722" s="18" t="s">
        <v>34</v>
      </c>
      <c r="I6722" s="19" t="str">
        <f>IFERROR(__xludf.DUMMYFUNCTION("IFERROR(TO_DATE(H6722), """")"),"NA")</f>
        <v>NA</v>
      </c>
      <c r="J6722" s="19" t="s">
        <v>13</v>
      </c>
      <c r="K6722" s="22">
        <f t="shared" si="2"/>
        <v>0</v>
      </c>
    </row>
    <row r="6723">
      <c r="A6723" s="18">
        <v>6697.0</v>
      </c>
      <c r="B6723" s="18" t="s">
        <v>30</v>
      </c>
      <c r="C6723" s="18" t="s">
        <v>34</v>
      </c>
      <c r="D6723" s="18" t="s">
        <v>35</v>
      </c>
      <c r="E6723" s="27">
        <v>42566.95229166667</v>
      </c>
      <c r="F6723" s="19">
        <f>IFERROR(__xludf.DUMMYFUNCTION("IFERROR(TO_DATE(E6723), """")"),42566.95229166667)</f>
        <v>42566.95229</v>
      </c>
      <c r="G6723" s="20">
        <f t="shared" si="1"/>
        <v>22</v>
      </c>
      <c r="H6723" s="18" t="s">
        <v>34</v>
      </c>
      <c r="I6723" s="19" t="str">
        <f>IFERROR(__xludf.DUMMYFUNCTION("IFERROR(TO_DATE(H6723), """")"),"NA")</f>
        <v>NA</v>
      </c>
      <c r="J6723" s="19" t="s">
        <v>13</v>
      </c>
      <c r="K6723" s="22">
        <f t="shared" si="2"/>
        <v>0</v>
      </c>
    </row>
    <row r="6724">
      <c r="A6724" s="18">
        <v>6709.0</v>
      </c>
      <c r="B6724" s="18" t="s">
        <v>30</v>
      </c>
      <c r="C6724" s="18" t="s">
        <v>34</v>
      </c>
      <c r="D6724" s="18" t="s">
        <v>35</v>
      </c>
      <c r="E6724" s="27">
        <v>42566.955555555556</v>
      </c>
      <c r="F6724" s="19">
        <f>IFERROR(__xludf.DUMMYFUNCTION("IFERROR(TO_DATE(E6724), """")"),42566.955555555556)</f>
        <v>42566.95556</v>
      </c>
      <c r="G6724" s="20">
        <f t="shared" si="1"/>
        <v>22</v>
      </c>
      <c r="H6724" s="18" t="s">
        <v>34</v>
      </c>
      <c r="I6724" s="19" t="str">
        <f>IFERROR(__xludf.DUMMYFUNCTION("IFERROR(TO_DATE(H6724), """")"),"NA")</f>
        <v>NA</v>
      </c>
      <c r="J6724" s="19" t="s">
        <v>13</v>
      </c>
      <c r="K6724" s="22">
        <f t="shared" si="2"/>
        <v>0</v>
      </c>
    </row>
    <row r="6725">
      <c r="A6725" s="18">
        <v>6706.0</v>
      </c>
      <c r="B6725" s="18" t="s">
        <v>30</v>
      </c>
      <c r="C6725" s="18" t="s">
        <v>34</v>
      </c>
      <c r="D6725" s="18" t="s">
        <v>35</v>
      </c>
      <c r="E6725" s="27">
        <v>42566.95711805556</v>
      </c>
      <c r="F6725" s="19">
        <f>IFERROR(__xludf.DUMMYFUNCTION("IFERROR(TO_DATE(E6725), """")"),42566.95711805556)</f>
        <v>42566.95712</v>
      </c>
      <c r="G6725" s="20">
        <f t="shared" si="1"/>
        <v>22</v>
      </c>
      <c r="H6725" s="18" t="s">
        <v>34</v>
      </c>
      <c r="I6725" s="19" t="str">
        <f>IFERROR(__xludf.DUMMYFUNCTION("IFERROR(TO_DATE(H6725), """")"),"NA")</f>
        <v>NA</v>
      </c>
      <c r="J6725" s="19" t="s">
        <v>13</v>
      </c>
      <c r="K6725" s="22">
        <f t="shared" si="2"/>
        <v>0</v>
      </c>
    </row>
    <row r="6726">
      <c r="A6726" s="18">
        <v>6708.0</v>
      </c>
      <c r="B6726" s="18" t="s">
        <v>32</v>
      </c>
      <c r="C6726" s="18" t="s">
        <v>34</v>
      </c>
      <c r="D6726" s="18" t="s">
        <v>35</v>
      </c>
      <c r="E6726" s="27">
        <v>42566.96068287037</v>
      </c>
      <c r="F6726" s="19">
        <f>IFERROR(__xludf.DUMMYFUNCTION("IFERROR(TO_DATE(E6726), """")"),42566.96068287037)</f>
        <v>42566.96068</v>
      </c>
      <c r="G6726" s="20">
        <f t="shared" si="1"/>
        <v>23</v>
      </c>
      <c r="H6726" s="18" t="s">
        <v>34</v>
      </c>
      <c r="I6726" s="19" t="str">
        <f>IFERROR(__xludf.DUMMYFUNCTION("IFERROR(TO_DATE(H6726), """")"),"NA")</f>
        <v>NA</v>
      </c>
      <c r="J6726" s="19" t="s">
        <v>13</v>
      </c>
      <c r="K6726" s="22">
        <f t="shared" si="2"/>
        <v>0</v>
      </c>
    </row>
    <row r="6727">
      <c r="A6727" s="18">
        <v>6713.0</v>
      </c>
      <c r="B6727" s="18" t="s">
        <v>32</v>
      </c>
      <c r="C6727" s="18" t="s">
        <v>34</v>
      </c>
      <c r="D6727" s="18" t="s">
        <v>35</v>
      </c>
      <c r="E6727" s="27">
        <v>42566.964050925926</v>
      </c>
      <c r="F6727" s="19">
        <f>IFERROR(__xludf.DUMMYFUNCTION("IFERROR(TO_DATE(E6727), """")"),42566.964050925926)</f>
        <v>42566.96405</v>
      </c>
      <c r="G6727" s="20">
        <f t="shared" si="1"/>
        <v>23</v>
      </c>
      <c r="H6727" s="18" t="s">
        <v>34</v>
      </c>
      <c r="I6727" s="19" t="str">
        <f>IFERROR(__xludf.DUMMYFUNCTION("IFERROR(TO_DATE(H6727), """")"),"NA")</f>
        <v>NA</v>
      </c>
      <c r="J6727" s="19" t="s">
        <v>13</v>
      </c>
      <c r="K6727" s="22">
        <f t="shared" si="2"/>
        <v>0</v>
      </c>
    </row>
    <row r="6728">
      <c r="A6728" s="18">
        <v>6715.0</v>
      </c>
      <c r="B6728" s="18" t="s">
        <v>32</v>
      </c>
      <c r="C6728" s="18" t="s">
        <v>34</v>
      </c>
      <c r="D6728" s="18" t="s">
        <v>35</v>
      </c>
      <c r="E6728" s="27">
        <v>42566.96644675926</v>
      </c>
      <c r="F6728" s="19">
        <f>IFERROR(__xludf.DUMMYFUNCTION("IFERROR(TO_DATE(E6728), """")"),42566.96644675926)</f>
        <v>42566.96645</v>
      </c>
      <c r="G6728" s="20">
        <f t="shared" si="1"/>
        <v>23</v>
      </c>
      <c r="H6728" s="18" t="s">
        <v>34</v>
      </c>
      <c r="I6728" s="19" t="str">
        <f>IFERROR(__xludf.DUMMYFUNCTION("IFERROR(TO_DATE(H6728), """")"),"NA")</f>
        <v>NA</v>
      </c>
      <c r="J6728" s="19" t="s">
        <v>13</v>
      </c>
      <c r="K6728" s="22">
        <f t="shared" si="2"/>
        <v>0</v>
      </c>
    </row>
    <row r="6729">
      <c r="A6729" s="18">
        <v>6716.0</v>
      </c>
      <c r="B6729" s="18" t="s">
        <v>32</v>
      </c>
      <c r="C6729" s="18" t="s">
        <v>34</v>
      </c>
      <c r="D6729" s="18" t="s">
        <v>35</v>
      </c>
      <c r="E6729" s="27">
        <v>42566.96847222222</v>
      </c>
      <c r="F6729" s="19">
        <f>IFERROR(__xludf.DUMMYFUNCTION("IFERROR(TO_DATE(E6729), """")"),42566.96847222222)</f>
        <v>42566.96847</v>
      </c>
      <c r="G6729" s="20">
        <f t="shared" si="1"/>
        <v>23</v>
      </c>
      <c r="H6729" s="18" t="s">
        <v>34</v>
      </c>
      <c r="I6729" s="19" t="str">
        <f>IFERROR(__xludf.DUMMYFUNCTION("IFERROR(TO_DATE(H6729), """")"),"NA")</f>
        <v>NA</v>
      </c>
      <c r="J6729" s="19" t="s">
        <v>13</v>
      </c>
      <c r="K6729" s="22">
        <f t="shared" si="2"/>
        <v>0</v>
      </c>
    </row>
    <row r="6730">
      <c r="A6730" s="18">
        <v>6718.0</v>
      </c>
      <c r="B6730" s="18" t="s">
        <v>30</v>
      </c>
      <c r="C6730" s="18" t="s">
        <v>34</v>
      </c>
      <c r="D6730" s="18" t="s">
        <v>35</v>
      </c>
      <c r="E6730" s="27">
        <v>42566.968506944446</v>
      </c>
      <c r="F6730" s="19">
        <f>IFERROR(__xludf.DUMMYFUNCTION("IFERROR(TO_DATE(E6730), """")"),42566.968506944446)</f>
        <v>42566.96851</v>
      </c>
      <c r="G6730" s="20">
        <f t="shared" si="1"/>
        <v>23</v>
      </c>
      <c r="H6730" s="18" t="s">
        <v>34</v>
      </c>
      <c r="I6730" s="19" t="str">
        <f>IFERROR(__xludf.DUMMYFUNCTION("IFERROR(TO_DATE(H6730), """")"),"NA")</f>
        <v>NA</v>
      </c>
      <c r="J6730" s="19" t="s">
        <v>13</v>
      </c>
      <c r="K6730" s="22">
        <f t="shared" si="2"/>
        <v>0</v>
      </c>
    </row>
    <row r="6731">
      <c r="A6731" s="18">
        <v>6720.0</v>
      </c>
      <c r="B6731" s="18" t="s">
        <v>32</v>
      </c>
      <c r="C6731" s="18" t="s">
        <v>34</v>
      </c>
      <c r="D6731" s="18" t="s">
        <v>35</v>
      </c>
      <c r="E6731" s="27">
        <v>42566.97</v>
      </c>
      <c r="F6731" s="19">
        <f>IFERROR(__xludf.DUMMYFUNCTION("IFERROR(TO_DATE(E6731), """")"),42566.97)</f>
        <v>42566.97</v>
      </c>
      <c r="G6731" s="20">
        <f t="shared" si="1"/>
        <v>23</v>
      </c>
      <c r="H6731" s="18" t="s">
        <v>34</v>
      </c>
      <c r="I6731" s="19" t="str">
        <f>IFERROR(__xludf.DUMMYFUNCTION("IFERROR(TO_DATE(H6731), """")"),"NA")</f>
        <v>NA</v>
      </c>
      <c r="J6731" s="19" t="s">
        <v>13</v>
      </c>
      <c r="K6731" s="22">
        <f t="shared" si="2"/>
        <v>0</v>
      </c>
    </row>
    <row r="6732">
      <c r="A6732" s="18">
        <v>6722.0</v>
      </c>
      <c r="B6732" s="18" t="s">
        <v>30</v>
      </c>
      <c r="C6732" s="18" t="s">
        <v>34</v>
      </c>
      <c r="D6732" s="18" t="s">
        <v>35</v>
      </c>
      <c r="E6732" s="27">
        <v>42566.97107638889</v>
      </c>
      <c r="F6732" s="19">
        <f>IFERROR(__xludf.DUMMYFUNCTION("IFERROR(TO_DATE(E6732), """")"),42566.97107638889)</f>
        <v>42566.97108</v>
      </c>
      <c r="G6732" s="20">
        <f t="shared" si="1"/>
        <v>23</v>
      </c>
      <c r="H6732" s="18" t="s">
        <v>34</v>
      </c>
      <c r="I6732" s="19" t="str">
        <f>IFERROR(__xludf.DUMMYFUNCTION("IFERROR(TO_DATE(H6732), """")"),"NA")</f>
        <v>NA</v>
      </c>
      <c r="J6732" s="19" t="s">
        <v>13</v>
      </c>
      <c r="K6732" s="22">
        <f t="shared" si="2"/>
        <v>0</v>
      </c>
    </row>
    <row r="6733">
      <c r="A6733" s="18">
        <v>6725.0</v>
      </c>
      <c r="B6733" s="18" t="s">
        <v>30</v>
      </c>
      <c r="C6733" s="18" t="s">
        <v>34</v>
      </c>
      <c r="D6733" s="18" t="s">
        <v>35</v>
      </c>
      <c r="E6733" s="27">
        <v>42566.97353009259</v>
      </c>
      <c r="F6733" s="19">
        <f>IFERROR(__xludf.DUMMYFUNCTION("IFERROR(TO_DATE(E6733), """")"),42566.97353009259)</f>
        <v>42566.97353</v>
      </c>
      <c r="G6733" s="20">
        <f t="shared" si="1"/>
        <v>23</v>
      </c>
      <c r="H6733" s="18" t="s">
        <v>34</v>
      </c>
      <c r="I6733" s="19" t="str">
        <f>IFERROR(__xludf.DUMMYFUNCTION("IFERROR(TO_DATE(H6733), """")"),"NA")</f>
        <v>NA</v>
      </c>
      <c r="J6733" s="19" t="s">
        <v>13</v>
      </c>
      <c r="K6733" s="22">
        <f t="shared" si="2"/>
        <v>0</v>
      </c>
    </row>
    <row r="6734">
      <c r="A6734" s="18">
        <v>6728.0</v>
      </c>
      <c r="B6734" s="18" t="s">
        <v>32</v>
      </c>
      <c r="C6734" s="18" t="s">
        <v>34</v>
      </c>
      <c r="D6734" s="18" t="s">
        <v>35</v>
      </c>
      <c r="E6734" s="27">
        <v>42566.97696759259</v>
      </c>
      <c r="F6734" s="19">
        <f>IFERROR(__xludf.DUMMYFUNCTION("IFERROR(TO_DATE(E6734), """")"),42566.97696759259)</f>
        <v>42566.97697</v>
      </c>
      <c r="G6734" s="20">
        <f t="shared" si="1"/>
        <v>23</v>
      </c>
      <c r="H6734" s="18" t="s">
        <v>34</v>
      </c>
      <c r="I6734" s="19" t="str">
        <f>IFERROR(__xludf.DUMMYFUNCTION("IFERROR(TO_DATE(H6734), """")"),"NA")</f>
        <v>NA</v>
      </c>
      <c r="J6734" s="19" t="s">
        <v>13</v>
      </c>
      <c r="K6734" s="22">
        <f t="shared" si="2"/>
        <v>0</v>
      </c>
    </row>
    <row r="6735">
      <c r="A6735" s="18">
        <v>6730.0</v>
      </c>
      <c r="B6735" s="18" t="s">
        <v>30</v>
      </c>
      <c r="C6735" s="18" t="s">
        <v>34</v>
      </c>
      <c r="D6735" s="18" t="s">
        <v>35</v>
      </c>
      <c r="E6735" s="27">
        <v>42566.97771990741</v>
      </c>
      <c r="F6735" s="19">
        <f>IFERROR(__xludf.DUMMYFUNCTION("IFERROR(TO_DATE(E6735), """")"),42566.97771990741)</f>
        <v>42566.97772</v>
      </c>
      <c r="G6735" s="20">
        <f t="shared" si="1"/>
        <v>23</v>
      </c>
      <c r="H6735" s="18" t="s">
        <v>34</v>
      </c>
      <c r="I6735" s="19" t="str">
        <f>IFERROR(__xludf.DUMMYFUNCTION("IFERROR(TO_DATE(H6735), """")"),"NA")</f>
        <v>NA</v>
      </c>
      <c r="J6735" s="19" t="s">
        <v>13</v>
      </c>
      <c r="K6735" s="22">
        <f t="shared" si="2"/>
        <v>0</v>
      </c>
    </row>
    <row r="6736">
      <c r="A6736" s="18">
        <v>6732.0</v>
      </c>
      <c r="B6736" s="18" t="s">
        <v>30</v>
      </c>
      <c r="C6736" s="18" t="s">
        <v>34</v>
      </c>
      <c r="D6736" s="18" t="s">
        <v>35</v>
      </c>
      <c r="E6736" s="27">
        <v>42566.98321759259</v>
      </c>
      <c r="F6736" s="19">
        <f>IFERROR(__xludf.DUMMYFUNCTION("IFERROR(TO_DATE(E6736), """")"),42566.98321759259)</f>
        <v>42566.98322</v>
      </c>
      <c r="G6736" s="20">
        <f t="shared" si="1"/>
        <v>23</v>
      </c>
      <c r="H6736" s="18" t="s">
        <v>34</v>
      </c>
      <c r="I6736" s="19" t="str">
        <f>IFERROR(__xludf.DUMMYFUNCTION("IFERROR(TO_DATE(H6736), """")"),"NA")</f>
        <v>NA</v>
      </c>
      <c r="J6736" s="19" t="s">
        <v>13</v>
      </c>
      <c r="K6736" s="22">
        <f t="shared" si="2"/>
        <v>0</v>
      </c>
    </row>
    <row r="6737">
      <c r="A6737" s="18">
        <v>6737.0</v>
      </c>
      <c r="B6737" s="18" t="s">
        <v>30</v>
      </c>
      <c r="C6737" s="18" t="s">
        <v>34</v>
      </c>
      <c r="D6737" s="18" t="s">
        <v>35</v>
      </c>
      <c r="E6737" s="27">
        <v>42566.98559027778</v>
      </c>
      <c r="F6737" s="19">
        <f>IFERROR(__xludf.DUMMYFUNCTION("IFERROR(TO_DATE(E6737), """")"),42566.98559027778)</f>
        <v>42566.98559</v>
      </c>
      <c r="G6737" s="20">
        <f t="shared" si="1"/>
        <v>23</v>
      </c>
      <c r="H6737" s="18" t="s">
        <v>34</v>
      </c>
      <c r="I6737" s="19" t="str">
        <f>IFERROR(__xludf.DUMMYFUNCTION("IFERROR(TO_DATE(H6737), """")"),"NA")</f>
        <v>NA</v>
      </c>
      <c r="J6737" s="19" t="s">
        <v>13</v>
      </c>
      <c r="K6737" s="22">
        <f t="shared" si="2"/>
        <v>0</v>
      </c>
    </row>
    <row r="6738">
      <c r="A6738" s="18">
        <v>6744.0</v>
      </c>
      <c r="B6738" s="18" t="s">
        <v>30</v>
      </c>
      <c r="C6738" s="18" t="s">
        <v>34</v>
      </c>
      <c r="D6738" s="18" t="s">
        <v>35</v>
      </c>
      <c r="E6738" s="27">
        <v>42566.98809027778</v>
      </c>
      <c r="F6738" s="19">
        <f>IFERROR(__xludf.DUMMYFUNCTION("IFERROR(TO_DATE(E6738), """")"),42566.98809027778)</f>
        <v>42566.98809</v>
      </c>
      <c r="G6738" s="20">
        <f t="shared" si="1"/>
        <v>23</v>
      </c>
      <c r="H6738" s="18" t="s">
        <v>34</v>
      </c>
      <c r="I6738" s="19" t="str">
        <f>IFERROR(__xludf.DUMMYFUNCTION("IFERROR(TO_DATE(H6738), """")"),"NA")</f>
        <v>NA</v>
      </c>
      <c r="J6738" s="19" t="s">
        <v>13</v>
      </c>
      <c r="K6738" s="22">
        <f t="shared" si="2"/>
        <v>0</v>
      </c>
    </row>
    <row r="6739">
      <c r="A6739" s="18">
        <v>6740.0</v>
      </c>
      <c r="B6739" s="18" t="s">
        <v>32</v>
      </c>
      <c r="C6739" s="18" t="s">
        <v>34</v>
      </c>
      <c r="D6739" s="18" t="s">
        <v>35</v>
      </c>
      <c r="E6739" s="27">
        <v>42566.98881944444</v>
      </c>
      <c r="F6739" s="19">
        <f>IFERROR(__xludf.DUMMYFUNCTION("IFERROR(TO_DATE(E6739), """")"),42566.98881944444)</f>
        <v>42566.98882</v>
      </c>
      <c r="G6739" s="20">
        <f t="shared" si="1"/>
        <v>23</v>
      </c>
      <c r="H6739" s="18" t="s">
        <v>34</v>
      </c>
      <c r="I6739" s="19" t="str">
        <f>IFERROR(__xludf.DUMMYFUNCTION("IFERROR(TO_DATE(H6739), """")"),"NA")</f>
        <v>NA</v>
      </c>
      <c r="J6739" s="19" t="s">
        <v>13</v>
      </c>
      <c r="K6739" s="22">
        <f t="shared" si="2"/>
        <v>0</v>
      </c>
    </row>
    <row r="6740">
      <c r="A6740" s="18">
        <v>6746.0</v>
      </c>
      <c r="B6740" s="18" t="s">
        <v>32</v>
      </c>
      <c r="C6740" s="18" t="s">
        <v>34</v>
      </c>
      <c r="D6740" s="18" t="s">
        <v>35</v>
      </c>
      <c r="E6740" s="27">
        <v>42566.9903125</v>
      </c>
      <c r="F6740" s="19">
        <f>IFERROR(__xludf.DUMMYFUNCTION("IFERROR(TO_DATE(E6740), """")"),42566.9903125)</f>
        <v>42566.99031</v>
      </c>
      <c r="G6740" s="20">
        <f t="shared" si="1"/>
        <v>23</v>
      </c>
      <c r="H6740" s="18" t="s">
        <v>34</v>
      </c>
      <c r="I6740" s="19" t="str">
        <f>IFERROR(__xludf.DUMMYFUNCTION("IFERROR(TO_DATE(H6740), """")"),"NA")</f>
        <v>NA</v>
      </c>
      <c r="J6740" s="19" t="s">
        <v>13</v>
      </c>
      <c r="K6740" s="22">
        <f t="shared" si="2"/>
        <v>0</v>
      </c>
    </row>
    <row r="6741">
      <c r="A6741" s="18">
        <v>6739.0</v>
      </c>
      <c r="B6741" s="18" t="s">
        <v>32</v>
      </c>
      <c r="C6741" s="18" t="s">
        <v>34</v>
      </c>
      <c r="D6741" s="18" t="s">
        <v>35</v>
      </c>
      <c r="E6741" s="27">
        <v>42566.99050925926</v>
      </c>
      <c r="F6741" s="19">
        <f>IFERROR(__xludf.DUMMYFUNCTION("IFERROR(TO_DATE(E6741), """")"),42566.99050925926)</f>
        <v>42566.99051</v>
      </c>
      <c r="G6741" s="20">
        <f t="shared" si="1"/>
        <v>23</v>
      </c>
      <c r="H6741" s="18" t="s">
        <v>34</v>
      </c>
      <c r="I6741" s="19" t="str">
        <f>IFERROR(__xludf.DUMMYFUNCTION("IFERROR(TO_DATE(H6741), """")"),"NA")</f>
        <v>NA</v>
      </c>
      <c r="J6741" s="19" t="s">
        <v>13</v>
      </c>
      <c r="K6741" s="22">
        <f t="shared" si="2"/>
        <v>0</v>
      </c>
    </row>
    <row r="6742">
      <c r="A6742" s="18">
        <v>6745.0</v>
      </c>
      <c r="B6742" s="18" t="s">
        <v>32</v>
      </c>
      <c r="C6742" s="18" t="s">
        <v>34</v>
      </c>
      <c r="D6742" s="18" t="s">
        <v>35</v>
      </c>
      <c r="E6742" s="27">
        <v>42566.99239583333</v>
      </c>
      <c r="F6742" s="19">
        <f>IFERROR(__xludf.DUMMYFUNCTION("IFERROR(TO_DATE(E6742), """")"),42566.99239583333)</f>
        <v>42566.9924</v>
      </c>
      <c r="G6742" s="20">
        <f t="shared" si="1"/>
        <v>23</v>
      </c>
      <c r="H6742" s="18" t="s">
        <v>34</v>
      </c>
      <c r="I6742" s="19" t="str">
        <f>IFERROR(__xludf.DUMMYFUNCTION("IFERROR(TO_DATE(H6742), """")"),"NA")</f>
        <v>NA</v>
      </c>
      <c r="J6742" s="19" t="s">
        <v>13</v>
      </c>
      <c r="K6742" s="22">
        <f t="shared" si="2"/>
        <v>0</v>
      </c>
    </row>
    <row r="6743">
      <c r="A6743" s="18">
        <v>6752.0</v>
      </c>
      <c r="B6743" s="18" t="s">
        <v>30</v>
      </c>
      <c r="C6743" s="18" t="s">
        <v>34</v>
      </c>
      <c r="D6743" s="18" t="s">
        <v>35</v>
      </c>
      <c r="E6743" s="27">
        <v>42566.993113425924</v>
      </c>
      <c r="F6743" s="19">
        <f>IFERROR(__xludf.DUMMYFUNCTION("IFERROR(TO_DATE(E6743), """")"),42566.993113425924)</f>
        <v>42566.99311</v>
      </c>
      <c r="G6743" s="20">
        <f t="shared" si="1"/>
        <v>23</v>
      </c>
      <c r="H6743" s="18" t="s">
        <v>34</v>
      </c>
      <c r="I6743" s="19" t="str">
        <f>IFERROR(__xludf.DUMMYFUNCTION("IFERROR(TO_DATE(H6743), """")"),"NA")</f>
        <v>NA</v>
      </c>
      <c r="J6743" s="19" t="s">
        <v>13</v>
      </c>
      <c r="K6743" s="22">
        <f t="shared" si="2"/>
        <v>0</v>
      </c>
    </row>
    <row r="6744">
      <c r="A6744" s="18">
        <v>6751.0</v>
      </c>
      <c r="B6744" s="18" t="s">
        <v>32</v>
      </c>
      <c r="C6744" s="18" t="s">
        <v>34</v>
      </c>
      <c r="D6744" s="18" t="s">
        <v>35</v>
      </c>
      <c r="E6744" s="27">
        <v>42566.99451388889</v>
      </c>
      <c r="F6744" s="19">
        <f>IFERROR(__xludf.DUMMYFUNCTION("IFERROR(TO_DATE(E6744), """")"),42566.99451388889)</f>
        <v>42566.99451</v>
      </c>
      <c r="G6744" s="20">
        <f t="shared" si="1"/>
        <v>23</v>
      </c>
      <c r="H6744" s="18" t="s">
        <v>34</v>
      </c>
      <c r="I6744" s="19" t="str">
        <f>IFERROR(__xludf.DUMMYFUNCTION("IFERROR(TO_DATE(H6744), """")"),"NA")</f>
        <v>NA</v>
      </c>
      <c r="J6744" s="19" t="s">
        <v>13</v>
      </c>
      <c r="K6744" s="22">
        <f t="shared" si="2"/>
        <v>0</v>
      </c>
    </row>
    <row r="6745">
      <c r="A6745" s="18">
        <v>6754.0</v>
      </c>
      <c r="B6745" s="18" t="s">
        <v>32</v>
      </c>
      <c r="C6745" s="18" t="s">
        <v>34</v>
      </c>
      <c r="D6745" s="18" t="s">
        <v>35</v>
      </c>
      <c r="E6745" s="27">
        <v>42566.99628472222</v>
      </c>
      <c r="F6745" s="19">
        <f>IFERROR(__xludf.DUMMYFUNCTION("IFERROR(TO_DATE(E6745), """")"),42566.99628472222)</f>
        <v>42566.99628</v>
      </c>
      <c r="G6745" s="20">
        <f t="shared" si="1"/>
        <v>23</v>
      </c>
      <c r="H6745" s="18" t="s">
        <v>34</v>
      </c>
      <c r="I6745" s="19" t="str">
        <f>IFERROR(__xludf.DUMMYFUNCTION("IFERROR(TO_DATE(H6745), """")"),"NA")</f>
        <v>NA</v>
      </c>
      <c r="J6745" s="19" t="s">
        <v>13</v>
      </c>
      <c r="K6745" s="22">
        <f t="shared" si="2"/>
        <v>0</v>
      </c>
    </row>
    <row r="6746">
      <c r="A6746" s="18">
        <v>6753.0</v>
      </c>
      <c r="B6746" s="18" t="s">
        <v>30</v>
      </c>
      <c r="C6746" s="18" t="s">
        <v>34</v>
      </c>
      <c r="D6746" s="18" t="s">
        <v>35</v>
      </c>
      <c r="E6746" s="27">
        <v>42566.9965625</v>
      </c>
      <c r="F6746" s="19">
        <f>IFERROR(__xludf.DUMMYFUNCTION("IFERROR(TO_DATE(E6746), """")"),42566.9965625)</f>
        <v>42566.99656</v>
      </c>
      <c r="G6746" s="20">
        <f t="shared" si="1"/>
        <v>23</v>
      </c>
      <c r="H6746" s="18" t="s">
        <v>34</v>
      </c>
      <c r="I6746" s="19" t="str">
        <f>IFERROR(__xludf.DUMMYFUNCTION("IFERROR(TO_DATE(H6746), """")"),"NA")</f>
        <v>NA</v>
      </c>
      <c r="J6746" s="19" t="s">
        <v>13</v>
      </c>
      <c r="K6746" s="22">
        <f t="shared" si="2"/>
        <v>0</v>
      </c>
    </row>
    <row r="6747">
      <c r="F6747" s="19"/>
      <c r="I6747" s="19"/>
      <c r="J6747" s="19" t="s">
        <v>36</v>
      </c>
      <c r="K6747" s="22"/>
    </row>
    <row r="6748">
      <c r="F6748" s="19"/>
      <c r="I6748" s="19"/>
      <c r="J6748" s="19" t="s">
        <v>36</v>
      </c>
      <c r="K6748" s="25" t="s">
        <v>37</v>
      </c>
    </row>
  </sheetData>
  <drawing r:id="rId1"/>
</worksheet>
</file>