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gin\Downloads\"/>
    </mc:Choice>
  </mc:AlternateContent>
  <xr:revisionPtr revIDLastSave="0" documentId="8_{481FDEAD-0D31-4436-ACE8-B0E930B52FD3}" xr6:coauthVersionLast="47" xr6:coauthVersionMax="47" xr10:uidLastSave="{00000000-0000-0000-0000-000000000000}"/>
  <bookViews>
    <workbookView showSheetTabs="0" xWindow="-110" yWindow="-110" windowWidth="19420" windowHeight="10420" tabRatio="836" activeTab="4" xr2:uid="{B430F305-06C2-4799-BE7C-6E9D28374C77}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7" l="1"/>
  <c r="E17" i="6"/>
  <c r="F17" i="6"/>
  <c r="I17" i="6"/>
  <c r="J17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I20" i="6"/>
  <c r="I21" i="6"/>
  <c r="I22" i="6"/>
  <c r="J19" i="6"/>
  <c r="J20" i="6"/>
  <c r="J21" i="6"/>
  <c r="J22" i="6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C17" i="9"/>
  <c r="C12" i="9"/>
  <c r="C20" i="9" s="1"/>
  <c r="C9" i="9"/>
  <c r="C6" i="9"/>
  <c r="C3" i="9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3" i="6"/>
  <c r="F13" i="6"/>
  <c r="I13" i="6"/>
  <c r="J13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H16" i="8" l="1"/>
  <c r="H17" i="8"/>
  <c r="H18" i="8"/>
  <c r="G17" i="8"/>
  <c r="G16" i="8"/>
  <c r="G18" i="8"/>
  <c r="H10" i="8"/>
  <c r="H14" i="8"/>
  <c r="H9" i="8"/>
  <c r="H11" i="8"/>
  <c r="H15" i="8"/>
  <c r="H8" i="8"/>
  <c r="H12" i="8"/>
  <c r="I12" i="8" s="1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7" i="8" l="1"/>
  <c r="I18" i="8"/>
  <c r="I16" i="8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  <c r="I11" i="1"/>
  <c r="I10" i="1"/>
  <c r="I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<sst xmlns="http://schemas.openxmlformats.org/spreadsheetml/2006/main" count="205" uniqueCount="95">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</sst>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₹&quot;\ * #,##0_ ;_ &quot;₹&quot;\ * \-#,##0_ ;_ &quot;₹&quot;\ * &quot;-&quot;_ ;_ @_ "/>
    <numFmt numFmtId="164" formatCode="&quot;₹&quot;\ #,##0"/>
  </numFmts>
  <fonts count="6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2"/>
      <color theme="1"/>
      <name val="Bahnschrift SemiLigh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2" fontId="2" fillId="2" borderId="0" xfId="0" applyNumberFormat="1" applyFont="1" applyFill="1"/>
    <xf numFmtId="0" fontId="4" fillId="2" borderId="0" xfId="1" applyFont="1" applyFill="1"/>
    <xf numFmtId="14" fontId="2" fillId="2" borderId="0" xfId="0" applyNumberFormat="1" applyFont="1" applyFill="1"/>
    <xf numFmtId="0" fontId="0" fillId="5" borderId="0" xfId="0" applyFill="1"/>
    <xf numFmtId="4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2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left" indent="1"/>
    </xf>
    <xf numFmtId="0" fontId="1" fillId="4" borderId="4" xfId="0" applyFont="1" applyFill="1" applyBorder="1"/>
    <xf numFmtId="164" fontId="2" fillId="2" borderId="0" xfId="0" applyNumberFormat="1" applyFont="1" applyFill="1"/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2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6.svg"/><Relationship Id="rId5" Type="http://schemas.openxmlformats.org/officeDocument/2006/relationships/image" Target="../media/image4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3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21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2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6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2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2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30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29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2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31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34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33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3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0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Inventory Management System - Deepak EduWorld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3</xdr:col>
      <xdr:colOff>177800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7</xdr:col>
      <xdr:colOff>203200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6</xdr:col>
      <xdr:colOff>69850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524500" y="1193800"/>
          <a:ext cx="171450" cy="603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rgbClr val="D5E787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3263900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0414000" y="12128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55,43,995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30,71,878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5,11,980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29,84,097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762000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622300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439813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671297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/>
    </cacheField>
    <cacheField name="Price" numFmtId="42">
      <sharedItems containsMixedTypes="1" containsNumber="1" minValue="408" maxValue="62400"/>
    </cacheField>
    <cacheField name="Amount" numFmtId="42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018521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42">
      <sharedItems containsMixedTypes="1" containsNumber="1" containsInteger="1" minValue="200" maxValue="52000"/>
    </cacheField>
    <cacheField name="Amount" numFmtId="42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249998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42">
      <sharedItems containsSemiMixedTypes="0" containsString="0" containsNumber="1" containsInteger="1" minValue="200" maxValue="52000"/>
    </cacheField>
    <cacheField name="Selling Price" numFmtId="42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481482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59722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3"/>
    <x v="0"/>
    <s v="N1008"/>
    <x v="0"/>
    <d v="2024-01-01T00:00:00"/>
    <n v="13"/>
    <n v="10"/>
    <n v="958.8"/>
    <n v="9588"/>
  </r>
  <r>
    <n v="104"/>
    <x v="1"/>
    <s v="N1006"/>
    <x v="1"/>
    <d v="2024-01-02T00:00:00"/>
    <n v="13"/>
    <n v="37"/>
    <n v="408"/>
    <n v="15096"/>
  </r>
  <r>
    <n v="101"/>
    <x v="2"/>
    <s v="N1004"/>
    <x v="2"/>
    <d v="2024-01-03T00:00:00"/>
    <n v="35"/>
    <n v="10"/>
    <n v="25200"/>
    <n v="252000"/>
  </r>
  <r>
    <n v="100"/>
    <x v="3"/>
    <s v="N1008"/>
    <x v="0"/>
    <d v="2024-01-04T00:00:00"/>
    <n v="13"/>
    <n v="32"/>
    <n v="958.8"/>
    <n v="30681.599999999999"/>
  </r>
  <r>
    <n v="102"/>
    <x v="4"/>
    <s v="N1002"/>
    <x v="3"/>
    <d v="2024-01-05T00:00:00"/>
    <n v="16"/>
    <n v="14"/>
    <n v="41400"/>
    <n v="579600"/>
  </r>
  <r>
    <n v="103"/>
    <x v="0"/>
    <s v="N1004"/>
    <x v="2"/>
    <d v="2024-01-06T00:00:00"/>
    <n v="35"/>
    <n v="55"/>
    <n v="25200"/>
    <n v="1386000"/>
  </r>
  <r>
    <n v="105"/>
    <x v="5"/>
    <s v="N1010"/>
    <x v="4"/>
    <d v="2024-01-07T00:00:00"/>
    <n v="32"/>
    <n v="4"/>
    <n v="28200"/>
    <n v="112800"/>
  </r>
  <r>
    <n v="106"/>
    <x v="6"/>
    <s v="N1009"/>
    <x v="5"/>
    <d v="2024-01-08T00:00:00"/>
    <n v="3"/>
    <n v="52"/>
    <n v="804"/>
    <n v="41808"/>
  </r>
  <r>
    <n v="104"/>
    <x v="1"/>
    <s v="N1010"/>
    <x v="4"/>
    <d v="2024-01-08T00:00:00"/>
    <n v="32"/>
    <n v="4"/>
    <n v="28200"/>
    <n v="112800"/>
  </r>
  <r>
    <n v="103"/>
    <x v="0"/>
    <s v="N1001"/>
    <x v="6"/>
    <d v="2024-01-08T00:00:00"/>
    <n v="36"/>
    <n v="4"/>
    <n v="1176"/>
    <n v="4704"/>
  </r>
  <r>
    <n v="104"/>
    <x v="1"/>
    <s v="N1007"/>
    <x v="7"/>
    <d v="2024-01-08T00:00:00"/>
    <n v="14"/>
    <n v="4"/>
    <n v="62400"/>
    <n v="249600"/>
  </r>
  <r>
    <n v="105"/>
    <x v="5"/>
    <s v="N1007"/>
    <x v="7"/>
    <d v="2024-01-08T00:00:00"/>
    <n v="14"/>
    <n v="4"/>
    <n v="62400"/>
    <n v="249600"/>
  </r>
  <r>
    <n v="104"/>
    <x v="1"/>
    <s v="N1003"/>
    <x v="8"/>
    <d v="2024-01-08T00:00:00"/>
    <n v="35"/>
    <n v="5"/>
    <n v="5520"/>
    <n v="27600"/>
  </r>
  <r>
    <m/>
    <x v="7"/>
    <m/>
    <x v="9"/>
    <m/>
    <s v=""/>
    <m/>
    <s v=""/>
    <s v=""/>
  </r>
  <r>
    <m/>
    <x v="7"/>
    <m/>
    <x v="9"/>
    <m/>
    <s v=""/>
    <m/>
    <s v=""/>
    <s v=""/>
  </r>
  <r>
    <m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42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42" showAll="0"/>
    <pivotField numFmtId="42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8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6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42" showAll="0"/>
    <pivotField numFmtId="42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7" dataDxfId="46">
  <autoFilter ref="D5:G12" xr:uid="{0D8EDAF4-9F55-4D95-8363-29B2401224DA}"/>
  <tableColumns count="4">
    <tableColumn id="1" xr3:uid="{A028F778-FAE2-4DA3-9E91-62E658D36DF6}" name="Cust_ID" dataDxfId="45"/>
    <tableColumn id="2" xr3:uid="{BCB3C8F0-9DF4-4900-8C66-81EE87B434F8}" name="Name" dataDxfId="44"/>
    <tableColumn id="3" xr3:uid="{FE0BAB7F-3A2F-433A-9582-E73617E2FB67}" name="Email" dataDxfId="43"/>
    <tableColumn id="4" xr3:uid="{842A10DD-1F38-4C5D-8EFB-A221D293F165}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1" dataDxfId="40">
  <autoFilter ref="D5:H15" xr:uid="{A12D6322-E072-4CD6-B243-64F6749A3BC8}"/>
  <tableColumns count="5">
    <tableColumn id="1" xr3:uid="{C918567B-AA6D-4722-901E-0B9DF50E02B0}" name="HSN Code" dataDxfId="39"/>
    <tableColumn id="2" xr3:uid="{C2C48FD5-FD9B-4E3C-98B8-D75FB6A2077A}" name="Product Name" dataDxfId="38"/>
    <tableColumn id="3" xr3:uid="{A07A3EE5-3FD1-4333-9581-2DDCDB3D7A8A}" name="Vendor Name" dataDxfId="37"/>
    <tableColumn id="4" xr3:uid="{8A74C083-67EC-4C86-BFF4-993ECEB89735}" name="Phone" dataDxfId="36"/>
    <tableColumn id="5" xr3:uid="{1193D20E-2B1E-4EA8-90A8-30BDFF23CFCB}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5" totalsRowShown="0" headerRowDxfId="34">
  <autoFilter ref="D5:G15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1:O20"/>
  <sheetViews>
    <sheetView showGridLines="0" showRowColHeaders="0" topLeftCell="A3" zoomScaleNormal="100" workbookViewId="0">
      <selection activeCell="I11" sqref="I11"/>
    </sheetView>
  </sheetViews>
  <sheetFormatPr defaultRowHeight="26" x14ac:dyDescent="0.6"/>
  <cols>
    <col min="1" max="1" width="1.6484375" style="1" customWidth="1"/>
    <col min="2" max="2" width="14.5" customWidth="1"/>
    <col min="3" max="3" width="1.75" style="1" customWidth="1"/>
    <col min="4" max="7" width="8.796875" style="1"/>
    <col min="8" max="8" width="14.3984375" style="1" customWidth="1"/>
    <col min="9" max="9" width="25.84765625" style="1" customWidth="1"/>
    <col min="10" max="16384" width="8.796875" style="1"/>
  </cols>
  <sheetData>
    <row r="1" spans="2:15" x14ac:dyDescent="0.6">
      <c r="B1" s="1"/>
    </row>
    <row r="2" spans="2:15" x14ac:dyDescent="0.6">
      <c r="B2" s="13"/>
      <c r="O2" s="2"/>
    </row>
    <row r="3" spans="2:15" x14ac:dyDescent="0.6">
      <c r="B3" s="14"/>
    </row>
    <row r="4" spans="2:15" x14ac:dyDescent="0.6">
      <c r="B4" s="14"/>
    </row>
    <row r="5" spans="2:15" x14ac:dyDescent="0.6">
      <c r="B5" s="14"/>
    </row>
    <row r="6" spans="2:15" x14ac:dyDescent="0.6">
      <c r="B6" s="14"/>
    </row>
    <row r="7" spans="2:15" x14ac:dyDescent="0.6">
      <c r="B7" s="14"/>
      <c r="I7" s="18" t="s">
        <v>79</v>
      </c>
    </row>
    <row r="8" spans="2:15" x14ac:dyDescent="0.6">
      <c r="B8" s="14"/>
      <c r="I8" s="16" t="str" cm="1">
        <f t="array" ref="I8:I11">_xlfn._xlws.FILTER(Table7[notifications],Table7[notifications]&lt;&gt;"")</f>
        <v>📞 Smart Watch Needs To Re-Order ! PH. 9812xxxxxx</v>
      </c>
    </row>
    <row r="9" spans="2:15" x14ac:dyDescent="0.6">
      <c r="B9" s="14"/>
      <c r="I9" s="16" t="str">
        <v>📞 Laptop HP xyz i5 Needs To Re-Order ! PH. 9812xxxxxx</v>
      </c>
    </row>
    <row r="10" spans="2:15" x14ac:dyDescent="0.6">
      <c r="B10" s="14" t="s">
        <v>0</v>
      </c>
      <c r="I10" s="16" t="str">
        <v>📞 Speakers Needs To Re-Order ! PH. 9814xxxxxx</v>
      </c>
    </row>
    <row r="11" spans="2:15" x14ac:dyDescent="0.6">
      <c r="B11" s="14"/>
      <c r="I11" s="16" t="str">
        <v>📞 Tablets Needs To Re-Order ! PH. 9814xxxxxx</v>
      </c>
    </row>
    <row r="12" spans="2:15" x14ac:dyDescent="0.6">
      <c r="B12" s="14"/>
      <c r="I12" s="16"/>
    </row>
    <row r="13" spans="2:15" x14ac:dyDescent="0.6">
      <c r="B13" s="14"/>
      <c r="I13" s="16"/>
    </row>
    <row r="14" spans="2:15" x14ac:dyDescent="0.6">
      <c r="B14" s="14"/>
      <c r="I14" s="16"/>
    </row>
    <row r="15" spans="2:15" x14ac:dyDescent="0.6">
      <c r="B15" s="14"/>
      <c r="I15" s="16"/>
    </row>
    <row r="16" spans="2:15" x14ac:dyDescent="0.6">
      <c r="B16" s="14"/>
      <c r="I16" s="16"/>
    </row>
    <row r="17" spans="2:9" x14ac:dyDescent="0.6">
      <c r="B17" s="14"/>
      <c r="I17" s="16"/>
    </row>
    <row r="18" spans="2:9" x14ac:dyDescent="0.6">
      <c r="B18" s="14"/>
      <c r="I18" s="16"/>
    </row>
    <row r="19" spans="2:9" x14ac:dyDescent="0.6">
      <c r="B19" s="15"/>
      <c r="I19" s="17"/>
    </row>
    <row r="20" spans="2:9" x14ac:dyDescent="0.6">
      <c r="B20" s="8"/>
      <c r="C20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defaultRowHeight="26" x14ac:dyDescent="0.6"/>
  <cols>
    <col min="1" max="1" width="13.1484375" bestFit="1" customWidth="1"/>
    <col min="3" max="3" width="13.09765625" customWidth="1"/>
    <col min="5" max="5" width="13.69921875" bestFit="1" customWidth="1"/>
    <col min="6" max="6" width="11.5" bestFit="1" customWidth="1"/>
  </cols>
  <sheetData>
    <row r="2" spans="1:6" x14ac:dyDescent="0.6">
      <c r="A2" t="s">
        <v>80</v>
      </c>
      <c r="C2" t="s">
        <v>81</v>
      </c>
      <c r="E2" s="11" t="s">
        <v>91</v>
      </c>
      <c r="F2" t="s">
        <v>84</v>
      </c>
    </row>
    <row r="3" spans="1:6" x14ac:dyDescent="0.6">
      <c r="A3">
        <v>7</v>
      </c>
      <c r="C3">
        <f>GETPIVOTDATA("Name",$A$2)</f>
        <v>7</v>
      </c>
      <c r="E3" s="12" t="s">
        <v>8</v>
      </c>
      <c r="F3" s="9">
        <v>252000</v>
      </c>
    </row>
    <row r="4" spans="1:6" x14ac:dyDescent="0.6">
      <c r="E4" s="12" t="s">
        <v>20</v>
      </c>
      <c r="F4" s="9">
        <v>362400</v>
      </c>
    </row>
    <row r="5" spans="1:6" x14ac:dyDescent="0.6">
      <c r="A5" t="s">
        <v>82</v>
      </c>
      <c r="C5" t="s">
        <v>83</v>
      </c>
      <c r="E5" s="12" t="s">
        <v>17</v>
      </c>
      <c r="F5" s="9">
        <v>405096</v>
      </c>
    </row>
    <row r="6" spans="1:6" x14ac:dyDescent="0.6">
      <c r="A6">
        <v>10</v>
      </c>
      <c r="C6">
        <f>GETPIVOTDATA("Product Name",$A$5)</f>
        <v>10</v>
      </c>
      <c r="E6" s="12" t="s">
        <v>11</v>
      </c>
      <c r="F6" s="9">
        <v>579600</v>
      </c>
    </row>
    <row r="7" spans="1:6" x14ac:dyDescent="0.6">
      <c r="E7" s="12" t="s">
        <v>14</v>
      </c>
      <c r="F7" s="9">
        <v>1400292</v>
      </c>
    </row>
    <row r="8" spans="1:6" x14ac:dyDescent="0.6">
      <c r="A8" t="s">
        <v>84</v>
      </c>
      <c r="C8" t="s">
        <v>85</v>
      </c>
      <c r="E8" s="12" t="s">
        <v>92</v>
      </c>
      <c r="F8" s="9">
        <v>2999388</v>
      </c>
    </row>
    <row r="9" spans="1:6" x14ac:dyDescent="0.6">
      <c r="A9" s="9">
        <v>5543995</v>
      </c>
      <c r="C9" s="10">
        <f>GETPIVOTDATA("Amount",$A$8)</f>
        <v>5543995</v>
      </c>
    </row>
    <row r="11" spans="1:6" x14ac:dyDescent="0.6">
      <c r="A11" t="s">
        <v>84</v>
      </c>
      <c r="C11" t="s">
        <v>86</v>
      </c>
    </row>
    <row r="12" spans="1:6" x14ac:dyDescent="0.6">
      <c r="A12" s="9">
        <v>3071877.6</v>
      </c>
      <c r="C12" s="10">
        <f>GETPIVOTDATA("Amount",$A$11)</f>
        <v>3071877.6</v>
      </c>
      <c r="E12" s="11" t="s">
        <v>91</v>
      </c>
      <c r="F12" t="s">
        <v>93</v>
      </c>
    </row>
    <row r="13" spans="1:6" x14ac:dyDescent="0.6">
      <c r="E13" s="12" t="s">
        <v>35</v>
      </c>
      <c r="F13">
        <v>14</v>
      </c>
    </row>
    <row r="14" spans="1:6" x14ac:dyDescent="0.6">
      <c r="E14" s="12" t="s">
        <v>48</v>
      </c>
      <c r="F14">
        <v>37</v>
      </c>
    </row>
    <row r="15" spans="1:6" x14ac:dyDescent="0.6">
      <c r="E15" s="12" t="s">
        <v>54</v>
      </c>
      <c r="F15">
        <v>42</v>
      </c>
    </row>
    <row r="16" spans="1:6" x14ac:dyDescent="0.6">
      <c r="A16" t="s">
        <v>88</v>
      </c>
      <c r="C16" t="s">
        <v>89</v>
      </c>
      <c r="E16" s="12" t="s">
        <v>59</v>
      </c>
      <c r="F16">
        <v>52</v>
      </c>
    </row>
    <row r="17" spans="1:6" x14ac:dyDescent="0.6">
      <c r="A17">
        <v>2984097</v>
      </c>
      <c r="C17" s="10">
        <f>GETPIVOTDATA("Stock Amt.",$A$16)</f>
        <v>2984097</v>
      </c>
      <c r="E17" s="12" t="s">
        <v>41</v>
      </c>
      <c r="F17">
        <v>65</v>
      </c>
    </row>
    <row r="18" spans="1:6" x14ac:dyDescent="0.6">
      <c r="E18" s="12" t="s">
        <v>92</v>
      </c>
      <c r="F18">
        <v>210</v>
      </c>
    </row>
    <row r="19" spans="1:6" x14ac:dyDescent="0.6">
      <c r="C19" t="s">
        <v>90</v>
      </c>
    </row>
    <row r="20" spans="1:6" x14ac:dyDescent="0.6">
      <c r="C20" s="10">
        <f>C12+C17-C9</f>
        <v>511979.59999999963</v>
      </c>
    </row>
    <row r="21" spans="1:6" x14ac:dyDescent="0.6">
      <c r="E21" s="11" t="s">
        <v>91</v>
      </c>
      <c r="F21" t="s">
        <v>94</v>
      </c>
    </row>
    <row r="22" spans="1:6" x14ac:dyDescent="0.6">
      <c r="E22" s="12" t="s">
        <v>51</v>
      </c>
      <c r="F22">
        <v>14</v>
      </c>
    </row>
    <row r="23" spans="1:6" x14ac:dyDescent="0.6">
      <c r="E23" s="12" t="s">
        <v>41</v>
      </c>
      <c r="F23">
        <v>35</v>
      </c>
    </row>
    <row r="24" spans="1:6" x14ac:dyDescent="0.6">
      <c r="E24" s="12" t="s">
        <v>54</v>
      </c>
      <c r="F24">
        <v>13</v>
      </c>
    </row>
    <row r="25" spans="1:6" x14ac:dyDescent="0.6">
      <c r="E25" s="12" t="s">
        <v>35</v>
      </c>
      <c r="F25">
        <v>16</v>
      </c>
    </row>
    <row r="26" spans="1:6" x14ac:dyDescent="0.6">
      <c r="E26" s="12" t="s">
        <v>45</v>
      </c>
      <c r="F26">
        <v>20</v>
      </c>
    </row>
    <row r="27" spans="1:6" x14ac:dyDescent="0.6">
      <c r="E27" s="12" t="s">
        <v>48</v>
      </c>
      <c r="F27">
        <v>13</v>
      </c>
    </row>
    <row r="28" spans="1:6" x14ac:dyDescent="0.6">
      <c r="E28" s="12" t="s">
        <v>31</v>
      </c>
      <c r="F28">
        <v>36</v>
      </c>
    </row>
    <row r="29" spans="1:6" x14ac:dyDescent="0.6">
      <c r="E29" s="12" t="s">
        <v>59</v>
      </c>
      <c r="F29">
        <v>3</v>
      </c>
    </row>
    <row r="30" spans="1:6" x14ac:dyDescent="0.6">
      <c r="E30" s="12" t="s">
        <v>62</v>
      </c>
      <c r="F30">
        <v>32</v>
      </c>
    </row>
    <row r="31" spans="1:6" x14ac:dyDescent="0.6">
      <c r="E31" s="12" t="s">
        <v>38</v>
      </c>
      <c r="F31">
        <v>35</v>
      </c>
    </row>
    <row r="32" spans="1:6" x14ac:dyDescent="0.6">
      <c r="E32" s="12" t="s">
        <v>92</v>
      </c>
      <c r="F32">
        <v>217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RowColHeaders="0" zoomScaleNormal="100" workbookViewId="0"/>
  </sheetViews>
  <sheetFormatPr defaultRowHeight="26" x14ac:dyDescent="0.6"/>
  <cols>
    <col min="1" max="1" width="1.6484375" style="1" customWidth="1"/>
    <col min="2" max="2" width="14.5" customWidth="1"/>
    <col min="3" max="3" width="1.75" style="1" customWidth="1"/>
    <col min="4" max="4" width="8.796875" style="1" customWidth="1"/>
    <col min="5" max="8" width="15.6484375" style="1" customWidth="1"/>
    <col min="9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  <c r="D5" s="3" t="s">
        <v>1</v>
      </c>
      <c r="E5" s="4" t="s">
        <v>2</v>
      </c>
      <c r="F5" s="4" t="s">
        <v>3</v>
      </c>
      <c r="G5" s="4" t="s">
        <v>4</v>
      </c>
    </row>
    <row r="6" spans="2:17" x14ac:dyDescent="0.6">
      <c r="B6" s="14"/>
      <c r="D6" s="3">
        <v>100</v>
      </c>
      <c r="E6" s="4" t="s">
        <v>5</v>
      </c>
      <c r="F6" s="4" t="s">
        <v>6</v>
      </c>
      <c r="G6" s="4" t="s">
        <v>7</v>
      </c>
    </row>
    <row r="7" spans="2:17" x14ac:dyDescent="0.6">
      <c r="B7" s="14"/>
      <c r="D7" s="3">
        <v>101</v>
      </c>
      <c r="E7" s="4" t="s">
        <v>8</v>
      </c>
      <c r="F7" s="4" t="s">
        <v>9</v>
      </c>
      <c r="G7" s="4" t="s">
        <v>10</v>
      </c>
    </row>
    <row r="8" spans="2:17" x14ac:dyDescent="0.6">
      <c r="B8" s="14"/>
      <c r="D8" s="3">
        <v>102</v>
      </c>
      <c r="E8" s="4" t="s">
        <v>11</v>
      </c>
      <c r="F8" s="4" t="s">
        <v>12</v>
      </c>
      <c r="G8" s="4" t="s">
        <v>13</v>
      </c>
    </row>
    <row r="9" spans="2:17" x14ac:dyDescent="0.6">
      <c r="B9" s="14"/>
      <c r="D9" s="3">
        <v>103</v>
      </c>
      <c r="E9" s="4" t="s">
        <v>14</v>
      </c>
      <c r="F9" s="4" t="s">
        <v>15</v>
      </c>
      <c r="G9" s="4" t="s">
        <v>16</v>
      </c>
    </row>
    <row r="10" spans="2:17" x14ac:dyDescent="0.6">
      <c r="B10" s="14" t="s">
        <v>0</v>
      </c>
      <c r="D10" s="3">
        <v>104</v>
      </c>
      <c r="E10" s="4" t="s">
        <v>17</v>
      </c>
      <c r="F10" s="4" t="s">
        <v>18</v>
      </c>
      <c r="G10" s="4" t="s">
        <v>19</v>
      </c>
    </row>
    <row r="11" spans="2:17" x14ac:dyDescent="0.6">
      <c r="B11" s="14"/>
      <c r="D11" s="3">
        <v>105</v>
      </c>
      <c r="E11" s="4" t="s">
        <v>20</v>
      </c>
      <c r="F11" s="4" t="s">
        <v>21</v>
      </c>
      <c r="G11" s="4" t="s">
        <v>22</v>
      </c>
    </row>
    <row r="12" spans="2:17" x14ac:dyDescent="0.6">
      <c r="B12" s="14"/>
      <c r="D12" s="3">
        <v>106</v>
      </c>
      <c r="E12" s="4" t="s">
        <v>23</v>
      </c>
      <c r="F12" s="4" t="s">
        <v>24</v>
      </c>
      <c r="G12" s="4" t="s">
        <v>25</v>
      </c>
    </row>
    <row r="13" spans="2:17" x14ac:dyDescent="0.6">
      <c r="B13" s="14"/>
    </row>
    <row r="14" spans="2:17" x14ac:dyDescent="0.6">
      <c r="B14" s="14"/>
    </row>
    <row r="15" spans="2:17" x14ac:dyDescent="0.6">
      <c r="B15" s="14"/>
    </row>
    <row r="16" spans="2:17" x14ac:dyDescent="0.6">
      <c r="B16" s="14"/>
    </row>
    <row r="17" spans="2:2" x14ac:dyDescent="0.6">
      <c r="B17" s="14"/>
    </row>
    <row r="18" spans="2:2" x14ac:dyDescent="0.6">
      <c r="B18" s="14"/>
    </row>
    <row r="19" spans="2:2" x14ac:dyDescent="0.6">
      <c r="B19" s="15"/>
    </row>
    <row r="20" spans="2:2" x14ac:dyDescent="0.6">
      <c r="B20" s="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RowColHeaders="0" workbookViewId="0"/>
  </sheetViews>
  <sheetFormatPr defaultRowHeight="26" x14ac:dyDescent="0.6"/>
  <cols>
    <col min="1" max="1" width="1.6484375" style="1" customWidth="1"/>
    <col min="2" max="2" width="14.5" customWidth="1"/>
    <col min="3" max="3" width="1.75" style="1" customWidth="1"/>
    <col min="4" max="4" width="8.796875" style="1"/>
    <col min="5" max="8" width="13.796875" style="1" customWidth="1"/>
    <col min="9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  <c r="D5" s="4" t="s">
        <v>26</v>
      </c>
      <c r="E5" s="4" t="s">
        <v>27</v>
      </c>
      <c r="F5" s="4" t="s">
        <v>28</v>
      </c>
      <c r="G5" s="4" t="s">
        <v>29</v>
      </c>
      <c r="H5" s="4" t="s">
        <v>4</v>
      </c>
    </row>
    <row r="6" spans="2:17" x14ac:dyDescent="0.6">
      <c r="B6" s="14"/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2:17" x14ac:dyDescent="0.6">
      <c r="B7" s="14"/>
      <c r="D7" s="4" t="s">
        <v>34</v>
      </c>
      <c r="E7" s="4" t="s">
        <v>35</v>
      </c>
      <c r="F7" s="4" t="s">
        <v>32</v>
      </c>
      <c r="G7" s="4" t="s">
        <v>33</v>
      </c>
      <c r="H7" s="4" t="s">
        <v>36</v>
      </c>
    </row>
    <row r="8" spans="2:17" x14ac:dyDescent="0.6">
      <c r="B8" s="14"/>
      <c r="D8" s="4" t="s">
        <v>37</v>
      </c>
      <c r="E8" s="4" t="s">
        <v>38</v>
      </c>
      <c r="F8" s="4" t="s">
        <v>32</v>
      </c>
      <c r="G8" s="4" t="s">
        <v>33</v>
      </c>
      <c r="H8" s="4" t="s">
        <v>39</v>
      </c>
    </row>
    <row r="9" spans="2:17" x14ac:dyDescent="0.6">
      <c r="B9" s="14"/>
      <c r="D9" s="4" t="s">
        <v>40</v>
      </c>
      <c r="E9" s="4" t="s">
        <v>41</v>
      </c>
      <c r="F9" s="4" t="s">
        <v>42</v>
      </c>
      <c r="G9" s="4" t="s">
        <v>43</v>
      </c>
      <c r="H9" s="4" t="s">
        <v>22</v>
      </c>
    </row>
    <row r="10" spans="2:17" x14ac:dyDescent="0.6">
      <c r="B10" s="14" t="s">
        <v>0</v>
      </c>
      <c r="D10" s="4" t="s">
        <v>44</v>
      </c>
      <c r="E10" s="4" t="s">
        <v>45</v>
      </c>
      <c r="F10" s="4" t="s">
        <v>42</v>
      </c>
      <c r="G10" s="4" t="s">
        <v>43</v>
      </c>
      <c r="H10" s="4" t="s">
        <v>46</v>
      </c>
    </row>
    <row r="11" spans="2:17" x14ac:dyDescent="0.6">
      <c r="B11" s="14"/>
      <c r="D11" s="4" t="s">
        <v>47</v>
      </c>
      <c r="E11" s="4" t="s">
        <v>48</v>
      </c>
      <c r="F11" s="4" t="s">
        <v>42</v>
      </c>
      <c r="G11" s="4" t="s">
        <v>43</v>
      </c>
      <c r="H11" s="4" t="s">
        <v>49</v>
      </c>
    </row>
    <row r="12" spans="2:17" x14ac:dyDescent="0.6">
      <c r="B12" s="14"/>
      <c r="D12" s="4" t="s">
        <v>50</v>
      </c>
      <c r="E12" s="4" t="s">
        <v>51</v>
      </c>
      <c r="F12" s="4" t="s">
        <v>42</v>
      </c>
      <c r="G12" s="4" t="s">
        <v>43</v>
      </c>
      <c r="H12" s="4" t="s">
        <v>52</v>
      </c>
    </row>
    <row r="13" spans="2:17" x14ac:dyDescent="0.6">
      <c r="B13" s="14"/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</row>
    <row r="14" spans="2:17" x14ac:dyDescent="0.6">
      <c r="B14" s="14"/>
      <c r="D14" s="4" t="s">
        <v>58</v>
      </c>
      <c r="E14" s="4" t="s">
        <v>59</v>
      </c>
      <c r="F14" s="4" t="s">
        <v>55</v>
      </c>
      <c r="G14" s="4" t="s">
        <v>56</v>
      </c>
      <c r="H14" s="4" t="s">
        <v>60</v>
      </c>
    </row>
    <row r="15" spans="2:17" x14ac:dyDescent="0.6">
      <c r="B15" s="14"/>
      <c r="D15" s="4" t="s">
        <v>61</v>
      </c>
      <c r="E15" s="4" t="s">
        <v>62</v>
      </c>
      <c r="F15" s="4" t="s">
        <v>55</v>
      </c>
      <c r="G15" s="4" t="s">
        <v>56</v>
      </c>
      <c r="H15" s="4" t="s">
        <v>63</v>
      </c>
    </row>
    <row r="16" spans="2:17" x14ac:dyDescent="0.6">
      <c r="B16" s="14"/>
    </row>
    <row r="17" spans="2:2" x14ac:dyDescent="0.6">
      <c r="B17" s="14"/>
    </row>
    <row r="18" spans="2:2" x14ac:dyDescent="0.6">
      <c r="B18" s="14"/>
    </row>
    <row r="19" spans="2:2" x14ac:dyDescent="0.6">
      <c r="B19" s="15"/>
    </row>
    <row r="20" spans="2:2" x14ac:dyDescent="0.6">
      <c r="B20" s="8"/>
    </row>
    <row r="21" spans="2:2" x14ac:dyDescent="0.6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RowColHeaders="0" tabSelected="1" workbookViewId="0">
      <selection activeCell="E6" sqref="E6"/>
    </sheetView>
  </sheetViews>
  <sheetFormatPr defaultRowHeight="26" x14ac:dyDescent="0.6"/>
  <cols>
    <col min="1" max="1" width="1.6484375" style="1" customWidth="1"/>
    <col min="2" max="2" width="14.5" customWidth="1"/>
    <col min="3" max="3" width="1.75" style="1" customWidth="1"/>
    <col min="4" max="4" width="8.796875" style="1"/>
    <col min="5" max="5" width="15.75" style="1" customWidth="1"/>
    <col min="6" max="6" width="9.6484375" style="1" bestFit="1" customWidth="1"/>
    <col min="7" max="7" width="9.796875" style="1" customWidth="1"/>
    <col min="8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  <c r="D5" s="4" t="s">
        <v>26</v>
      </c>
      <c r="E5" s="4" t="s">
        <v>27</v>
      </c>
      <c r="F5" s="4" t="s">
        <v>64</v>
      </c>
      <c r="G5" s="4" t="s">
        <v>65</v>
      </c>
    </row>
    <row r="6" spans="2:17" x14ac:dyDescent="0.6">
      <c r="B6" s="14"/>
      <c r="D6" s="4" t="s">
        <v>30</v>
      </c>
      <c r="E6" s="4" t="s">
        <v>31</v>
      </c>
      <c r="F6" s="5">
        <v>980</v>
      </c>
      <c r="G6" s="5">
        <v>1176</v>
      </c>
    </row>
    <row r="7" spans="2:17" x14ac:dyDescent="0.6">
      <c r="B7" s="14"/>
      <c r="D7" s="4" t="s">
        <v>34</v>
      </c>
      <c r="E7" s="4" t="s">
        <v>35</v>
      </c>
      <c r="F7" s="5">
        <v>34500</v>
      </c>
      <c r="G7" s="5">
        <v>41400</v>
      </c>
    </row>
    <row r="8" spans="2:17" x14ac:dyDescent="0.6">
      <c r="B8" s="14"/>
      <c r="D8" s="4" t="s">
        <v>37</v>
      </c>
      <c r="E8" s="4" t="s">
        <v>38</v>
      </c>
      <c r="F8" s="5">
        <v>4600</v>
      </c>
      <c r="G8" s="5">
        <v>5520</v>
      </c>
    </row>
    <row r="9" spans="2:17" x14ac:dyDescent="0.6">
      <c r="B9" s="14"/>
      <c r="D9" s="4" t="s">
        <v>40</v>
      </c>
      <c r="E9" s="4" t="s">
        <v>41</v>
      </c>
      <c r="F9" s="5">
        <v>21000</v>
      </c>
      <c r="G9" s="5">
        <v>25200</v>
      </c>
    </row>
    <row r="10" spans="2:17" x14ac:dyDescent="0.6">
      <c r="B10" s="14" t="s">
        <v>0</v>
      </c>
      <c r="D10" s="4" t="s">
        <v>44</v>
      </c>
      <c r="E10" s="4" t="s">
        <v>45</v>
      </c>
      <c r="F10" s="5">
        <v>200</v>
      </c>
      <c r="G10" s="5">
        <v>240</v>
      </c>
    </row>
    <row r="11" spans="2:17" x14ac:dyDescent="0.6">
      <c r="B11" s="14"/>
      <c r="D11" s="4" t="s">
        <v>47</v>
      </c>
      <c r="E11" s="4" t="s">
        <v>48</v>
      </c>
      <c r="F11" s="5">
        <v>340</v>
      </c>
      <c r="G11" s="5">
        <v>408</v>
      </c>
    </row>
    <row r="12" spans="2:17" x14ac:dyDescent="0.6">
      <c r="B12" s="14"/>
      <c r="D12" s="4" t="s">
        <v>50</v>
      </c>
      <c r="E12" s="4" t="s">
        <v>51</v>
      </c>
      <c r="F12" s="5">
        <v>52000</v>
      </c>
      <c r="G12" s="5">
        <v>62400</v>
      </c>
    </row>
    <row r="13" spans="2:17" x14ac:dyDescent="0.6">
      <c r="B13" s="14"/>
      <c r="D13" s="4" t="s">
        <v>53</v>
      </c>
      <c r="E13" s="4" t="s">
        <v>54</v>
      </c>
      <c r="F13" s="5">
        <v>799</v>
      </c>
      <c r="G13" s="5">
        <v>958.8</v>
      </c>
    </row>
    <row r="14" spans="2:17" x14ac:dyDescent="0.6">
      <c r="B14" s="14"/>
      <c r="D14" s="4" t="s">
        <v>58</v>
      </c>
      <c r="E14" s="4" t="s">
        <v>59</v>
      </c>
      <c r="F14" s="5">
        <v>670</v>
      </c>
      <c r="G14" s="5">
        <v>804</v>
      </c>
    </row>
    <row r="15" spans="2:17" x14ac:dyDescent="0.6">
      <c r="B15" s="14"/>
      <c r="D15" s="4" t="s">
        <v>61</v>
      </c>
      <c r="E15" s="4" t="s">
        <v>62</v>
      </c>
      <c r="F15" s="5">
        <v>23500</v>
      </c>
      <c r="G15" s="5">
        <v>28200</v>
      </c>
    </row>
    <row r="16" spans="2:17" x14ac:dyDescent="0.6">
      <c r="B16" s="14"/>
    </row>
    <row r="17" spans="2:2" x14ac:dyDescent="0.6">
      <c r="B17" s="14"/>
    </row>
    <row r="18" spans="2:2" x14ac:dyDescent="0.6">
      <c r="B18" s="14"/>
    </row>
    <row r="19" spans="2:2" x14ac:dyDescent="0.6">
      <c r="B19" s="15"/>
    </row>
    <row r="20" spans="2:2" x14ac:dyDescent="0.6">
      <c r="B20" s="8"/>
    </row>
    <row r="21" spans="2:2" x14ac:dyDescent="0.6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RowColHeaders="0" workbookViewId="0"/>
  </sheetViews>
  <sheetFormatPr defaultRowHeight="26" x14ac:dyDescent="0.6"/>
  <cols>
    <col min="1" max="1" width="1.6484375" style="1" customWidth="1"/>
    <col min="2" max="2" width="14.5" customWidth="1"/>
    <col min="3" max="3" width="1.75" style="1" customWidth="1"/>
    <col min="4" max="4" width="8.796875" style="1"/>
    <col min="5" max="5" width="17.25" style="1" customWidth="1"/>
    <col min="6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</row>
    <row r="6" spans="2:17" x14ac:dyDescent="0.6">
      <c r="B6" s="14"/>
      <c r="E6" s="6" t="s">
        <v>66</v>
      </c>
    </row>
    <row r="7" spans="2:17" x14ac:dyDescent="0.6">
      <c r="B7" s="14"/>
    </row>
    <row r="8" spans="2:17" x14ac:dyDescent="0.6">
      <c r="B8" s="14"/>
      <c r="E8" s="6" t="s">
        <v>67</v>
      </c>
    </row>
    <row r="9" spans="2:17" x14ac:dyDescent="0.6">
      <c r="B9" s="14"/>
    </row>
    <row r="10" spans="2:17" x14ac:dyDescent="0.6">
      <c r="B10" s="14" t="s">
        <v>0</v>
      </c>
    </row>
    <row r="11" spans="2:17" x14ac:dyDescent="0.6">
      <c r="B11" s="14"/>
    </row>
    <row r="12" spans="2:17" x14ac:dyDescent="0.6">
      <c r="B12" s="14"/>
    </row>
    <row r="13" spans="2:17" x14ac:dyDescent="0.6">
      <c r="B13" s="14"/>
    </row>
    <row r="14" spans="2:17" x14ac:dyDescent="0.6">
      <c r="B14" s="14"/>
    </row>
    <row r="15" spans="2:17" x14ac:dyDescent="0.6">
      <c r="B15" s="14"/>
    </row>
    <row r="16" spans="2:17" x14ac:dyDescent="0.6">
      <c r="B16" s="14"/>
    </row>
    <row r="17" spans="2:2" x14ac:dyDescent="0.6">
      <c r="B17" s="14"/>
    </row>
    <row r="18" spans="2:2" x14ac:dyDescent="0.6">
      <c r="B18" s="14"/>
    </row>
    <row r="19" spans="2:2" x14ac:dyDescent="0.6">
      <c r="B19" s="15"/>
    </row>
    <row r="20" spans="2:2" x14ac:dyDescent="0.6">
      <c r="B20" s="8"/>
    </row>
    <row r="21" spans="2:2" x14ac:dyDescent="0.6">
      <c r="B21" s="8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RowColHeaders="0" workbookViewId="0"/>
  </sheetViews>
  <sheetFormatPr defaultRowHeight="26" x14ac:dyDescent="0.6"/>
  <cols>
    <col min="1" max="1" width="1.6484375" style="1" customWidth="1"/>
    <col min="2" max="2" width="14.5" customWidth="1"/>
    <col min="3" max="3" width="1.75" style="1" customWidth="1"/>
    <col min="4" max="4" width="8.796875" style="1" customWidth="1"/>
    <col min="5" max="6" width="12.6484375" style="1" customWidth="1"/>
    <col min="7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  <c r="D5" s="4" t="s">
        <v>26</v>
      </c>
      <c r="E5" s="4" t="s">
        <v>27</v>
      </c>
      <c r="F5" s="4" t="s">
        <v>68</v>
      </c>
      <c r="G5" s="4" t="s">
        <v>69</v>
      </c>
      <c r="H5" s="4" t="s">
        <v>70</v>
      </c>
      <c r="I5" s="4" t="s">
        <v>64</v>
      </c>
      <c r="J5" s="4" t="s">
        <v>71</v>
      </c>
      <c r="K5" s="4"/>
    </row>
    <row r="6" spans="2:17" x14ac:dyDescent="0.6">
      <c r="B6" s="14"/>
      <c r="D6" s="4" t="s">
        <v>44</v>
      </c>
      <c r="E6" s="4" t="str">
        <f>IFERROR(VLOOKUP(purchase[[#This Row],[HSN Code]],Table4[#All],2,0),"")</f>
        <v>Mouse</v>
      </c>
      <c r="F6" s="4" t="str">
        <f>IFERROR(VLOOKUP(purchase[[#This Row],[HSN Code]],vendorsdata[#All],3,0),"")</f>
        <v>GG Traders</v>
      </c>
      <c r="G6" s="7">
        <v>45292</v>
      </c>
      <c r="H6" s="4">
        <v>20</v>
      </c>
      <c r="I6" s="5">
        <f>IFERROR(VLOOKUP(purchase[[#This Row],[HSN Code]],Table4[#All],3,0),"")</f>
        <v>200</v>
      </c>
      <c r="J6" s="5">
        <f>IFERROR(purchase[[#This Row],[Units]]*purchase[[#This Row],[Cost]],"")</f>
        <v>4000</v>
      </c>
      <c r="K6" s="4"/>
    </row>
    <row r="7" spans="2:17" x14ac:dyDescent="0.6">
      <c r="B7" s="14"/>
      <c r="D7" s="4" t="s">
        <v>53</v>
      </c>
      <c r="E7" s="4" t="str">
        <f>IFERROR(VLOOKUP(purchase[[#This Row],[HSN Code]],Table4[#All],2,0),"")</f>
        <v>Headphones</v>
      </c>
      <c r="F7" s="4" t="str">
        <f>IFERROR(VLOOKUP(purchase[[#This Row],[HSN Code]],vendorsdata[#All],3,0),"")</f>
        <v>Compac</v>
      </c>
      <c r="G7" s="7">
        <v>45293</v>
      </c>
      <c r="H7" s="4">
        <v>10</v>
      </c>
      <c r="I7" s="5">
        <f>IFERROR(VLOOKUP(purchase[[#This Row],[HSN Code]],Table4[#All],3,0),"")</f>
        <v>799</v>
      </c>
      <c r="J7" s="5">
        <f>IFERROR(purchase[[#This Row],[Units]]*purchase[[#This Row],[Cost]],"")</f>
        <v>7990</v>
      </c>
      <c r="K7" s="4"/>
    </row>
    <row r="8" spans="2:17" x14ac:dyDescent="0.6">
      <c r="B8" s="14"/>
      <c r="D8" s="4" t="s">
        <v>47</v>
      </c>
      <c r="E8" s="4" t="str">
        <f>IFERROR(VLOOKUP(purchase[[#This Row],[HSN Code]],Table4[#All],2,0),"")</f>
        <v>Rgb Keyboard</v>
      </c>
      <c r="F8" s="4" t="str">
        <f>IFERROR(VLOOKUP(purchase[[#This Row],[HSN Code]],vendorsdata[#All],3,0),"")</f>
        <v>GG Traders</v>
      </c>
      <c r="G8" s="7">
        <v>45294</v>
      </c>
      <c r="H8" s="4">
        <v>50</v>
      </c>
      <c r="I8" s="5">
        <f>IFERROR(VLOOKUP(purchase[[#This Row],[HSN Code]],Table4[#All],3,0),"")</f>
        <v>340</v>
      </c>
      <c r="J8" s="5">
        <f>IFERROR(purchase[[#This Row],[Units]]*purchase[[#This Row],[Cost]],"")</f>
        <v>17000</v>
      </c>
      <c r="K8" s="4"/>
    </row>
    <row r="9" spans="2:17" x14ac:dyDescent="0.6">
      <c r="B9" s="14"/>
      <c r="D9" s="4" t="s">
        <v>40</v>
      </c>
      <c r="E9" s="4" t="str">
        <f>IFERROR(VLOOKUP(purchase[[#This Row],[HSN Code]],Table4[#All],2,0),"")</f>
        <v>Desktop</v>
      </c>
      <c r="F9" s="4" t="str">
        <f>IFERROR(VLOOKUP(purchase[[#This Row],[HSN Code]],vendorsdata[#All],3,0),"")</f>
        <v>GG Traders</v>
      </c>
      <c r="G9" s="7">
        <v>45295</v>
      </c>
      <c r="H9" s="4">
        <v>100</v>
      </c>
      <c r="I9" s="5">
        <f>IFERROR(VLOOKUP(purchase[[#This Row],[HSN Code]],Table4[#All],3,0),"")</f>
        <v>21000</v>
      </c>
      <c r="J9" s="5">
        <f>IFERROR(purchase[[#This Row],[Units]]*purchase[[#This Row],[Cost]],"")</f>
        <v>2100000</v>
      </c>
      <c r="K9" s="4"/>
    </row>
    <row r="10" spans="2:17" x14ac:dyDescent="0.6">
      <c r="B10" s="14" t="s">
        <v>0</v>
      </c>
      <c r="D10" s="4" t="s">
        <v>50</v>
      </c>
      <c r="E10" s="4" t="str">
        <f>IFERROR(VLOOKUP(purchase[[#This Row],[HSN Code]],Table4[#All],2,0),"")</f>
        <v>Camera</v>
      </c>
      <c r="F10" s="4" t="str">
        <f>IFERROR(VLOOKUP(purchase[[#This Row],[HSN Code]],vendorsdata[#All],3,0),"")</f>
        <v>GG Traders</v>
      </c>
      <c r="G10" s="7">
        <v>45296</v>
      </c>
      <c r="H10" s="4">
        <v>20</v>
      </c>
      <c r="I10" s="5">
        <f>IFERROR(VLOOKUP(purchase[[#This Row],[HSN Code]],Table4[#All],3,0),"")</f>
        <v>52000</v>
      </c>
      <c r="J10" s="5">
        <f>IFERROR(purchase[[#This Row],[Units]]*purchase[[#This Row],[Cost]],"")</f>
        <v>1040000</v>
      </c>
      <c r="K10" s="4"/>
    </row>
    <row r="11" spans="2:17" x14ac:dyDescent="0.6">
      <c r="B11" s="14"/>
      <c r="D11" s="4" t="s">
        <v>30</v>
      </c>
      <c r="E11" s="4" t="str">
        <f>IFERROR(VLOOKUP(purchase[[#This Row],[HSN Code]],Table4[#All],2,0),"")</f>
        <v>Smart Watch</v>
      </c>
      <c r="F11" s="4" t="str">
        <f>IFERROR(VLOOKUP(purchase[[#This Row],[HSN Code]],vendorsdata[#All],3,0),"")</f>
        <v>Tech99</v>
      </c>
      <c r="G11" s="7">
        <v>45297</v>
      </c>
      <c r="H11" s="4">
        <v>40</v>
      </c>
      <c r="I11" s="5">
        <f>IFERROR(VLOOKUP(purchase[[#This Row],[HSN Code]],Table4[#All],3,0),"")</f>
        <v>980</v>
      </c>
      <c r="J11" s="5">
        <f>IFERROR(purchase[[#This Row],[Units]]*purchase[[#This Row],[Cost]],"")</f>
        <v>39200</v>
      </c>
      <c r="K11" s="4"/>
    </row>
    <row r="12" spans="2:17" x14ac:dyDescent="0.6">
      <c r="B12" s="14"/>
      <c r="D12" s="4" t="s">
        <v>34</v>
      </c>
      <c r="E12" s="4" t="str">
        <f>IFERROR(VLOOKUP(purchase[[#This Row],[HSN Code]],Table4[#All],2,0),"")</f>
        <v>Laptop HP xyz i5</v>
      </c>
      <c r="F12" s="4" t="str">
        <f>IFERROR(VLOOKUP(purchase[[#This Row],[HSN Code]],vendorsdata[#All],3,0),"")</f>
        <v>Tech99</v>
      </c>
      <c r="G12" s="7">
        <v>45298</v>
      </c>
      <c r="H12" s="4">
        <v>30</v>
      </c>
      <c r="I12" s="5">
        <f>IFERROR(VLOOKUP(purchase[[#This Row],[HSN Code]],Table4[#All],3,0),"")</f>
        <v>34500</v>
      </c>
      <c r="J12" s="5">
        <f>IFERROR(purchase[[#This Row],[Units]]*purchase[[#This Row],[Cost]],"")</f>
        <v>1035000</v>
      </c>
      <c r="K12" s="4"/>
    </row>
    <row r="13" spans="2:17" x14ac:dyDescent="0.6">
      <c r="B13" s="14"/>
      <c r="D13" s="4" t="s">
        <v>37</v>
      </c>
      <c r="E13" s="4" t="str">
        <f>IFERROR(VLOOKUP(purchase[[#This Row],[HSN Code]],Table4[#All],2,0),"")</f>
        <v>Wireless Printer</v>
      </c>
      <c r="F13" s="4" t="str">
        <f>IFERROR(VLOOKUP(purchase[[#This Row],[HSN Code]],vendorsdata[#All],3,0),"")</f>
        <v>Tech99</v>
      </c>
      <c r="G13" s="7">
        <v>45299</v>
      </c>
      <c r="H13" s="4">
        <v>40</v>
      </c>
      <c r="I13" s="5">
        <f>IFERROR(VLOOKUP(purchase[[#This Row],[HSN Code]],Table4[#All],3,0),"")</f>
        <v>4600</v>
      </c>
      <c r="J13" s="5">
        <f>IFERROR(purchase[[#This Row],[Units]]*purchase[[#This Row],[Cost]],"")</f>
        <v>184000</v>
      </c>
      <c r="K13" s="4"/>
    </row>
    <row r="14" spans="2:17" x14ac:dyDescent="0.6">
      <c r="B14" s="14"/>
      <c r="D14" s="4" t="s">
        <v>58</v>
      </c>
      <c r="E14" s="4" t="str">
        <f>IFERROR(VLOOKUP(purchase[[#This Row],[HSN Code]],Table4[#All],2,0),"")</f>
        <v>Speakers</v>
      </c>
      <c r="F14" s="4" t="str">
        <f>IFERROR(VLOOKUP(purchase[[#This Row],[HSN Code]],vendorsdata[#All],3,0),"")</f>
        <v>Compac</v>
      </c>
      <c r="G14" s="7">
        <v>45300</v>
      </c>
      <c r="H14" s="4">
        <v>55</v>
      </c>
      <c r="I14" s="5">
        <f>IFERROR(VLOOKUP(purchase[[#This Row],[HSN Code]],Table4[#All],3,0),"")</f>
        <v>670</v>
      </c>
      <c r="J14" s="5">
        <f>IFERROR(purchase[[#This Row],[Units]]*purchase[[#This Row],[Cost]],"")</f>
        <v>36850</v>
      </c>
      <c r="K14" s="4"/>
    </row>
    <row r="15" spans="2:17" x14ac:dyDescent="0.6">
      <c r="B15" s="14"/>
      <c r="D15" s="4" t="s">
        <v>61</v>
      </c>
      <c r="E15" s="4" t="str">
        <f>IFERROR(VLOOKUP(purchase[[#This Row],[HSN Code]],Table4[#All],2,0),"")</f>
        <v>Tablets</v>
      </c>
      <c r="F15" s="4" t="str">
        <f>IFERROR(VLOOKUP(purchase[[#This Row],[HSN Code]],vendorsdata[#All],3,0),"")</f>
        <v>Compac</v>
      </c>
      <c r="G15" s="7">
        <v>45301</v>
      </c>
      <c r="H15" s="4">
        <v>40</v>
      </c>
      <c r="I15" s="5">
        <f>IFERROR(VLOOKUP(purchase[[#This Row],[HSN Code]],Table4[#All],3,0),"")</f>
        <v>23500</v>
      </c>
      <c r="J15" s="5">
        <f>IFERROR(purchase[[#This Row],[Units]]*purchase[[#This Row],[Cost]],"")</f>
        <v>940000</v>
      </c>
      <c r="K15" s="4"/>
    </row>
    <row r="16" spans="2:17" x14ac:dyDescent="0.6">
      <c r="B16" s="14"/>
      <c r="D16" s="4" t="s">
        <v>53</v>
      </c>
      <c r="E16" s="4" t="str">
        <f>IFERROR(VLOOKUP(purchase[[#This Row],[HSN Code]],Table4[#All],2,0),"")</f>
        <v>Headphones</v>
      </c>
      <c r="F16" s="4" t="str">
        <f>IFERROR(VLOOKUP(purchase[[#This Row],[HSN Code]],vendorsdata[#All],3,0),"")</f>
        <v>Compac</v>
      </c>
      <c r="G16" s="7">
        <v>45301</v>
      </c>
      <c r="H16" s="4">
        <v>35</v>
      </c>
      <c r="I16" s="5">
        <f>IFERROR(VLOOKUP(purchase[[#This Row],[HSN Code]],Table4[#All],3,0),"")</f>
        <v>799</v>
      </c>
      <c r="J16" s="5">
        <f>IFERROR(purchase[[#This Row],[Units]]*purchase[[#This Row],[Cost]],"")</f>
        <v>27965</v>
      </c>
    </row>
    <row r="17" spans="2:10" x14ac:dyDescent="0.6">
      <c r="B17" s="14"/>
      <c r="D17" s="4" t="s">
        <v>50</v>
      </c>
      <c r="E17" s="4" t="str">
        <f>IFERROR(VLOOKUP(purchase[[#This Row],[HSN Code]],Table4[#All],2,0),"")</f>
        <v>Camera</v>
      </c>
      <c r="F17" s="4" t="str">
        <f>IFERROR(VLOOKUP(purchase[[#This Row],[HSN Code]],vendorsdata[#All],3,0),"")</f>
        <v>GG Traders</v>
      </c>
      <c r="G17" s="7">
        <v>45301</v>
      </c>
      <c r="H17" s="4">
        <v>2</v>
      </c>
      <c r="I17" s="5">
        <f>IFERROR(VLOOKUP(purchase[[#This Row],[HSN Code]],Table4[#All],3,0),"")</f>
        <v>52000</v>
      </c>
      <c r="J17" s="5">
        <f>IFERROR(purchase[[#This Row],[Units]]*purchase[[#This Row],[Cost]],"")</f>
        <v>104000</v>
      </c>
    </row>
    <row r="18" spans="2:10" x14ac:dyDescent="0.6">
      <c r="B18" s="14"/>
      <c r="D18" s="4" t="s">
        <v>53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7">
        <v>45301</v>
      </c>
      <c r="H18" s="4">
        <v>10</v>
      </c>
      <c r="I18" s="5">
        <f>IFERROR(VLOOKUP(purchase[[#This Row],[HSN Code]],Table4[#All],3,0),"")</f>
        <v>799</v>
      </c>
      <c r="J18" s="5">
        <f>IFERROR(purchase[[#This Row],[Units]]*purchase[[#This Row],[Cost]],"")</f>
        <v>7990</v>
      </c>
    </row>
    <row r="19" spans="2:10" x14ac:dyDescent="0.6">
      <c r="B19" s="15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 x14ac:dyDescent="0.6">
      <c r="B20" s="8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 x14ac:dyDescent="0.6">
      <c r="B21" s="8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 x14ac:dyDescent="0.6">
      <c r="B22" s="8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 x14ac:dyDescent="0.6">
      <c r="B23" s="8"/>
    </row>
    <row r="24" spans="2:10" x14ac:dyDescent="0.6">
      <c r="B24" s="8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RowColHeaders="0" workbookViewId="0"/>
  </sheetViews>
  <sheetFormatPr defaultRowHeight="26" x14ac:dyDescent="0.6"/>
  <cols>
    <col min="1" max="1" width="1.6484375" style="1" customWidth="1"/>
    <col min="2" max="2" width="14.5" customWidth="1"/>
    <col min="3" max="3" width="1.75" style="1" customWidth="1"/>
    <col min="4" max="4" width="5.546875" style="1" customWidth="1"/>
    <col min="5" max="5" width="9.34765625" style="1" customWidth="1"/>
    <col min="6" max="6" width="6.94921875" style="1" customWidth="1"/>
    <col min="7" max="7" width="11.1484375" style="1" customWidth="1"/>
    <col min="8" max="8" width="8.796875" style="1" customWidth="1"/>
    <col min="9" max="9" width="8.5" style="1" customWidth="1"/>
    <col min="10" max="10" width="4.84765625" style="1" customWidth="1"/>
    <col min="11" max="11" width="6.6484375" style="1" customWidth="1"/>
    <col min="12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  <c r="D5" s="3" t="s">
        <v>1</v>
      </c>
      <c r="E5" s="4" t="s">
        <v>72</v>
      </c>
      <c r="F5" s="4" t="s">
        <v>26</v>
      </c>
      <c r="G5" s="4" t="s">
        <v>27</v>
      </c>
      <c r="H5" s="4" t="s">
        <v>69</v>
      </c>
      <c r="I5" s="4" t="s">
        <v>73</v>
      </c>
      <c r="J5" s="4" t="s">
        <v>70</v>
      </c>
      <c r="K5" s="4" t="s">
        <v>74</v>
      </c>
      <c r="L5" s="4" t="s">
        <v>71</v>
      </c>
    </row>
    <row r="6" spans="2:17" x14ac:dyDescent="0.6">
      <c r="B6" s="14"/>
      <c r="D6" s="3">
        <v>103</v>
      </c>
      <c r="E6" s="4" t="str">
        <f>IFERROR(VLOOKUP(sales[[#This Row],[Cust_ID]],customersdata[#All],2,0),"")</f>
        <v>99store</v>
      </c>
      <c r="F6" s="4" t="s">
        <v>53</v>
      </c>
      <c r="G6" s="4" t="str">
        <f>IFERROR(VLOOKUP(sales[[#This Row],[HSN Code]],Table4[#All],2,0),"")</f>
        <v>Headphones</v>
      </c>
      <c r="H6" s="7">
        <v>45292</v>
      </c>
      <c r="I6" s="4">
        <f>IFERROR(VLOOKUP(sales[[#This Row],[HSN Code]],Table7[[#All],[HSN Code]:[Stock]],6,0),"")</f>
        <v>13</v>
      </c>
      <c r="J6" s="4">
        <v>10</v>
      </c>
      <c r="K6" s="5">
        <f>IFERROR(VLOOKUP(sales[[#This Row],[HSN Code]],Table4[#All],4,0),"")</f>
        <v>958.8</v>
      </c>
      <c r="L6" s="5">
        <f>IFERROR(sales[[#This Row],[Units]]*sales[[#This Row],[Price]],"")</f>
        <v>9588</v>
      </c>
    </row>
    <row r="7" spans="2:17" x14ac:dyDescent="0.6">
      <c r="B7" s="14"/>
      <c r="D7" s="3">
        <v>104</v>
      </c>
      <c r="E7" s="4" t="str">
        <f>IFERROR(VLOOKUP(sales[[#This Row],[Cust_ID]],customersdata[#All],2,0),"")</f>
        <v>Rajesh Kumar</v>
      </c>
      <c r="F7" s="4" t="s">
        <v>47</v>
      </c>
      <c r="G7" s="4" t="str">
        <f>IFERROR(VLOOKUP(sales[[#This Row],[HSN Code]],Table4[#All],2,0),"")</f>
        <v>Rgb Keyboard</v>
      </c>
      <c r="H7" s="7">
        <v>45293</v>
      </c>
      <c r="I7" s="4">
        <f>IFERROR(VLOOKUP(sales[[#This Row],[HSN Code]],Table7[[#All],[HSN Code]:[Stock]],6,0),"")</f>
        <v>13</v>
      </c>
      <c r="J7" s="4">
        <v>37</v>
      </c>
      <c r="K7" s="5">
        <f>IFERROR(VLOOKUP(sales[[#This Row],[HSN Code]],Table4[#All],4,0),"")</f>
        <v>408</v>
      </c>
      <c r="L7" s="5">
        <f>IFERROR(sales[[#This Row],[Units]]*sales[[#This Row],[Price]],"")</f>
        <v>15096</v>
      </c>
    </row>
    <row r="8" spans="2:17" x14ac:dyDescent="0.6">
      <c r="B8" s="14"/>
      <c r="D8" s="3">
        <v>101</v>
      </c>
      <c r="E8" s="4" t="str">
        <f>IFERROR(VLOOKUP(sales[[#This Row],[Cust_ID]],customersdata[#All],2,0),"")</f>
        <v>Atul Ltd.</v>
      </c>
      <c r="F8" s="4" t="s">
        <v>40</v>
      </c>
      <c r="G8" s="4" t="str">
        <f>IFERROR(VLOOKUP(sales[[#This Row],[HSN Code]],Table4[#All],2,0),"")</f>
        <v>Desktop</v>
      </c>
      <c r="H8" s="7">
        <v>45294</v>
      </c>
      <c r="I8" s="4">
        <f>IFERROR(VLOOKUP(sales[[#This Row],[HSN Code]],Table7[[#All],[HSN Code]:[Stock]],6,0),"")</f>
        <v>35</v>
      </c>
      <c r="J8" s="4">
        <v>10</v>
      </c>
      <c r="K8" s="5">
        <f>IFERROR(VLOOKUP(sales[[#This Row],[HSN Code]],Table4[#All],4,0),"")</f>
        <v>25200</v>
      </c>
      <c r="L8" s="5">
        <f>IFERROR(sales[[#This Row],[Units]]*sales[[#This Row],[Price]],"")</f>
        <v>252000</v>
      </c>
    </row>
    <row r="9" spans="2:17" x14ac:dyDescent="0.6">
      <c r="B9" s="14"/>
      <c r="D9" s="3">
        <v>100</v>
      </c>
      <c r="E9" s="4" t="str">
        <f>IFERROR(VLOOKUP(sales[[#This Row],[Cust_ID]],customersdata[#All],2,0),"")</f>
        <v>Ram sales</v>
      </c>
      <c r="F9" s="4" t="s">
        <v>53</v>
      </c>
      <c r="G9" s="4" t="str">
        <f>IFERROR(VLOOKUP(sales[[#This Row],[HSN Code]],Table4[#All],2,0),"")</f>
        <v>Headphones</v>
      </c>
      <c r="H9" s="7">
        <v>45295</v>
      </c>
      <c r="I9" s="4">
        <f>IFERROR(VLOOKUP(sales[[#This Row],[HSN Code]],Table7[[#All],[HSN Code]:[Stock]],6,0),"")</f>
        <v>13</v>
      </c>
      <c r="J9" s="4">
        <v>32</v>
      </c>
      <c r="K9" s="5">
        <f>IFERROR(VLOOKUP(sales[[#This Row],[HSN Code]],Table4[#All],4,0),"")</f>
        <v>958.8</v>
      </c>
      <c r="L9" s="5">
        <f>IFERROR(sales[[#This Row],[Units]]*sales[[#This Row],[Price]],"")</f>
        <v>30681.599999999999</v>
      </c>
    </row>
    <row r="10" spans="2:17" x14ac:dyDescent="0.6">
      <c r="B10" s="14" t="s">
        <v>0</v>
      </c>
      <c r="D10" s="3">
        <v>102</v>
      </c>
      <c r="E10" s="4" t="str">
        <f>IFERROR(VLOOKUP(sales[[#This Row],[Cust_ID]],customersdata[#All],2,0),"")</f>
        <v>MK Tech.</v>
      </c>
      <c r="F10" s="4" t="s">
        <v>34</v>
      </c>
      <c r="G10" s="4" t="str">
        <f>IFERROR(VLOOKUP(sales[[#This Row],[HSN Code]],Table4[#All],2,0),"")</f>
        <v>Laptop HP xyz i5</v>
      </c>
      <c r="H10" s="7">
        <v>45296</v>
      </c>
      <c r="I10" s="4">
        <f>IFERROR(VLOOKUP(sales[[#This Row],[HSN Code]],Table7[[#All],[HSN Code]:[Stock]],6,0),"")</f>
        <v>3</v>
      </c>
      <c r="J10" s="4">
        <v>27</v>
      </c>
      <c r="K10" s="5">
        <f>IFERROR(VLOOKUP(sales[[#This Row],[HSN Code]],Table4[#All],4,0),"")</f>
        <v>41400</v>
      </c>
      <c r="L10" s="5">
        <f>IFERROR(sales[[#This Row],[Units]]*sales[[#This Row],[Price]],"")</f>
        <v>1117800</v>
      </c>
    </row>
    <row r="11" spans="2:17" x14ac:dyDescent="0.6">
      <c r="B11" s="14"/>
      <c r="D11" s="3">
        <v>103</v>
      </c>
      <c r="E11" s="4" t="str">
        <f>IFERROR(VLOOKUP(sales[[#This Row],[Cust_ID]],customersdata[#All],2,0),"")</f>
        <v>99store</v>
      </c>
      <c r="F11" s="4" t="s">
        <v>40</v>
      </c>
      <c r="G11" s="4" t="str">
        <f>IFERROR(VLOOKUP(sales[[#This Row],[HSN Code]],Table4[#All],2,0),"")</f>
        <v>Desktop</v>
      </c>
      <c r="H11" s="7">
        <v>45297</v>
      </c>
      <c r="I11" s="4">
        <f>IFERROR(VLOOKUP(sales[[#This Row],[HSN Code]],Table7[[#All],[HSN Code]:[Stock]],6,0),"")</f>
        <v>35</v>
      </c>
      <c r="J11" s="4">
        <v>55</v>
      </c>
      <c r="K11" s="5">
        <f>IFERROR(VLOOKUP(sales[[#This Row],[HSN Code]],Table4[#All],4,0),"")</f>
        <v>25200</v>
      </c>
      <c r="L11" s="5">
        <f>IFERROR(sales[[#This Row],[Units]]*sales[[#This Row],[Price]],"")</f>
        <v>1386000</v>
      </c>
    </row>
    <row r="12" spans="2:17" x14ac:dyDescent="0.6">
      <c r="B12" s="14"/>
      <c r="D12" s="3">
        <v>105</v>
      </c>
      <c r="E12" s="4" t="str">
        <f>IFERROR(VLOOKUP(sales[[#This Row],[Cust_ID]],customersdata[#All],2,0),"")</f>
        <v xml:space="preserve">Amit </v>
      </c>
      <c r="F12" s="4" t="s">
        <v>61</v>
      </c>
      <c r="G12" s="4" t="str">
        <f>IFERROR(VLOOKUP(sales[[#This Row],[HSN Code]],Table4[#All],2,0),"")</f>
        <v>Tablets</v>
      </c>
      <c r="H12" s="7">
        <v>45298</v>
      </c>
      <c r="I12" s="4">
        <f>IFERROR(VLOOKUP(sales[[#This Row],[HSN Code]],Table7[[#All],[HSN Code]:[Stock]],6,0),"")</f>
        <v>3</v>
      </c>
      <c r="J12" s="4">
        <v>33</v>
      </c>
      <c r="K12" s="5">
        <f>IFERROR(VLOOKUP(sales[[#This Row],[HSN Code]],Table4[#All],4,0),"")</f>
        <v>28200</v>
      </c>
      <c r="L12" s="5">
        <f>IFERROR(sales[[#This Row],[Units]]*sales[[#This Row],[Price]],"")</f>
        <v>930600</v>
      </c>
    </row>
    <row r="13" spans="2:17" x14ac:dyDescent="0.6">
      <c r="B13" s="14"/>
      <c r="D13" s="3">
        <v>106</v>
      </c>
      <c r="E13" s="4" t="str">
        <f>IFERROR(VLOOKUP(sales[[#This Row],[Cust_ID]],customersdata[#All],2,0),"")</f>
        <v>Jain Tel.</v>
      </c>
      <c r="F13" s="4" t="s">
        <v>58</v>
      </c>
      <c r="G13" s="4" t="str">
        <f>IFERROR(VLOOKUP(sales[[#This Row],[HSN Code]],Table4[#All],2,0),"")</f>
        <v>Speakers</v>
      </c>
      <c r="H13" s="7">
        <v>45299</v>
      </c>
      <c r="I13" s="4">
        <f>IFERROR(VLOOKUP(sales[[#This Row],[HSN Code]],Table7[[#All],[HSN Code]:[Stock]],6,0),"")</f>
        <v>3</v>
      </c>
      <c r="J13" s="4">
        <v>52</v>
      </c>
      <c r="K13" s="5">
        <f>IFERROR(VLOOKUP(sales[[#This Row],[HSN Code]],Table4[#All],4,0),"")</f>
        <v>804</v>
      </c>
      <c r="L13" s="5">
        <f>IFERROR(sales[[#This Row],[Units]]*sales[[#This Row],[Price]],"")</f>
        <v>41808</v>
      </c>
    </row>
    <row r="14" spans="2:17" x14ac:dyDescent="0.6">
      <c r="B14" s="14"/>
      <c r="D14" s="3">
        <v>104</v>
      </c>
      <c r="E14" s="4" t="str">
        <f>IFERROR(VLOOKUP(sales[[#This Row],[Cust_ID]],customersdata[#All],2,0),"")</f>
        <v>Rajesh Kumar</v>
      </c>
      <c r="F14" s="4" t="s">
        <v>61</v>
      </c>
      <c r="G14" s="4" t="str">
        <f>IFERROR(VLOOKUP(sales[[#This Row],[HSN Code]],Table4[#All],2,0),"")</f>
        <v>Tablets</v>
      </c>
      <c r="H14" s="7">
        <v>45299</v>
      </c>
      <c r="I14" s="4">
        <f>IFERROR(VLOOKUP(sales[[#This Row],[HSN Code]],Table7[[#All],[HSN Code]:[Stock]],6,0),"")</f>
        <v>3</v>
      </c>
      <c r="J14" s="4">
        <v>4</v>
      </c>
      <c r="K14" s="5">
        <f>IFERROR(VLOOKUP(sales[[#This Row],[HSN Code]],Table4[#All],4,0),"")</f>
        <v>28200</v>
      </c>
      <c r="L14" s="5">
        <f>IFERROR(sales[[#This Row],[Units]]*sales[[#This Row],[Price]],"")</f>
        <v>112800</v>
      </c>
    </row>
    <row r="15" spans="2:17" x14ac:dyDescent="0.6">
      <c r="B15" s="14"/>
      <c r="D15" s="3">
        <v>103</v>
      </c>
      <c r="E15" s="4" t="str">
        <f>IFERROR(VLOOKUP(sales[[#This Row],[Cust_ID]],customersdata[#All],2,0),"")</f>
        <v>99store</v>
      </c>
      <c r="F15" s="4" t="s">
        <v>30</v>
      </c>
      <c r="G15" s="4" t="str">
        <f>IFERROR(VLOOKUP(sales[[#This Row],[HSN Code]],Table4[#All],2,0),"")</f>
        <v>Smart Watch</v>
      </c>
      <c r="H15" s="7">
        <v>45299</v>
      </c>
      <c r="I15" s="4">
        <f>IFERROR(VLOOKUP(sales[[#This Row],[HSN Code]],Table7[[#All],[HSN Code]:[Stock]],6,0),"")</f>
        <v>3</v>
      </c>
      <c r="J15" s="4">
        <v>37</v>
      </c>
      <c r="K15" s="5">
        <f>IFERROR(VLOOKUP(sales[[#This Row],[HSN Code]],Table4[#All],4,0),"")</f>
        <v>1176</v>
      </c>
      <c r="L15" s="5">
        <f>IFERROR(sales[[#This Row],[Units]]*sales[[#This Row],[Price]],"")</f>
        <v>43512</v>
      </c>
    </row>
    <row r="16" spans="2:17" x14ac:dyDescent="0.6">
      <c r="B16" s="14"/>
      <c r="D16" s="3">
        <v>104</v>
      </c>
      <c r="E16" s="4" t="str">
        <f>IFERROR(VLOOKUP(sales[[#This Row],[Cust_ID]],customersdata[#All],2,0),"")</f>
        <v>Rajesh Kumar</v>
      </c>
      <c r="F16" s="4" t="s">
        <v>50</v>
      </c>
      <c r="G16" s="4" t="str">
        <f>IFERROR(VLOOKUP(sales[[#This Row],[HSN Code]],Table4[#All],2,0),"")</f>
        <v>Camera</v>
      </c>
      <c r="H16" s="7">
        <v>45299</v>
      </c>
      <c r="I16" s="4">
        <f>IFERROR(VLOOKUP(sales[[#This Row],[HSN Code]],Table7[[#All],[HSN Code]:[Stock]],6,0),"")</f>
        <v>14</v>
      </c>
      <c r="J16" s="4">
        <v>4</v>
      </c>
      <c r="K16" s="5">
        <f>IFERROR(VLOOKUP(sales[[#This Row],[HSN Code]],Table4[#All],4,0),"")</f>
        <v>62400</v>
      </c>
      <c r="L16" s="5">
        <f>IFERROR(sales[[#This Row],[Units]]*sales[[#This Row],[Price]],"")</f>
        <v>249600</v>
      </c>
    </row>
    <row r="17" spans="2:12" x14ac:dyDescent="0.6">
      <c r="B17" s="14"/>
      <c r="D17" s="3">
        <v>105</v>
      </c>
      <c r="E17" s="4" t="str">
        <f>IFERROR(VLOOKUP(sales[[#This Row],[Cust_ID]],customersdata[#All],2,0),"")</f>
        <v xml:space="preserve">Amit </v>
      </c>
      <c r="F17" s="4" t="s">
        <v>50</v>
      </c>
      <c r="G17" s="4" t="str">
        <f>IFERROR(VLOOKUP(sales[[#This Row],[HSN Code]],Table4[#All],2,0),"")</f>
        <v>Camera</v>
      </c>
      <c r="H17" s="7">
        <v>45299</v>
      </c>
      <c r="I17" s="4">
        <f>IFERROR(VLOOKUP(sales[[#This Row],[HSN Code]],Table7[[#All],[HSN Code]:[Stock]],6,0),"")</f>
        <v>14</v>
      </c>
      <c r="J17" s="4">
        <v>4</v>
      </c>
      <c r="K17" s="5">
        <f>IFERROR(VLOOKUP(sales[[#This Row],[HSN Code]],Table4[#All],4,0),"")</f>
        <v>62400</v>
      </c>
      <c r="L17" s="5">
        <f>IFERROR(sales[[#This Row],[Units]]*sales[[#This Row],[Price]],"")</f>
        <v>249600</v>
      </c>
    </row>
    <row r="18" spans="2:12" x14ac:dyDescent="0.6">
      <c r="B18" s="14"/>
      <c r="D18" s="3">
        <v>104</v>
      </c>
      <c r="E18" s="4" t="str">
        <f>IFERROR(VLOOKUP(sales[[#This Row],[Cust_ID]],customersdata[#All],2,0),"")</f>
        <v>Rajesh Kumar</v>
      </c>
      <c r="F18" s="4" t="s">
        <v>37</v>
      </c>
      <c r="G18" s="4" t="str">
        <f>IFERROR(VLOOKUP(sales[[#This Row],[HSN Code]],Table4[#All],2,0),"")</f>
        <v>Wireless Printer</v>
      </c>
      <c r="H18" s="7">
        <v>45299</v>
      </c>
      <c r="I18" s="4">
        <f>IFERROR(VLOOKUP(sales[[#This Row],[HSN Code]],Table7[[#All],[HSN Code]:[Stock]],6,0),"")</f>
        <v>35</v>
      </c>
      <c r="J18" s="4">
        <v>5</v>
      </c>
      <c r="K18" s="5">
        <f>IFERROR(VLOOKUP(sales[[#This Row],[HSN Code]],Table4[#All],4,0),"")</f>
        <v>5520</v>
      </c>
      <c r="L18" s="5">
        <f>IFERROR(sales[[#This Row],[Units]]*sales[[#This Row],[Price]],"")</f>
        <v>27600</v>
      </c>
    </row>
    <row r="19" spans="2:12" x14ac:dyDescent="0.6">
      <c r="B19" s="15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 x14ac:dyDescent="0.6">
      <c r="B20" s="8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 x14ac:dyDescent="0.6">
      <c r="B21" s="8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 x14ac:dyDescent="0.6">
      <c r="B22" s="8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RowColHeaders="0" workbookViewId="0"/>
  </sheetViews>
  <sheetFormatPr defaultRowHeight="26" x14ac:dyDescent="0.6"/>
  <cols>
    <col min="1" max="1" width="1.6484375" style="1" customWidth="1"/>
    <col min="2" max="2" width="14.5" customWidth="1"/>
    <col min="3" max="3" width="1.75" style="1" customWidth="1"/>
    <col min="4" max="4" width="8.796875" style="1"/>
    <col min="5" max="5" width="15.046875" style="1" customWidth="1"/>
    <col min="6" max="6" width="8.25" style="1" customWidth="1"/>
    <col min="7" max="10" width="8.796875" style="1"/>
    <col min="11" max="11" width="27.6484375" style="1" hidden="1" customWidth="1"/>
    <col min="12" max="12" width="2.8984375" style="1" customWidth="1"/>
    <col min="13" max="16384" width="8.796875" style="1"/>
  </cols>
  <sheetData>
    <row r="1" spans="2:18" x14ac:dyDescent="0.6">
      <c r="B1" s="1"/>
    </row>
    <row r="2" spans="2:18" x14ac:dyDescent="0.6">
      <c r="B2" s="13"/>
      <c r="R2" s="2"/>
    </row>
    <row r="3" spans="2:18" x14ac:dyDescent="0.6">
      <c r="B3" s="14"/>
    </row>
    <row r="4" spans="2:18" x14ac:dyDescent="0.6">
      <c r="B4" s="14"/>
    </row>
    <row r="5" spans="2:18" x14ac:dyDescent="0.6">
      <c r="B5" s="14"/>
      <c r="D5" s="4" t="s">
        <v>26</v>
      </c>
      <c r="E5" s="4" t="s">
        <v>27</v>
      </c>
      <c r="F5" s="4" t="s">
        <v>64</v>
      </c>
      <c r="G5" s="4" t="s">
        <v>75</v>
      </c>
      <c r="H5" s="4" t="s">
        <v>76</v>
      </c>
      <c r="I5" s="4" t="s">
        <v>77</v>
      </c>
      <c r="J5" s="4" t="s">
        <v>87</v>
      </c>
      <c r="K5" s="4" t="s">
        <v>78</v>
      </c>
      <c r="L5" s="4"/>
    </row>
    <row r="6" spans="2:18" x14ac:dyDescent="0.6">
      <c r="B6" s="14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19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 x14ac:dyDescent="0.6">
      <c r="B7" s="14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19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 x14ac:dyDescent="0.6">
      <c r="B8" s="14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19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 x14ac:dyDescent="0.6">
      <c r="B9" s="14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19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 x14ac:dyDescent="0.6">
      <c r="B10" s="14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19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 x14ac:dyDescent="0.6">
      <c r="B11" s="14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19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 x14ac:dyDescent="0.6">
      <c r="B12" s="14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19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 x14ac:dyDescent="0.6">
      <c r="B13" s="14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19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 x14ac:dyDescent="0.6">
      <c r="B14" s="14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19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 x14ac:dyDescent="0.6">
      <c r="B15" s="14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19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 x14ac:dyDescent="0.6">
      <c r="B16" s="14"/>
      <c r="D16" s="4" t="str">
        <f>IFERROR(Table4[[#This Row],[HSN Code]],"")</f>
        <v/>
      </c>
      <c r="E16" s="4" t="str">
        <f>IFERROR(Table4[[#This Row],[Product Name]],"")</f>
        <v/>
      </c>
      <c r="F16" s="4" t="str">
        <f>IFERROR(Table4[[#This Row],[Cost]],"")</f>
        <v/>
      </c>
      <c r="G16" s="4">
        <f>SUMIF(purchase[Product Name],Table7[[#This Row],[Product Name]],purchase[Units])</f>
        <v>0</v>
      </c>
      <c r="H16" s="4">
        <f>SUMIF(sales[Product Name],Table7[[#This Row],[Product Name]],sales[Units])</f>
        <v>0</v>
      </c>
      <c r="I16" s="4">
        <f>Table7[[#This Row],[P Units]]-Table7[[#This Row],[S Units]]</f>
        <v>0</v>
      </c>
      <c r="J16" s="19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 x14ac:dyDescent="0.6">
      <c r="B17" s="14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>
        <f>SUMIF(purchase[Product Name],Table7[[#This Row],[Product Name]],purchase[Units])</f>
        <v>0</v>
      </c>
      <c r="H17" s="4">
        <f>SUMIF(sales[Product Name],Table7[[#This Row],[Product Name]],sales[Units])</f>
        <v>0</v>
      </c>
      <c r="I17" s="4">
        <f>Table7[[#This Row],[P Units]]-Table7[[#This Row],[S Units]]</f>
        <v>0</v>
      </c>
      <c r="J17" s="19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 x14ac:dyDescent="0.6">
      <c r="B18" s="14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>
        <f>SUMIF(purchase[Product Name],Table7[[#This Row],[Product Name]],purchase[Units])</f>
        <v>0</v>
      </c>
      <c r="H18" s="4">
        <f>SUMIF(sales[Product Name],Table7[[#This Row],[Product Name]],sales[Units])</f>
        <v>0</v>
      </c>
      <c r="I18" s="4">
        <f>Table7[[#This Row],[P Units]]-Table7[[#This Row],[S Units]]</f>
        <v>0</v>
      </c>
      <c r="J18" s="19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 x14ac:dyDescent="0.6">
      <c r="B19" s="15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 x14ac:dyDescent="0.6">
      <c r="B20" s="8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 x14ac:dyDescent="0.6">
      <c r="B21" s="8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 x14ac:dyDescent="0.6">
      <c r="B22" s="8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 x14ac:dyDescent="0.6">
      <c r="B23" s="8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raginee pattnaik</cp:lastModifiedBy>
  <dcterms:created xsi:type="dcterms:W3CDTF">2024-12-16T07:21:07Z</dcterms:created>
  <dcterms:modified xsi:type="dcterms:W3CDTF">2025-02-04T08:35:12Z</dcterms:modified>
</cp:coreProperties>
</file>