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<sst xmlns="http://schemas.openxmlformats.org/spreadsheetml/2006/main" count="1046" uniqueCount="868">
  <si>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</si>
  <si>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</si>
  <si>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</si>
  <si>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</si>
  <si>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</si>
  <si>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</si>
  <si>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</si>
  <si>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</si>
  <si>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</si>
  <si>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</si>
  <si>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</si>
  <si>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</si>
  <si>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</si>
  <si>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</si>
  <si>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</si>
  <si>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</si>
  <si>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</si>
  <si>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</si>
  <si>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</si>
  <si>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</si>
  <si>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</si>
  <si>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</si>
  <si>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</si>
  <si>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</si>
  <si>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</si>
  <si>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</si>
  <si>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</si>
  <si>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</si>
  <si>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</si>
  <si>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</si>
  <si>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</si>
  <si>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</si>
  <si>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</si>
  <si>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</si>
  <si>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</si>
  <si>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</si>
  <si>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</si>
  <si>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</si>
  <si>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</si>
  <si>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</si>
  <si>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</si>
  <si>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</si>
  <si>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</si>
  <si>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</si>
  <si>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</si>
  <si>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</si>
  <si>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</si>
  <si>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</si>
  <si>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</si>
  <si>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</si>
  <si>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</si>
  <si>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</si>
  <si>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</si>
  <si>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</si>
  <si>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</si>
  <si>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</si>
  <si>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</si>
  <si>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</si>
  <si>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</si>
  <si>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</si>
  <si>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</si>
  <si>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</si>
  <si>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</si>
  <si>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</si>
  <si>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</si>
  <si>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</si>
  <si>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</si>
  <si>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</si>
  <si>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</si>
  <si>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</si>
  <si>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</si>
  <si>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</si>
  <si>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</si>
  <si>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</si>
  <si>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</si>
  <si>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</si>
  <si>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</si>
  <si>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</si>
  <si>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</si>
  <si>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</si>
  <si>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</si>
  <si>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</si>
  <si>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</si>
  <si>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</si>
  <si>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</si>
  <si>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</si>
  <si>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</si>
  <si>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</si>
  <si>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</si>
  <si>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</si>
  <si>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</si>
  <si>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</si>
  <si>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</si>
  <si>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</si>
  <si>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</si>
  <si>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</si>
  <si>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</si>
  <si>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</si>
  <si>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</si>
  <si>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</si>
  <si>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</si>
  <si>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</si>
  <si>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</si>
  <si>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</si>
  <si>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</si>
  <si>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</si>
  <si>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</si>
  <si>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</si>
  <si>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</si>
  <si>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</si>
  <si>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</si>
  <si>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</si>
  <si>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</si>
  <si>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</si>
  <si>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</si>
  <si>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</si>
  <si>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</si>
  <si>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</si>
  <si>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</si>
  <si>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</si>
  <si>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</si>
  <si>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</si>
  <si>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</si>
  <si>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</si>
  <si>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</si>
  <si>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</si>
  <si>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</si>
  <si>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</si>
  <si>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</si>
  <si>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</si>
  <si>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</si>
  <si>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</si>
  <si>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</si>
  <si>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</si>
  <si>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</si>
  <si>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</si>
  <si>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</si>
  <si>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</si>
  <si>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</si>
  <si>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</si>
  <si>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</si>
  <si>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</si>
  <si>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</si>
  <si>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</si>
  <si>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</si>
  <si>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</si>
  <si>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</si>
  <si>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</si>
  <si>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</si>
  <si>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</si>
  <si>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</si>
  <si>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</si>
  <si>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</si>
  <si>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</si>
  <si>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</si>
  <si>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</si>
  <si>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</si>
  <si>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</si>
  <si>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</si>
  <si>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</si>
  <si>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</si>
  <si>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</si>
  <si>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</si>
  <si>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</si>
  <si>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</si>
  <si>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</si>
  <si>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</si>
  <si>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</si>
  <si>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</si>
  <si>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</si>
  <si>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</si>
  <si>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</si>
  <si>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</si>
  <si>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</si>
  <si>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</si>
  <si>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</si>
  <si>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</si>
  <si>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</si>
  <si>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</si>
  <si>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</si>
  <si>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</si>
  <si>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</si>
  <si>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</si>
  <si>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</si>
  <si>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</si>
  <si>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</si>
  <si>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</si>
  <si>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</si>
  <si>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</si>
  <si>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</si>
  <si>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</si>
  <si>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</si>
  <si>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</si>
  <si>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</si>
  <si>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</si>
  <si>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</si>
  <si>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</si>
  <si>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</si>
  <si>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</si>
  <si>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</si>
  <si>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</si>
  <si>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</si>
  <si>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</si>
  <si>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</si>
  <si>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</si>
  <si>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</si>
  <si>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</si>
  <si>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</si>
  <si>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</si>
  <si>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</si>
  <si>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</si>
  <si>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</si>
  <si>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</si>
  <si>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</si>
  <si>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</si>
  <si>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</si>
  <si>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</si>
  <si>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</si>
  <si>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</si>
  <si>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</si>
  <si>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</si>
  <si>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</si>
  <si>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</si>
  <si>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</si>
  <si>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</si>
  <si>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</si>
  <si>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</si>
  <si>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</si>
  <si>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</si>
  <si>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</si>
  <si>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</si>
  <si>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</si>
  <si>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</si>
  <si>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</si>
  <si>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</si>
  <si>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</si>
  <si>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</si>
  <si>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</si>
  <si>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</si>
  <si>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</si>
  <si>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</si>
  <si>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</si>
  <si>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</si>
  <si>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</si>
  <si>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</si>
  <si>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</si>
  <si>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</si>
  <si>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</si>
  <si>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</si>
  <si>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</si>
  <si>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</si>
  <si>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</si>
  <si>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</si>
  <si>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</si>
  <si>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</si>
  <si>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</si>
  <si>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</si>
  <si>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</si>
  <si>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</si>
  <si>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</si>
  <si>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</si>
  <si>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</si>
  <si>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</si>
  <si>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</si>
  <si>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</si>
  <si>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</si>
  <si>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</si>
  <si>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</si>
  <si>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</si>
  <si>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</si>
  <si>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</si>
  <si>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</si>
  <si>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</si>
  <si>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</si>
  <si>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</si>
  <si>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</si>
  <si>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</si>
  <si>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</si>
  <si>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</si>
  <si>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</si>
  <si>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</si>
  <si>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</si>
  <si>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</si>
  <si>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</si>
  <si>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</si>
  <si>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</si>
  <si>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</si>
  <si>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</si>
  <si>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</si>
  <si>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</si>
  <si>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</si>
  <si>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</si>
  <si>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</si>
  <si>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</si>
  <si>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 warning</t>
  </si>
  <si>
    <t>Pickaxe needed to mine ore.</t>
  </si>
  <si>
    <t>Hatchet needed warning</t>
  </si>
  <si>
    <t>Hatchet needed to chop tree.</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</si>
  <si>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</si>
  <si>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</si>
  <si>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</si>
  <si>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</si>
  <si>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</si>
  <si>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</si>
  <si>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</si>
  <si>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</si>
  <si>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</si>
  <si>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</si>
  <si>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</si>
  <si>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</si>
  <si>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</si>
  <si>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</si>
  <si>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</si>
  <si>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</si>
  <si>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</si>
  <si>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</si>
  <si>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</si>
  <si>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</si>
  <si>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</si>
  <si>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</si>
  <si>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</si>
  <si>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</si>
  <si>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</si>
  <si>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</si>
  <si>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</si>
  <si>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</si>
  <si>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</si>
  <si>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</si>
  <si>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</si>
  <si>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</si>
  <si>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</si>
  <si>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</si>
  <si>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</si>
  <si>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</si>
  <si>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</si>
  <si>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</si>
  <si>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</si>
  <si>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</si>
  <si>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</si>
  <si>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</si>
  <si>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</si>
  <si>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</si>
  <si>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</si>
  <si>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</si>
  <si>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</si>
  <si>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</si>
  <si>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</si>
  <si>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</si>
  <si>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</si>
  <si>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</si>
  <si>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</si>
  <si>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</si>
  <si>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</si>
  <si>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</si>
  <si>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</si>
  <si>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</si>
  <si>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</si>
  <si>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</si>
  <si>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</si>
  <si>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</si>
  <si>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</si>
  <si>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</si>
  <si>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</si>
  <si>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</si>
  <si>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</si>
  <si>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</si>
  <si>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</si>
  <si>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</si>
  <si>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</si>
  <si>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</si>
  <si>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</si>
  <si>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</si>
  <si>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</si>
  <si>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</si>
  <si>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</si>
  <si>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</si>
  <si>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</si>
  <si>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</si>
  <si>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</si>
  <si>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Oak logs</t>
  </si>
  <si>
    <t>Oak logs</t>
  </si>
  <si>
    <t>Item description: Oak logs</t>
  </si>
  <si>
    <t>A basic crafting material.</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</si>
  <si>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</si>
  <si>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</si>
  <si>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</si>
  <si>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</si>
  <si>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</si>
  <si>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</si>
  <si>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</si>
  <si>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</si>
  <si>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</si>
  <si>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</si>
  <si>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</si>
  <si>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</si>
  <si>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</si>
  <si>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</si>
  <si>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</si>
  <si>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</si>
  <si>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</si>
  <si>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</si>
  <si>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</si>
  <si>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</si>
  <si>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</si>
  <si>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</si>
  <si>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</si>
  <si>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</si>
  <si>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</si>
  <si>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</si>
  <si>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</si>
  <si>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</si>
  <si>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</si>
  <si>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</si>
  <si>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</si>
  <si>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</si>
  <si>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</si>
  <si>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</si>
  <si>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</si>
  <si>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</si>
  <si>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</si>
  <si>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</si>
  <si>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Iron hatchet</t>
  </si>
  <si>
    <t>Iron hatchet</t>
  </si>
  <si>
    <t>Item description: Iron hatchet</t>
  </si>
  <si>
    <t>Used to chop down trees for wood.</t>
  </si>
  <si>
    <t>Item name: Iron pickaxe</t>
  </si>
  <si>
    <t>Iron pickaxe</t>
  </si>
  <si>
    <t>Item description: Iron pickaxe</t>
  </si>
  <si>
    <t>Used to mine rocks for ore.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</si>
  <si>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</si>
  <si>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</si>
  <si>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</si>
  <si>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</si>
  <si>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</si>
  <si>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</si>
  <si>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</si>
  <si>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</si>
  <si>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</si>
  <si>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</si>
  <si>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</si>
  <si>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</si>
  <si>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</si>
  <si>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</si>
  <si>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</si>
  <si>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</si>
  <si>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</si>
  <si>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</si>
  <si>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</si>
  <si>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</si>
  <si>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</si>
  <si>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</si>
  <si>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</si>
  <si>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</si>
  <si>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</si>
  <si>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</si>
  <si>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</si>
  <si>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</si>
  <si>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</si>
  <si>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</si>
  <si>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</si>
  <si>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</si>
  <si>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</si>
  <si>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</si>
  <si>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</si>
  <si>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</si>
  <si>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</si>
  <si>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</si>
  <si>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</si>
  <si>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</si>
  <si>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</si>
  <si>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</si>
  <si>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</si>
  <si>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</si>
  <si>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</si>
  <si>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</si>
  <si>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</si>
  <si>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</si>
  <si>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</si>
  <si>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</si>
  <si>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</si>
  <si>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</si>
  <si>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</si>
  <si>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</si>
  <si>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</si>
  <si>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</si>
  <si>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</si>
  <si>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</si>
  <si>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</si>
  <si>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</si>
  <si>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</si>
  <si>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</si>
  <si>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</si>
  <si>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</si>
  <si>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</si>
  <si>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</si>
  <si>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</si>
  <si>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</si>
  <si>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Oak bow</t>
  </si>
  <si>
    <t>Oak bow</t>
  </si>
  <si>
    <t>Item description: Oak bow</t>
  </si>
  <si>
    <t>A basic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</si>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</sst>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tr">
        <f>IFERROR(__xludf.DUMMYFUNCTION("GOOGLETRANSLATE(B27, ""en"", ""fr"")"),"Jouer")</f>
        <v>Jouer</v>
      </c>
      <c r="D27" s="23" t="str">
        <f>IFERROR(__xludf.DUMMYFUNCTION("GOOGLETRANSLATE(B27, ""en"", ""es"")"),"Tocar")</f>
        <v>Tocar</v>
      </c>
      <c r="E27" s="23" t="str">
        <f>IFERROR(__xludf.DUMMYFUNCTION("GOOGLETRANSLATE(B27, ""en"", ""ru"")"),"Играть")</f>
        <v>Играть</v>
      </c>
      <c r="F27" s="23" t="str">
        <f>IFERROR(__xludf.DUMMYFUNCTION("GOOGLETRANSLATE(B27, ""en"", ""tr"")"),"Oyna")</f>
        <v>Oyna</v>
      </c>
      <c r="G27" s="23" t="str">
        <f>IFERROR(__xludf.DUMMYFUNCTION("GOOGLETRANSLATE(B27, ""en"", ""pt"")"),"Jogar")</f>
        <v>Jogar</v>
      </c>
      <c r="H27" s="24" t="str">
        <f>IFERROR(__xludf.DUMMYFUNCTION("GOOGLETRANSLATE(B27, ""en"", ""de"")"),"abspielen")</f>
        <v>abspielen</v>
      </c>
      <c r="I27" s="23" t="str">
        <f>IFERROR(__xludf.DUMMYFUNCTION("GOOGLETRANSLATE(B27, ""en"", ""pl"")"),"Grać")</f>
        <v>Grać</v>
      </c>
      <c r="J27" s="25" t="str">
        <f>IFERROR(__xludf.DUMMYFUNCTION("GOOGLETRANSLATE(B27, ""en"", ""zh"")"),"玩")</f>
        <v>玩</v>
      </c>
      <c r="K27" s="25" t="str">
        <f>IFERROR(__xludf.DUMMYFUNCTION("GOOGLETRANSLATE(B27, ""en"", ""vi"")"),"Chơi")</f>
        <v>Chơi</v>
      </c>
      <c r="L27" s="26" t="str">
        <f>IFERROR(__xludf.DUMMYFUNCTION("GOOGLETRANSLATE(B27, ""en"", ""hr"")"),"igra")</f>
        <v>igra</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""fr"")"),"Reconnect")</f>
        <v>Reconnect</v>
      </c>
      <c r="D28" s="23" t="str">
        <f>IFERROR(__xludf.DUMMYFUNCTION("GOOGLETRANSLATE(B28, ""en"", ""es"")"),"Conectar de nuevo")</f>
        <v>Conectar de nuevo</v>
      </c>
      <c r="E28" s="23" t="str">
        <f>IFERROR(__xludf.DUMMYFUNCTION("GOOGLETRANSLATE(B28, ""en"", ""ru"")"),"Переустановка")</f>
        <v>Переустановка</v>
      </c>
      <c r="F28" s="23" t="str">
        <f>IFERROR(__xludf.DUMMYFUNCTION("GOOGLETRANSLATE(B28, ""en"", ""tr"")"),"yeniden bağlayın")</f>
        <v>yeniden bağlayın</v>
      </c>
      <c r="G28" s="23" t="str">
        <f>IFERROR(__xludf.DUMMYFUNCTION("GOOGLETRANSLATE(B28, ""en"", ""pt"")"),"Reconnect")</f>
        <v>Reconnect</v>
      </c>
      <c r="H28" s="24" t="str">
        <f>IFERROR(__xludf.DUMMYFUNCTION("GOOGLETRANSLATE(B28, ""en"", ""de"")"),"Reconnect")</f>
        <v>Reconnect</v>
      </c>
      <c r="I28" s="23" t="str">
        <f>IFERROR(__xludf.DUMMYFUNCTION("GOOGLETRANSLATE(B28, ""en"", ""pl"")"),"Na nowo połączyć")</f>
        <v>Na nowo połączyć</v>
      </c>
      <c r="J28" s="25" t="str">
        <f>IFERROR(__xludf.DUMMYFUNCTION("GOOGLETRANSLATE(B28, ""en"", ""zh"")"),"重新连接")</f>
        <v>重新连接</v>
      </c>
      <c r="K28" s="25" t="str">
        <f>IFERROR(__xludf.DUMMYFUNCTION("GOOGLETRANSLATE(B28, ""en"", ""vi"")"),"Reconnect")</f>
        <v>Reconnect</v>
      </c>
      <c r="L28" s="26" t="str">
        <f>IFERROR(__xludf.DUMMYFUNCTION("GOOGLETRANSLATE(B28, ""en"", ""hr"")"),"Ponovno")</f>
        <v>Ponovno</v>
      </c>
      <c r="M28" s="27"/>
      <c r="N28" s="28"/>
      <c r="O28" s="28"/>
      <c r="P28" s="28"/>
      <c r="Q28" s="28"/>
      <c r="R28" s="28"/>
      <c r="S28" s="28"/>
      <c r="T28" s="28"/>
      <c r="U28" s="28"/>
      <c r="V28" s="28"/>
      <c r="W28" s="28"/>
      <c r="X28" s="28"/>
      <c r="Y28" s="28"/>
      <c r="Z28" s="28"/>
      <c r="AA28" s="28"/>
      <c r="AB28" s="28"/>
    </row>
    <row r="29">
      <c r="A29" s="21" t="s">
        <v>61</v>
      </c>
      <c r="B29" s="22" t="s">
        <v>62</v>
      </c>
      <c r="C29" s="23" t="str">
        <f>IFERROR(__xludf.DUMMYFUNCTION("GOOGLETRANSLATE(B29, ""en"", ""fr"")"),"Connexion au serveur de jeu ...")</f>
        <v>Connexion au serveur de jeu ...</v>
      </c>
      <c r="D29" s="23" t="str">
        <f>IFERROR(__xludf.DUMMYFUNCTION("GOOGLETRANSLATE(B29, ""en"", ""es"")"),"Conexión al servidor de juegos ...")</f>
        <v>Conexión al servidor de juegos ...</v>
      </c>
      <c r="E29" s="23" t="str">
        <f>IFERROR(__xludf.DUMMYFUNCTION("GOOGLETRANSLATE(B29, ""en"", ""ru"")"),"Подключение к игровому серверу ...")</f>
        <v>Подключение к игровому серверу ...</v>
      </c>
      <c r="F29" s="23" t="str">
        <f>IFERROR(__xludf.DUMMYFUNCTION("GOOGLETRANSLATE(B29, ""en"", ""tr"")"),"Oyun sunucusuna bağlanıyor ...")</f>
        <v>Oyun sunucusuna bağlanıyor ...</v>
      </c>
      <c r="G29" s="23" t="str">
        <f>IFERROR(__xludf.DUMMYFUNCTION("GOOGLETRANSLATE(B29, ""en"", ""pt"")"),"Ligar a servidor de jogo ...")</f>
        <v>Ligar a servidor de jogo ...</v>
      </c>
      <c r="H29" s="24" t="str">
        <f>IFERROR(__xludf.DUMMYFUNCTION("GOOGLETRANSLATE(B29, ""en"", ""de"")"),"Verbindung zum Spielserver ...")</f>
        <v>Verbindung zum Spielserver ...</v>
      </c>
      <c r="I29" s="23" t="str">
        <f>IFERROR(__xludf.DUMMYFUNCTION("GOOGLETRANSLATE(B29, ""en"", ""pl"")"),"Łączenie się z serwerem gry ...")</f>
        <v>Łączenie się z serwerem gry ...</v>
      </c>
      <c r="J29" s="25" t="str">
        <f>IFERROR(__xludf.DUMMYFUNCTION("GOOGLETRANSLATE(B29, ""en"", ""zh"")"),"连接到游戏服务器...")</f>
        <v>连接到游戏服务器...</v>
      </c>
      <c r="K29" s="25" t="str">
        <f>IFERROR(__xludf.DUMMYFUNCTION("GOOGLETRANSLATE(B29, ""en"", ""vi"")"),"Đang kết nối đến máy chủ trò chơi ...")</f>
        <v>Đang kết nối đến máy chủ trò chơi ...</v>
      </c>
      <c r="L29" s="26" t="str">
        <f>IFERROR(__xludf.DUMMYFUNCTION("GOOGLETRANSLATE(B29, ""en"", ""hr"")"),"Povezivanje s poslužitelja za igru ​​...")</f>
        <v>Povezivanje s poslužitelja za igru ​​...</v>
      </c>
      <c r="M29" s="27"/>
      <c r="N29" s="28"/>
      <c r="O29" s="28"/>
      <c r="P29" s="28"/>
      <c r="Q29" s="28"/>
      <c r="R29" s="28"/>
      <c r="S29" s="28"/>
      <c r="T29" s="28"/>
      <c r="U29" s="28"/>
      <c r="V29" s="28"/>
      <c r="W29" s="28"/>
      <c r="X29" s="28"/>
      <c r="Y29" s="28"/>
      <c r="Z29" s="28"/>
      <c r="AA29" s="28"/>
      <c r="AB29" s="28"/>
    </row>
    <row r="30">
      <c r="A30" s="21" t="s">
        <v>63</v>
      </c>
      <c r="B30" s="22" t="s">
        <v>64</v>
      </c>
      <c r="C30" s="23" t="str">
        <f>IFERROR(__xludf.DUMMYFUNCTION("GOOGLETRANSLATE(B30, ""en"", ""fr"")"),"Rejoindre monde du jeu ...")</f>
        <v>Rejoindre monde du jeu ...</v>
      </c>
      <c r="D30" s="23" t="str">
        <f>IFERROR(__xludf.DUMMYFUNCTION("GOOGLETRANSLATE(B30, ""en"", ""es"")"),"Uniéndose mundo del juego ...")</f>
        <v>Uniéndose mundo del juego ...</v>
      </c>
      <c r="E30" s="23" t="str">
        <f>IFERROR(__xludf.DUMMYFUNCTION("GOOGLETRANSLATE(B30, ""en"", ""ru"")"),"Присоединение к игровому миру ...")</f>
        <v>Присоединение к игровому миру ...</v>
      </c>
      <c r="F30" s="23" t="str">
        <f>IFERROR(__xludf.DUMMYFUNCTION("GOOGLETRANSLATE(B30, ""en"", ""tr"")"),"Oyun dünyasına katılıyor ...")</f>
        <v>Oyun dünyasına katılıyor ...</v>
      </c>
      <c r="G30" s="23" t="str">
        <f>IFERROR(__xludf.DUMMYFUNCTION("GOOGLETRANSLATE(B30, ""en"", ""pt"")"),"Juntando mundo do jogo ...")</f>
        <v>Juntando mundo do jogo ...</v>
      </c>
      <c r="H30" s="24" t="str">
        <f>IFERROR(__xludf.DUMMYFUNCTION("GOOGLETRANSLATE(B30, ""en"", ""de"")"),"Joining Spielwelt ...")</f>
        <v>Joining Spielwelt ...</v>
      </c>
      <c r="I30" s="23" t="str">
        <f>IFERROR(__xludf.DUMMYFUNCTION("GOOGLETRANSLATE(B30, ""en"", ""pl"")"),"Dołączenie świat gry ...")</f>
        <v>Dołączenie świat gry ...</v>
      </c>
      <c r="J30" s="25" t="str">
        <f>IFERROR(__xludf.DUMMYFUNCTION("GOOGLETRANSLATE(B30, ""en"", ""zh"")"),"加入游戏世界...")</f>
        <v>加入游戏世界...</v>
      </c>
      <c r="K30" s="25" t="str">
        <f>IFERROR(__xludf.DUMMYFUNCTION("GOOGLETRANSLATE(B30, ""en"", ""vi"")"),"Tham gia trò chơi thế giới ...")</f>
        <v>Tham gia trò chơi thế giới ...</v>
      </c>
      <c r="L30" s="26" t="str">
        <f>IFERROR(__xludf.DUMMYFUNCTION("GOOGLETRANSLATE(B30, ""en"", ""hr"")"),"Ulazak svijet igre ...")</f>
        <v>Ulazak svijet igre ...</v>
      </c>
      <c r="M30" s="27"/>
      <c r="N30" s="28"/>
      <c r="O30" s="28"/>
      <c r="P30" s="28"/>
      <c r="Q30" s="28"/>
      <c r="R30" s="28"/>
      <c r="S30" s="28"/>
      <c r="T30" s="28"/>
      <c r="U30" s="28"/>
      <c r="V30" s="28"/>
      <c r="W30" s="28"/>
      <c r="X30" s="28"/>
      <c r="Y30" s="28"/>
      <c r="Z30" s="28"/>
      <c r="AA30" s="28"/>
      <c r="AB30" s="28"/>
    </row>
    <row r="31">
      <c r="A31" s="21" t="s">
        <v>65</v>
      </c>
      <c r="B31" s="22" t="s">
        <v>65</v>
      </c>
      <c r="C31" s="23" t="str">
        <f>IFERROR(__xludf.DUMMYFUNCTION("GOOGLETRANSLATE(B31, ""en"", ""fr"")"),"Chargement")</f>
        <v>Chargement</v>
      </c>
      <c r="D31" s="23" t="str">
        <f>IFERROR(__xludf.DUMMYFUNCTION("GOOGLETRANSLATE(B31, ""en"", ""es"")"),"Cargando")</f>
        <v>Cargando</v>
      </c>
      <c r="E31" s="23" t="str">
        <f>IFERROR(__xludf.DUMMYFUNCTION("GOOGLETRANSLATE(B31, ""en"", ""ru"")"),"загрузка")</f>
        <v>загрузка</v>
      </c>
      <c r="F31" s="23" t="str">
        <f>IFERROR(__xludf.DUMMYFUNCTION("GOOGLETRANSLATE(B31, ""en"", ""tr"")"),"Yükleniyor")</f>
        <v>Yükleniyor</v>
      </c>
      <c r="G31" s="23" t="str">
        <f>IFERROR(__xludf.DUMMYFUNCTION("GOOGLETRANSLATE(B31, ""en"", ""pt"")"),"Carregando")</f>
        <v>Carregando</v>
      </c>
      <c r="H31" s="24" t="str">
        <f>IFERROR(__xludf.DUMMYFUNCTION("GOOGLETRANSLATE(B31, ""en"", ""de"")"),"Wird geladen")</f>
        <v>Wird geladen</v>
      </c>
      <c r="I31" s="23" t="str">
        <f>IFERROR(__xludf.DUMMYFUNCTION("GOOGLETRANSLATE(B31, ""en"", ""pl"")"),"Ładowanie")</f>
        <v>Ładowanie</v>
      </c>
      <c r="J31" s="25" t="str">
        <f>IFERROR(__xludf.DUMMYFUNCTION("GOOGLETRANSLATE(B31, ""en"", ""zh"")"),"载入中")</f>
        <v>载入中</v>
      </c>
      <c r="K31" s="25" t="str">
        <f>IFERROR(__xludf.DUMMYFUNCTION("GOOGLETRANSLATE(B31, ""en"", ""vi"")"),"Đang tải")</f>
        <v>Đang tải</v>
      </c>
      <c r="L31" s="26" t="str">
        <f>IFERROR(__xludf.DUMMYFUNCTION("GOOGLETRANSLATE(B31, ""en"", ""hr"")"),"Učitavam")</f>
        <v>Učitavam</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""fr"")"),"jeu chargé")</f>
        <v>jeu chargé</v>
      </c>
      <c r="D32" s="23" t="str">
        <f>IFERROR(__xludf.DUMMYFUNCTION("GOOGLETRANSLATE(B32, ""en"", ""es"")"),"juego cargado")</f>
        <v>juego cargado</v>
      </c>
      <c r="E32" s="23" t="str">
        <f>IFERROR(__xludf.DUMMYFUNCTION("GOOGLETRANSLATE(B32, ""en"", ""ru"")"),"Игра загружается")</f>
        <v>Игра загружается</v>
      </c>
      <c r="F32" s="23" t="str">
        <f>IFERROR(__xludf.DUMMYFUNCTION("GOOGLETRANSLATE(B32, ""en"", ""tr"")"),"Oyun yüklendi")</f>
        <v>Oyun yüklendi</v>
      </c>
      <c r="G32" s="23" t="str">
        <f>IFERROR(__xludf.DUMMYFUNCTION("GOOGLETRANSLATE(B32, ""en"", ""pt"")"),"jogo carregado")</f>
        <v>jogo carregado</v>
      </c>
      <c r="H32" s="24" t="str">
        <f>IFERROR(__xludf.DUMMYFUNCTION("GOOGLETRANSLATE(B32, ""en"", ""de"")"),"Spiel geladen")</f>
        <v>Spiel geladen</v>
      </c>
      <c r="I32" s="23" t="str">
        <f>IFERROR(__xludf.DUMMYFUNCTION("GOOGLETRANSLATE(B32, ""en"", ""pl"")"),"gra załadowana")</f>
        <v>gra załadowana</v>
      </c>
      <c r="J32" s="25" t="str">
        <f>IFERROR(__xludf.DUMMYFUNCTION("GOOGLETRANSLATE(B32, ""en"", ""zh"")"),"游戏加载")</f>
        <v>游戏加载</v>
      </c>
      <c r="K32" s="25" t="str">
        <f>IFERROR(__xludf.DUMMYFUNCTION("GOOGLETRANSLATE(B32, ""en"", ""vi"")"),"trò chơi nạp")</f>
        <v>trò chơi nạp</v>
      </c>
      <c r="L32" s="26" t="str">
        <f>IFERROR(__xludf.DUMMYFUNCTION("GOOGLETRANSLATE(B32, ""en"", ""hr"")"),"igra učitava")</f>
        <v>igra učitava</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""fr"")"),"indice suivant")</f>
        <v>indice suivant</v>
      </c>
      <c r="D33" s="23" t="str">
        <f>IFERROR(__xludf.DUMMYFUNCTION("GOOGLETRANSLATE(B33, ""en"", ""es"")"),"indirecta siguiente")</f>
        <v>indirecta siguiente</v>
      </c>
      <c r="E33" s="23" t="str">
        <f>IFERROR(__xludf.DUMMYFUNCTION("GOOGLETRANSLATE(B33, ""en"", ""ru"")"),"Следующая подсказка")</f>
        <v>Следующая подсказка</v>
      </c>
      <c r="F33" s="23" t="str">
        <f>IFERROR(__xludf.DUMMYFUNCTION("GOOGLETRANSLATE(B33, ""en"", ""tr"")"),"Sonraki ipucu")</f>
        <v>Sonraki ipucu</v>
      </c>
      <c r="G33" s="23" t="str">
        <f>IFERROR(__xludf.DUMMYFUNCTION("GOOGLETRANSLATE(B33, ""en"", ""pt"")"),"próxima dica")</f>
        <v>próxima dica</v>
      </c>
      <c r="H33" s="24" t="str">
        <f>IFERROR(__xludf.DUMMYFUNCTION("GOOGLETRANSLATE(B33, ""en"", ""de"")"),"Nächster Tipp")</f>
        <v>Nächster Tipp</v>
      </c>
      <c r="I33" s="23" t="str">
        <f>IFERROR(__xludf.DUMMYFUNCTION("GOOGLETRANSLATE(B33, ""en"", ""pl"")"),"Następna podpowiedź")</f>
        <v>Następna podpowiedź</v>
      </c>
      <c r="J33" s="25" t="str">
        <f>IFERROR(__xludf.DUMMYFUNCTION("GOOGLETRANSLATE(B33, ""en"", ""zh"")"),"下一步提示")</f>
        <v>下一步提示</v>
      </c>
      <c r="K33" s="25" t="str">
        <f>IFERROR(__xludf.DUMMYFUNCTION("GOOGLETRANSLATE(B33, ""en"", ""vi"")"),"gợi ý tiếp theo")</f>
        <v>gợi ý tiếp theo</v>
      </c>
      <c r="L33" s="26" t="str">
        <f>IFERROR(__xludf.DUMMYFUNCTION("GOOGLETRANSLATE(B33, ""en"", ""hr"")"),"Sljedeći savjet")</f>
        <v>Sljedeći savjet</v>
      </c>
      <c r="M33" s="27"/>
      <c r="N33" s="28"/>
      <c r="O33" s="28"/>
      <c r="P33" s="28"/>
      <c r="Q33" s="28"/>
      <c r="R33" s="28"/>
      <c r="S33" s="28"/>
      <c r="T33" s="28"/>
      <c r="U33" s="28"/>
      <c r="V33" s="28"/>
      <c r="W33" s="28"/>
      <c r="X33" s="28"/>
      <c r="Y33" s="28"/>
      <c r="Z33" s="28"/>
      <c r="AA33" s="28"/>
      <c r="AB33" s="28"/>
    </row>
    <row r="34">
      <c r="A34" s="21" t="s">
        <v>68</v>
      </c>
      <c r="B34" s="22" t="s">
        <v>69</v>
      </c>
      <c r="C34" s="23" t="str">
        <f>IFERROR(__xludf.DUMMYFUNCTION("GOOGLETRANSLATE(B34, ""en"", ""fr"")"),"Dungeonz est open source.")</f>
        <v>Dungeonz est open source.</v>
      </c>
      <c r="D34" s="23" t="str">
        <f>IFERROR(__xludf.DUMMYFUNCTION("GOOGLETRANSLATE(B34, ""en"", ""es"")"),"Dungeonz es de código abierto.")</f>
        <v>Dungeonz es de código abierto.</v>
      </c>
      <c r="E34" s="23" t="str">
        <f>IFERROR(__xludf.DUMMYFUNCTION("GOOGLETRANSLATE(B34, ""en"", ""ru"")"),"Dungeonz является открытым исходным кодом.")</f>
        <v>Dungeonz является открытым исходным кодом.</v>
      </c>
      <c r="F34" s="23" t="str">
        <f>IFERROR(__xludf.DUMMYFUNCTION("GOOGLETRANSLATE(B34, ""en"", ""tr"")"),"Dungeonz açık kaynak.")</f>
        <v>Dungeonz açık kaynak.</v>
      </c>
      <c r="G34" s="23" t="str">
        <f>IFERROR(__xludf.DUMMYFUNCTION("GOOGLETRANSLATE(B34, ""en"", ""pt"")"),"Dungeonz é open-source.")</f>
        <v>Dungeonz é open-source.</v>
      </c>
      <c r="H34" s="24" t="str">
        <f>IFERROR(__xludf.DUMMYFUNCTION("GOOGLETRANSLATE(B34, ""en"", ""de"")"),"Dungeonz ist Open-Source.")</f>
        <v>Dungeonz ist Open-Source.</v>
      </c>
      <c r="I34" s="23" t="str">
        <f>IFERROR(__xludf.DUMMYFUNCTION("GOOGLETRANSLATE(B34, ""en"", ""pl"")"),"Dungeonz jest open-source.")</f>
        <v>Dungeonz jest open-source.</v>
      </c>
      <c r="J34" s="25" t="str">
        <f>IFERROR(__xludf.DUMMYFUNCTION("GOOGLETRANSLATE(B34, ""en"", ""zh"")"),"Dungeonz是开源的。")</f>
        <v>Dungeonz是开源的。</v>
      </c>
      <c r="K34" s="25" t="str">
        <f>IFERROR(__xludf.DUMMYFUNCTION("GOOGLETRANSLATE(B34, ""en"", ""vi"")"),"Dungeonz là mã nguồn mở.")</f>
        <v>Dungeonz là mã nguồn mở.</v>
      </c>
      <c r="L34" s="26" t="str">
        <f>IFERROR(__xludf.DUMMYFUNCTION("GOOGLETRANSLATE(B34, ""en"", ""hr"")"),"Dungeonz je open-source.")</f>
        <v>Dungeonz je open-source.</v>
      </c>
      <c r="M34" s="27"/>
      <c r="N34" s="28"/>
      <c r="O34" s="28"/>
      <c r="P34" s="28"/>
      <c r="Q34" s="28"/>
      <c r="R34" s="28"/>
      <c r="S34" s="28"/>
      <c r="T34" s="28"/>
      <c r="U34" s="28"/>
      <c r="V34" s="28"/>
      <c r="W34" s="28"/>
      <c r="X34" s="28"/>
      <c r="Y34" s="28"/>
      <c r="Z34" s="28"/>
      <c r="AA34" s="28"/>
      <c r="AB34" s="28"/>
    </row>
    <row r="35">
      <c r="A35" s="21" t="s">
        <v>70</v>
      </c>
      <c r="B35" s="22" t="s">
        <v>71</v>
      </c>
      <c r="C35" s="23" t="str">
        <f>IFERROR(__xludf.DUMMYFUNCTION("GOOGLETRANSLATE(B35, ""en"", ""fr"")"),"Certaines créatures apparaissent seulement la nuit.")</f>
        <v>Certaines créatures apparaissent seulement la nuit.</v>
      </c>
      <c r="D35" s="23" t="str">
        <f>IFERROR(__xludf.DUMMYFUNCTION("GOOGLETRANSLATE(B35, ""en"", ""es"")"),"Algunas criaturas sólo aparecen durante la noche.")</f>
        <v>Algunas criaturas sólo aparecen durante la noche.</v>
      </c>
      <c r="E35" s="23" t="str">
        <f>IFERROR(__xludf.DUMMYFUNCTION("GOOGLETRANSLATE(B35, ""en"", ""ru"")"),"Некоторые существа появляются только в ночное время.")</f>
        <v>Некоторые существа появляются только в ночное время.</v>
      </c>
      <c r="F35" s="23" t="str">
        <f>IFERROR(__xludf.DUMMYFUNCTION("GOOGLETRANSLATE(B35, ""en"", ""tr"")"),"Bazı canlılar sadece geceleri görünür.")</f>
        <v>Bazı canlılar sadece geceleri görünür.</v>
      </c>
      <c r="G35" s="23" t="str">
        <f>IFERROR(__xludf.DUMMYFUNCTION("GOOGLETRANSLATE(B35, ""en"", ""pt"")"),"Algumas criaturas só aparecem à noite.")</f>
        <v>Algumas criaturas só aparecem à noite.</v>
      </c>
      <c r="H35" s="24" t="str">
        <f>IFERROR(__xludf.DUMMYFUNCTION("GOOGLETRANSLATE(B35, ""en"", ""de"")"),"Manche Kreaturen nur in der Nacht erscheinen.")</f>
        <v>Manche Kreaturen nur in der Nacht erscheinen.</v>
      </c>
      <c r="I35" s="23" t="str">
        <f>IFERROR(__xludf.DUMMYFUNCTION("GOOGLETRANSLATE(B35, ""en"", ""pl"")"),"Niektóre istoty pojawiają się tylko w nocy.")</f>
        <v>Niektóre istoty pojawiają się tylko w nocy.</v>
      </c>
      <c r="J35" s="25" t="str">
        <f>IFERROR(__xludf.DUMMYFUNCTION("GOOGLETRANSLATE(B35, ""en"", ""zh"")"),"有些动物只在夜间出现。")</f>
        <v>有些动物只在夜间出现。</v>
      </c>
      <c r="K35" s="25" t="str">
        <f>IFERROR(__xludf.DUMMYFUNCTION("GOOGLETRANSLATE(B35, ""en"", ""vi"")"),"Một số sinh vật chỉ xuất hiện vào ban đêm.")</f>
        <v>Một số sinh vật chỉ xuất hiện vào ban đêm.</v>
      </c>
      <c r="L35" s="26" t="str">
        <f>IFERROR(__xludf.DUMMYFUNCTION("GOOGLETRANSLATE(B35, ""en"", ""hr"")"),"Neki stvorenja pojavljuju samo noću.")</f>
        <v>Neki stvorenja pojavljuju samo noću.</v>
      </c>
      <c r="M35" s="27"/>
      <c r="N35" s="28"/>
      <c r="O35" s="28"/>
      <c r="P35" s="28"/>
      <c r="Q35" s="28"/>
      <c r="R35" s="28"/>
      <c r="S35" s="28"/>
      <c r="T35" s="28"/>
      <c r="U35" s="28"/>
      <c r="V35" s="28"/>
      <c r="W35" s="28"/>
      <c r="X35" s="28"/>
      <c r="Y35" s="28"/>
      <c r="Z35" s="28"/>
      <c r="AA35" s="28"/>
      <c r="AB35" s="28"/>
    </row>
    <row r="36">
      <c r="A36" s="21" t="s">
        <v>72</v>
      </c>
      <c r="B36" s="22" t="s">
        <v>73</v>
      </c>
      <c r="C36" s="23" t="str">
        <f>IFERROR(__xludf.DUMMYFUNCTION("GOOGLETRANSLATE(B36, ""en"", ""fr"")"),"On peut trouver des ressources plus élevées de niveau plus loin de la ville de départ.")</f>
        <v>On peut trouver des ressources plus élevées de niveau plus loin de la ville de départ.</v>
      </c>
      <c r="D36" s="23" t="str">
        <f>IFERROR(__xludf.DUMMYFUNCTION("GOOGLETRANSLATE(B36, ""en"", ""es"")"),"recursos de nivel superior se encuentran más lejos de la ciudad de partida.")</f>
        <v>recursos de nivel superior se encuentran más lejos de la ciudad de partida.</v>
      </c>
      <c r="E36" s="23" t="str">
        <f>IFERROR(__xludf.DUMMYFUNCTION("GOOGLETRANSLATE(B36,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6" s="23" t="str">
        <f>IFERROR(__xludf.DUMMYFUNCTION("GOOGLETRANSLATE(B36, ""en"", ""tr"")"),"Daha yüksek katmanlı kaynakları başlangıç ​​şehirden daha da bulunabilir.")</f>
        <v>Daha yüksek katmanlı kaynakları başlangıç ​​şehirden daha da bulunabilir.</v>
      </c>
      <c r="G36" s="23" t="str">
        <f>IFERROR(__xludf.DUMMYFUNCTION("GOOGLETRANSLATE(B36, ""en"", ""pt"")"),"recursos de nível superior podem ser encontrados mais longe da cidade inicial.")</f>
        <v>recursos de nível superior podem ser encontrados mais longe da cidade inicial.</v>
      </c>
      <c r="H36" s="24" t="str">
        <f>IFERROR(__xludf.DUMMYFUNCTION("GOOGLETRANSLATE(B36, ""en"", ""de"")"),"Höherstufige Ressourcen können weiter von der Start-Stadt zu finden.")</f>
        <v>Höherstufige Ressourcen können weiter von der Start-Stadt zu finden.</v>
      </c>
      <c r="I36" s="23" t="str">
        <f>IFERROR(__xludf.DUMMYFUNCTION("GOOGLETRANSLATE(B36, ""en"", ""pl"")"),"Wyższe zasoby tier można znaleźć dalej od miasta wyjściowej.")</f>
        <v>Wyższe zasoby tier można znaleźć dalej od miasta wyjściowej.</v>
      </c>
      <c r="J36" s="25" t="str">
        <f>IFERROR(__xludf.DUMMYFUNCTION("GOOGLETRANSLATE(B36, ""en"", ""zh"")"),"更高一级的资源可以进一步从起始城市被发现。")</f>
        <v>更高一级的资源可以进一步从起始城市被发现。</v>
      </c>
      <c r="K36" s="25" t="str">
        <f>IFERROR(__xludf.DUMMYFUNCTION("GOOGLETRANSLATE(B36, ""en"", ""vi"")"),"nguồn cấp cao hơn có thể được tìm thấy thêm từ thành phố bắt đầu.")</f>
        <v>nguồn cấp cao hơn có thể được tìm thấy thêm từ thành phố bắt đầu.</v>
      </c>
      <c r="L36" s="26" t="str">
        <f>IFERROR(__xludf.DUMMYFUNCTION("GOOGLETRANSLATE(B36, ""en"", ""hr"")"),"Viši resursi tier mogu naći dalje od početne grada.")</f>
        <v>Viši resursi tier mogu naći dalje od početne grada.</v>
      </c>
      <c r="M36" s="27"/>
      <c r="N36" s="28"/>
      <c r="O36" s="28"/>
      <c r="P36" s="28"/>
      <c r="Q36" s="28"/>
      <c r="R36" s="28"/>
      <c r="S36" s="28"/>
      <c r="T36" s="28"/>
      <c r="U36" s="28"/>
      <c r="V36" s="28"/>
      <c r="W36" s="28"/>
      <c r="X36" s="28"/>
      <c r="Y36" s="28"/>
      <c r="Z36" s="28"/>
      <c r="AA36" s="28"/>
      <c r="AB36" s="28"/>
    </row>
    <row r="37">
      <c r="A37" s="21" t="s">
        <v>74</v>
      </c>
      <c r="B37" s="22" t="s">
        <v>75</v>
      </c>
      <c r="C37" s="23" t="str">
        <f>IFERROR(__xludf.DUMMYFUNCTION("GOOGLETRANSLATE(B37, ""en"", ""fr"")"),"portails Dungeon sont répartis dans le monde entier. Chacun mène à un défi différent.")</f>
        <v>portails Dungeon sont répartis dans le monde entier. Chacun mène à un défi différent.</v>
      </c>
      <c r="D37" s="23" t="str">
        <f>IFERROR(__xludf.DUMMYFUNCTION("GOOGLETRANSLATE(B37, ""en"", ""es"")"),"portales de las mazmorras se extienden por todo el mundo. Cada uno lleva a un desafío diferente.")</f>
        <v>portales de las mazmorras se extienden por todo el mundo. Cada uno lleva a un desafío diferente.</v>
      </c>
      <c r="E37" s="23" t="str">
        <f>IFERROR(__xludf.DUMMYFUNCTION("GOOGLETRANSLATE(B37,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7" s="23" t="str">
        <f>IFERROR(__xludf.DUMMYFUNCTION("GOOGLETRANSLATE(B37, ""en"", ""tr"")"),"Zindan portalları dünya çapında yayılır. Farklı meydan Her biri yol açar.")</f>
        <v>Zindan portalları dünya çapında yayılır. Farklı meydan Her biri yol açar.</v>
      </c>
      <c r="G37" s="23" t="str">
        <f>IFERROR(__xludf.DUMMYFUNCTION("GOOGLETRANSLATE(B37, ""en"", ""pt"")"),"portais de masmorra estão espalhados por todo o mundo. Cada um leva a um desafio diferente.")</f>
        <v>portais de masmorra estão espalhados por todo o mundo. Cada um leva a um desafio diferente.</v>
      </c>
      <c r="H37" s="24" t="str">
        <f>IFERROR(__xludf.DUMMYFUNCTION("GOOGLETRANSLATE(B37, ""en"", ""de"")"),"Dungeon-Portale sind in der ganzen Welt zu verbreiten. Alle führen zu einer anderen Herausforderung.")</f>
        <v>Dungeon-Portale sind in der ganzen Welt zu verbreiten. Alle führen zu einer anderen Herausforderung.</v>
      </c>
      <c r="I37" s="23" t="str">
        <f>IFERROR(__xludf.DUMMYFUNCTION("GOOGLETRANSLATE(B37, ""en"", ""pl"")"),"portale lochach są rozproszone po całym świecie. Każdy z nich prowadzi do innej wyzwanie.")</f>
        <v>portale lochach są rozproszone po całym świecie. Każdy z nich prowadzi do innej wyzwanie.</v>
      </c>
      <c r="J37" s="25" t="str">
        <f>IFERROR(__xludf.DUMMYFUNCTION("GOOGLETRANSLATE(B37, ""en"", ""zh"")"),"地牢门户在世界各地蔓延。每一个导致了不同的挑战。")</f>
        <v>地牢门户在世界各地蔓延。每一个导致了不同的挑战。</v>
      </c>
      <c r="K37" s="25" t="str">
        <f>IFERROR(__xludf.DUMMYFUNCTION("GOOGLETRANSLATE(B37, ""en"", ""vi"")"),"cổng Dungeon đang lan rộng khắp thế giới. Mỗi người dẫn đến một thách thức khác nhau.")</f>
        <v>cổng Dungeon đang lan rộng khắp thế giới. Mỗi người dẫn đến một thách thức khác nhau.</v>
      </c>
      <c r="L37" s="26" t="str">
        <f>IFERROR(__xludf.DUMMYFUNCTION("GOOGLETRANSLATE(B37, ""en"", ""hr"")"),"Dungeon portali su širiti diljem svijeta. Svaki od njih dovodi do različitih izazova.")</f>
        <v>Dungeon portali su širiti diljem svijeta. Svaki od njih dovodi do različitih izazova.</v>
      </c>
      <c r="M37" s="27"/>
      <c r="N37" s="28"/>
      <c r="O37" s="28"/>
      <c r="P37" s="28"/>
      <c r="Q37" s="28"/>
      <c r="R37" s="28"/>
      <c r="S37" s="28"/>
      <c r="T37" s="28"/>
      <c r="U37" s="28"/>
      <c r="V37" s="28"/>
      <c r="W37" s="28"/>
      <c r="X37" s="28"/>
      <c r="Y37" s="28"/>
      <c r="Z37" s="28"/>
      <c r="AA37" s="28"/>
      <c r="AB37" s="28"/>
    </row>
    <row r="38">
      <c r="A38" s="21" t="s">
        <v>76</v>
      </c>
      <c r="B38" s="22" t="s">
        <v>77</v>
      </c>
      <c r="C38" s="23" t="str">
        <f>IFERROR(__xludf.DUMMYFUNCTION("GOOGLETRANSLATE(B38, ""en"", ""fr"")"),"Parfois, les patrons se trouvent sur le surmonde.")</f>
        <v>Parfois, les patrons se trouvent sur le surmonde.</v>
      </c>
      <c r="D38" s="23" t="str">
        <f>IFERROR(__xludf.DUMMYFUNCTION("GOOGLETRANSLATE(B38, ""en"", ""es"")"),"A veces, los jefes pueden ser encontrados en el supramundo.")</f>
        <v>A veces, los jefes pueden ser encontrados en el supramundo.</v>
      </c>
      <c r="E38" s="23" t="str">
        <f>IFERROR(__xludf.DUMMYFUNCTION("GOOGLETRANSLATE(B38, ""en"", ""ru"")"),"Иногда боссы могут быть найдены на надземном.")</f>
        <v>Иногда боссы могут быть найдены на надземном.</v>
      </c>
      <c r="F38" s="23" t="str">
        <f>IFERROR(__xludf.DUMMYFUNCTION("GOOGLETRANSLATE(B38, ""en"", ""tr"")"),"Bazen patronları Overworld bulunabilir.")</f>
        <v>Bazen patronları Overworld bulunabilir.</v>
      </c>
      <c r="G38" s="23" t="str">
        <f>IFERROR(__xludf.DUMMYFUNCTION("GOOGLETRANSLATE(B38, ""en"", ""pt"")"),"Às vezes, os chefes podem ser encontradas no mundo superior.")</f>
        <v>Às vezes, os chefes podem ser encontradas no mundo superior.</v>
      </c>
      <c r="H38" s="24" t="str">
        <f>IFERROR(__xludf.DUMMYFUNCTION("GOOGLETRANSLATE(B38, ""en"", ""de"")"),"Manchmal können Bosse auf der Oberwelt zu finden.")</f>
        <v>Manchmal können Bosse auf der Oberwelt zu finden.</v>
      </c>
      <c r="I38" s="23" t="str">
        <f>IFERROR(__xludf.DUMMYFUNCTION("GOOGLETRANSLATE(B38, ""en"", ""pl"")"),"Czasami szefowie można znaleźć na Nadświecie.")</f>
        <v>Czasami szefowie można znaleźć na Nadświecie.</v>
      </c>
      <c r="J38" s="25" t="str">
        <f>IFERROR(__xludf.DUMMYFUNCTION("GOOGLETRANSLATE(B38, ""en"", ""zh"")"),"有时候老板们可以在游戏地图上找到。")</f>
        <v>有时候老板们可以在游戏地图上找到。</v>
      </c>
      <c r="K38" s="25" t="str">
        <f>IFERROR(__xludf.DUMMYFUNCTION("GOOGLETRANSLATE(B38, ""en"", ""vi"")"),"Đôi khi ông chủ có thể được tìm thấy trên Silmeria.")</f>
        <v>Đôi khi ông chủ có thể được tìm thấy trên Silmeria.</v>
      </c>
      <c r="L38" s="26" t="str">
        <f>IFERROR(__xludf.DUMMYFUNCTION("GOOGLETRANSLATE(B38, ""en"", ""hr"")"),"Ponekad šefovi mogu se naći na overworld.")</f>
        <v>Ponekad šefovi mogu se naći na overworld.</v>
      </c>
      <c r="M38" s="27"/>
      <c r="N38" s="28"/>
      <c r="O38" s="28"/>
      <c r="P38" s="28"/>
      <c r="Q38" s="28"/>
      <c r="R38" s="28"/>
      <c r="S38" s="28"/>
      <c r="T38" s="28"/>
      <c r="U38" s="28"/>
      <c r="V38" s="28"/>
      <c r="W38" s="28"/>
      <c r="X38" s="28"/>
      <c r="Y38" s="28"/>
      <c r="Z38" s="28"/>
      <c r="AA38" s="28"/>
      <c r="AB38" s="28"/>
    </row>
    <row r="39">
      <c r="A39" s="21" t="s">
        <v>78</v>
      </c>
      <c r="B39" s="22" t="s">
        <v>79</v>
      </c>
      <c r="C39" s="23" t="str">
        <f>IFERROR(__xludf.DUMMYFUNCTION("GOOGLETRANSLATE(B39, ""en"", ""fr"")"),"Chaque niveau de stat augmente votre poids gagné d'inventaire maximale.")</f>
        <v>Chaque niveau de stat augmente votre poids gagné d'inventaire maximale.</v>
      </c>
      <c r="D39" s="23" t="str">
        <f>IFERROR(__xludf.DUMMYFUNCTION("GOOGLETRANSLATE(B39, ""en"", ""es"")"),"Cada nivel de estadísticas ganó aumenta su peso máximo de inventario.")</f>
        <v>Cada nivel de estadísticas ganó aumenta su peso máximo de inventario.</v>
      </c>
      <c r="E39" s="23" t="str">
        <f>IFERROR(__xludf.DUMMYFUNCTION("GOOGLETRANSLATE(B39, ""en"", ""ru"")"),"Каждый уровень стата получил увеличивает максимальный вес инвентаря.")</f>
        <v>Каждый уровень стата получил увеличивает максимальный вес инвентаря.</v>
      </c>
      <c r="F39" s="23" t="str">
        <f>IFERROR(__xludf.DUMMYFUNCTION("GOOGLETRANSLATE(B39, ""en"", ""tr"")"),"Her istatistik seviyesi arttıkça maksimum envanter kilo aldı.")</f>
        <v>Her istatistik seviyesi arttıkça maksimum envanter kilo aldı.</v>
      </c>
      <c r="G39" s="23" t="str">
        <f>IFERROR(__xludf.DUMMYFUNCTION("GOOGLETRANSLATE(B39, ""en"", ""pt"")"),"Cada nível do stat aumenta ganhou o seu peso máximo de inventário.")</f>
        <v>Cada nível do stat aumenta ganhou o seu peso máximo de inventário.</v>
      </c>
      <c r="H39" s="24" t="str">
        <f>IFERROR(__xludf.DUMMYFUNCTION("GOOGLETRANSLATE(B39, ""en"", ""de"")"),"Jedes stat Niveau erhöht Ihr maximales Inventar an Gewicht gewonnen.")</f>
        <v>Jedes stat Niveau erhöht Ihr maximales Inventar an Gewicht gewonnen.</v>
      </c>
      <c r="I39" s="23" t="str">
        <f>IFERROR(__xludf.DUMMYFUNCTION("GOOGLETRANSLATE(B39, ""en"", ""pl"")"),"Każdy poziom stat zyskał zwiększa maksymalny ciężar zapasów.")</f>
        <v>Każdy poziom stat zyskał zwiększa maksymalny ciężar zapasów.</v>
      </c>
      <c r="J39" s="25" t="str">
        <f>IFERROR(__xludf.DUMMYFUNCTION("GOOGLETRANSLATE(B39, ""en"", ""zh"")"),"每一个统计水平得到提高您的最高库存量。")</f>
        <v>每一个统计水平得到提高您的最高库存量。</v>
      </c>
      <c r="K39" s="25" t="str">
        <f>IFERROR(__xludf.DUMMYFUNCTION("GOOGLETRANSLATE(B39, ""en"", ""vi"")"),"Mỗi cấp độ stat đạt được tăng trọng lượng hàng tồn kho tối đa.")</f>
        <v>Mỗi cấp độ stat đạt được tăng trọng lượng hàng tồn kho tối đa.</v>
      </c>
      <c r="L39" s="26" t="str">
        <f>IFERROR(__xludf.DUMMYFUNCTION("GOOGLETRANSLATE(B39, ""en"", ""hr"")"),"Svaka razina stat stekao povećava maksimalnu težinu zaliha.")</f>
        <v>Svaka razina stat stekao povećava maksimalnu težinu zaliha.</v>
      </c>
      <c r="M39" s="27"/>
      <c r="N39" s="28"/>
      <c r="O39" s="28"/>
      <c r="P39" s="28"/>
      <c r="Q39" s="28"/>
      <c r="R39" s="28"/>
      <c r="S39" s="28"/>
      <c r="T39" s="28"/>
      <c r="U39" s="28"/>
      <c r="V39" s="28"/>
      <c r="W39" s="28"/>
      <c r="X39" s="28"/>
      <c r="Y39" s="28"/>
      <c r="Z39" s="28"/>
      <c r="AA39" s="28"/>
      <c r="AB39" s="28"/>
    </row>
    <row r="40">
      <c r="A40" s="21" t="s">
        <v>80</v>
      </c>
      <c r="B40" s="22" t="s">
        <v>81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t="str">
        <f>IFERROR(__xludf.DUMMYFUNCTION("GOOGLETRANSLATE(B40, ""en"", ""es"")"),"Con las estadísticas de artesanía más altos, objetos fabricados han aumentado la cantidad o la durabilidad.")</f>
        <v>Con las estadísticas de artesanía más altos, objetos fabricados han aumentado la cantidad o la durabilidad.</v>
      </c>
      <c r="E40" s="23" t="str">
        <f>IFERROR(__xludf.DUMMYFUNCTION("GOOGLETRANSLATE(B40,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0" s="23" t="str">
        <f>IFERROR(__xludf.DUMMYFUNCTION("GOOGLETRANSLATE(B40, ""en"", ""tr"")"),"Daha yüksek işçiliği istatistikleri ile hazırlanmış ürün miktarı veya dayanıklılığını artırmıştır.")</f>
        <v>Daha yüksek işçiliği istatistikleri ile hazırlanmış ürün miktarı veya dayanıklılığını artırmıştır.</v>
      </c>
      <c r="G40" s="23" t="str">
        <f>IFERROR(__xludf.DUMMYFUNCTION("GOOGLETRANSLATE(B40, ""en"", ""pt"")"),"Com estatísticas de artesanato mais elevados, itens artesanais têm aumentado a quantidade ou a durabilidade.")</f>
        <v>Com estatísticas de artesanato mais elevados, itens artesanais têm aumentado a quantidade ou a durabilidade.</v>
      </c>
      <c r="H40" s="24" t="str">
        <f>IFERROR(__xludf.DUMMYFUNCTION("GOOGLETRANSLATE(B40, ""en"", ""de"")"),"Bei höheren Crafting Statistiken haben hergestellte Gegenstände Menge oder Haltbarkeit erhöht.")</f>
        <v>Bei höheren Crafting Statistiken haben hergestellte Gegenstände Menge oder Haltbarkeit erhöht.</v>
      </c>
      <c r="I40" s="23" t="str">
        <f>IFERROR(__xludf.DUMMYFUNCTION("GOOGLETRANSLATE(B40, ""en"", ""pl"")"),"Przy wyższych statystykach rzemieślniczych, zdobione przedmioty wzrosła ilość lub trwałość.")</f>
        <v>Przy wyższych statystykach rzemieślniczych, zdobione przedmioty wzrosła ilość lub trwałość.</v>
      </c>
      <c r="J40" s="25" t="str">
        <f>IFERROR(__xludf.DUMMYFUNCTION("GOOGLETRANSLATE(B40, ""en"", ""zh"")"),"随着高等教育各具特色的统计，制作的物品都增加数量或耐久性。")</f>
        <v>随着高等教育各具特色的统计，制作的物品都增加数量或耐久性。</v>
      </c>
      <c r="K40" s="25" t="str">
        <f>IFERROR(__xludf.DUMMYFUNCTION("GOOGLETRANSLATE(B40, ""en"", ""vi"")"),"Với số liệu thống kê crafting cao hơn, các mục crafted đã tăng số lượng hoặc độ bền.")</f>
        <v>Với số liệu thống kê crafting cao hơn, các mục crafted đã tăng số lượng hoặc độ bền.</v>
      </c>
      <c r="L40" s="26" t="str">
        <f>IFERROR(__xludf.DUMMYFUNCTION("GOOGLETRANSLATE(B40, ""en"", ""hr"")"),"S višim statistikama lukavost, crafted stavke povećale količinu ili trajnost.")</f>
        <v>S višim statistikama lukavost, crafted stavke povećale količinu ili trajnost.</v>
      </c>
      <c r="M40" s="27"/>
      <c r="N40" s="28"/>
      <c r="O40" s="28"/>
      <c r="P40" s="28"/>
      <c r="Q40" s="28"/>
      <c r="R40" s="28"/>
      <c r="S40" s="28"/>
      <c r="T40" s="28"/>
      <c r="U40" s="28"/>
      <c r="V40" s="28"/>
      <c r="W40" s="28"/>
      <c r="X40" s="28"/>
      <c r="Y40" s="28"/>
      <c r="Z40" s="28"/>
      <c r="AA40" s="28"/>
      <c r="AB40" s="28"/>
    </row>
    <row r="41">
      <c r="A41" s="21" t="s">
        <v>82</v>
      </c>
      <c r="B41" s="22" t="s">
        <v>83</v>
      </c>
      <c r="C41" s="23" t="str">
        <f>IFERROR(__xludf.DUMMYFUNCTION("GOOGLETRANSLATE(B41, ""en"", ""fr"")"),"Joignez-vous au serveur Discorde pour obtenir de l'aide, le commerce, ou faire des suggestions.")</f>
        <v>Joignez-vous au serveur Discorde pour obtenir de l'aide, le commerce, ou faire des suggestions.</v>
      </c>
      <c r="D41" s="23" t="str">
        <f>IFERROR(__xludf.DUMMYFUNCTION("GOOGLETRANSLATE(B41, ""en"", ""es"")"),"Una el servidor discordia para obtener sugerencias de ayuda, comercio, o hacer.")</f>
        <v>Una el servidor discordia para obtener sugerencias de ayuda, comercio, o hacer.</v>
      </c>
      <c r="E41" s="23" t="str">
        <f>IFERROR(__xludf.DUMMYFUNCTION("GOOGLETRANSLATE(B41,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1" s="23" t="str">
        <f>IFERROR(__xludf.DUMMYFUNCTION("GOOGLETRANSLATE(B41, ""en"", ""tr"")"),"yardım, ticari veya marka öneri almak için ikilik var sunucusunu katılın.")</f>
        <v>yardım, ticari veya marka öneri almak için ikilik var sunucusunu katılın.</v>
      </c>
      <c r="G41" s="23" t="str">
        <f>IFERROR(__xludf.DUMMYFUNCTION("GOOGLETRANSLATE(B41, ""en"", ""pt"")"),"Junte o servidor Discórdia para obter sugestões de ajuda, comércio, ou fazer.")</f>
        <v>Junte o servidor Discórdia para obter sugestões de ajuda, comércio, ou fazer.</v>
      </c>
      <c r="H41" s="24" t="str">
        <f>IFERROR(__xludf.DUMMYFUNCTION("GOOGLETRANSLATE(B41, ""en"", ""de"")"),"Schließen Sie sich den Discord Server Hilfe, Handel, oder Vorschläge machen zu bekommen.")</f>
        <v>Schließen Sie sich den Discord Server Hilfe, Handel, oder Vorschläge machen zu bekommen.</v>
      </c>
      <c r="I41" s="23" t="str">
        <f>IFERROR(__xludf.DUMMYFUNCTION("GOOGLETRANSLATE(B41, ""en"", ""pl"")"),"Dołącz serwer niezgody dostać propozycje pomocy, handlowych, lub dokonać.")</f>
        <v>Dołącz serwer niezgody dostać propozycje pomocy, handlowych, lub dokonać.</v>
      </c>
      <c r="J41" s="25" t="str">
        <f>IFERROR(__xludf.DUMMYFUNCTION("GOOGLETRANSLATE(B41, ""en"", ""zh"")"),"加入不和谐的服务器，以获得帮助，贸易，或提出建议。")</f>
        <v>加入不和谐的服务器，以获得帮助，贸易，或提出建议。</v>
      </c>
      <c r="K41" s="25" t="str">
        <f>IFERROR(__xludf.DUMMYFUNCTION("GOOGLETRANSLATE(B41, ""en"", ""vi"")"),"Tham gia vào máy chủ bất hòa để có được sự giúp đỡ, thương mại, hoặc đưa ra đề nghị.")</f>
        <v>Tham gia vào máy chủ bất hòa để có được sự giúp đỡ, thương mại, hoặc đưa ra đề nghị.</v>
      </c>
      <c r="L41" s="26" t="str">
        <f>IFERROR(__xludf.DUMMYFUNCTION("GOOGLETRANSLATE(B41, ""en"", ""hr"")"),"Pridružite nesklad poslužitelj za pomoć, trgovačke ili sugestije.")</f>
        <v>Pridružite nesklad poslužitelj za pomoć, trgovačke ili sugestije.</v>
      </c>
      <c r="M41" s="27"/>
      <c r="N41" s="28"/>
      <c r="O41" s="28"/>
      <c r="P41" s="28"/>
      <c r="Q41" s="28"/>
      <c r="R41" s="28"/>
      <c r="S41" s="28"/>
      <c r="T41" s="28"/>
      <c r="U41" s="28"/>
      <c r="V41" s="28"/>
      <c r="W41" s="28"/>
      <c r="X41" s="28"/>
      <c r="Y41" s="28"/>
      <c r="Z41" s="28"/>
      <c r="AA41" s="28"/>
      <c r="AB41" s="28"/>
    </row>
    <row r="42">
      <c r="A42" s="21" t="s">
        <v>84</v>
      </c>
      <c r="B42" s="22" t="s">
        <v>85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t="str">
        <f>IFERROR(__xludf.DUMMYFUNCTION("GOOGLETRANSLATE(B42,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2" s="23" t="str">
        <f>IFERROR(__xludf.DUMMYFUNCTION("GOOGLETRANSLATE(B42,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2" s="23" t="str">
        <f>IFERROR(__xludf.DUMMYFUNCTION("GOOGLETRANSLATE(B42, ""en"", ""tr"")"),"Bazı zindan diğer kilitli kapılar belirli bir sırada açıldıklarında sadece erişilebilir fazladan yağma bonus oda var.")</f>
        <v>Bazı zindan diğer kilitli kapılar belirli bir sırada açıldıklarında sadece erişilebilir fazladan yağma bonus oda var.</v>
      </c>
      <c r="G42" s="23" t="str">
        <f>IFERROR(__xludf.DUMMYFUNCTION("GOOGLETRANSLATE(B42,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2" s="24" t="str">
        <f>IFERROR(__xludf.DUMMYFUNCTION("GOOGLETRANSLATE(B42,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2" s="23" t="str">
        <f>IFERROR(__xludf.DUMMYFUNCTION("GOOGLETRANSLATE(B42,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2" s="25" t="str">
        <f>IFERROR(__xludf.DUMMYFUNCTION("GOOGLETRANSLATE(B42, ""en"", ""zh"")"),"有些地下城有奖金配备了额外的战利品时，其他车门锁定在一个特定的顺序被打开，只能进行访问。")</f>
        <v>有些地下城有奖金配备了额外的战利品时，其他车门锁定在一个特定的顺序被打开，只能进行访问。</v>
      </c>
      <c r="K42" s="25" t="str">
        <f>IFERROR(__xludf.DUMMYFUNCTION("GOOGLETRANSLATE(B42,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2" s="26" t="str">
        <f>IFERROR(__xludf.DUMMYFUNCTION("GOOGLETRANSLATE(B42,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2" s="27"/>
      <c r="N42" s="28"/>
      <c r="O42" s="28"/>
      <c r="P42" s="28"/>
      <c r="Q42" s="28"/>
      <c r="R42" s="28"/>
      <c r="S42" s="28"/>
      <c r="T42" s="28"/>
      <c r="U42" s="28"/>
      <c r="V42" s="28"/>
      <c r="W42" s="28"/>
      <c r="X42" s="28"/>
      <c r="Y42" s="28"/>
      <c r="Z42" s="28"/>
      <c r="AA42" s="28"/>
      <c r="AB42" s="28"/>
    </row>
    <row r="43">
      <c r="A43" s="21" t="s">
        <v>86</v>
      </c>
      <c r="B43" s="22" t="s">
        <v>87</v>
      </c>
      <c r="C43" s="23" t="str">
        <f>IFERROR(__xludf.DUMMYFUNCTION("GOOGLETRANSLATE(B43, ""en"", ""fr"")"),"Bluecaps se trouve à côté de l'eau.")</f>
        <v>Bluecaps se trouve à côté de l'eau.</v>
      </c>
      <c r="D43" s="23" t="str">
        <f>IFERROR(__xludf.DUMMYFUNCTION("GOOGLETRANSLATE(B43, ""en"", ""es"")"),"Bluecaps se encuentran junto al agua.")</f>
        <v>Bluecaps se encuentran junto al agua.</v>
      </c>
      <c r="E43" s="23" t="str">
        <f>IFERROR(__xludf.DUMMYFUNCTION("GOOGLETRANSLATE(B43, ""en"", ""ru"")"),"Bluecaps можно найти рядом с водой.")</f>
        <v>Bluecaps можно найти рядом с водой.</v>
      </c>
      <c r="F43" s="23" t="str">
        <f>IFERROR(__xludf.DUMMYFUNCTION("GOOGLETRANSLATE(B43, ""en"", ""tr"")"),"Bluecaps suya yanında bulunabilir.")</f>
        <v>Bluecaps suya yanında bulunabilir.</v>
      </c>
      <c r="G43" s="23" t="str">
        <f>IFERROR(__xludf.DUMMYFUNCTION("GOOGLETRANSLATE(B43, ""en"", ""pt"")"),"Bluecaps pode ser encontrada ao lado da água.")</f>
        <v>Bluecaps pode ser encontrada ao lado da água.</v>
      </c>
      <c r="H43" s="24" t="str">
        <f>IFERROR(__xludf.DUMMYFUNCTION("GOOGLETRANSLATE(B43, ""en"", ""de"")"),"Bluecaps kann neben Wasser gefunden werden.")</f>
        <v>Bluecaps kann neben Wasser gefunden werden.</v>
      </c>
      <c r="I43" s="23" t="str">
        <f>IFERROR(__xludf.DUMMYFUNCTION("GOOGLETRANSLATE(B43, ""en"", ""pl"")"),"Bluecaps można znaleźć obok wody.")</f>
        <v>Bluecaps można znaleźć obok wody.</v>
      </c>
      <c r="J43" s="25" t="str">
        <f>IFERROR(__xludf.DUMMYFUNCTION("GOOGLETRANSLATE(B43, ""en"", ""zh"")"),"Bluecaps可旁边的水被发现。")</f>
        <v>Bluecaps可旁边的水被发现。</v>
      </c>
      <c r="K43" s="25" t="str">
        <f>IFERROR(__xludf.DUMMYFUNCTION("GOOGLETRANSLATE(B43, ""en"", ""vi"")"),"Bluecaps thể được tìm thấy bên cạnh nước.")</f>
        <v>Bluecaps thể được tìm thấy bên cạnh nước.</v>
      </c>
      <c r="L43" s="26" t="str">
        <f>IFERROR(__xludf.DUMMYFUNCTION("GOOGLETRANSLATE(B43, ""en"", ""hr"")"),"Bluecaps se može naći pored vode.")</f>
        <v>Bluecaps se može naći pored vode.</v>
      </c>
      <c r="M43" s="27"/>
      <c r="N43" s="28"/>
      <c r="O43" s="28"/>
      <c r="P43" s="28"/>
      <c r="Q43" s="28"/>
      <c r="R43" s="28"/>
      <c r="S43" s="28"/>
      <c r="T43" s="28"/>
      <c r="U43" s="28"/>
      <c r="V43" s="28"/>
      <c r="W43" s="28"/>
      <c r="X43" s="28"/>
      <c r="Y43" s="28"/>
      <c r="Z43" s="28"/>
      <c r="AA43" s="28"/>
      <c r="AB43" s="28"/>
    </row>
    <row r="44">
      <c r="A44" s="21" t="s">
        <v>88</v>
      </c>
      <c r="B44" s="22" t="s">
        <v>89</v>
      </c>
      <c r="C44" s="23" t="str">
        <f>IFERROR(__xludf.DUMMYFUNCTION("GOOGLETRANSLATE(B44, ""en"", ""fr"")"),"Redcaps se trouvent dans des grottes.")</f>
        <v>Redcaps se trouvent dans des grottes.</v>
      </c>
      <c r="D44" s="23" t="str">
        <f>IFERROR(__xludf.DUMMYFUNCTION("GOOGLETRANSLATE(B44, ""en"", ""es"")"),"Redcaps se pueden encontrar en cuevas.")</f>
        <v>Redcaps se pueden encontrar en cuevas.</v>
      </c>
      <c r="E44" s="23" t="str">
        <f>IFERROR(__xludf.DUMMYFUNCTION("GOOGLETRANSLATE(B44, ""en"", ""ru"")"),"Redcaps могут быть найдены в пещерах.")</f>
        <v>Redcaps могут быть найдены в пещерах.</v>
      </c>
      <c r="F44" s="23" t="str">
        <f>IFERROR(__xludf.DUMMYFUNCTION("GOOGLETRANSLATE(B44, ""en"", ""tr"")"),"Redcaps mağaralarda bulunabilir.")</f>
        <v>Redcaps mağaralarda bulunabilir.</v>
      </c>
      <c r="G44" s="23" t="str">
        <f>IFERROR(__xludf.DUMMYFUNCTION("GOOGLETRANSLATE(B44, ""en"", ""pt"")"),"Redcaps podem ser encontrados em cavernas.")</f>
        <v>Redcaps podem ser encontrados em cavernas.</v>
      </c>
      <c r="H44" s="24" t="str">
        <f>IFERROR(__xludf.DUMMYFUNCTION("GOOGLETRANSLATE(B44, ""en"", ""de"")"),"Redcaps kann in Höhlen gefunden werden.")</f>
        <v>Redcaps kann in Höhlen gefunden werden.</v>
      </c>
      <c r="I44" s="23" t="str">
        <f>IFERROR(__xludf.DUMMYFUNCTION("GOOGLETRANSLATE(B44, ""en"", ""pl"")"),"Redcaps można znaleźć w jaskiniach.")</f>
        <v>Redcaps można znaleźć w jaskiniach.</v>
      </c>
      <c r="J44" s="25" t="str">
        <f>IFERROR(__xludf.DUMMYFUNCTION("GOOGLETRANSLATE(B44, ""en"", ""zh"")"),"Redcaps可以在洞穴中被发现。")</f>
        <v>Redcaps可以在洞穴中被发现。</v>
      </c>
      <c r="K44" s="25" t="str">
        <f>IFERROR(__xludf.DUMMYFUNCTION("GOOGLETRANSLATE(B44, ""en"", ""vi"")"),"Redcaps thể được tìm thấy trong các hang động.")</f>
        <v>Redcaps thể được tìm thấy trong các hang động.</v>
      </c>
      <c r="L44" s="26" t="str">
        <f>IFERROR(__xludf.DUMMYFUNCTION("GOOGLETRANSLATE(B44, ""en"", ""hr"")"),"Redcaps se može naći u špiljama.")</f>
        <v>Redcaps se može naći u špiljama.</v>
      </c>
      <c r="M44" s="27"/>
      <c r="N44" s="28"/>
      <c r="O44" s="28"/>
      <c r="P44" s="28"/>
      <c r="Q44" s="28"/>
      <c r="R44" s="28"/>
      <c r="S44" s="28"/>
      <c r="T44" s="28"/>
      <c r="U44" s="28"/>
      <c r="V44" s="28"/>
      <c r="W44" s="28"/>
      <c r="X44" s="28"/>
      <c r="Y44" s="28"/>
      <c r="Z44" s="28"/>
      <c r="AA44" s="28"/>
      <c r="AB44" s="28"/>
    </row>
    <row r="45">
      <c r="A45" s="21" t="s">
        <v>90</v>
      </c>
      <c r="B45" s="22" t="s">
        <v>90</v>
      </c>
      <c r="C45" s="23" t="str">
        <f>IFERROR(__xludf.DUMMYFUNCTION("GOOGLETRANSLATE(B45, ""en"", ""fr"")"),"Acheter")</f>
        <v>Acheter</v>
      </c>
      <c r="D45" s="23" t="str">
        <f>IFERROR(__xludf.DUMMYFUNCTION("GOOGLETRANSLATE(B45, ""en"", ""es"")"),"Comprar")</f>
        <v>Comprar</v>
      </c>
      <c r="E45" s="23" t="str">
        <f>IFERROR(__xludf.DUMMYFUNCTION("GOOGLETRANSLATE(B45, ""en"", ""ru"")"),"Купить")</f>
        <v>Купить</v>
      </c>
      <c r="F45" s="23" t="str">
        <f>IFERROR(__xludf.DUMMYFUNCTION("GOOGLETRANSLATE(B45, ""en"", ""tr"")"),"Satın")</f>
        <v>Satın</v>
      </c>
      <c r="G45" s="23" t="str">
        <f>IFERROR(__xludf.DUMMYFUNCTION("GOOGLETRANSLATE(B45, ""en"", ""pt"")"),"Comprar")</f>
        <v>Comprar</v>
      </c>
      <c r="H45" s="24" t="str">
        <f>IFERROR(__xludf.DUMMYFUNCTION("GOOGLETRANSLATE(B45, ""en"", ""de"")"),"Kaufen")</f>
        <v>Kaufen</v>
      </c>
      <c r="I45" s="23" t="str">
        <f>IFERROR(__xludf.DUMMYFUNCTION("GOOGLETRANSLATE(B45, ""en"", ""pl"")"),"Kup")</f>
        <v>Kup</v>
      </c>
      <c r="J45" s="25" t="str">
        <f>IFERROR(__xludf.DUMMYFUNCTION("GOOGLETRANSLATE(B45, ""en"", ""zh"")"),"买")</f>
        <v>买</v>
      </c>
      <c r="K45" s="25" t="str">
        <f>IFERROR(__xludf.DUMMYFUNCTION("GOOGLETRANSLATE(B45, ""en"", ""vi"")"),"Mua")</f>
        <v>Mua</v>
      </c>
      <c r="L45" s="26" t="str">
        <f>IFERROR(__xludf.DUMMYFUNCTION("GOOGLETRANSLATE(B45, ""en"", ""hr"")"),"Kupiti")</f>
        <v>Kupiti</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""fr"")"),"J'accepte")</f>
        <v>J'accepte</v>
      </c>
      <c r="D46" s="23" t="str">
        <f>IFERROR(__xludf.DUMMYFUNCTION("GOOGLETRANSLATE(B46, ""en"", ""es"")"),"Aceptar")</f>
        <v>Aceptar</v>
      </c>
      <c r="E46" s="23" t="str">
        <f>IFERROR(__xludf.DUMMYFUNCTION("GOOGLETRANSLATE(B46, ""en"", ""ru"")"),"Принимать")</f>
        <v>Принимать</v>
      </c>
      <c r="F46" s="23" t="str">
        <f>IFERROR(__xludf.DUMMYFUNCTION("GOOGLETRANSLATE(B46, ""en"", ""tr"")"),"Kabul etmek")</f>
        <v>Kabul etmek</v>
      </c>
      <c r="G46" s="23" t="str">
        <f>IFERROR(__xludf.DUMMYFUNCTION("GOOGLETRANSLATE(B46, ""en"", ""pt"")"),"Aceitar")</f>
        <v>Aceitar</v>
      </c>
      <c r="H46" s="24" t="str">
        <f>IFERROR(__xludf.DUMMYFUNCTION("GOOGLETRANSLATE(B46, ""en"", ""de"")"),"Akzeptieren")</f>
        <v>Akzeptieren</v>
      </c>
      <c r="I46" s="23" t="str">
        <f>IFERROR(__xludf.DUMMYFUNCTION("GOOGLETRANSLATE(B46, ""en"", ""pl"")"),"Zaakceptować")</f>
        <v>Zaakceptować</v>
      </c>
      <c r="J46" s="25" t="str">
        <f>IFERROR(__xludf.DUMMYFUNCTION("GOOGLETRANSLATE(B46, ""en"", ""zh"")"),"接受")</f>
        <v>接受</v>
      </c>
      <c r="K46" s="25" t="str">
        <f>IFERROR(__xludf.DUMMYFUNCTION("GOOGLETRANSLATE(B46, ""en"", ""vi"")"),"Chấp nhận")</f>
        <v>Chấp nhận</v>
      </c>
      <c r="L46" s="26" t="str">
        <f>IFERROR(__xludf.DUMMYFUNCTION("GOOGLETRANSLATE(B46, ""en"", ""hr"")"),"Prihvatiti")</f>
        <v>Prihvatiti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""fr"")"),"Spectacle")</f>
        <v>Spectacle</v>
      </c>
      <c r="D47" s="23" t="str">
        <f>IFERROR(__xludf.DUMMYFUNCTION("GOOGLETRANSLATE(B47, ""en"", ""es"")"),"Show")</f>
        <v>Show</v>
      </c>
      <c r="E47" s="23" t="str">
        <f>IFERROR(__xludf.DUMMYFUNCTION("GOOGLETRANSLATE(B47, ""en"", ""ru"")"),"Показывать")</f>
        <v>Показывать</v>
      </c>
      <c r="F47" s="23" t="str">
        <f>IFERROR(__xludf.DUMMYFUNCTION("GOOGLETRANSLATE(B47, ""en"", ""tr"")"),"Göstermek")</f>
        <v>Göstermek</v>
      </c>
      <c r="G47" s="23" t="str">
        <f>IFERROR(__xludf.DUMMYFUNCTION("GOOGLETRANSLATE(B47, ""en"", ""pt"")"),"mostrar")</f>
        <v>mostrar</v>
      </c>
      <c r="H47" s="24" t="str">
        <f>IFERROR(__xludf.DUMMYFUNCTION("GOOGLETRANSLATE(B47, ""en"", ""de"")"),"Show")</f>
        <v>Show</v>
      </c>
      <c r="I47" s="23" t="str">
        <f>IFERROR(__xludf.DUMMYFUNCTION("GOOGLETRANSLATE(B47, ""en"", ""pl"")"),"Pokazać")</f>
        <v>Pokazać</v>
      </c>
      <c r="J47" s="25" t="str">
        <f>IFERROR(__xludf.DUMMYFUNCTION("GOOGLETRANSLATE(B47, ""en"", ""zh"")"),"表演")</f>
        <v>表演</v>
      </c>
      <c r="K47" s="25" t="str">
        <f>IFERROR(__xludf.DUMMYFUNCTION("GOOGLETRANSLATE(B47, ""en"", ""vi"")"),"Chỉ")</f>
        <v>Chỉ</v>
      </c>
      <c r="L47" s="26" t="str">
        <f>IFERROR(__xludf.DUMMYFUNCTION("GOOGLETRANSLATE(B47, ""en"", ""hr"")"),"Pokazati")</f>
        <v>Pokazati</v>
      </c>
      <c r="M47" s="27"/>
      <c r="N47" s="28"/>
      <c r="O47" s="28"/>
      <c r="P47" s="28"/>
      <c r="Q47" s="28"/>
      <c r="R47" s="28"/>
      <c r="S47" s="28"/>
      <c r="T47" s="28"/>
      <c r="U47" s="28"/>
      <c r="V47" s="28"/>
      <c r="W47" s="28"/>
      <c r="X47" s="28"/>
      <c r="Y47" s="28"/>
      <c r="Z47" s="28"/>
      <c r="AA47" s="28"/>
      <c r="AB47" s="28"/>
    </row>
    <row r="48">
      <c r="A48" s="21" t="s">
        <v>93</v>
      </c>
      <c r="B48" s="22" t="s">
        <v>94</v>
      </c>
      <c r="C48" s="23" t="str">
        <f>IFERROR(__xludf.DUMMYFUNCTION("GOOGLETRANSLATE(B48, ""en"", ""fr"")"),"En savoir plus sur le jeu sur le Wiki")</f>
        <v>En savoir plus sur le jeu sur le Wiki</v>
      </c>
      <c r="D48" s="23" t="str">
        <f>IFERROR(__xludf.DUMMYFUNCTION("GOOGLETRANSLATE(B48, ""en"", ""es"")"),"Más información sobre el juego en la Wiki")</f>
        <v>Más información sobre el juego en la Wiki</v>
      </c>
      <c r="E48" s="23" t="str">
        <f>IFERROR(__xludf.DUMMYFUNCTION("GOOGLETRANSLATE(B48, ""en"", ""ru"")"),"Узнайте больше об игре на Wiki")</f>
        <v>Узнайте больше об игре на Wiki</v>
      </c>
      <c r="F48" s="23" t="str">
        <f>IFERROR(__xludf.DUMMYFUNCTION("GOOGLETRANSLATE(B48, ""en"", ""tr"")"),"Wiki'deki oyun hakkında daha fazla bilgi")</f>
        <v>Wiki'deki oyun hakkında daha fazla bilgi</v>
      </c>
      <c r="G48" s="23" t="str">
        <f>IFERROR(__xludf.DUMMYFUNCTION("GOOGLETRANSLATE(B48, ""en"", ""pt"")"),"Saiba mais sobre o jogo no Wiki")</f>
        <v>Saiba mais sobre o jogo no Wiki</v>
      </c>
      <c r="H48" s="24" t="str">
        <f>IFERROR(__xludf.DUMMYFUNCTION("GOOGLETRANSLATE(B48, ""en"", ""de"")"),"Erfahren Sie mehr über das Spiel auf dem Wiki")</f>
        <v>Erfahren Sie mehr über das Spiel auf dem Wiki</v>
      </c>
      <c r="I48" s="23" t="str">
        <f>IFERROR(__xludf.DUMMYFUNCTION("GOOGLETRANSLATE(B48, ""en"", ""pl"")"),"Dowiedz się więcej o grze na wiki")</f>
        <v>Dowiedz się więcej o grze na wiki</v>
      </c>
      <c r="J48" s="25" t="str">
        <f>IFERROR(__xludf.DUMMYFUNCTION("GOOGLETRANSLATE(B48, ""en"", ""zh"")"),"了解更多关于维基游戏")</f>
        <v>了解更多关于维基游戏</v>
      </c>
      <c r="K48" s="25" t="str">
        <f>IFERROR(__xludf.DUMMYFUNCTION("GOOGLETRANSLATE(B48, ""en"", ""vi"")"),"Tìm hiểu thêm về các trò chơi trên Wiki")</f>
        <v>Tìm hiểu thêm về các trò chơi trên Wiki</v>
      </c>
      <c r="L48" s="26" t="str">
        <f>IFERROR(__xludf.DUMMYFUNCTION("GOOGLETRANSLATE(B48, ""en"", ""hr"")"),"Saznajte više o igri na Wiki")</f>
        <v>Saznajte više o igri na Wiki</v>
      </c>
      <c r="M48" s="27"/>
      <c r="N48" s="28"/>
      <c r="O48" s="28"/>
      <c r="P48" s="28"/>
      <c r="Q48" s="28"/>
      <c r="R48" s="28"/>
      <c r="S48" s="28"/>
      <c r="T48" s="28"/>
      <c r="U48" s="28"/>
      <c r="V48" s="28"/>
      <c r="W48" s="28"/>
      <c r="X48" s="28"/>
      <c r="Y48" s="28"/>
      <c r="Z48" s="28"/>
      <c r="AA48" s="28"/>
      <c r="AB48" s="28"/>
    </row>
    <row r="49">
      <c r="A49" s="21" t="s">
        <v>95</v>
      </c>
      <c r="B49" s="22" t="s">
        <v>96</v>
      </c>
      <c r="C49" s="23" t="str">
        <f>IFERROR(__xludf.DUMMYFUNCTION("GOOGLETRANSLATE(B49, ""en"", ""fr"")"),"Discutez avec d'autres joueurs sur la Discorde")</f>
        <v>Discutez avec d'autres joueurs sur la Discorde</v>
      </c>
      <c r="D49" s="23" t="str">
        <f>IFERROR(__xludf.DUMMYFUNCTION("GOOGLETRANSLATE(B49, ""en"", ""es"")"),"Chatear con otros jugadores en discordia")</f>
        <v>Chatear con otros jugadores en discordia</v>
      </c>
      <c r="E49" s="23" t="str">
        <f>IFERROR(__xludf.DUMMYFUNCTION("GOOGLETRANSLATE(B49, ""en"", ""ru"")"),"Общайтесь с другими игроками на раздоре")</f>
        <v>Общайтесь с другими игроками на раздоре</v>
      </c>
      <c r="F49" s="23" t="str">
        <f>IFERROR(__xludf.DUMMYFUNCTION("GOOGLETRANSLATE(B49, ""en"", ""tr"")"),"Discord diğer oyuncularla sohbet")</f>
        <v>Discord diğer oyuncularla sohbet</v>
      </c>
      <c r="G49" s="23" t="str">
        <f>IFERROR(__xludf.DUMMYFUNCTION("GOOGLETRANSLATE(B49, ""en"", ""pt"")"),"Bate-papo com outros jogadores no Discórdia")</f>
        <v>Bate-papo com outros jogadores no Discórdia</v>
      </c>
      <c r="H49" s="24" t="str">
        <f>IFERROR(__xludf.DUMMYFUNCTION("GOOGLETRANSLATE(B49, ""en"", ""de"")"),"Chat mit anderen Spielern auf Discord")</f>
        <v>Chat mit anderen Spielern auf Discord</v>
      </c>
      <c r="I49" s="23" t="str">
        <f>IFERROR(__xludf.DUMMYFUNCTION("GOOGLETRANSLATE(B49, ""en"", ""pl"")"),"Rozmawiać z innymi graczami na Niezgody")</f>
        <v>Rozmawiać z innymi graczami na Niezgody</v>
      </c>
      <c r="J49" s="25" t="str">
        <f>IFERROR(__xludf.DUMMYFUNCTION("GOOGLETRANSLATE(B49, ""en"", ""zh"")"),"与不和谐其他玩家聊天")</f>
        <v>与不和谐其他玩家聊天</v>
      </c>
      <c r="K49" s="25" t="str">
        <f>IFERROR(__xludf.DUMMYFUNCTION("GOOGLETRANSLATE(B49, ""en"", ""vi"")"),"Trò chuyện với những người chơi khác trên bất hòa")</f>
        <v>Trò chuyện với những người chơi khác trên bất hòa</v>
      </c>
      <c r="L49" s="26" t="str">
        <f>IFERROR(__xludf.DUMMYFUNCTION("GOOGLETRANSLATE(B49, ""en"", ""hr"")"),"Chat sa ostalim igračima na razdora")</f>
        <v>Chat sa ostalim igračima na razdora</v>
      </c>
      <c r="M49" s="27"/>
      <c r="N49" s="28"/>
      <c r="O49" s="28"/>
      <c r="P49" s="28"/>
      <c r="Q49" s="28"/>
      <c r="R49" s="28"/>
      <c r="S49" s="28"/>
      <c r="T49" s="28"/>
      <c r="U49" s="28"/>
      <c r="V49" s="28"/>
      <c r="W49" s="28"/>
      <c r="X49" s="28"/>
      <c r="Y49" s="28"/>
      <c r="Z49" s="28"/>
      <c r="AA49" s="28"/>
      <c r="AB49" s="28"/>
    </row>
    <row r="50">
      <c r="A50" s="21" t="s">
        <v>97</v>
      </c>
      <c r="B50" s="22" t="s">
        <v>98</v>
      </c>
      <c r="C50" s="23" t="str">
        <f>IFERROR(__xludf.DUMMYFUNCTION("GOOGLETRANSLATE(B50, ""en"", ""fr"")"),"Entrez un message")</f>
        <v>Entrez un message</v>
      </c>
      <c r="D50" s="23" t="str">
        <f>IFERROR(__xludf.DUMMYFUNCTION("GOOGLETRANSLATE(B50, ""en"", ""es"")"),"Introducir un mensaje")</f>
        <v>Introducir un mensaje</v>
      </c>
      <c r="E50" s="23" t="str">
        <f>IFERROR(__xludf.DUMMYFUNCTION("GOOGLETRANSLATE(B50, ""en"", ""ru"")"),"Введите сообщение")</f>
        <v>Введите сообщение</v>
      </c>
      <c r="F50" s="23" t="str">
        <f>IFERROR(__xludf.DUMMYFUNCTION("GOOGLETRANSLATE(B50, ""en"", ""tr"")"),"Bir ileti girin")</f>
        <v>Bir ileti girin</v>
      </c>
      <c r="G50" s="23" t="str">
        <f>IFERROR(__xludf.DUMMYFUNCTION("GOOGLETRANSLATE(B50, ""en"", ""pt"")"),"Digite uma mensagem")</f>
        <v>Digite uma mensagem</v>
      </c>
      <c r="H50" s="24" t="str">
        <f>IFERROR(__xludf.DUMMYFUNCTION("GOOGLETRANSLATE(B50, ""en"", ""de"")"),"Geben Sie eine Nachricht")</f>
        <v>Geben Sie eine Nachricht</v>
      </c>
      <c r="I50" s="23" t="str">
        <f>IFERROR(__xludf.DUMMYFUNCTION("GOOGLETRANSLATE(B50, ""en"", ""pl"")"),"Wpisz wiadomość")</f>
        <v>Wpisz wiadomość</v>
      </c>
      <c r="J50" s="25" t="str">
        <f>IFERROR(__xludf.DUMMYFUNCTION("GOOGLETRANSLATE(B50, ""en"", ""zh"")"),"输入消息")</f>
        <v>输入消息</v>
      </c>
      <c r="K50" s="25" t="str">
        <f>IFERROR(__xludf.DUMMYFUNCTION("GOOGLETRANSLATE(B50, ""en"", ""vi"")"),"Nhập tin nhắn")</f>
        <v>Nhập tin nhắn</v>
      </c>
      <c r="L50" s="26" t="str">
        <f>IFERROR(__xludf.DUMMYFUNCTION("GOOGLETRANSLATE(B50, ""en"", ""hr"")"),"Unesite poruku")</f>
        <v>Unesite poruku</v>
      </c>
      <c r="M50" s="27"/>
      <c r="N50" s="28"/>
      <c r="O50" s="28"/>
      <c r="P50" s="28"/>
      <c r="Q50" s="28"/>
      <c r="R50" s="28"/>
      <c r="S50" s="28"/>
      <c r="T50" s="28"/>
      <c r="U50" s="28"/>
      <c r="V50" s="28"/>
      <c r="W50" s="28"/>
      <c r="X50" s="28"/>
      <c r="Y50" s="28"/>
      <c r="Z50" s="28"/>
      <c r="AA50" s="28"/>
      <c r="AB50" s="28"/>
    </row>
    <row r="51">
      <c r="A51" s="21" t="s">
        <v>99</v>
      </c>
      <c r="B51" s="22" t="s">
        <v>100</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101</v>
      </c>
      <c r="B52" s="22" t="s">
        <v>102</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103</v>
      </c>
      <c r="B53" s="22" t="s">
        <v>104</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105</v>
      </c>
      <c r="B54" s="22" t="s">
        <v>106</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107</v>
      </c>
      <c r="B55" s="22" t="s">
        <v>108</v>
      </c>
      <c r="C55" s="23" t="str">
        <f>IFERROR(__xludf.DUMMYFUNCTION("GOOGLETRANSLATE(B55, ""en"", ""fr"")"),"Clan")</f>
        <v>Clan</v>
      </c>
      <c r="D55" s="23" t="str">
        <f>IFERROR(__xludf.DUMMYFUNCTION("GOOGLETRANSLATE(B55, ""en"", ""es"")"),"Clan")</f>
        <v>Clan</v>
      </c>
      <c r="E55" s="23" t="str">
        <f>IFERROR(__xludf.DUMMYFUNCTION("GOOGLETRANSLATE(B55, ""en"", ""ru"")"),"клан")</f>
        <v>клан</v>
      </c>
      <c r="F55" s="23" t="str">
        <f>IFERROR(__xludf.DUMMYFUNCTION("GOOGLETRANSLATE(B55, ""en"", ""tr"")"),"klan")</f>
        <v>klan</v>
      </c>
      <c r="G55" s="23" t="str">
        <f>IFERROR(__xludf.DUMMYFUNCTION("GOOGLETRANSLATE(B55, ""en"", ""pt"")"),"Clã")</f>
        <v>Clã</v>
      </c>
      <c r="H55" s="24" t="str">
        <f>IFERROR(__xludf.DUMMYFUNCTION("GOOGLETRANSLATE(B55, ""en"", ""de"")"),"Clan")</f>
        <v>Clan</v>
      </c>
      <c r="I55" s="23" t="str">
        <f>IFERROR(__xludf.DUMMYFUNCTION("GOOGLETRANSLATE(B55, ""en"", ""pl"")"),"Klan")</f>
        <v>Klan</v>
      </c>
      <c r="J55" s="25" t="str">
        <f>IFERROR(__xludf.DUMMYFUNCTION("GOOGLETRANSLATE(B55, ""en"", ""zh"")"),"氏族")</f>
        <v>氏族</v>
      </c>
      <c r="K55" s="25" t="str">
        <f>IFERROR(__xludf.DUMMYFUNCTION("GOOGLETRANSLATE(B55, ""en"", ""vi"")"),"Clan")</f>
        <v>Clan</v>
      </c>
      <c r="L55" s="26" t="str">
        <f>IFERROR(__xludf.DUMMYFUNCTION("GOOGLETRANSLATE(B55, ""en"", ""hr"")"),"Klan")</f>
        <v>Klan</v>
      </c>
      <c r="M55" s="28"/>
      <c r="N55" s="28"/>
      <c r="O55" s="28"/>
      <c r="P55" s="28"/>
      <c r="Q55" s="28"/>
      <c r="R55" s="28"/>
      <c r="S55" s="28"/>
      <c r="T55" s="28"/>
      <c r="U55" s="28"/>
      <c r="V55" s="28"/>
      <c r="W55" s="28"/>
      <c r="X55" s="28"/>
      <c r="Y55" s="28"/>
      <c r="Z55" s="28"/>
      <c r="AA55" s="28"/>
      <c r="AB55" s="28"/>
    </row>
    <row r="56">
      <c r="A56" s="21" t="s">
        <v>109</v>
      </c>
      <c r="B56" s="22" t="s">
        <v>110</v>
      </c>
      <c r="C56" s="23" t="str">
        <f>IFERROR(__xludf.DUMMYFUNCTION("GOOGLETRANSLATE(B56, ""en"", ""fr"")"),"Inventaire")</f>
        <v>Inventaire</v>
      </c>
      <c r="D56" s="23" t="str">
        <f>IFERROR(__xludf.DUMMYFUNCTION("GOOGLETRANSLATE(B56, ""en"", ""es"")"),"Inventario")</f>
        <v>Inventario</v>
      </c>
      <c r="E56" s="23" t="str">
        <f>IFERROR(__xludf.DUMMYFUNCTION("GOOGLETRANSLATE(B56, ""en"", ""ru"")"),"инвентарь")</f>
        <v>инвентарь</v>
      </c>
      <c r="F56" s="23" t="str">
        <f>IFERROR(__xludf.DUMMYFUNCTION("GOOGLETRANSLATE(B56, ""en"", ""tr"")"),"Envanter")</f>
        <v>Envanter</v>
      </c>
      <c r="G56" s="23" t="str">
        <f>IFERROR(__xludf.DUMMYFUNCTION("GOOGLETRANSLATE(B56, ""en"", ""pt"")"),"Inventário")</f>
        <v>Inventário</v>
      </c>
      <c r="H56" s="24" t="str">
        <f>IFERROR(__xludf.DUMMYFUNCTION("GOOGLETRANSLATE(B56, ""en"", ""de"")"),"Inventar")</f>
        <v>Inventar</v>
      </c>
      <c r="I56" s="23" t="str">
        <f>IFERROR(__xludf.DUMMYFUNCTION("GOOGLETRANSLATE(B56, ""en"", ""pl"")"),"Inwentarz")</f>
        <v>Inwentarz</v>
      </c>
      <c r="J56" s="25" t="str">
        <f>IFERROR(__xludf.DUMMYFUNCTION("GOOGLETRANSLATE(B56, ""en"", ""zh"")"),"存货")</f>
        <v>存货</v>
      </c>
      <c r="K56" s="25" t="str">
        <f>IFERROR(__xludf.DUMMYFUNCTION("GOOGLETRANSLATE(B56, ""en"", ""vi"")"),"Hàng tồn kho")</f>
        <v>Hàng tồn kho</v>
      </c>
      <c r="L56" s="26" t="str">
        <f>IFERROR(__xludf.DUMMYFUNCTION("GOOGLETRANSLATE(B56, ""en"", ""hr"")"),"Inventar")</f>
        <v>Inventar</v>
      </c>
      <c r="M56" s="28"/>
      <c r="N56" s="28"/>
      <c r="O56" s="28"/>
      <c r="P56" s="28"/>
      <c r="Q56" s="28"/>
      <c r="R56" s="28"/>
      <c r="S56" s="28"/>
      <c r="T56" s="28"/>
      <c r="U56" s="28"/>
      <c r="V56" s="28"/>
      <c r="W56" s="28"/>
      <c r="X56" s="28"/>
      <c r="Y56" s="28"/>
      <c r="Z56" s="28"/>
      <c r="AA56" s="28"/>
      <c r="AB56" s="28"/>
    </row>
    <row r="57">
      <c r="A57" s="21" t="s">
        <v>111</v>
      </c>
      <c r="B57" s="22" t="s">
        <v>112</v>
      </c>
      <c r="C57" s="23" t="str">
        <f>IFERROR(__xludf.DUMMYFUNCTION("GOOGLETRANSLATE(B57, ""en"", ""fr"")"),"Compte: Définissez un nom d'utilisateur et mot de passe pour ce personnage pour sauvegarder votre progression.")</f>
        <v>Compte: Définissez un nom d'utilisateur et mot de passe pour ce personnage pour sauvegarder votre progression.</v>
      </c>
      <c r="D57" s="23" t="str">
        <f>IFERROR(__xludf.DUMMYFUNCTION("GOOGLETRANSLATE(B57, ""en"", ""es"")"),"Cuenta: Establecer un nombre de usuario y contraseña para este personaje para salvar su progreso.")</f>
        <v>Cuenta: Establecer un nombre de usuario y contraseña para este personaje para salvar su progreso.</v>
      </c>
      <c r="E57" s="23" t="str">
        <f>IFERROR(__xludf.DUMMYFUNCTION("GOOGLETRANSLATE(B57,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7" s="23" t="str">
        <f>IFERROR(__xludf.DUMMYFUNCTION("GOOGLETRANSLATE(B57, ""en"", ""tr"")"),"Hesap: ilerleme kaydetmek için bu karakter için bir kullanıcı adı ve şifre belirleyin.")</f>
        <v>Hesap: ilerleme kaydetmek için bu karakter için bir kullanıcı adı ve şifre belirleyin.</v>
      </c>
      <c r="G57" s="23" t="str">
        <f>IFERROR(__xludf.DUMMYFUNCTION("GOOGLETRANSLATE(B57, ""en"", ""pt"")"),"Conta: Defina um nome de usuário e senha para este personagem para salvar seu progresso.")</f>
        <v>Conta: Defina um nome de usuário e senha para este personagem para salvar seu progresso.</v>
      </c>
      <c r="H57" s="24" t="str">
        <f>IFERROR(__xludf.DUMMYFUNCTION("GOOGLETRANSLATE(B57, ""en"", ""de"")"),"Konto: Benutzername und Passwort für diesen Zeichensatz Ihren Fortschritt zu speichern.")</f>
        <v>Konto: Benutzername und Passwort für diesen Zeichensatz Ihren Fortschritt zu speichern.</v>
      </c>
      <c r="I57" s="23" t="str">
        <f>IFERROR(__xludf.DUMMYFUNCTION("GOOGLETRANSLATE(B57, ""en"", ""pl"")"),"Konta: Ustaw nazwę użytkownika i hasło do tego znaku, aby zapisać swoje postępy.")</f>
        <v>Konta: Ustaw nazwę użytkownika i hasło do tego znaku, aby zapisać swoje postępy.</v>
      </c>
      <c r="J57" s="25" t="str">
        <f>IFERROR(__xludf.DUMMYFUNCTION("GOOGLETRANSLATE(B57, ""en"", ""zh"")"),"帐户：这个人物以保存进度设置一个用户名和密码。")</f>
        <v>帐户：这个人物以保存进度设置一个用户名和密码。</v>
      </c>
      <c r="K57" s="25" t="str">
        <f>IFERROR(__xludf.DUMMYFUNCTION("GOOGLETRANSLATE(B57, ""en"", ""vi"")"),"Tài khoản: Đặt một tên người dùng và mật khẩu cho nhân vật này để lưu tiến bộ của bạn.")</f>
        <v>Tài khoản: Đặt một tên người dùng và mật khẩu cho nhân vật này để lưu tiến bộ của bạn.</v>
      </c>
      <c r="L57" s="26" t="str">
        <f>IFERROR(__xludf.DUMMYFUNCTION("GOOGLETRANSLATE(B57, ""en"", ""hr"")"),"Račun: Postavite korisničko ime i lozinku za ovaj lik da spasi svoj napredak.")</f>
        <v>Račun: Postavite korisničko ime i lozinku za ovaj lik da spasi svoj napredak.</v>
      </c>
      <c r="M57" s="28"/>
      <c r="N57" s="28"/>
      <c r="O57" s="28"/>
      <c r="P57" s="28"/>
      <c r="Q57" s="28"/>
      <c r="R57" s="28"/>
      <c r="S57" s="28"/>
      <c r="T57" s="28"/>
      <c r="U57" s="28"/>
      <c r="V57" s="28"/>
      <c r="W57" s="28"/>
      <c r="X57" s="28"/>
      <c r="Y57" s="28"/>
      <c r="Z57" s="28"/>
      <c r="AA57" s="28"/>
      <c r="AB57" s="28"/>
    </row>
    <row r="58">
      <c r="A58" s="21" t="s">
        <v>113</v>
      </c>
      <c r="B58" s="22" t="s">
        <v>114</v>
      </c>
      <c r="C58" s="23" t="str">
        <f>IFERROR(__xludf.DUMMYFUNCTION("GOOGLETRANSLATE(B58, ""en"", ""fr"")"),"Réglages: Appuyez sur pour afficher / masquer plus d'options.")</f>
        <v>Réglages: Appuyez sur pour afficher / masquer plus d'options.</v>
      </c>
      <c r="D58" s="23" t="str">
        <f>IFERROR(__xludf.DUMMYFUNCTION("GOOGLETRANSLATE(B58, ""en"", ""es"")"),"Ajustes: Pulse para mostrar / ocultar más opciones.")</f>
        <v>Ajustes: Pulse para mostrar / ocultar más opciones.</v>
      </c>
      <c r="E58" s="23" t="str">
        <f>IFERROR(__xludf.DUMMYFUNCTION("GOOGLETRANSLATE(B58, ""en"", ""ru"")"),"Настройки: Нажмите, чтобы показать / скрыть другие варианты.")</f>
        <v>Настройки: Нажмите, чтобы показать / скрыть другие варианты.</v>
      </c>
      <c r="F58" s="23" t="str">
        <f>IFERROR(__xludf.DUMMYFUNCTION("GOOGLETRANSLATE(B58, ""en"", ""tr"")"),"Ayarlar: Basın / göstermek daha fazla seçenek gizlemek için.")</f>
        <v>Ayarlar: Basın / göstermek daha fazla seçenek gizlemek için.</v>
      </c>
      <c r="G58" s="23" t="str">
        <f>IFERROR(__xludf.DUMMYFUNCTION("GOOGLETRANSLATE(B58, ""en"", ""pt"")"),"Configurações: Pressione para mostrar / ocultar mais opções.")</f>
        <v>Configurações: Pressione para mostrar / ocultar mais opções.</v>
      </c>
      <c r="H58" s="24" t="str">
        <f>IFERROR(__xludf.DUMMYFUNCTION("GOOGLETRANSLATE(B58, ""en"", ""de"")"),"Einstellungen: Drücken Sie, um ein- / auszublenden mehr Optionen.")</f>
        <v>Einstellungen: Drücken Sie, um ein- / auszublenden mehr Optionen.</v>
      </c>
      <c r="I58" s="23" t="str">
        <f>IFERROR(__xludf.DUMMYFUNCTION("GOOGLETRANSLATE(B58, ""en"", ""pl"")"),"Ustawienia: Naciśnij, aby pokazać / ukryć więcej opcji.")</f>
        <v>Ustawienia: Naciśnij, aby pokazać / ukryć więcej opcji.</v>
      </c>
      <c r="J58" s="25" t="str">
        <f>IFERROR(__xludf.DUMMYFUNCTION("GOOGLETRANSLATE(B58, ""en"", ""zh"")"),"设置：按显示/隐藏更多选项。")</f>
        <v>设置：按显示/隐藏更多选项。</v>
      </c>
      <c r="K58" s="25" t="str">
        <f>IFERROR(__xludf.DUMMYFUNCTION("GOOGLETRANSLATE(B58, ""en"", ""vi"")"),"Cài đặt: Nhấn để hiển thị / ẩn thêm nhiều lựa chọn.")</f>
        <v>Cài đặt: Nhấn để hiển thị / ẩn thêm nhiều lựa chọn.</v>
      </c>
      <c r="L58" s="26" t="str">
        <f>IFERROR(__xludf.DUMMYFUNCTION("GOOGLETRANSLATE(B58, ""en"", ""hr"")"),"Postavke: Pritisnite za prikaz / skrivanje više opcija.")</f>
        <v>Postavke: Pritisnite za prikaz / skrivanje više opcija.</v>
      </c>
      <c r="M58" s="28"/>
      <c r="N58" s="28"/>
      <c r="O58" s="28"/>
      <c r="P58" s="28"/>
      <c r="Q58" s="28"/>
      <c r="R58" s="28"/>
      <c r="S58" s="28"/>
      <c r="T58" s="28"/>
      <c r="U58" s="28"/>
      <c r="V58" s="28"/>
      <c r="W58" s="28"/>
      <c r="X58" s="28"/>
      <c r="Y58" s="28"/>
      <c r="Z58" s="28"/>
      <c r="AA58" s="28"/>
      <c r="AB58" s="28"/>
    </row>
    <row r="59">
      <c r="A59" s="21" t="s">
        <v>115</v>
      </c>
      <c r="B59" s="22" t="s">
        <v>115</v>
      </c>
      <c r="C59" s="23" t="str">
        <f>IFERROR(__xludf.DUMMYFUNCTION("GOOGLETRANSLATE(B59, ""en"", ""fr"")"),"Paramètres")</f>
        <v>Paramètres</v>
      </c>
      <c r="D59" s="23" t="str">
        <f>IFERROR(__xludf.DUMMYFUNCTION("GOOGLETRANSLATE(B59, ""en"", ""es"")"),"Ajustes")</f>
        <v>Ajustes</v>
      </c>
      <c r="E59" s="23" t="str">
        <f>IFERROR(__xludf.DUMMYFUNCTION("GOOGLETRANSLATE(B59, ""en"", ""ru"")"),"Настройки")</f>
        <v>Настройки</v>
      </c>
      <c r="F59" s="23" t="str">
        <f>IFERROR(__xludf.DUMMYFUNCTION("GOOGLETRANSLATE(B59, ""en"", ""tr"")"),"Ayarlar")</f>
        <v>Ayarlar</v>
      </c>
      <c r="G59" s="23" t="str">
        <f>IFERROR(__xludf.DUMMYFUNCTION("GOOGLETRANSLATE(B59, ""en"", ""pt"")"),"Definições")</f>
        <v>Definições</v>
      </c>
      <c r="H59" s="24" t="str">
        <f>IFERROR(__xludf.DUMMYFUNCTION("GOOGLETRANSLATE(B59, ""en"", ""de"")"),"die Einstellungen")</f>
        <v>die Einstellungen</v>
      </c>
      <c r="I59" s="23" t="str">
        <f>IFERROR(__xludf.DUMMYFUNCTION("GOOGLETRANSLATE(B59, ""en"", ""pl"")"),"Ustawienia")</f>
        <v>Ustawienia</v>
      </c>
      <c r="J59" s="25" t="str">
        <f>IFERROR(__xludf.DUMMYFUNCTION("GOOGLETRANSLATE(B59, ""en"", ""zh"")"),"设置")</f>
        <v>设置</v>
      </c>
      <c r="K59" s="25" t="str">
        <f>IFERROR(__xludf.DUMMYFUNCTION("GOOGLETRANSLATE(B59, ""en"", ""vi"")"),"Cài đặt")</f>
        <v>Cài đặt</v>
      </c>
      <c r="L59" s="26" t="str">
        <f>IFERROR(__xludf.DUMMYFUNCTION("GOOGLETRANSLATE(B59, ""en"", ""hr"")"),"postavke")</f>
        <v>postavke</v>
      </c>
      <c r="M59" s="28"/>
      <c r="N59" s="28"/>
      <c r="O59" s="28"/>
      <c r="P59" s="28"/>
      <c r="Q59" s="28"/>
      <c r="R59" s="28"/>
      <c r="S59" s="28"/>
      <c r="T59" s="28"/>
      <c r="U59" s="28"/>
      <c r="V59" s="28"/>
      <c r="W59" s="28"/>
      <c r="X59" s="28"/>
      <c r="Y59" s="28"/>
      <c r="Z59" s="28"/>
      <c r="AA59" s="28"/>
      <c r="AB59" s="28"/>
    </row>
    <row r="60">
      <c r="A60" s="21" t="s">
        <v>116</v>
      </c>
      <c r="B60" s="22" t="s">
        <v>117</v>
      </c>
      <c r="C60" s="23" t="str">
        <f>IFERROR(__xludf.DUMMYFUNCTION("GOOGLETRANSLATE(B60, ""en"", ""fr"")"),"Plein écran")</f>
        <v>Plein écran</v>
      </c>
      <c r="D60" s="23" t="str">
        <f>IFERROR(__xludf.DUMMYFUNCTION("GOOGLETRANSLATE(B60, ""en"", ""es"")"),"Pantalla completa")</f>
        <v>Pantalla completa</v>
      </c>
      <c r="E60" s="23" t="str">
        <f>IFERROR(__xludf.DUMMYFUNCTION("GOOGLETRANSLATE(B60, ""en"", ""ru"")"),"Полноэкранный")</f>
        <v>Полноэкранный</v>
      </c>
      <c r="F60" s="23" t="str">
        <f>IFERROR(__xludf.DUMMYFUNCTION("GOOGLETRANSLATE(B60, ""en"", ""tr"")"),"Tam ekran")</f>
        <v>Tam ekran</v>
      </c>
      <c r="G60" s="23" t="str">
        <f>IFERROR(__xludf.DUMMYFUNCTION("GOOGLETRANSLATE(B60, ""en"", ""pt"")"),"Tela cheia")</f>
        <v>Tela cheia</v>
      </c>
      <c r="H60" s="24" t="str">
        <f>IFERROR(__xludf.DUMMYFUNCTION("GOOGLETRANSLATE(B60, ""en"", ""de"")"),"Vollbild")</f>
        <v>Vollbild</v>
      </c>
      <c r="I60" s="23" t="str">
        <f>IFERROR(__xludf.DUMMYFUNCTION("GOOGLETRANSLATE(B60, ""en"", ""pl"")"),"Pełny ekran")</f>
        <v>Pełny ekran</v>
      </c>
      <c r="J60" s="25" t="str">
        <f>IFERROR(__xludf.DUMMYFUNCTION("GOOGLETRANSLATE(B60, ""en"", ""zh"")"),"全屏")</f>
        <v>全屏</v>
      </c>
      <c r="K60" s="25" t="str">
        <f>IFERROR(__xludf.DUMMYFUNCTION("GOOGLETRANSLATE(B60, ""en"", ""vi"")"),"Toàn màn hình")</f>
        <v>Toàn màn hình</v>
      </c>
      <c r="L60" s="26" t="str">
        <f>IFERROR(__xludf.DUMMYFUNCTION("GOOGLETRANSLATE(B60, ""en"", ""hr"")"),"Puni zaslon")</f>
        <v>Puni zaslon</v>
      </c>
      <c r="M60" s="28"/>
      <c r="N60" s="28"/>
      <c r="O60" s="28"/>
      <c r="P60" s="28"/>
      <c r="Q60" s="28"/>
      <c r="R60" s="28"/>
      <c r="S60" s="28"/>
      <c r="T60" s="28"/>
      <c r="U60" s="28"/>
      <c r="V60" s="28"/>
      <c r="W60" s="28"/>
      <c r="X60" s="28"/>
      <c r="Y60" s="28"/>
      <c r="Z60" s="28"/>
      <c r="AA60" s="28"/>
      <c r="AB60" s="28"/>
    </row>
    <row r="61">
      <c r="A61" s="21" t="s">
        <v>118</v>
      </c>
      <c r="B61" s="22" t="s">
        <v>119</v>
      </c>
      <c r="C61" s="23" t="str">
        <f>IFERROR(__xludf.DUMMYFUNCTION("GOOGLETRANSLATE(B61, ""en"", ""fr"")"),"Volume de la musique")</f>
        <v>Volume de la musique</v>
      </c>
      <c r="D61" s="23" t="str">
        <f>IFERROR(__xludf.DUMMYFUNCTION("GOOGLETRANSLATE(B61, ""en"", ""es"")"),"Volumen de la música")</f>
        <v>Volumen de la música</v>
      </c>
      <c r="E61" s="23" t="str">
        <f>IFERROR(__xludf.DUMMYFUNCTION("GOOGLETRANSLATE(B61, ""en"", ""ru"")"),"громкость музыки")</f>
        <v>громкость музыки</v>
      </c>
      <c r="F61" s="23" t="str">
        <f>IFERROR(__xludf.DUMMYFUNCTION("GOOGLETRANSLATE(B61, ""en"", ""tr"")"),"Müzik sesi")</f>
        <v>Müzik sesi</v>
      </c>
      <c r="G61" s="23" t="str">
        <f>IFERROR(__xludf.DUMMYFUNCTION("GOOGLETRANSLATE(B61, ""en"", ""pt"")"),"Volume da música")</f>
        <v>Volume da música</v>
      </c>
      <c r="H61" s="24" t="str">
        <f>IFERROR(__xludf.DUMMYFUNCTION("GOOGLETRANSLATE(B61, ""en"", ""de"")"),"Musiklautstärke")</f>
        <v>Musiklautstärke</v>
      </c>
      <c r="I61" s="23" t="str">
        <f>IFERROR(__xludf.DUMMYFUNCTION("GOOGLETRANSLATE(B61, ""en"", ""pl"")"),"Głośność muzyki")</f>
        <v>Głośność muzyki</v>
      </c>
      <c r="J61" s="25" t="str">
        <f>IFERROR(__xludf.DUMMYFUNCTION("GOOGLETRANSLATE(B61, ""en"", ""zh"")"),"音乐音量")</f>
        <v>音乐音量</v>
      </c>
      <c r="K61" s="25" t="str">
        <f>IFERROR(__xludf.DUMMYFUNCTION("GOOGLETRANSLATE(B61, ""en"", ""vi"")"),"Âm lượng nhạc")</f>
        <v>Âm lượng nhạc</v>
      </c>
      <c r="L61" s="26" t="str">
        <f>IFERROR(__xludf.DUMMYFUNCTION("GOOGLETRANSLATE(B61, ""en"", ""hr"")"),"volumen Glazba")</f>
        <v>volumen Glazba</v>
      </c>
      <c r="M61" s="28"/>
      <c r="N61" s="28"/>
      <c r="O61" s="28"/>
      <c r="P61" s="28"/>
      <c r="Q61" s="28"/>
      <c r="R61" s="28"/>
      <c r="S61" s="28"/>
      <c r="T61" s="28"/>
      <c r="U61" s="28"/>
      <c r="V61" s="28"/>
      <c r="W61" s="28"/>
      <c r="X61" s="28"/>
      <c r="Y61" s="28"/>
      <c r="Z61" s="28"/>
      <c r="AA61" s="28"/>
      <c r="AB61" s="28"/>
    </row>
    <row r="62">
      <c r="A62" s="21" t="s">
        <v>120</v>
      </c>
      <c r="B62" s="22" t="s">
        <v>121</v>
      </c>
      <c r="C62" s="23" t="str">
        <f>IFERROR(__xludf.DUMMYFUNCTION("GOOGLETRANSLATE(B62, ""en"", ""fr"")"),"Le volume des effets")</f>
        <v>Le volume des effets</v>
      </c>
      <c r="D62" s="23" t="str">
        <f>IFERROR(__xludf.DUMMYFUNCTION("GOOGLETRANSLATE(B62, ""en"", ""es"")"),"volumen de los efectos")</f>
        <v>volumen de los efectos</v>
      </c>
      <c r="E62" s="23" t="str">
        <f>IFERROR(__xludf.DUMMYFUNCTION("GOOGLETRANSLATE(B62, ""en"", ""ru"")"),"объем эффектов")</f>
        <v>объем эффектов</v>
      </c>
      <c r="F62" s="23" t="str">
        <f>IFERROR(__xludf.DUMMYFUNCTION("GOOGLETRANSLATE(B62, ""en"", ""tr"")"),"Efektler hacmi")</f>
        <v>Efektler hacmi</v>
      </c>
      <c r="G62" s="23" t="str">
        <f>IFERROR(__xludf.DUMMYFUNCTION("GOOGLETRANSLATE(B62, ""en"", ""pt"")"),"volume de efeitos")</f>
        <v>volume de efeitos</v>
      </c>
      <c r="H62" s="24" t="str">
        <f>IFERROR(__xludf.DUMMYFUNCTION("GOOGLETRANSLATE(B62, ""en"", ""de"")"),"Effekte Volumen")</f>
        <v>Effekte Volumen</v>
      </c>
      <c r="I62" s="23" t="str">
        <f>IFERROR(__xludf.DUMMYFUNCTION("GOOGLETRANSLATE(B62, ""en"", ""pl"")"),"głośność efektów")</f>
        <v>głośność efektów</v>
      </c>
      <c r="J62" s="25" t="str">
        <f>IFERROR(__xludf.DUMMYFUNCTION("GOOGLETRANSLATE(B62, ""en"", ""zh"")"),"影响量")</f>
        <v>影响量</v>
      </c>
      <c r="K62" s="25" t="str">
        <f>IFERROR(__xludf.DUMMYFUNCTION("GOOGLETRANSLATE(B62, ""en"", ""vi"")"),"khối lượng tác")</f>
        <v>khối lượng tác</v>
      </c>
      <c r="L62" s="26" t="str">
        <f>IFERROR(__xludf.DUMMYFUNCTION("GOOGLETRANSLATE(B62, ""en"", ""hr"")"),"volumen učinci")</f>
        <v>volumen učinci</v>
      </c>
      <c r="M62" s="28"/>
      <c r="N62" s="28"/>
      <c r="O62" s="28"/>
      <c r="P62" s="28"/>
      <c r="Q62" s="28"/>
      <c r="R62" s="28"/>
      <c r="S62" s="28"/>
      <c r="T62" s="28"/>
      <c r="U62" s="28"/>
      <c r="V62" s="28"/>
      <c r="W62" s="28"/>
      <c r="X62" s="28"/>
      <c r="Y62" s="28"/>
      <c r="Z62" s="28"/>
      <c r="AA62" s="28"/>
      <c r="AB62" s="28"/>
    </row>
    <row r="63">
      <c r="A63" s="21" t="s">
        <v>122</v>
      </c>
      <c r="B63" s="22" t="s">
        <v>123</v>
      </c>
      <c r="C63" s="23" t="str">
        <f>IFERROR(__xludf.DUMMYFUNCTION("GOOGLETRANSLATE(B63, ""en"", ""fr"")"),"échelle GUI")</f>
        <v>échelle GUI</v>
      </c>
      <c r="D63" s="23" t="str">
        <f>IFERROR(__xludf.DUMMYFUNCTION("GOOGLETRANSLATE(B63, ""en"", ""es"")"),"escala GUI")</f>
        <v>escala GUI</v>
      </c>
      <c r="E63" s="23" t="str">
        <f>IFERROR(__xludf.DUMMYFUNCTION("GOOGLETRANSLATE(B63, ""en"", ""ru"")"),"масштаб GUI")</f>
        <v>масштаб GUI</v>
      </c>
      <c r="F63" s="23" t="str">
        <f>IFERROR(__xludf.DUMMYFUNCTION("GOOGLETRANSLATE(B63, ""en"", ""tr"")"),"GUI ölçeği")</f>
        <v>GUI ölçeği</v>
      </c>
      <c r="G63" s="23" t="str">
        <f>IFERROR(__xludf.DUMMYFUNCTION("GOOGLETRANSLATE(B63, ""en"", ""pt"")"),"escala GUI")</f>
        <v>escala GUI</v>
      </c>
      <c r="H63" s="24" t="str">
        <f>IFERROR(__xludf.DUMMYFUNCTION("GOOGLETRANSLATE(B63, ""en"", ""de"")"),"GUI-Skala")</f>
        <v>GUI-Skala</v>
      </c>
      <c r="I63" s="23" t="str">
        <f>IFERROR(__xludf.DUMMYFUNCTION("GOOGLETRANSLATE(B63, ""en"", ""pl"")"),"skala GUI")</f>
        <v>skala GUI</v>
      </c>
      <c r="J63" s="25" t="str">
        <f>IFERROR(__xludf.DUMMYFUNCTION("GOOGLETRANSLATE(B63, ""en"", ""zh"")"),"GUI规模")</f>
        <v>GUI规模</v>
      </c>
      <c r="K63" s="25" t="str">
        <f>IFERROR(__xludf.DUMMYFUNCTION("GOOGLETRANSLATE(B63, ""en"", ""vi"")"),"quy mô GUI")</f>
        <v>quy mô GUI</v>
      </c>
      <c r="L63" s="26" t="str">
        <f>IFERROR(__xludf.DUMMYFUNCTION("GOOGLETRANSLATE(B63, ""en"", ""hr"")"),"GUI ljestvica")</f>
        <v>GUI ljestvica</v>
      </c>
      <c r="M63" s="28"/>
      <c r="N63" s="28"/>
      <c r="O63" s="28"/>
      <c r="P63" s="28"/>
      <c r="Q63" s="28"/>
      <c r="R63" s="28"/>
      <c r="S63" s="28"/>
      <c r="T63" s="28"/>
      <c r="U63" s="28"/>
      <c r="V63" s="28"/>
      <c r="W63" s="28"/>
      <c r="X63" s="28"/>
      <c r="Y63" s="28"/>
      <c r="Z63" s="28"/>
      <c r="AA63" s="28"/>
      <c r="AB63" s="28"/>
    </row>
    <row r="64">
      <c r="A64" s="21" t="s">
        <v>124</v>
      </c>
      <c r="B64" s="22" t="s">
        <v>125</v>
      </c>
      <c r="C64" s="23" t="str">
        <f>IFERROR(__xludf.DUMMYFUNCTION("GOOGLETRANSLATE(B64, ""en"", ""fr"")"),"Afficher le D-pad virtuel")</f>
        <v>Afficher le D-pad virtuel</v>
      </c>
      <c r="D64" s="23" t="str">
        <f>IFERROR(__xludf.DUMMYFUNCTION("GOOGLETRANSLATE(B64, ""en"", ""es"")"),"Mostrar el D-pad virtual")</f>
        <v>Mostrar el D-pad virtual</v>
      </c>
      <c r="E64" s="23" t="str">
        <f>IFERROR(__xludf.DUMMYFUNCTION("GOOGLETRANSLATE(B64, ""en"", ""ru"")"),"Показать виртуальный D-Pad")</f>
        <v>Показать виртуальный D-Pad</v>
      </c>
      <c r="F64" s="23" t="str">
        <f>IFERROR(__xludf.DUMMYFUNCTION("GOOGLETRANSLATE(B64, ""en"", ""tr"")"),"Sanal D-pad göster")</f>
        <v>Sanal D-pad göster</v>
      </c>
      <c r="G64" s="23" t="str">
        <f>IFERROR(__xludf.DUMMYFUNCTION("GOOGLETRANSLATE(B64, ""en"", ""pt"")"),"Mostrar o D-pad virtual")</f>
        <v>Mostrar o D-pad virtual</v>
      </c>
      <c r="H64" s="24" t="str">
        <f>IFERROR(__xludf.DUMMYFUNCTION("GOOGLETRANSLATE(B64, ""en"", ""de"")"),"Zeigen Sie die virtuelle D-Pad")</f>
        <v>Zeigen Sie die virtuelle D-Pad</v>
      </c>
      <c r="I64" s="23" t="str">
        <f>IFERROR(__xludf.DUMMYFUNCTION("GOOGLETRANSLATE(B64, ""en"", ""pl"")"),"Pokaż wirtualny D-pad")</f>
        <v>Pokaż wirtualny D-pad</v>
      </c>
      <c r="J64" s="25" t="str">
        <f>IFERROR(__xludf.DUMMYFUNCTION("GOOGLETRANSLATE(B64, ""en"", ""zh"")"),"显示虚拟d垫")</f>
        <v>显示虚拟d垫</v>
      </c>
      <c r="K64" s="25" t="str">
        <f>IFERROR(__xludf.DUMMYFUNCTION("GOOGLETRANSLATE(B64, ""en"", ""vi"")"),"Hiện D-pad ảo")</f>
        <v>Hiện D-pad ảo</v>
      </c>
      <c r="L64" s="26" t="str">
        <f>IFERROR(__xludf.DUMMYFUNCTION("GOOGLETRANSLATE(B64, ""en"", ""hr"")"),"Prikaži virtualni D-pad")</f>
        <v>Prikaži virtualni D-pad</v>
      </c>
      <c r="M64" s="28"/>
      <c r="N64" s="28"/>
      <c r="O64" s="28"/>
      <c r="P64" s="28"/>
      <c r="Q64" s="28"/>
      <c r="R64" s="28"/>
      <c r="S64" s="28"/>
      <c r="T64" s="28"/>
      <c r="U64" s="28"/>
      <c r="V64" s="28"/>
      <c r="W64" s="28"/>
      <c r="X64" s="28"/>
      <c r="Y64" s="28"/>
      <c r="Z64" s="28"/>
      <c r="AA64" s="28"/>
      <c r="AB64" s="28"/>
    </row>
    <row r="65">
      <c r="A65" s="21" t="s">
        <v>126</v>
      </c>
      <c r="B65" s="22" t="s">
        <v>127</v>
      </c>
      <c r="C65" s="23" t="str">
        <f>IFERROR(__xludf.DUMMYFUNCTION("GOOGLETRANSLATE(B65, ""en"", ""fr"")"),"Ajouter ramassées articles à Hotbar")</f>
        <v>Ajouter ramassées articles à Hotbar</v>
      </c>
      <c r="D65" s="23" t="str">
        <f>IFERROR(__xludf.DUMMYFUNCTION("GOOGLETRANSLATE(B65, ""en"", ""es"")"),"Añadir recogido artículos a barra de acceso rápido")</f>
        <v>Añadir recogido artículos a barra de acceso rápido</v>
      </c>
      <c r="E65" s="23" t="str">
        <f>IFERROR(__xludf.DUMMYFUNCTION("GOOGLETRANSLATE(B65, ""en"", ""ru"")"),"Добавить подобранные элементы в хотбар")</f>
        <v>Добавить подобранные элементы в хотбар</v>
      </c>
      <c r="F65" s="23" t="str">
        <f>IFERROR(__xludf.DUMMYFUNCTION("GOOGLETRANSLATE(B65, ""en"", ""tr"")"),"Kısayol çubuğunun için kaldırdı öğe ekle")</f>
        <v>Kısayol çubuğunun için kaldırdı öğe ekle</v>
      </c>
      <c r="G65" s="23" t="str">
        <f>IFERROR(__xludf.DUMMYFUNCTION("GOOGLETRANSLATE(B65, ""en"", ""pt"")"),"Adicionar pegou itens para hotbar")</f>
        <v>Adicionar pegou itens para hotbar</v>
      </c>
      <c r="H65" s="24" t="str">
        <f>IFERROR(__xludf.DUMMYFUNCTION("GOOGLETRANSLATE(B65, ""en"", ""de"")"),"Fügen Sie nahm Elemente hotbar")</f>
        <v>Fügen Sie nahm Elemente hotbar</v>
      </c>
      <c r="I65" s="23" t="str">
        <f>IFERROR(__xludf.DUMMYFUNCTION("GOOGLETRANSLATE(B65, ""en"", ""pl"")"),"Dodaj odbierane elementy do Hotbar")</f>
        <v>Dodaj odbierane elementy do Hotbar</v>
      </c>
      <c r="J65" s="25" t="str">
        <f>IFERROR(__xludf.DUMMYFUNCTION("GOOGLETRANSLATE(B65, ""en"", ""zh"")"),"添加拿起物品快捷栏")</f>
        <v>添加拿起物品快捷栏</v>
      </c>
      <c r="K65" s="25" t="str">
        <f>IFERROR(__xludf.DUMMYFUNCTION("GOOGLETRANSLATE(B65, ""en"", ""vi"")"),"Thêm nhặt mục để Hotbar")</f>
        <v>Thêm nhặt mục để Hotbar</v>
      </c>
      <c r="L65" s="26" t="str">
        <f>IFERROR(__xludf.DUMMYFUNCTION("GOOGLETRANSLATE(B65, ""en"", ""hr"")"),"Dodaj pokupila stavke hotbar")</f>
        <v>Dodaj pokupila stavke hotbar</v>
      </c>
      <c r="M65" s="28"/>
      <c r="N65" s="28"/>
      <c r="O65" s="28"/>
      <c r="P65" s="28"/>
      <c r="Q65" s="28"/>
      <c r="R65" s="28"/>
      <c r="S65" s="28"/>
      <c r="T65" s="28"/>
      <c r="U65" s="28"/>
      <c r="V65" s="28"/>
      <c r="W65" s="28"/>
      <c r="X65" s="28"/>
      <c r="Y65" s="28"/>
      <c r="Z65" s="28"/>
      <c r="AA65" s="28"/>
      <c r="AB65" s="28"/>
    </row>
    <row r="66">
      <c r="A66" s="21" t="s">
        <v>128</v>
      </c>
      <c r="B66" s="22" t="s">
        <v>129</v>
      </c>
      <c r="C66" s="23" t="str">
        <f>IFERROR(__xludf.DUMMYFUNCTION("GOOGLETRANSLATE(B66, ""en"", ""fr"")"),"filtre jurons chat")</f>
        <v>filtre jurons chat</v>
      </c>
      <c r="D66" s="23" t="str">
        <f>IFERROR(__xludf.DUMMYFUNCTION("GOOGLETRANSLATE(B66, ""en"", ""es"")"),"filtro de malas palabras de chat")</f>
        <v>filtro de malas palabras de chat</v>
      </c>
      <c r="E66" s="23" t="str">
        <f>IFERROR(__xludf.DUMMYFUNCTION("GOOGLETRANSLATE(B66, ""en"", ""ru"")"),"Чат профанация фильтр")</f>
        <v>Чат профанация фильтр</v>
      </c>
      <c r="F66" s="23" t="str">
        <f>IFERROR(__xludf.DUMMYFUNCTION("GOOGLETRANSLATE(B66, ""en"", ""tr"")"),"Sohbet küfür filtresi")</f>
        <v>Sohbet küfür filtresi</v>
      </c>
      <c r="G66" s="23" t="str">
        <f>IFERROR(__xludf.DUMMYFUNCTION("GOOGLETRANSLATE(B66, ""en"", ""pt"")"),"filtro de palavras de baixo calão do bate-papo")</f>
        <v>filtro de palavras de baixo calão do bate-papo</v>
      </c>
      <c r="H66" s="24" t="str">
        <f>IFERROR(__xludf.DUMMYFUNCTION("GOOGLETRANSLATE(B66, ""en"", ""de"")"),"Chat Profanität Filter")</f>
        <v>Chat Profanität Filter</v>
      </c>
      <c r="I66" s="23" t="str">
        <f>IFERROR(__xludf.DUMMYFUNCTION("GOOGLETRANSLATE(B66, ""en"", ""pl"")"),"Czat filtr wulgaryzmów")</f>
        <v>Czat filtr wulgaryzmów</v>
      </c>
      <c r="J66" s="25" t="str">
        <f>IFERROR(__xludf.DUMMYFUNCTION("GOOGLETRANSLATE(B66, ""en"", ""zh"")"),"聊天亵渎过滤器")</f>
        <v>聊天亵渎过滤器</v>
      </c>
      <c r="K66" s="25" t="str">
        <f>IFERROR(__xludf.DUMMYFUNCTION("GOOGLETRANSLATE(B66, ""en"", ""vi"")"),"lọc thô tục trò chuyện")</f>
        <v>lọc thô tục trò chuyện</v>
      </c>
      <c r="L66" s="26" t="str">
        <f>IFERROR(__xludf.DUMMYFUNCTION("GOOGLETRANSLATE(B66, ""en"", ""hr"")"),"Chat vulgarnost filter")</f>
        <v>Chat vulgarnost filter</v>
      </c>
      <c r="M66" s="28"/>
      <c r="N66" s="28"/>
      <c r="O66" s="28"/>
      <c r="P66" s="28"/>
      <c r="Q66" s="28"/>
      <c r="R66" s="28"/>
      <c r="S66" s="28"/>
      <c r="T66" s="28"/>
      <c r="U66" s="28"/>
      <c r="V66" s="28"/>
      <c r="W66" s="28"/>
      <c r="X66" s="28"/>
      <c r="Y66" s="28"/>
      <c r="Z66" s="28"/>
      <c r="AA66" s="28"/>
      <c r="AB66" s="28"/>
    </row>
    <row r="67">
      <c r="A67" s="21" t="s">
        <v>130</v>
      </c>
      <c r="B67" s="22" t="s">
        <v>131</v>
      </c>
      <c r="C67" s="23" t="str">
        <f>IFERROR(__xludf.DUMMYFUNCTION("GOOGLETRANSLATE(B67, ""en"", ""fr"")"),"scintillement lumière")</f>
        <v>scintillement lumière</v>
      </c>
      <c r="D67" s="23" t="str">
        <f>IFERROR(__xludf.DUMMYFUNCTION("GOOGLETRANSLATE(B67, ""en"", ""es"")"),"parpadeo de la luz")</f>
        <v>parpadeo de la luz</v>
      </c>
      <c r="E67" s="23" t="str">
        <f>IFERROR(__xludf.DUMMYFUNCTION("GOOGLETRANSLATE(B67, ""en"", ""ru"")"),"Свет мерцания")</f>
        <v>Свет мерцания</v>
      </c>
      <c r="F67" s="23" t="str">
        <f>IFERROR(__xludf.DUMMYFUNCTION("GOOGLETRANSLATE(B67, ""en"", ""tr"")"),"Işık titreşim")</f>
        <v>Işık titreşim</v>
      </c>
      <c r="G67" s="23" t="str">
        <f>IFERROR(__xludf.DUMMYFUNCTION("GOOGLETRANSLATE(B67, ""en"", ""pt"")"),"flicker luz")</f>
        <v>flicker luz</v>
      </c>
      <c r="H67" s="24" t="str">
        <f>IFERROR(__xludf.DUMMYFUNCTION("GOOGLETRANSLATE(B67, ""en"", ""de"")"),"Lichtflimmern")</f>
        <v>Lichtflimmern</v>
      </c>
      <c r="I67" s="23" t="str">
        <f>IFERROR(__xludf.DUMMYFUNCTION("GOOGLETRANSLATE(B67, ""en"", ""pl"")"),"migotania światła")</f>
        <v>migotania światła</v>
      </c>
      <c r="J67" s="25" t="str">
        <f>IFERROR(__xludf.DUMMYFUNCTION("GOOGLETRANSLATE(B67, ""en"", ""zh"")"),"灯闪烁")</f>
        <v>灯闪烁</v>
      </c>
      <c r="K67" s="25" t="str">
        <f>IFERROR(__xludf.DUMMYFUNCTION("GOOGLETRANSLATE(B67, ""en"", ""vi"")"),"nhấp nháy ánh sáng")</f>
        <v>nhấp nháy ánh sáng</v>
      </c>
      <c r="L67" s="26" t="str">
        <f>IFERROR(__xludf.DUMMYFUNCTION("GOOGLETRANSLATE(B67, ""en"", ""hr"")"),"svjetlo treperenje")</f>
        <v>svjetlo treperenje</v>
      </c>
      <c r="M67" s="28"/>
      <c r="N67" s="28"/>
      <c r="O67" s="28"/>
      <c r="P67" s="28"/>
      <c r="Q67" s="28"/>
      <c r="R67" s="28"/>
      <c r="S67" s="28"/>
      <c r="T67" s="28"/>
      <c r="U67" s="28"/>
      <c r="V67" s="28"/>
      <c r="W67" s="28"/>
      <c r="X67" s="28"/>
      <c r="Y67" s="28"/>
      <c r="Z67" s="28"/>
      <c r="AA67" s="28"/>
      <c r="AB67" s="28"/>
    </row>
    <row r="68">
      <c r="A68" s="21" t="s">
        <v>132</v>
      </c>
      <c r="B68" s="22" t="s">
        <v>133</v>
      </c>
      <c r="C68" s="23" t="str">
        <f>IFERROR(__xludf.DUMMYFUNCTION("GOOGLETRANSLATE(B68, ""en"", ""fr"")"),"Afficher Compteur de FPS")</f>
        <v>Afficher Compteur de FPS</v>
      </c>
      <c r="D68" s="23" t="str">
        <f>IFERROR(__xludf.DUMMYFUNCTION("GOOGLETRANSLATE(B68, ""en"", ""es"")"),"Mostrar contador de FPS")</f>
        <v>Mostrar contador de FPS</v>
      </c>
      <c r="E68" s="23" t="str">
        <f>IFERROR(__xludf.DUMMYFUNCTION("GOOGLETRANSLATE(B68, ""en"", ""ru"")"),"счетчик Показать FPS")</f>
        <v>счетчик Показать FPS</v>
      </c>
      <c r="F68" s="23" t="str">
        <f>IFERROR(__xludf.DUMMYFUNCTION("GOOGLETRANSLATE(B68, ""en"", ""tr"")"),"Göster FPS sayacı")</f>
        <v>Göster FPS sayacı</v>
      </c>
      <c r="G68" s="23" t="str">
        <f>IFERROR(__xludf.DUMMYFUNCTION("GOOGLETRANSLATE(B68, ""en"", ""pt"")"),"Contador Mostrar FPS")</f>
        <v>Contador Mostrar FPS</v>
      </c>
      <c r="H68" s="24" t="str">
        <f>IFERROR(__xludf.DUMMYFUNCTION("GOOGLETRANSLATE(B68, ""en"", ""de"")"),"Show FPS Zähler")</f>
        <v>Show FPS Zähler</v>
      </c>
      <c r="I68" s="23" t="str">
        <f>IFERROR(__xludf.DUMMYFUNCTION("GOOGLETRANSLATE(B68, ""en"", ""pl"")"),"Pokaż licznik FPS")</f>
        <v>Pokaż licznik FPS</v>
      </c>
      <c r="J68" s="25" t="str">
        <f>IFERROR(__xludf.DUMMYFUNCTION("GOOGLETRANSLATE(B68, ""en"", ""zh"")"),"显示FPS计数器")</f>
        <v>显示FPS计数器</v>
      </c>
      <c r="K68" s="25" t="str">
        <f>IFERROR(__xludf.DUMMYFUNCTION("GOOGLETRANSLATE(B68, ""en"", ""vi"")"),"Hiện Bộ đếm FPS")</f>
        <v>Hiện Bộ đếm FPS</v>
      </c>
      <c r="L68" s="26" t="str">
        <f>IFERROR(__xludf.DUMMYFUNCTION("GOOGLETRANSLATE(B68, ""en"", ""hr"")"),"Prikaži FPS brojač")</f>
        <v>Prikaži FPS brojač</v>
      </c>
      <c r="M68" s="28"/>
      <c r="N68" s="28"/>
      <c r="O68" s="28"/>
      <c r="P68" s="28"/>
      <c r="Q68" s="28"/>
      <c r="R68" s="28"/>
      <c r="S68" s="28"/>
      <c r="T68" s="28"/>
      <c r="U68" s="28"/>
      <c r="V68" s="28"/>
      <c r="W68" s="28"/>
      <c r="X68" s="28"/>
      <c r="Y68" s="28"/>
      <c r="Z68" s="28"/>
      <c r="AA68" s="28"/>
      <c r="AB68" s="28"/>
    </row>
    <row r="69">
      <c r="A69" s="21" t="s">
        <v>134</v>
      </c>
      <c r="B69" s="22" t="s">
        <v>135</v>
      </c>
      <c r="C69" s="23" t="str">
        <f>IFERROR(__xludf.DUMMYFUNCTION("GOOGLETRANSLATE(B69, ""en"", ""fr"")"),"Créer un compte")</f>
        <v>Créer un compte</v>
      </c>
      <c r="D69" s="23" t="str">
        <f>IFERROR(__xludf.DUMMYFUNCTION("GOOGLETRANSLATE(B69, ""en"", ""es"")"),"Crear una cuenta")</f>
        <v>Crear una cuenta</v>
      </c>
      <c r="E69" s="23" t="str">
        <f>IFERROR(__xludf.DUMMYFUNCTION("GOOGLETRANSLATE(B69, ""en"", ""ru"")"),"Зарегистрироваться")</f>
        <v>Зарегистрироваться</v>
      </c>
      <c r="F69" s="23" t="str">
        <f>IFERROR(__xludf.DUMMYFUNCTION("GOOGLETRANSLATE(B69, ""en"", ""tr"")"),"Hesap oluşturmak")</f>
        <v>Hesap oluşturmak</v>
      </c>
      <c r="G69" s="23" t="str">
        <f>IFERROR(__xludf.DUMMYFUNCTION("GOOGLETRANSLATE(B69, ""en"", ""pt"")"),"Criar Conta")</f>
        <v>Criar Conta</v>
      </c>
      <c r="H69" s="24" t="str">
        <f>IFERROR(__xludf.DUMMYFUNCTION("GOOGLETRANSLATE(B69, ""en"", ""de"")"),"Benutzerkonto erstellen")</f>
        <v>Benutzerkonto erstellen</v>
      </c>
      <c r="I69" s="23" t="str">
        <f>IFERROR(__xludf.DUMMYFUNCTION("GOOGLETRANSLATE(B69, ""en"", ""pl"")"),"Utwórz konto")</f>
        <v>Utwórz konto</v>
      </c>
      <c r="J69" s="25" t="str">
        <f>IFERROR(__xludf.DUMMYFUNCTION("GOOGLETRANSLATE(B69, ""en"", ""zh"")"),"创建帐号")</f>
        <v>创建帐号</v>
      </c>
      <c r="K69" s="25" t="str">
        <f>IFERROR(__xludf.DUMMYFUNCTION("GOOGLETRANSLATE(B69, ""en"", ""vi"")"),"Tạo tài khoản")</f>
        <v>Tạo tài khoản</v>
      </c>
      <c r="L69" s="26" t="str">
        <f>IFERROR(__xludf.DUMMYFUNCTION("GOOGLETRANSLATE(B69, ""en"", ""hr"")"),"Izradi račun")</f>
        <v>Izradi račun</v>
      </c>
      <c r="M69" s="28"/>
      <c r="N69" s="28"/>
      <c r="O69" s="28"/>
      <c r="P69" s="28"/>
      <c r="Q69" s="28"/>
      <c r="R69" s="28"/>
      <c r="S69" s="28"/>
      <c r="T69" s="28"/>
      <c r="U69" s="28"/>
      <c r="V69" s="28"/>
      <c r="W69" s="28"/>
      <c r="X69" s="28"/>
      <c r="Y69" s="28"/>
      <c r="Z69" s="28"/>
      <c r="AA69" s="28"/>
      <c r="AB69" s="28"/>
    </row>
    <row r="70">
      <c r="A70" s="21" t="s">
        <v>136</v>
      </c>
      <c r="B70" s="22" t="s">
        <v>137</v>
      </c>
      <c r="C70" s="23" t="str">
        <f>IFERROR(__xludf.DUMMYFUNCTION("GOOGLETRANSLATE(B70, ""en"", ""fr"")"),"Choisissez un nom d'utilisateur et mot de passe pour enregistrer ce caractère si vous pouvez vous connecter plus tard.")</f>
        <v>Choisissez un nom d'utilisateur et mot de passe pour enregistrer ce caractère si vous pouvez vous connecter plus tard.</v>
      </c>
      <c r="D70" s="23" t="str">
        <f>IFERROR(__xludf.DUMMYFUNCTION("GOOGLETRANSLATE(B70, ""en"", ""es"")"),"Elija un nombre de usuario y contraseña para salvar este personaje para que pueda conectarse en otro momento.")</f>
        <v>Elija un nombre de usuario y contraseña para salvar este personaje para que pueda conectarse en otro momento.</v>
      </c>
      <c r="E70" s="23" t="str">
        <f>IFERROR(__xludf.DUMMYFUNCTION("GOOGLETRANSLATE(B70,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0" s="23" t="str">
        <f>IFERROR(__xludf.DUMMYFUNCTION("GOOGLETRANSLATE(B70, ""en"", ""tr"")"),"Daha sonra giriş yapabilirsiniz, böylece bu karakteri kurtarmak için bir kullanıcı adı ve şifre seçin.")</f>
        <v>Daha sonra giriş yapabilirsiniz, böylece bu karakteri kurtarmak için bir kullanıcı adı ve şifre seçin.</v>
      </c>
      <c r="G70" s="23" t="str">
        <f>IFERROR(__xludf.DUMMYFUNCTION("GOOGLETRANSLATE(B70, ""en"", ""pt"")"),"Escolha um nome de usuário e senha para salvar este personagem para que você possa acessar mais tarde.")</f>
        <v>Escolha um nome de usuário e senha para salvar este personagem para que você possa acessar mais tarde.</v>
      </c>
      <c r="H70" s="24" t="str">
        <f>IFERROR(__xludf.DUMMYFUNCTION("GOOGLETRANSLATE(B70, ""en"", ""de"")"),"Wählen Sie einen Benutzernamen und ein Passwort dieses Zeichen zu speichern, um sie später anmelden können.")</f>
        <v>Wählen Sie einen Benutzernamen und ein Passwort dieses Zeichen zu speichern, um sie später anmelden können.</v>
      </c>
      <c r="I70" s="23" t="str">
        <f>IFERROR(__xludf.DUMMYFUNCTION("GOOGLETRANSLATE(B70, ""en"", ""pl"")"),"Wybierz nazwę użytkownika i hasło, aby uratować tę postać tak można zalogować się później.")</f>
        <v>Wybierz nazwę użytkownika i hasło, aby uratować tę postać tak można zalogować się później.</v>
      </c>
      <c r="J70" s="25" t="str">
        <f>IFERROR(__xludf.DUMMYFUNCTION("GOOGLETRANSLATE(B70, ""en"", ""zh"")"),"选择一个用户名和密码保存这个角色，所以你可以稍后登录。")</f>
        <v>选择一个用户名和密码保存这个角色，所以你可以稍后登录。</v>
      </c>
      <c r="K70" s="25" t="str">
        <f>IFERROR(__xludf.DUMMYFUNCTION("GOOGLETRANSLATE(B70, ""en"", ""vi"")"),"Chọn tên người dùng và mật khẩu để lưu nhân vật này để bạn có thể đăng nhập sau.")</f>
        <v>Chọn tên người dùng và mật khẩu để lưu nhân vật này để bạn có thể đăng nhập sau.</v>
      </c>
      <c r="L70" s="26" t="str">
        <f>IFERROR(__xludf.DUMMYFUNCTION("GOOGLETRANSLATE(B70, ""en"", ""hr"")"),"Odaberite korisničko ime i lozinku za spremanje ovaj lik, tako da možete se prijaviti kasnije.")</f>
        <v>Odaberite korisničko ime i lozinku za spremanje ovaj lik, tako da možete se prijaviti kasnije.</v>
      </c>
      <c r="M70" s="28"/>
      <c r="N70" s="28"/>
      <c r="O70" s="28"/>
      <c r="P70" s="28"/>
      <c r="Q70" s="28"/>
      <c r="R70" s="28"/>
      <c r="S70" s="28"/>
      <c r="T70" s="28"/>
      <c r="U70" s="28"/>
      <c r="V70" s="28"/>
      <c r="W70" s="28"/>
      <c r="X70" s="28"/>
      <c r="Y70" s="28"/>
      <c r="Z70" s="28"/>
      <c r="AA70" s="28"/>
      <c r="AB70" s="28"/>
    </row>
    <row r="71">
      <c r="A71" s="21" t="s">
        <v>138</v>
      </c>
      <c r="B71" s="22" t="s">
        <v>139</v>
      </c>
      <c r="C71" s="23" t="str">
        <f>IFERROR(__xludf.DUMMYFUNCTION("GOOGLETRANSLATE(B71, ""en"", ""fr"")"),"Entrez un nom d'utilisateur")</f>
        <v>Entrez un nom d'utilisateur</v>
      </c>
      <c r="D71" s="23" t="str">
        <f>IFERROR(__xludf.DUMMYFUNCTION("GOOGLETRANSLATE(B71, ""en"", ""es"")"),"Introduzca un nombre de usuario")</f>
        <v>Introduzca un nombre de usuario</v>
      </c>
      <c r="E71" s="23" t="str">
        <f>IFERROR(__xludf.DUMMYFUNCTION("GOOGLETRANSLATE(B71, ""en"", ""ru"")"),"Введите имя пользователя")</f>
        <v>Введите имя пользователя</v>
      </c>
      <c r="F71" s="23" t="str">
        <f>IFERROR(__xludf.DUMMYFUNCTION("GOOGLETRANSLATE(B71, ""en"", ""tr"")"),"Bir kullanıcı adı girin")</f>
        <v>Bir kullanıcı adı girin</v>
      </c>
      <c r="G71" s="23" t="str">
        <f>IFERROR(__xludf.DUMMYFUNCTION("GOOGLETRANSLATE(B71, ""en"", ""pt"")"),"Digite um nome de usuário")</f>
        <v>Digite um nome de usuário</v>
      </c>
      <c r="H71" s="24" t="str">
        <f>IFERROR(__xludf.DUMMYFUNCTION("GOOGLETRANSLATE(B71, ""en"", ""de"")"),"Gebe einen Benutzernamen ein")</f>
        <v>Gebe einen Benutzernamen ein</v>
      </c>
      <c r="I71" s="23" t="str">
        <f>IFERROR(__xludf.DUMMYFUNCTION("GOOGLETRANSLATE(B71, ""en"", ""pl"")"),"Wpisz nazwę użytkownika")</f>
        <v>Wpisz nazwę użytkownika</v>
      </c>
      <c r="J71" s="25" t="str">
        <f>IFERROR(__xludf.DUMMYFUNCTION("GOOGLETRANSLATE(B71, ""en"", ""zh"")"),"输入用户名")</f>
        <v>输入用户名</v>
      </c>
      <c r="K71" s="25" t="str">
        <f>IFERROR(__xludf.DUMMYFUNCTION("GOOGLETRANSLATE(B71, ""en"", ""vi"")"),"Nhập tên người sử dụng")</f>
        <v>Nhập tên người sử dụng</v>
      </c>
      <c r="L71" s="26" t="str">
        <f>IFERROR(__xludf.DUMMYFUNCTION("GOOGLETRANSLATE(B71, ""en"", ""hr"")"),"Unesite korisničko ime")</f>
        <v>Unesite korisničko ime</v>
      </c>
      <c r="M71" s="28"/>
      <c r="N71" s="28"/>
      <c r="O71" s="28"/>
      <c r="P71" s="28"/>
      <c r="Q71" s="28"/>
      <c r="R71" s="28"/>
      <c r="S71" s="28"/>
      <c r="T71" s="28"/>
      <c r="U71" s="28"/>
      <c r="V71" s="28"/>
      <c r="W71" s="28"/>
      <c r="X71" s="28"/>
      <c r="Y71" s="28"/>
      <c r="Z71" s="28"/>
      <c r="AA71" s="28"/>
      <c r="AB71" s="28"/>
    </row>
    <row r="72">
      <c r="A72" s="21" t="s">
        <v>140</v>
      </c>
      <c r="B72" s="22" t="s">
        <v>141</v>
      </c>
      <c r="C72" s="23" t="str">
        <f>IFERROR(__xludf.DUMMYFUNCTION("GOOGLETRANSLATE(B72, ""en"", ""fr"")"),"Entrer un mot de passe")</f>
        <v>Entrer un mot de passe</v>
      </c>
      <c r="D72" s="23" t="str">
        <f>IFERROR(__xludf.DUMMYFUNCTION("GOOGLETRANSLATE(B72, ""en"", ""es"")"),"Ingrese una contraseña")</f>
        <v>Ingrese una contraseña</v>
      </c>
      <c r="E72" s="23" t="str">
        <f>IFERROR(__xludf.DUMMYFUNCTION("GOOGLETRANSLATE(B72, ""en"", ""ru"")"),"введите пароль")</f>
        <v>введите пароль</v>
      </c>
      <c r="F72" s="23" t="str">
        <f>IFERROR(__xludf.DUMMYFUNCTION("GOOGLETRANSLATE(B72, ""en"", ""tr"")"),"Bir parola girin")</f>
        <v>Bir parola girin</v>
      </c>
      <c r="G72" s="23" t="str">
        <f>IFERROR(__xludf.DUMMYFUNCTION("GOOGLETRANSLATE(B72, ""en"", ""pt"")"),"insira uma senha")</f>
        <v>insira uma senha</v>
      </c>
      <c r="H72" s="24" t="str">
        <f>IFERROR(__xludf.DUMMYFUNCTION("GOOGLETRANSLATE(B72, ""en"", ""de"")"),"Geben Sie ein Passwort ein")</f>
        <v>Geben Sie ein Passwort ein</v>
      </c>
      <c r="I72" s="23" t="str">
        <f>IFERROR(__xludf.DUMMYFUNCTION("GOOGLETRANSLATE(B72, ""en"", ""pl"")"),"Wprowadź hasło")</f>
        <v>Wprowadź hasło</v>
      </c>
      <c r="J72" s="25" t="str">
        <f>IFERROR(__xludf.DUMMYFUNCTION("GOOGLETRANSLATE(B72, ""en"", ""zh"")"),"输入密码")</f>
        <v>输入密码</v>
      </c>
      <c r="K72" s="25" t="str">
        <f>IFERROR(__xludf.DUMMYFUNCTION("GOOGLETRANSLATE(B72, ""en"", ""vi"")"),"nhập mật khẩu")</f>
        <v>nhập mật khẩu</v>
      </c>
      <c r="L72" s="26" t="str">
        <f>IFERROR(__xludf.DUMMYFUNCTION("GOOGLETRANSLATE(B72, ""en"", ""hr"")"),"Unesite lozinku")</f>
        <v>Unesite lozinku</v>
      </c>
      <c r="M72" s="28"/>
      <c r="N72" s="28"/>
      <c r="O72" s="28"/>
      <c r="P72" s="28"/>
      <c r="Q72" s="28"/>
      <c r="R72" s="28"/>
      <c r="S72" s="28"/>
      <c r="T72" s="28"/>
      <c r="U72" s="28"/>
      <c r="V72" s="28"/>
      <c r="W72" s="28"/>
      <c r="X72" s="28"/>
      <c r="Y72" s="28"/>
      <c r="Z72" s="28"/>
      <c r="AA72" s="28"/>
      <c r="AB72" s="28"/>
    </row>
    <row r="73">
      <c r="A73" s="21" t="s">
        <v>135</v>
      </c>
      <c r="B73" s="22" t="s">
        <v>135</v>
      </c>
      <c r="C73" s="23" t="str">
        <f>IFERROR(__xludf.DUMMYFUNCTION("GOOGLETRANSLATE(B73, ""en"", ""fr"")"),"Créer un compte")</f>
        <v>Créer un compte</v>
      </c>
      <c r="D73" s="23" t="str">
        <f>IFERROR(__xludf.DUMMYFUNCTION("GOOGLETRANSLATE(B73, ""en"", ""es"")"),"Crear una cuenta")</f>
        <v>Crear una cuenta</v>
      </c>
      <c r="E73" s="23" t="str">
        <f>IFERROR(__xludf.DUMMYFUNCTION("GOOGLETRANSLATE(B73, ""en"", ""ru"")"),"Зарегистрироваться")</f>
        <v>Зарегистрироваться</v>
      </c>
      <c r="F73" s="23" t="str">
        <f>IFERROR(__xludf.DUMMYFUNCTION("GOOGLETRANSLATE(B73, ""en"", ""tr"")"),"Hesap oluşturmak")</f>
        <v>Hesap oluşturmak</v>
      </c>
      <c r="G73" s="23" t="str">
        <f>IFERROR(__xludf.DUMMYFUNCTION("GOOGLETRANSLATE(B73, ""en"", ""pt"")"),"Criar Conta")</f>
        <v>Criar Conta</v>
      </c>
      <c r="H73" s="24" t="str">
        <f>IFERROR(__xludf.DUMMYFUNCTION("GOOGLETRANSLATE(B73, ""en"", ""de"")"),"Benutzerkonto erstellen")</f>
        <v>Benutzerkonto erstellen</v>
      </c>
      <c r="I73" s="23" t="str">
        <f>IFERROR(__xludf.DUMMYFUNCTION("GOOGLETRANSLATE(B73, ""en"", ""pl"")"),"Utwórz konto")</f>
        <v>Utwórz konto</v>
      </c>
      <c r="J73" s="25" t="str">
        <f>IFERROR(__xludf.DUMMYFUNCTION("GOOGLETRANSLATE(B73, ""en"", ""zh"")"),"创建帐号")</f>
        <v>创建帐号</v>
      </c>
      <c r="K73" s="25" t="str">
        <f>IFERROR(__xludf.DUMMYFUNCTION("GOOGLETRANSLATE(B73, ""en"", ""vi"")"),"Tạo tài khoản")</f>
        <v>Tạo tài khoản</v>
      </c>
      <c r="L73" s="26" t="str">
        <f>IFERROR(__xludf.DUMMYFUNCTION("GOOGLETRANSLATE(B73, ""en"", ""hr"")"),"Izradi račun")</f>
        <v>Izradi račun</v>
      </c>
      <c r="M73" s="28"/>
      <c r="N73" s="28"/>
      <c r="O73" s="28"/>
      <c r="P73" s="28"/>
      <c r="Q73" s="28"/>
      <c r="R73" s="28"/>
      <c r="S73" s="28"/>
      <c r="T73" s="28"/>
      <c r="U73" s="28"/>
      <c r="V73" s="28"/>
      <c r="W73" s="28"/>
      <c r="X73" s="28"/>
      <c r="Y73" s="28"/>
      <c r="Z73" s="28"/>
      <c r="AA73" s="28"/>
      <c r="AB73" s="28"/>
    </row>
    <row r="74">
      <c r="A74" s="21" t="s">
        <v>142</v>
      </c>
      <c r="B74" s="22" t="s">
        <v>142</v>
      </c>
      <c r="C74" s="23" t="str">
        <f>IFERROR(__xludf.DUMMYFUNCTION("GOOGLETRANSLATE(B74, ""en"", ""fr"")"),"Nom d'utilisateur pris")</f>
        <v>Nom d'utilisateur pris</v>
      </c>
      <c r="D74" s="23" t="str">
        <f>IFERROR(__xludf.DUMMYFUNCTION("GOOGLETRANSLATE(B74, ""en"", ""es"")"),"Nombre de usuario tomado")</f>
        <v>Nombre de usuario tomado</v>
      </c>
      <c r="E74" s="23" t="str">
        <f>IFERROR(__xludf.DUMMYFUNCTION("GOOGLETRANSLATE(B74, ""en"", ""ru"")"),"Имя пользователя принято")</f>
        <v>Имя пользователя принято</v>
      </c>
      <c r="F74" s="23" t="str">
        <f>IFERROR(__xludf.DUMMYFUNCTION("GOOGLETRANSLATE(B74, ""en"", ""tr"")"),"Kullanıcı adı alınmış")</f>
        <v>Kullanıcı adı alınmış</v>
      </c>
      <c r="G74" s="23" t="str">
        <f>IFERROR(__xludf.DUMMYFUNCTION("GOOGLETRANSLATE(B74, ""en"", ""pt"")"),"Nome de usuário já utilizado")</f>
        <v>Nome de usuário já utilizado</v>
      </c>
      <c r="H74" s="24" t="str">
        <f>IFERROR(__xludf.DUMMYFUNCTION("GOOGLETRANSLATE(B74, ""en"", ""de"")"),"Benutzername vergeben")</f>
        <v>Benutzername vergeben</v>
      </c>
      <c r="I74" s="23" t="str">
        <f>IFERROR(__xludf.DUMMYFUNCTION("GOOGLETRANSLATE(B74, ""en"", ""pl"")"),"Nazwa użytkownika zajęta")</f>
        <v>Nazwa użytkownika zajęta</v>
      </c>
      <c r="J74" s="25" t="str">
        <f>IFERROR(__xludf.DUMMYFUNCTION("GOOGLETRANSLATE(B74, ""en"", ""zh"")"),"用户名已被使用")</f>
        <v>用户名已被使用</v>
      </c>
      <c r="K74" s="25" t="str">
        <f>IFERROR(__xludf.DUMMYFUNCTION("GOOGLETRANSLATE(B74, ""en"", ""vi"")"),"Tên này đã dc sử dụng")</f>
        <v>Tên này đã dc sử dụng</v>
      </c>
      <c r="L74" s="26" t="str">
        <f>IFERROR(__xludf.DUMMYFUNCTION("GOOGLETRANSLATE(B74, ""en"", ""hr"")"),"Korisničko ime zauzeto")</f>
        <v>Korisničko ime zauzeto</v>
      </c>
      <c r="M74" s="28"/>
      <c r="N74" s="28"/>
      <c r="O74" s="28"/>
      <c r="P74" s="28"/>
      <c r="Q74" s="28"/>
      <c r="R74" s="28"/>
      <c r="S74" s="28"/>
      <c r="T74" s="28"/>
      <c r="U74" s="28"/>
      <c r="V74" s="28"/>
      <c r="W74" s="28"/>
      <c r="X74" s="28"/>
      <c r="Y74" s="28"/>
      <c r="Z74" s="28"/>
      <c r="AA74" s="28"/>
      <c r="AB74" s="28"/>
    </row>
    <row r="75">
      <c r="A75" s="21" t="s">
        <v>143</v>
      </c>
      <c r="B75" s="22" t="s">
        <v>144</v>
      </c>
      <c r="C75" s="23" t="str">
        <f>IFERROR(__xludf.DUMMYFUNCTION("GOOGLETRANSLATE(B75, ""en"", ""fr"")"),"Compte")</f>
        <v>Compte</v>
      </c>
      <c r="D75" s="23" t="str">
        <f>IFERROR(__xludf.DUMMYFUNCTION("GOOGLETRANSLATE(B75, ""en"", ""es"")"),"Cuenta")</f>
        <v>Cuenta</v>
      </c>
      <c r="E75" s="23" t="str">
        <f>IFERROR(__xludf.DUMMYFUNCTION("GOOGLETRANSLATE(B75, ""en"", ""ru"")"),"Счет")</f>
        <v>Счет</v>
      </c>
      <c r="F75" s="23" t="str">
        <f>IFERROR(__xludf.DUMMYFUNCTION("GOOGLETRANSLATE(B75, ""en"", ""tr"")"),"hesap")</f>
        <v>hesap</v>
      </c>
      <c r="G75" s="23" t="str">
        <f>IFERROR(__xludf.DUMMYFUNCTION("GOOGLETRANSLATE(B75, ""en"", ""pt"")"),"Conta")</f>
        <v>Conta</v>
      </c>
      <c r="H75" s="24" t="str">
        <f>IFERROR(__xludf.DUMMYFUNCTION("GOOGLETRANSLATE(B75, ""en"", ""de"")"),"Konto")</f>
        <v>Konto</v>
      </c>
      <c r="I75" s="23" t="str">
        <f>IFERROR(__xludf.DUMMYFUNCTION("GOOGLETRANSLATE(B75, ""en"", ""pl"")"),"Konto")</f>
        <v>Konto</v>
      </c>
      <c r="J75" s="25" t="str">
        <f>IFERROR(__xludf.DUMMYFUNCTION("GOOGLETRANSLATE(B75, ""en"", ""zh"")"),"帐户")</f>
        <v>帐户</v>
      </c>
      <c r="K75" s="25" t="str">
        <f>IFERROR(__xludf.DUMMYFUNCTION("GOOGLETRANSLATE(B75, ""en"", ""vi"")"),"Tài khoản")</f>
        <v>Tài khoản</v>
      </c>
      <c r="L75" s="26" t="str">
        <f>IFERROR(__xludf.DUMMYFUNCTION("GOOGLETRANSLATE(B75, ""en"", ""hr"")"),"Račun")</f>
        <v>Račun</v>
      </c>
      <c r="M75" s="28"/>
      <c r="N75" s="28"/>
      <c r="O75" s="28"/>
      <c r="P75" s="28"/>
      <c r="Q75" s="28"/>
      <c r="R75" s="28"/>
      <c r="S75" s="28"/>
      <c r="T75" s="28"/>
      <c r="U75" s="28"/>
      <c r="V75" s="28"/>
      <c r="W75" s="28"/>
      <c r="X75" s="28"/>
      <c r="Y75" s="28"/>
      <c r="Z75" s="28"/>
      <c r="AA75" s="28"/>
      <c r="AB75" s="28"/>
    </row>
    <row r="76">
      <c r="A76" s="21" t="s">
        <v>145</v>
      </c>
      <c r="B76" s="22" t="s">
        <v>146</v>
      </c>
      <c r="C76" s="23" t="str">
        <f>IFERROR(__xludf.DUMMYFUNCTION("GOOGLETRANSLATE(B76, ""en"", ""fr"")"),"Changer le mot de passe")</f>
        <v>Changer le mot de passe</v>
      </c>
      <c r="D76" s="23" t="str">
        <f>IFERROR(__xludf.DUMMYFUNCTION("GOOGLETRANSLATE(B76, ""en"", ""es"")"),"Cambiar la contraseña")</f>
        <v>Cambiar la contraseña</v>
      </c>
      <c r="E76" s="23" t="str">
        <f>IFERROR(__xludf.DUMMYFUNCTION("GOOGLETRANSLATE(B76, ""en"", ""ru"")"),"Измени пароль")</f>
        <v>Измени пароль</v>
      </c>
      <c r="F76" s="23" t="str">
        <f>IFERROR(__xludf.DUMMYFUNCTION("GOOGLETRANSLATE(B76, ""en"", ""tr"")"),"Şifre değiştir")</f>
        <v>Şifre değiştir</v>
      </c>
      <c r="G76" s="23" t="str">
        <f>IFERROR(__xludf.DUMMYFUNCTION("GOOGLETRANSLATE(B76, ""en"", ""pt"")"),"Alterar a senha")</f>
        <v>Alterar a senha</v>
      </c>
      <c r="H76" s="24" t="str">
        <f>IFERROR(__xludf.DUMMYFUNCTION("GOOGLETRANSLATE(B76, ""en"", ""de"")"),"Kennwort ändern")</f>
        <v>Kennwort ändern</v>
      </c>
      <c r="I76" s="23" t="str">
        <f>IFERROR(__xludf.DUMMYFUNCTION("GOOGLETRANSLATE(B76, ""en"", ""pl"")"),"Zmień hasło")</f>
        <v>Zmień hasło</v>
      </c>
      <c r="J76" s="25" t="str">
        <f>IFERROR(__xludf.DUMMYFUNCTION("GOOGLETRANSLATE(B76, ""en"", ""zh"")"),"更改密码")</f>
        <v>更改密码</v>
      </c>
      <c r="K76" s="25" t="str">
        <f>IFERROR(__xludf.DUMMYFUNCTION("GOOGLETRANSLATE(B76, ""en"", ""vi"")"),"Đổi mật khẩu")</f>
        <v>Đổi mật khẩu</v>
      </c>
      <c r="L76" s="26" t="str">
        <f>IFERROR(__xludf.DUMMYFUNCTION("GOOGLETRANSLATE(B76, ""en"", ""hr"")"),"promjena lozinke")</f>
        <v>promjena lozinke</v>
      </c>
      <c r="M76" s="28"/>
      <c r="N76" s="28"/>
      <c r="O76" s="28"/>
      <c r="P76" s="28"/>
      <c r="Q76" s="28"/>
      <c r="R76" s="28"/>
      <c r="S76" s="28"/>
      <c r="T76" s="28"/>
      <c r="U76" s="28"/>
      <c r="V76" s="28"/>
      <c r="W76" s="28"/>
      <c r="X76" s="28"/>
      <c r="Y76" s="28"/>
      <c r="Z76" s="28"/>
      <c r="AA76" s="28"/>
      <c r="AB76" s="28"/>
    </row>
    <row r="77">
      <c r="A77" s="21" t="s">
        <v>147</v>
      </c>
      <c r="B77" s="22" t="s">
        <v>148</v>
      </c>
      <c r="C77" s="23" t="str">
        <f>IFERROR(__xludf.DUMMYFUNCTION("GOOGLETRANSLATE(B77, ""en"", ""fr"")"),"Changer de nom")</f>
        <v>Changer de nom</v>
      </c>
      <c r="D77" s="23" t="str">
        <f>IFERROR(__xludf.DUMMYFUNCTION("GOOGLETRANSLATE(B77, ""en"", ""es"")"),"Cambiar nombre")</f>
        <v>Cambiar nombre</v>
      </c>
      <c r="E77" s="23" t="str">
        <f>IFERROR(__xludf.DUMMYFUNCTION("GOOGLETRANSLATE(B77, ""en"", ""ru"")"),"Сменить имя")</f>
        <v>Сменить имя</v>
      </c>
      <c r="F77" s="23" t="str">
        <f>IFERROR(__xludf.DUMMYFUNCTION("GOOGLETRANSLATE(B77, ""en"", ""tr"")"),"İsmini değiştir")</f>
        <v>İsmini değiştir</v>
      </c>
      <c r="G77" s="23" t="str">
        <f>IFERROR(__xludf.DUMMYFUNCTION("GOOGLETRANSLATE(B77, ""en"", ""pt"")"),"Mude o nome")</f>
        <v>Mude o nome</v>
      </c>
      <c r="H77" s="24" t="str">
        <f>IFERROR(__xludf.DUMMYFUNCTION("GOOGLETRANSLATE(B77, ""en"", ""de"")"),"Namen ändern")</f>
        <v>Namen ändern</v>
      </c>
      <c r="I77" s="23" t="str">
        <f>IFERROR(__xludf.DUMMYFUNCTION("GOOGLETRANSLATE(B77, ""en"", ""pl"")"),"Zmień nazwę")</f>
        <v>Zmień nazwę</v>
      </c>
      <c r="J77" s="25" t="str">
        <f>IFERROR(__xludf.DUMMYFUNCTION("GOOGLETRANSLATE(B77, ""en"", ""zh"")"),"更换名字")</f>
        <v>更换名字</v>
      </c>
      <c r="K77" s="25" t="str">
        <f>IFERROR(__xludf.DUMMYFUNCTION("GOOGLETRANSLATE(B77, ""en"", ""vi"")"),"Đổi tên")</f>
        <v>Đổi tên</v>
      </c>
      <c r="L77" s="26" t="str">
        <f>IFERROR(__xludf.DUMMYFUNCTION("GOOGLETRANSLATE(B77, ""en"", ""hr"")"),"promjena imena")</f>
        <v>promjena imena</v>
      </c>
      <c r="M77" s="28"/>
      <c r="N77" s="28"/>
      <c r="O77" s="28"/>
      <c r="P77" s="28"/>
      <c r="Q77" s="28"/>
      <c r="R77" s="28"/>
      <c r="S77" s="28"/>
      <c r="T77" s="28"/>
      <c r="U77" s="28"/>
      <c r="V77" s="28"/>
      <c r="W77" s="28"/>
      <c r="X77" s="28"/>
      <c r="Y77" s="28"/>
      <c r="Z77" s="28"/>
      <c r="AA77" s="28"/>
      <c r="AB77" s="28"/>
    </row>
    <row r="78">
      <c r="A78" s="21" t="s">
        <v>149</v>
      </c>
      <c r="B78" s="22" t="s">
        <v>149</v>
      </c>
      <c r="C78" s="23" t="str">
        <f>IFERROR(__xludf.DUMMYFUNCTION("GOOGLETRANSLATE(B78, ""en"", ""fr"")"),"Mot de passe actuel")</f>
        <v>Mot de passe actuel</v>
      </c>
      <c r="D78" s="23" t="str">
        <f>IFERROR(__xludf.DUMMYFUNCTION("GOOGLETRANSLATE(B78, ""en"", ""es"")"),"Contraseña actual")</f>
        <v>Contraseña actual</v>
      </c>
      <c r="E78" s="23" t="str">
        <f>IFERROR(__xludf.DUMMYFUNCTION("GOOGLETRANSLATE(B78, ""en"", ""ru"")"),"Текущий пароль")</f>
        <v>Текущий пароль</v>
      </c>
      <c r="F78" s="23" t="str">
        <f>IFERROR(__xludf.DUMMYFUNCTION("GOOGLETRANSLATE(B78, ""en"", ""tr"")"),"Şimdiki Şifre")</f>
        <v>Şimdiki Şifre</v>
      </c>
      <c r="G78" s="23" t="str">
        <f>IFERROR(__xludf.DUMMYFUNCTION("GOOGLETRANSLATE(B78, ""en"", ""pt"")"),"Senha atual")</f>
        <v>Senha atual</v>
      </c>
      <c r="H78" s="24" t="str">
        <f>IFERROR(__xludf.DUMMYFUNCTION("GOOGLETRANSLATE(B78, ""en"", ""de"")"),"Jetziges Passwort")</f>
        <v>Jetziges Passwort</v>
      </c>
      <c r="I78" s="23" t="str">
        <f>IFERROR(__xludf.DUMMYFUNCTION("GOOGLETRANSLATE(B78, ""en"", ""pl"")"),"Aktualne hasło")</f>
        <v>Aktualne hasło</v>
      </c>
      <c r="J78" s="25" t="str">
        <f>IFERROR(__xludf.DUMMYFUNCTION("GOOGLETRANSLATE(B78, ""en"", ""zh"")"),"当前密码")</f>
        <v>当前密码</v>
      </c>
      <c r="K78" s="25" t="str">
        <f>IFERROR(__xludf.DUMMYFUNCTION("GOOGLETRANSLATE(B78, ""en"", ""vi"")"),"Mật khẩu hiện tại")</f>
        <v>Mật khẩu hiện tại</v>
      </c>
      <c r="L78" s="26" t="str">
        <f>IFERROR(__xludf.DUMMYFUNCTION("GOOGLETRANSLATE(B78, ""en"", ""hr"")"),"Trenutna lozinka")</f>
        <v>Trenutna lozinka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""fr"")"),"Nouveau mot de passe")</f>
        <v>Nouveau mot de passe</v>
      </c>
      <c r="D79" s="23" t="str">
        <f>IFERROR(__xludf.DUMMYFUNCTION("GOOGLETRANSLATE(B79, ""en"", ""es"")"),"Nueva contraseña")</f>
        <v>Nueva contraseña</v>
      </c>
      <c r="E79" s="23" t="str">
        <f>IFERROR(__xludf.DUMMYFUNCTION("GOOGLETRANSLATE(B79, ""en"", ""ru"")"),"Новый пароль")</f>
        <v>Новый пароль</v>
      </c>
      <c r="F79" s="23" t="str">
        <f>IFERROR(__xludf.DUMMYFUNCTION("GOOGLETRANSLATE(B79, ""en"", ""tr"")"),"Yeni Şifre")</f>
        <v>Yeni Şifre</v>
      </c>
      <c r="G79" s="23" t="str">
        <f>IFERROR(__xludf.DUMMYFUNCTION("GOOGLETRANSLATE(B79, ""en"", ""pt"")"),"Nova Senha")</f>
        <v>Nova Senha</v>
      </c>
      <c r="H79" s="24" t="str">
        <f>IFERROR(__xludf.DUMMYFUNCTION("GOOGLETRANSLATE(B79, ""en"", ""de"")"),"Neues Kennwort")</f>
        <v>Neues Kennwort</v>
      </c>
      <c r="I79" s="23" t="str">
        <f>IFERROR(__xludf.DUMMYFUNCTION("GOOGLETRANSLATE(B79, ""en"", ""pl"")"),"Nowe hasło")</f>
        <v>Nowe hasło</v>
      </c>
      <c r="J79" s="25" t="str">
        <f>IFERROR(__xludf.DUMMYFUNCTION("GOOGLETRANSLATE(B79, ""en"", ""zh"")"),"新密码")</f>
        <v>新密码</v>
      </c>
      <c r="K79" s="25" t="str">
        <f>IFERROR(__xludf.DUMMYFUNCTION("GOOGLETRANSLATE(B79, ""en"", ""vi"")"),"Mật khẩu mới")</f>
        <v>Mật khẩu mới</v>
      </c>
      <c r="L79" s="26" t="str">
        <f>IFERROR(__xludf.DUMMYFUNCTION("GOOGLETRANSLATE(B79, ""en"", ""hr"")"),"Nova lozinka")</f>
        <v>Nova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""fr"")"),"mot de passe actuel incorrect")</f>
        <v>mot de passe actuel incorrect</v>
      </c>
      <c r="D80" s="23" t="str">
        <f>IFERROR(__xludf.DUMMYFUNCTION("GOOGLETRANSLATE(B80, ""en"", ""es"")"),"contraseña actual incorrecta")</f>
        <v>contraseña actual incorrecta</v>
      </c>
      <c r="E80" s="23" t="str">
        <f>IFERROR(__xludf.DUMMYFUNCTION("GOOGLETRANSLATE(B80, ""en"", ""ru"")"),"Некорректный текущий пароль")</f>
        <v>Некорректный текущий пароль</v>
      </c>
      <c r="F80" s="23" t="str">
        <f>IFERROR(__xludf.DUMMYFUNCTION("GOOGLETRANSLATE(B80, ""en"", ""tr"")"),"Yanlış akım şifre")</f>
        <v>Yanlış akım şifre</v>
      </c>
      <c r="G80" s="23" t="str">
        <f>IFERROR(__xludf.DUMMYFUNCTION("GOOGLETRANSLATE(B80, ""en"", ""pt"")"),"senha atual incorreta")</f>
        <v>senha atual incorreta</v>
      </c>
      <c r="H80" s="24" t="str">
        <f>IFERROR(__xludf.DUMMYFUNCTION("GOOGLETRANSLATE(B80, ""en"", ""de"")"),"Falsches aktuelles Passwort")</f>
        <v>Falsches aktuelles Passwort</v>
      </c>
      <c r="I80" s="23" t="str">
        <f>IFERROR(__xludf.DUMMYFUNCTION("GOOGLETRANSLATE(B80, ""en"", ""pl"")"),"Nieprawidłowe hasło prąd")</f>
        <v>Nieprawidłowe hasło prąd</v>
      </c>
      <c r="J80" s="25" t="str">
        <f>IFERROR(__xludf.DUMMYFUNCTION("GOOGLETRANSLATE(B80, ""en"", ""zh"")"),"不正确的当前密码")</f>
        <v>不正确的当前密码</v>
      </c>
      <c r="K80" s="25" t="str">
        <f>IFERROR(__xludf.DUMMYFUNCTION("GOOGLETRANSLATE(B80, ""en"", ""vi"")"),"mật khẩu hiện không chính xác")</f>
        <v>mật khẩu hiện không chính xác</v>
      </c>
      <c r="L80" s="26" t="str">
        <f>IFERROR(__xludf.DUMMYFUNCTION("GOOGLETRANSLATE(B80, ""en"", ""hr"")"),"Neispravno trenutna zaporka")</f>
        <v>Neispravno trenutna zaporka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changé")</f>
        <v>Mot de passe changé</v>
      </c>
      <c r="D81" s="23" t="str">
        <f>IFERROR(__xludf.DUMMYFUNCTION("GOOGLETRANSLATE(B81, ""en"", ""es"")"),"contraseña cambiada")</f>
        <v>contraseña cambiada</v>
      </c>
      <c r="E81" s="23" t="str">
        <f>IFERROR(__xludf.DUMMYFUNCTION("GOOGLETRANSLATE(B81, ""en"", ""ru"")"),"пароль изменен")</f>
        <v>пароль изменен</v>
      </c>
      <c r="F81" s="23" t="str">
        <f>IFERROR(__xludf.DUMMYFUNCTION("GOOGLETRANSLATE(B81, ""en"", ""tr"")"),"şifre değişti")</f>
        <v>şifre değişti</v>
      </c>
      <c r="G81" s="23" t="str">
        <f>IFERROR(__xludf.DUMMYFUNCTION("GOOGLETRANSLATE(B81, ""en"", ""pt"")"),"Senha alterada")</f>
        <v>Senha alterada</v>
      </c>
      <c r="H81" s="24" t="str">
        <f>IFERROR(__xludf.DUMMYFUNCTION("GOOGLETRANSLATE(B81, ""en"", ""de"")"),"Passwort geändert")</f>
        <v>Passwort geändert</v>
      </c>
      <c r="I81" s="23" t="str">
        <f>IFERROR(__xludf.DUMMYFUNCTION("GOOGLETRANSLATE(B81, ""en"", ""pl"")"),"Hasło zostało zmienione")</f>
        <v>Hasło zostało zmienione</v>
      </c>
      <c r="J81" s="25" t="str">
        <f>IFERROR(__xludf.DUMMYFUNCTION("GOOGLETRANSLATE(B81, ""en"", ""zh"")"),"密码已更改")</f>
        <v>密码已更改</v>
      </c>
      <c r="K81" s="25" t="str">
        <f>IFERROR(__xludf.DUMMYFUNCTION("GOOGLETRANSLATE(B81, ""en"", ""vi"")"),"mật khẩu đã được thay đổi")</f>
        <v>mật khẩu đã được thay đổi</v>
      </c>
      <c r="L81" s="26" t="str">
        <f>IFERROR(__xludf.DUMMYFUNCTION("GOOGLETRANSLATE(B81, ""en"", ""hr"")"),"Lozinka promijenio")</f>
        <v>Lozinka promijenio</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""fr"")"),"Nom du personnage actuel")</f>
        <v>Nom du personnage actuel</v>
      </c>
      <c r="D82" s="23" t="str">
        <f>IFERROR(__xludf.DUMMYFUNCTION("GOOGLETRANSLATE(B82, ""en"", ""es"")"),"Nombre del carácter actual")</f>
        <v>Nombre del carácter actual</v>
      </c>
      <c r="E82" s="23" t="str">
        <f>IFERROR(__xludf.DUMMYFUNCTION("GOOGLETRANSLATE(B82, ""en"", ""ru"")"),"Текущее имя персонажа")</f>
        <v>Текущее имя персонажа</v>
      </c>
      <c r="F82" s="23" t="str">
        <f>IFERROR(__xludf.DUMMYFUNCTION("GOOGLETRANSLATE(B82, ""en"", ""tr"")"),"Güncel karakter ismi")</f>
        <v>Güncel karakter ismi</v>
      </c>
      <c r="G82" s="23" t="str">
        <f>IFERROR(__xludf.DUMMYFUNCTION("GOOGLETRANSLATE(B82, ""en"", ""pt"")"),"nome do personagem atual")</f>
        <v>nome do personagem atual</v>
      </c>
      <c r="H82" s="24" t="str">
        <f>IFERROR(__xludf.DUMMYFUNCTION("GOOGLETRANSLATE(B82, ""en"", ""de"")"),"Aktuelle Charakternamen")</f>
        <v>Aktuelle Charakternamen</v>
      </c>
      <c r="I82" s="23" t="str">
        <f>IFERROR(__xludf.DUMMYFUNCTION("GOOGLETRANSLATE(B82, ""en"", ""pl"")"),"Obecna nazwa postaci")</f>
        <v>Obecna nazwa postaci</v>
      </c>
      <c r="J82" s="25" t="str">
        <f>IFERROR(__xludf.DUMMYFUNCTION("GOOGLETRANSLATE(B82, ""en"", ""zh"")"),"当前角色名")</f>
        <v>当前角色名</v>
      </c>
      <c r="K82" s="25" t="str">
        <f>IFERROR(__xludf.DUMMYFUNCTION("GOOGLETRANSLATE(B82, ""en"", ""vi"")"),"tên nhân vật hiện tại")</f>
        <v>tên nhân vật hiện tại</v>
      </c>
      <c r="L82" s="26" t="str">
        <f>IFERROR(__xludf.DUMMYFUNCTION("GOOGLETRANSLATE(B82, ""en"", ""hr"")"),"Trenutni naziv karakter")</f>
        <v>Trenutni naziv karakter</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""fr"")"),"Nouveau nom de personnage")</f>
        <v>Nouveau nom de personnage</v>
      </c>
      <c r="D83" s="23" t="str">
        <f>IFERROR(__xludf.DUMMYFUNCTION("GOOGLETRANSLATE(B83, ""en"", ""es"")"),"Nuevo nombre del personaje")</f>
        <v>Nuevo nombre del personaje</v>
      </c>
      <c r="E83" s="23" t="str">
        <f>IFERROR(__xludf.DUMMYFUNCTION("GOOGLETRANSLATE(B83, ""en"", ""ru"")"),"Новое имя персонажа")</f>
        <v>Новое имя персонажа</v>
      </c>
      <c r="F83" s="23" t="str">
        <f>IFERROR(__xludf.DUMMYFUNCTION("GOOGLETRANSLATE(B83, ""en"", ""tr"")"),"Yeni karakter ismi")</f>
        <v>Yeni karakter ismi</v>
      </c>
      <c r="G83" s="23" t="str">
        <f>IFERROR(__xludf.DUMMYFUNCTION("GOOGLETRANSLATE(B83, ""en"", ""pt"")"),"Nome do novo personagem")</f>
        <v>Nome do novo personagem</v>
      </c>
      <c r="H83" s="24" t="str">
        <f>IFERROR(__xludf.DUMMYFUNCTION("GOOGLETRANSLATE(B83, ""en"", ""de"")"),"Neue Charakternamen")</f>
        <v>Neue Charakternamen</v>
      </c>
      <c r="I83" s="23" t="str">
        <f>IFERROR(__xludf.DUMMYFUNCTION("GOOGLETRANSLATE(B83, ""en"", ""pl"")"),"Nowa nazwa postaci")</f>
        <v>Nowa nazwa postaci</v>
      </c>
      <c r="J83" s="25" t="str">
        <f>IFERROR(__xludf.DUMMYFUNCTION("GOOGLETRANSLATE(B83, ""en"", ""zh"")"),"新角色的名字")</f>
        <v>新角色的名字</v>
      </c>
      <c r="K83" s="25" t="str">
        <f>IFERROR(__xludf.DUMMYFUNCTION("GOOGLETRANSLATE(B83, ""en"", ""vi"")"),"Tên nhân vật mới")</f>
        <v>Tên nhân vật mới</v>
      </c>
      <c r="L83" s="26" t="str">
        <f>IFERROR(__xludf.DUMMYFUNCTION("GOOGLETRANSLATE(B83, ""en"", ""hr"")"),"Novi naziv karakter")</f>
        <v>Novi naziv karakter</v>
      </c>
      <c r="M83" s="28"/>
      <c r="N83" s="28"/>
      <c r="O83" s="28"/>
      <c r="P83" s="28"/>
      <c r="Q83" s="28"/>
      <c r="R83" s="28"/>
      <c r="S83" s="28"/>
      <c r="T83" s="28"/>
      <c r="U83" s="28"/>
      <c r="V83" s="28"/>
      <c r="W83" s="28"/>
      <c r="X83" s="28"/>
      <c r="Y83" s="28"/>
      <c r="Z83" s="28"/>
      <c r="AA83" s="28"/>
      <c r="AB83" s="28"/>
    </row>
    <row r="84">
      <c r="A84" s="21" t="s">
        <v>155</v>
      </c>
      <c r="B84" s="22" t="s">
        <v>156</v>
      </c>
      <c r="C84" s="23" t="str">
        <f>IFERROR(__xludf.DUMMYFUNCTION("GOOGLETRANSLATE(B84, ""en"", ""fr"")"),"Nouveau nom requis.")</f>
        <v>Nouveau nom requis.</v>
      </c>
      <c r="D84" s="23" t="str">
        <f>IFERROR(__xludf.DUMMYFUNCTION("GOOGLETRANSLATE(B84, ""en"", ""es"")"),"Nuevo nombre requerido.")</f>
        <v>Nuevo nombre requerido.</v>
      </c>
      <c r="E84" s="23" t="str">
        <f>IFERROR(__xludf.DUMMYFUNCTION("GOOGLETRANSLATE(B84, ""en"", ""ru"")"),"Новое имя требуется.")</f>
        <v>Новое имя требуется.</v>
      </c>
      <c r="F84" s="23" t="str">
        <f>IFERROR(__xludf.DUMMYFUNCTION("GOOGLETRANSLATE(B84, ""en"", ""tr"")"),"Yeni adı gerekiyor.")</f>
        <v>Yeni adı gerekiyor.</v>
      </c>
      <c r="G84" s="23" t="str">
        <f>IFERROR(__xludf.DUMMYFUNCTION("GOOGLETRANSLATE(B84, ""en"", ""pt"")"),"Novo nome necessário.")</f>
        <v>Novo nome necessário.</v>
      </c>
      <c r="H84" s="24" t="str">
        <f>IFERROR(__xludf.DUMMYFUNCTION("GOOGLETRANSLATE(B84, ""en"", ""de"")"),"Neuer Name erforderlich.")</f>
        <v>Neuer Name erforderlich.</v>
      </c>
      <c r="I84" s="23" t="str">
        <f>IFERROR(__xludf.DUMMYFUNCTION("GOOGLETRANSLATE(B84, ""en"", ""pl"")"),"wymagana nowa nazwa.")</f>
        <v>wymagana nowa nazwa.</v>
      </c>
      <c r="J84" s="25" t="str">
        <f>IFERROR(__xludf.DUMMYFUNCTION("GOOGLETRANSLATE(B84, ""en"", ""zh"")"),"新的名称必需的。")</f>
        <v>新的名称必需的。</v>
      </c>
      <c r="K84" s="25" t="str">
        <f>IFERROR(__xludf.DUMMYFUNCTION("GOOGLETRANSLATE(B84, ""en"", ""vi"")"),"tên mới yêu cầu.")</f>
        <v>tên mới yêu cầu.</v>
      </c>
      <c r="L84" s="26" t="str">
        <f>IFERROR(__xludf.DUMMYFUNCTION("GOOGLETRANSLATE(B84, ""en"", ""hr"")"),"Novo ime je potrebno.")</f>
        <v>Novo ime je potrebno.</v>
      </c>
      <c r="M84" s="28"/>
      <c r="N84" s="28"/>
      <c r="O84" s="28"/>
      <c r="P84" s="28"/>
      <c r="Q84" s="28"/>
      <c r="R84" s="28"/>
      <c r="S84" s="28"/>
      <c r="T84" s="28"/>
      <c r="U84" s="28"/>
      <c r="V84" s="28"/>
      <c r="W84" s="28"/>
      <c r="X84" s="28"/>
      <c r="Y84" s="28"/>
      <c r="Z84" s="28"/>
      <c r="AA84" s="28"/>
      <c r="AB84" s="28"/>
    </row>
    <row r="85">
      <c r="A85" s="21" t="s">
        <v>157</v>
      </c>
      <c r="B85" s="22" t="s">
        <v>158</v>
      </c>
      <c r="C85" s="23" t="str">
        <f>IFERROR(__xludf.DUMMYFUNCTION("GOOGLETRANSLATE(B85, ""en"", ""fr"")"),"Nouveau nom doit être différent du nom actuel.")</f>
        <v>Nouveau nom doit être différent du nom actuel.</v>
      </c>
      <c r="D85" s="23" t="str">
        <f>IFERROR(__xludf.DUMMYFUNCTION("GOOGLETRANSLATE(B85, ""en"", ""es"")"),"El nombre nuevo debe ser diferente que el nombre actual.")</f>
        <v>El nombre nuevo debe ser diferente que el nombre actual.</v>
      </c>
      <c r="E85" s="23" t="str">
        <f>IFERROR(__xludf.DUMMYFUNCTION("GOOGLETRANSLATE(B85, ""en"", ""ru"")"),"Новое имя должно отличаться от имени текущего.")</f>
        <v>Новое имя должно отличаться от имени текущего.</v>
      </c>
      <c r="F85" s="23" t="str">
        <f>IFERROR(__xludf.DUMMYFUNCTION("GOOGLETRANSLATE(B85, ""en"", ""tr"")"),"Yeni isim şimdiki adıyla farklı olmalıdır.")</f>
        <v>Yeni isim şimdiki adıyla farklı olmalıdır.</v>
      </c>
      <c r="G85" s="23" t="str">
        <f>IFERROR(__xludf.DUMMYFUNCTION("GOOGLETRANSLATE(B85, ""en"", ""pt"")"),"Novo nome deve ser diferente do nome atual.")</f>
        <v>Novo nome deve ser diferente do nome atual.</v>
      </c>
      <c r="H85" s="24" t="str">
        <f>IFERROR(__xludf.DUMMYFUNCTION("GOOGLETRANSLATE(B85, ""en"", ""de"")"),"Neuer Name als aktuelle Namen anders sein muss.")</f>
        <v>Neuer Name als aktuelle Namen anders sein muss.</v>
      </c>
      <c r="I85" s="23" t="str">
        <f>IFERROR(__xludf.DUMMYFUNCTION("GOOGLETRANSLATE(B85, ""en"", ""pl"")"),"Nowa nazwa musi być inna niż obecna nazwa.")</f>
        <v>Nowa nazwa musi być inna niż obecna nazwa.</v>
      </c>
      <c r="J85" s="25" t="str">
        <f>IFERROR(__xludf.DUMMYFUNCTION("GOOGLETRANSLATE(B85, ""en"", ""zh"")"),"新名称必须比目前的名称不同。")</f>
        <v>新名称必须比目前的名称不同。</v>
      </c>
      <c r="K85" s="25" t="str">
        <f>IFERROR(__xludf.DUMMYFUNCTION("GOOGLETRANSLATE(B85, ""en"", ""vi"")"),"tên mới phải khác với tên hiện tại.")</f>
        <v>tên mới phải khác với tên hiện tại.</v>
      </c>
      <c r="L85" s="26" t="str">
        <f>IFERROR(__xludf.DUMMYFUNCTION("GOOGLETRANSLATE(B85, ""en"", ""hr"")"),"Novo ime mora biti različita od sadašnje ime.")</f>
        <v>Novo ime mora biti različita od sadašnje ime.</v>
      </c>
      <c r="M85" s="28"/>
      <c r="N85" s="28"/>
      <c r="O85" s="28"/>
      <c r="P85" s="28"/>
      <c r="Q85" s="28"/>
      <c r="R85" s="28"/>
      <c r="S85" s="28"/>
      <c r="T85" s="28"/>
      <c r="U85" s="28"/>
      <c r="V85" s="28"/>
      <c r="W85" s="28"/>
      <c r="X85" s="28"/>
      <c r="Y85" s="28"/>
      <c r="Z85" s="28"/>
      <c r="AA85" s="28"/>
      <c r="AB85" s="28"/>
    </row>
    <row r="86">
      <c r="A86" s="21" t="s">
        <v>159</v>
      </c>
      <c r="B86" s="22" t="s">
        <v>160</v>
      </c>
      <c r="C86" s="23" t="str">
        <f>IFERROR(__xludf.DUMMYFUNCTION("GOOGLETRANSLATE(B86, ""en"", ""fr"")"),"Nom du personnage a changé.")</f>
        <v>Nom du personnage a changé.</v>
      </c>
      <c r="D86" s="23" t="str">
        <f>IFERROR(__xludf.DUMMYFUNCTION("GOOGLETRANSLATE(B86, ""en"", ""es"")"),"Nombre del personaje cambió.")</f>
        <v>Nombre del personaje cambió.</v>
      </c>
      <c r="E86" s="23" t="str">
        <f>IFERROR(__xludf.DUMMYFUNCTION("GOOGLETRANSLATE(B86, ""en"", ""ru"")"),"Имя персонажа изменилось.")</f>
        <v>Имя персонажа изменилось.</v>
      </c>
      <c r="F86" s="23" t="str">
        <f>IFERROR(__xludf.DUMMYFUNCTION("GOOGLETRANSLATE(B86, ""en"", ""tr"")"),"Karakter adı değiştirildi.")</f>
        <v>Karakter adı değiştirildi.</v>
      </c>
      <c r="G86" s="23" t="str">
        <f>IFERROR(__xludf.DUMMYFUNCTION("GOOGLETRANSLATE(B86, ""en"", ""pt"")"),"Nome do personagem mudou.")</f>
        <v>Nome do personagem mudou.</v>
      </c>
      <c r="H86" s="24" t="str">
        <f>IFERROR(__xludf.DUMMYFUNCTION("GOOGLETRANSLATE(B86, ""en"", ""de"")"),"Name geändert.")</f>
        <v>Name geändert.</v>
      </c>
      <c r="I86" s="23" t="str">
        <f>IFERROR(__xludf.DUMMYFUNCTION("GOOGLETRANSLATE(B86, ""en"", ""pl"")"),"nazwa postaci zmieniona.")</f>
        <v>nazwa postaci zmieniona.</v>
      </c>
      <c r="J86" s="25" t="str">
        <f>IFERROR(__xludf.DUMMYFUNCTION("GOOGLETRANSLATE(B86, ""en"", ""zh"")"),"汉字名称变更。")</f>
        <v>汉字名称变更。</v>
      </c>
      <c r="K86" s="25" t="str">
        <f>IFERROR(__xludf.DUMMYFUNCTION("GOOGLETRANSLATE(B86, ""en"", ""vi"")"),"Tên nhân vật đã thay đổi.")</f>
        <v>Tên nhân vật đã thay đổi.</v>
      </c>
      <c r="L86" s="26" t="str">
        <f>IFERROR(__xludf.DUMMYFUNCTION("GOOGLETRANSLATE(B86, ""en"", ""hr"")"),"promijenio ime karakter.")</f>
        <v>promijenio ime karakter.</v>
      </c>
      <c r="M86" s="28"/>
      <c r="N86" s="28"/>
      <c r="O86" s="28"/>
      <c r="P86" s="28"/>
      <c r="Q86" s="28"/>
      <c r="R86" s="28"/>
      <c r="S86" s="28"/>
      <c r="T86" s="28"/>
      <c r="U86" s="28"/>
      <c r="V86" s="28"/>
      <c r="W86" s="28"/>
      <c r="X86" s="28"/>
      <c r="Y86" s="28"/>
      <c r="Z86" s="28"/>
      <c r="AA86" s="28"/>
      <c r="AB86" s="28"/>
    </row>
    <row r="87">
      <c r="A87" s="21" t="s">
        <v>161</v>
      </c>
      <c r="B87" s="22" t="s">
        <v>162</v>
      </c>
      <c r="C87" s="23" t="str">
        <f>IFERROR(__xludf.DUMMYFUNCTION("GOOGLETRANSLATE(B87, ""en"", ""fr"")"),"articles d'achat")</f>
        <v>articles d'achat</v>
      </c>
      <c r="D87" s="23" t="str">
        <f>IFERROR(__xludf.DUMMYFUNCTION("GOOGLETRANSLATE(B87, ""en"", ""es"")"),"artículos de compra")</f>
        <v>artículos de compra</v>
      </c>
      <c r="E87" s="23" t="str">
        <f>IFERROR(__xludf.DUMMYFUNCTION("GOOGLETRANSLATE(B87, ""en"", ""ru"")"),"пункты Покупка")</f>
        <v>пункты Покупка</v>
      </c>
      <c r="F87" s="23" t="str">
        <f>IFERROR(__xludf.DUMMYFUNCTION("GOOGLETRANSLATE(B87, ""en"", ""tr"")"),"Alış ürün")</f>
        <v>Alış ürün</v>
      </c>
      <c r="G87" s="23" t="str">
        <f>IFERROR(__xludf.DUMMYFUNCTION("GOOGLETRANSLATE(B87, ""en"", ""pt"")"),"itens de compra")</f>
        <v>itens de compra</v>
      </c>
      <c r="H87" s="24" t="str">
        <f>IFERROR(__xludf.DUMMYFUNCTION("GOOGLETRANSLATE(B87, ""en"", ""de"")"),"Kaufen Sie Artikel")</f>
        <v>Kaufen Sie Artikel</v>
      </c>
      <c r="I87" s="23" t="str">
        <f>IFERROR(__xludf.DUMMYFUNCTION("GOOGLETRANSLATE(B87, ""en"", ""pl"")"),"Kupowanie przedmiotów")</f>
        <v>Kupowanie przedmiotów</v>
      </c>
      <c r="J87" s="25" t="str">
        <f>IFERROR(__xludf.DUMMYFUNCTION("GOOGLETRANSLATE(B87, ""en"", ""zh"")"),"购买物品")</f>
        <v>购买物品</v>
      </c>
      <c r="K87" s="25" t="str">
        <f>IFERROR(__xludf.DUMMYFUNCTION("GOOGLETRANSLATE(B87, ""en"", ""vi"")"),"mục mua")</f>
        <v>mục mua</v>
      </c>
      <c r="L87" s="26" t="str">
        <f>IFERROR(__xludf.DUMMYFUNCTION("GOOGLETRANSLATE(B87, ""en"", ""hr"")"),"stavke Kupnja")</f>
        <v>stavke Kupnja</v>
      </c>
      <c r="M87" s="28"/>
      <c r="N87" s="28"/>
      <c r="O87" s="28"/>
      <c r="P87" s="28"/>
      <c r="Q87" s="28"/>
      <c r="R87" s="28"/>
      <c r="S87" s="28"/>
      <c r="T87" s="28"/>
      <c r="U87" s="28"/>
      <c r="V87" s="28"/>
      <c r="W87" s="28"/>
      <c r="X87" s="28"/>
      <c r="Y87" s="28"/>
      <c r="Z87" s="28"/>
      <c r="AA87" s="28"/>
      <c r="AB87" s="28"/>
    </row>
    <row r="88">
      <c r="A88" s="21" t="s">
        <v>163</v>
      </c>
      <c r="B88" s="22" t="s">
        <v>164</v>
      </c>
      <c r="C88" s="23" t="str">
        <f>IFERROR(__xludf.DUMMYFUNCTION("GOOGLETRANSLATE(B88, ""en"", ""fr"")"),"La cueillette")</f>
        <v>La cueillette</v>
      </c>
      <c r="D88" s="23" t="str">
        <f>IFERROR(__xludf.DUMMYFUNCTION("GOOGLETRANSLATE(B88, ""en"", ""es"")"),"Reunión")</f>
        <v>Reunión</v>
      </c>
      <c r="E88" s="23" t="str">
        <f>IFERROR(__xludf.DUMMYFUNCTION("GOOGLETRANSLATE(B88, ""en"", ""ru"")"),"Встреча")</f>
        <v>Встреча</v>
      </c>
      <c r="F88" s="23" t="str">
        <f>IFERROR(__xludf.DUMMYFUNCTION("GOOGLETRANSLATE(B88, ""en"", ""tr"")"),"toplanma")</f>
        <v>toplanma</v>
      </c>
      <c r="G88" s="23" t="str">
        <f>IFERROR(__xludf.DUMMYFUNCTION("GOOGLETRANSLATE(B88, ""en"", ""pt"")"),"Reunião")</f>
        <v>Reunião</v>
      </c>
      <c r="H88" s="24" t="str">
        <f>IFERROR(__xludf.DUMMYFUNCTION("GOOGLETRANSLATE(B88, ""en"", ""de"")"),"Versammlung")</f>
        <v>Versammlung</v>
      </c>
      <c r="I88" s="23" t="str">
        <f>IFERROR(__xludf.DUMMYFUNCTION("GOOGLETRANSLATE(B88, ""en"", ""pl"")"),"Zebranie")</f>
        <v>Zebranie</v>
      </c>
      <c r="J88" s="25" t="str">
        <f>IFERROR(__xludf.DUMMYFUNCTION("GOOGLETRANSLATE(B88, ""en"", ""zh"")"),"搜集")</f>
        <v>搜集</v>
      </c>
      <c r="K88" s="25" t="str">
        <f>IFERROR(__xludf.DUMMYFUNCTION("GOOGLETRANSLATE(B88, ""en"", ""vi"")"),"Thu thập")</f>
        <v>Thu thập</v>
      </c>
      <c r="L88" s="26" t="str">
        <f>IFERROR(__xludf.DUMMYFUNCTION("GOOGLETRANSLATE(B88, ""en"", ""hr"")"),"Prikupljanje")</f>
        <v>Prikupljanje</v>
      </c>
      <c r="M88" s="28"/>
      <c r="N88" s="28"/>
      <c r="O88" s="28"/>
      <c r="P88" s="28"/>
      <c r="Q88" s="28"/>
      <c r="R88" s="28"/>
      <c r="S88" s="28"/>
      <c r="T88" s="28"/>
      <c r="U88" s="28"/>
      <c r="V88" s="28"/>
      <c r="W88" s="28"/>
      <c r="X88" s="28"/>
      <c r="Y88" s="28"/>
      <c r="Z88" s="28"/>
      <c r="AA88" s="28"/>
      <c r="AB88" s="28"/>
    </row>
    <row r="89">
      <c r="A89" s="21" t="s">
        <v>165</v>
      </c>
      <c r="B89" s="22" t="s">
        <v>166</v>
      </c>
      <c r="C89" s="23" t="str">
        <f>IFERROR(__xludf.DUMMYFUNCTION("GOOGLETRANSLATE(B89, ""en"", ""fr"")"),"vêtements Crafting")</f>
        <v>vêtements Crafting</v>
      </c>
      <c r="D89" s="23" t="str">
        <f>IFERROR(__xludf.DUMMYFUNCTION("GOOGLETRANSLATE(B89, ""en"", ""es"")"),"La elaboración de la ropa")</f>
        <v>La elaboración de la ropa</v>
      </c>
      <c r="E89" s="23" t="str">
        <f>IFERROR(__xludf.DUMMYFUNCTION("GOOGLETRANSLATE(B89, ""en"", ""ru"")"),"Крафт одежды")</f>
        <v>Крафт одежды</v>
      </c>
      <c r="F89" s="23" t="str">
        <f>IFERROR(__xludf.DUMMYFUNCTION("GOOGLETRANSLATE(B89, ""en"", ""tr"")"),"kıyafet hazırlama")</f>
        <v>kıyafet hazırlama</v>
      </c>
      <c r="G89" s="23" t="str">
        <f>IFERROR(__xludf.DUMMYFUNCTION("GOOGLETRANSLATE(B89, ""en"", ""pt"")"),"Crafting roupas")</f>
        <v>Crafting roupas</v>
      </c>
      <c r="H89" s="24" t="str">
        <f>IFERROR(__xludf.DUMMYFUNCTION("GOOGLETRANSLATE(B89, ""en"", ""de"")"),"Crafting Kleidung")</f>
        <v>Crafting Kleidung</v>
      </c>
      <c r="I89" s="23" t="str">
        <f>IFERROR(__xludf.DUMMYFUNCTION("GOOGLETRANSLATE(B89, ""en"", ""pl"")"),"Crafting ubrania")</f>
        <v>Crafting ubrania</v>
      </c>
      <c r="J89" s="25" t="str">
        <f>IFERROR(__xludf.DUMMYFUNCTION("GOOGLETRANSLATE(B89, ""en"", ""zh"")"),"各具特色的衣服")</f>
        <v>各具特色的衣服</v>
      </c>
      <c r="K89" s="25" t="str">
        <f>IFERROR(__xludf.DUMMYFUNCTION("GOOGLETRANSLATE(B89, ""en"", ""vi"")"),"crafting quần áo")</f>
        <v>crafting quần áo</v>
      </c>
      <c r="L89" s="26" t="str">
        <f>IFERROR(__xludf.DUMMYFUNCTION("GOOGLETRANSLATE(B89, ""en"", ""hr"")"),"Crafting odjeću")</f>
        <v>Crafting odjeću</v>
      </c>
      <c r="M89" s="28"/>
      <c r="N89" s="28"/>
      <c r="O89" s="28"/>
      <c r="P89" s="28"/>
      <c r="Q89" s="28"/>
      <c r="R89" s="28"/>
      <c r="S89" s="28"/>
      <c r="T89" s="28"/>
      <c r="U89" s="28"/>
      <c r="V89" s="28"/>
      <c r="W89" s="28"/>
      <c r="X89" s="28"/>
      <c r="Y89" s="28"/>
      <c r="Z89" s="28"/>
      <c r="AA89" s="28"/>
      <c r="AB89" s="28"/>
    </row>
    <row r="90">
      <c r="A90" s="21" t="s">
        <v>167</v>
      </c>
      <c r="B90" s="22" t="s">
        <v>168</v>
      </c>
      <c r="C90" s="23" t="str">
        <f>IFERROR(__xludf.DUMMYFUNCTION("GOOGLETRANSLATE(B90, ""en"", ""fr"")"),"barres métalliques d'artisanat")</f>
        <v>barres métalliques d'artisanat</v>
      </c>
      <c r="D90" s="23" t="str">
        <f>IFERROR(__xludf.DUMMYFUNCTION("GOOGLETRANSLATE(B90, ""en"", ""es"")"),"La elaboración de barras de metal")</f>
        <v>La elaboración de barras de metal</v>
      </c>
      <c r="E90" s="23" t="str">
        <f>IFERROR(__xludf.DUMMYFUNCTION("GOOGLETRANSLATE(B90, ""en"", ""ru"")"),"Крафт металлических прутков")</f>
        <v>Крафт металлических прутков</v>
      </c>
      <c r="F90" s="23" t="str">
        <f>IFERROR(__xludf.DUMMYFUNCTION("GOOGLETRANSLATE(B90, ""en"", ""tr"")"),"metal çubuklar hazırlama")</f>
        <v>metal çubuklar hazırlama</v>
      </c>
      <c r="G90" s="23" t="str">
        <f>IFERROR(__xludf.DUMMYFUNCTION("GOOGLETRANSLATE(B90, ""en"", ""pt"")"),"Elaboração de barras de metal")</f>
        <v>Elaboração de barras de metal</v>
      </c>
      <c r="H90" s="24" t="str">
        <f>IFERROR(__xludf.DUMMYFUNCTION("GOOGLETRANSLATE(B90, ""en"", ""de"")"),"Crafting Metallstangen")</f>
        <v>Crafting Metallstangen</v>
      </c>
      <c r="I90" s="23" t="str">
        <f>IFERROR(__xludf.DUMMYFUNCTION("GOOGLETRANSLATE(B90, ""en"", ""pl"")"),"Crafting prętów metalowych")</f>
        <v>Crafting prętów metalowych</v>
      </c>
      <c r="J90" s="25" t="str">
        <f>IFERROR(__xludf.DUMMYFUNCTION("GOOGLETRANSLATE(B90, ""en"", ""zh"")"),"各具特色的金属条")</f>
        <v>各具特色的金属条</v>
      </c>
      <c r="K90" s="25" t="str">
        <f>IFERROR(__xludf.DUMMYFUNCTION("GOOGLETRANSLATE(B90, ""en"", ""vi"")"),"Phác thảo các thanh kim loại")</f>
        <v>Phác thảo các thanh kim loại</v>
      </c>
      <c r="L90" s="26" t="str">
        <f>IFERROR(__xludf.DUMMYFUNCTION("GOOGLETRANSLATE(B90, ""en"", ""hr"")"),"Lukavost metalnih šipki")</f>
        <v>Lukavost metalnih šipki</v>
      </c>
      <c r="M90" s="28"/>
      <c r="N90" s="28"/>
      <c r="O90" s="28"/>
      <c r="P90" s="28"/>
      <c r="Q90" s="28"/>
      <c r="R90" s="28"/>
      <c r="S90" s="28"/>
      <c r="T90" s="28"/>
      <c r="U90" s="28"/>
      <c r="V90" s="28"/>
      <c r="W90" s="28"/>
      <c r="X90" s="28"/>
      <c r="Y90" s="28"/>
      <c r="Z90" s="28"/>
      <c r="AA90" s="28"/>
      <c r="AB90" s="28"/>
    </row>
    <row r="91">
      <c r="A91" s="21" t="s">
        <v>169</v>
      </c>
      <c r="B91" s="22" t="s">
        <v>170</v>
      </c>
      <c r="C91" s="23" t="str">
        <f>IFERROR(__xludf.DUMMYFUNCTION("GOOGLETRANSLATE(B91, ""en"", ""fr"")"),"armes Crafting")</f>
        <v>armes Crafting</v>
      </c>
      <c r="D91" s="23" t="str">
        <f>IFERROR(__xludf.DUMMYFUNCTION("GOOGLETRANSLATE(B91, ""en"", ""es"")"),"armas de artesanía")</f>
        <v>armas de artesanía</v>
      </c>
      <c r="E91" s="23" t="str">
        <f>IFERROR(__xludf.DUMMYFUNCTION("GOOGLETRANSLATE(B91, ""en"", ""ru"")"),"Крафт оружия")</f>
        <v>Крафт оружия</v>
      </c>
      <c r="F91" s="23" t="str">
        <f>IFERROR(__xludf.DUMMYFUNCTION("GOOGLETRANSLATE(B91, ""en"", ""tr"")"),"işçiliği silahlar")</f>
        <v>işçiliği silahlar</v>
      </c>
      <c r="G91" s="23" t="str">
        <f>IFERROR(__xludf.DUMMYFUNCTION("GOOGLETRANSLATE(B91, ""en"", ""pt"")"),"armas Crafting")</f>
        <v>armas Crafting</v>
      </c>
      <c r="H91" s="24" t="str">
        <f>IFERROR(__xludf.DUMMYFUNCTION("GOOGLETRANSLATE(B91, ""en"", ""de"")"),"Crafting Waffen")</f>
        <v>Crafting Waffen</v>
      </c>
      <c r="I91" s="23" t="str">
        <f>IFERROR(__xludf.DUMMYFUNCTION("GOOGLETRANSLATE(B91, ""en"", ""pl"")"),"broń Crafting")</f>
        <v>broń Crafting</v>
      </c>
      <c r="J91" s="25" t="str">
        <f>IFERROR(__xludf.DUMMYFUNCTION("GOOGLETRANSLATE(B91, ""en"", ""zh"")"),"各具特色的武器")</f>
        <v>各具特色的武器</v>
      </c>
      <c r="K91" s="25" t="str">
        <f>IFERROR(__xludf.DUMMYFUNCTION("GOOGLETRANSLATE(B91, ""en"", ""vi"")"),"vũ khí crafting")</f>
        <v>vũ khí crafting</v>
      </c>
      <c r="L91" s="26" t="str">
        <f>IFERROR(__xludf.DUMMYFUNCTION("GOOGLETRANSLATE(B91, ""en"", ""hr"")"),"crafting oružja")</f>
        <v>crafting oružja</v>
      </c>
      <c r="M91" s="28"/>
      <c r="N91" s="28"/>
      <c r="O91" s="28"/>
      <c r="P91" s="28"/>
      <c r="Q91" s="28"/>
      <c r="R91" s="28"/>
      <c r="S91" s="28"/>
      <c r="T91" s="28"/>
      <c r="U91" s="28"/>
      <c r="V91" s="28"/>
      <c r="W91" s="28"/>
      <c r="X91" s="28"/>
      <c r="Y91" s="28"/>
      <c r="Z91" s="28"/>
      <c r="AA91" s="28"/>
      <c r="AB91" s="28"/>
    </row>
    <row r="92">
      <c r="A92" s="21" t="s">
        <v>171</v>
      </c>
      <c r="B92" s="22" t="s">
        <v>172</v>
      </c>
      <c r="C92" s="23" t="str">
        <f>IFERROR(__xludf.DUMMYFUNCTION("GOOGLETRANSLATE(B92, ""en"", ""fr"")"),"Bancaire")</f>
        <v>Bancaire</v>
      </c>
      <c r="D92" s="23" t="str">
        <f>IFERROR(__xludf.DUMMYFUNCTION("GOOGLETRANSLATE(B92, ""en"", ""es"")"),"Bancario")</f>
        <v>Bancario</v>
      </c>
      <c r="E92" s="23" t="str">
        <f>IFERROR(__xludf.DUMMYFUNCTION("GOOGLETRANSLATE(B92, ""en"", ""ru"")"),"Банковское дело")</f>
        <v>Банковское дело</v>
      </c>
      <c r="F92" s="23" t="str">
        <f>IFERROR(__xludf.DUMMYFUNCTION("GOOGLETRANSLATE(B92, ""en"", ""tr"")"),"Bankacılık")</f>
        <v>Bankacılık</v>
      </c>
      <c r="G92" s="23" t="str">
        <f>IFERROR(__xludf.DUMMYFUNCTION("GOOGLETRANSLATE(B92, ""en"", ""pt"")"),"Bancário")</f>
        <v>Bancário</v>
      </c>
      <c r="H92" s="24" t="str">
        <f>IFERROR(__xludf.DUMMYFUNCTION("GOOGLETRANSLATE(B92, ""en"", ""de"")"),"Bankwesen")</f>
        <v>Bankwesen</v>
      </c>
      <c r="I92" s="23" t="str">
        <f>IFERROR(__xludf.DUMMYFUNCTION("GOOGLETRANSLATE(B92, ""en"", ""pl"")"),"Bankowość")</f>
        <v>Bankowość</v>
      </c>
      <c r="J92" s="25" t="str">
        <f>IFERROR(__xludf.DUMMYFUNCTION("GOOGLETRANSLATE(B92, ""en"", ""zh"")"),"银行业")</f>
        <v>银行业</v>
      </c>
      <c r="K92" s="25" t="str">
        <f>IFERROR(__xludf.DUMMYFUNCTION("GOOGLETRANSLATE(B92, ""en"", ""vi"")"),"ngân hàng")</f>
        <v>ngân hàng</v>
      </c>
      <c r="L92" s="26" t="str">
        <f>IFERROR(__xludf.DUMMYFUNCTION("GOOGLETRANSLATE(B92, ""en"", ""hr"")"),"Bankarstvo")</f>
        <v>Bankarstvo</v>
      </c>
      <c r="M92" s="28"/>
      <c r="N92" s="28"/>
      <c r="O92" s="28"/>
      <c r="P92" s="28"/>
      <c r="Q92" s="28"/>
      <c r="R92" s="28"/>
      <c r="S92" s="28"/>
      <c r="T92" s="28"/>
      <c r="U92" s="28"/>
      <c r="V92" s="28"/>
      <c r="W92" s="28"/>
      <c r="X92" s="28"/>
      <c r="Y92" s="28"/>
      <c r="Z92" s="28"/>
      <c r="AA92" s="28"/>
      <c r="AB92" s="28"/>
    </row>
    <row r="93">
      <c r="A93" s="21" t="s">
        <v>173</v>
      </c>
      <c r="B93" s="22" t="s">
        <v>174</v>
      </c>
      <c r="C93" s="23" t="str">
        <f>IFERROR(__xludf.DUMMYFUNCTION("GOOGLETRANSLATE(B93, ""en"", ""fr"")"),"Combat")</f>
        <v>Combat</v>
      </c>
      <c r="D93" s="23" t="str">
        <f>IFERROR(__xludf.DUMMYFUNCTION("GOOGLETRANSLATE(B93, ""en"", ""es"")"),"Combate")</f>
        <v>Combate</v>
      </c>
      <c r="E93" s="23" t="str">
        <f>IFERROR(__xludf.DUMMYFUNCTION("GOOGLETRANSLATE(B93, ""en"", ""ru"")"),"бой")</f>
        <v>бой</v>
      </c>
      <c r="F93" s="23" t="str">
        <f>IFERROR(__xludf.DUMMYFUNCTION("GOOGLETRANSLATE(B93, ""en"", ""tr"")"),"savaş")</f>
        <v>savaş</v>
      </c>
      <c r="G93" s="23" t="str">
        <f>IFERROR(__xludf.DUMMYFUNCTION("GOOGLETRANSLATE(B93, ""en"", ""pt"")"),"Combate")</f>
        <v>Combate</v>
      </c>
      <c r="H93" s="24" t="str">
        <f>IFERROR(__xludf.DUMMYFUNCTION("GOOGLETRANSLATE(B93, ""en"", ""de"")"),"Kampf")</f>
        <v>Kampf</v>
      </c>
      <c r="I93" s="23" t="str">
        <f>IFERROR(__xludf.DUMMYFUNCTION("GOOGLETRANSLATE(B93, ""en"", ""pl"")"),"Walka")</f>
        <v>Walka</v>
      </c>
      <c r="J93" s="25" t="str">
        <f>IFERROR(__xludf.DUMMYFUNCTION("GOOGLETRANSLATE(B93, ""en"", ""zh"")"),"战斗")</f>
        <v>战斗</v>
      </c>
      <c r="K93" s="25" t="str">
        <f>IFERROR(__xludf.DUMMYFUNCTION("GOOGLETRANSLATE(B93, ""en"", ""vi"")"),"Chiến đấu")</f>
        <v>Chiến đấu</v>
      </c>
      <c r="L93" s="26" t="str">
        <f>IFERROR(__xludf.DUMMYFUNCTION("GOOGLETRANSLATE(B93, ""en"", ""hr"")"),"borba")</f>
        <v>borba</v>
      </c>
      <c r="M93" s="28"/>
      <c r="N93" s="28"/>
      <c r="O93" s="28"/>
      <c r="P93" s="28"/>
      <c r="Q93" s="28"/>
      <c r="R93" s="28"/>
      <c r="S93" s="28"/>
      <c r="T93" s="28"/>
      <c r="U93" s="28"/>
      <c r="V93" s="28"/>
      <c r="W93" s="28"/>
      <c r="X93" s="28"/>
      <c r="Y93" s="28"/>
      <c r="Z93" s="28"/>
      <c r="AA93" s="28"/>
      <c r="AB93" s="28"/>
    </row>
    <row r="94">
      <c r="A94" s="21" t="s">
        <v>175</v>
      </c>
      <c r="B94" s="22" t="s">
        <v>176</v>
      </c>
      <c r="C94" s="23" t="str">
        <f>IFERROR(__xludf.DUMMYFUNCTION("GOOGLETRANSLATE(B94, ""en"", ""fr"")"),"TOUT")</f>
        <v>TOUT</v>
      </c>
      <c r="D94" s="23" t="str">
        <f>IFERROR(__xludf.DUMMYFUNCTION("GOOGLETRANSLATE(B94, ""en"", ""es"")"),"TODAS")</f>
        <v>TODAS</v>
      </c>
      <c r="E94" s="23" t="str">
        <f>IFERROR(__xludf.DUMMYFUNCTION("GOOGLETRANSLATE(B94, ""en"", ""ru"")"),"ВСЕ")</f>
        <v>ВСЕ</v>
      </c>
      <c r="F94" s="23" t="str">
        <f>IFERROR(__xludf.DUMMYFUNCTION("GOOGLETRANSLATE(B94, ""en"", ""tr"")"),"HERŞEY")</f>
        <v>HERŞEY</v>
      </c>
      <c r="G94" s="23" t="str">
        <f>IFERROR(__xludf.DUMMYFUNCTION("GOOGLETRANSLATE(B94, ""en"", ""pt"")"),"TUDO")</f>
        <v>TUDO</v>
      </c>
      <c r="H94" s="24" t="str">
        <f>IFERROR(__xludf.DUMMYFUNCTION("GOOGLETRANSLATE(B94, ""en"", ""de"")"),"ALLE")</f>
        <v>ALLE</v>
      </c>
      <c r="I94" s="23" t="str">
        <f>IFERROR(__xludf.DUMMYFUNCTION("GOOGLETRANSLATE(B94, ""en"", ""pl"")"),"WSZYSTKO")</f>
        <v>WSZYSTKO</v>
      </c>
      <c r="J94" s="25" t="str">
        <f>IFERROR(__xludf.DUMMYFUNCTION("GOOGLETRANSLATE(B94, ""en"", ""zh"")"),"全部")</f>
        <v>全部</v>
      </c>
      <c r="K94" s="25" t="str">
        <f>IFERROR(__xludf.DUMMYFUNCTION("GOOGLETRANSLATE(B94, ""en"", ""vi"")"),"TẤT CẢ")</f>
        <v>TẤT CẢ</v>
      </c>
      <c r="L94" s="26" t="str">
        <f>IFERROR(__xludf.DUMMYFUNCTION("GOOGLETRANSLATE(B94, ""en"", ""hr"")"),"SVI")</f>
        <v>SVI</v>
      </c>
      <c r="M94" s="28"/>
      <c r="N94" s="28"/>
      <c r="O94" s="28"/>
      <c r="P94" s="28"/>
      <c r="Q94" s="28"/>
      <c r="R94" s="28"/>
      <c r="S94" s="28"/>
      <c r="T94" s="28"/>
      <c r="U94" s="28"/>
      <c r="V94" s="28"/>
      <c r="W94" s="28"/>
      <c r="X94" s="28"/>
      <c r="Y94" s="28"/>
      <c r="Z94" s="28"/>
      <c r="AA94" s="28"/>
      <c r="AB94" s="28"/>
    </row>
    <row r="95">
      <c r="A95" s="21" t="s">
        <v>177</v>
      </c>
      <c r="B95" s="22" t="s">
        <v>178</v>
      </c>
      <c r="C95" s="23" t="str">
        <f>IFERROR(__xludf.DUMMYFUNCTION("GOOGLETRANSLATE(B95, ""en"", ""fr"")"),"LOCAL")</f>
        <v>LOCAL</v>
      </c>
      <c r="D95" s="23" t="str">
        <f>IFERROR(__xludf.DUMMYFUNCTION("GOOGLETRANSLATE(B95, ""en"", ""es"")"),"LOCAL")</f>
        <v>LOCAL</v>
      </c>
      <c r="E95" s="23" t="str">
        <f>IFERROR(__xludf.DUMMYFUNCTION("GOOGLETRANSLATE(B95, ""en"", ""ru"")"),"МЕСТНЫЙ")</f>
        <v>МЕСТНЫЙ</v>
      </c>
      <c r="F95" s="23" t="str">
        <f>IFERROR(__xludf.DUMMYFUNCTION("GOOGLETRANSLATE(B95, ""en"", ""tr"")"),"YEREL")</f>
        <v>YEREL</v>
      </c>
      <c r="G95" s="23" t="str">
        <f>IFERROR(__xludf.DUMMYFUNCTION("GOOGLETRANSLATE(B95, ""en"", ""pt"")"),"LOCAL")</f>
        <v>LOCAL</v>
      </c>
      <c r="H95" s="24" t="str">
        <f>IFERROR(__xludf.DUMMYFUNCTION("GOOGLETRANSLATE(B95, ""en"", ""de"")"),"LOKAL")</f>
        <v>LOKAL</v>
      </c>
      <c r="I95" s="23" t="str">
        <f>IFERROR(__xludf.DUMMYFUNCTION("GOOGLETRANSLATE(B95, ""en"", ""pl"")"),"LOKALNY")</f>
        <v>LOKALNY</v>
      </c>
      <c r="J95" s="25" t="str">
        <f>IFERROR(__xludf.DUMMYFUNCTION("GOOGLETRANSLATE(B95, ""en"", ""zh"")"),"当地的")</f>
        <v>当地的</v>
      </c>
      <c r="K95" s="25" t="str">
        <f>IFERROR(__xludf.DUMMYFUNCTION("GOOGLETRANSLATE(B95, ""en"", ""vi"")"),"ĐỊA PHƯƠNG")</f>
        <v>ĐỊA PHƯƠNG</v>
      </c>
      <c r="L95" s="26" t="str">
        <f>IFERROR(__xludf.DUMMYFUNCTION("GOOGLETRANSLATE(B95, ""en"", ""hr"")"),"LOKALNI")</f>
        <v>LOKALNI</v>
      </c>
      <c r="M95" s="28"/>
      <c r="N95" s="28"/>
      <c r="O95" s="28"/>
      <c r="P95" s="28"/>
      <c r="Q95" s="28"/>
      <c r="R95" s="28"/>
      <c r="S95" s="28"/>
      <c r="T95" s="28"/>
      <c r="U95" s="28"/>
      <c r="V95" s="28"/>
      <c r="W95" s="28"/>
      <c r="X95" s="28"/>
      <c r="Y95" s="28"/>
      <c r="Z95" s="28"/>
      <c r="AA95" s="28"/>
      <c r="AB95" s="28"/>
    </row>
    <row r="96">
      <c r="A96" s="21" t="s">
        <v>179</v>
      </c>
      <c r="B96" s="22" t="s">
        <v>180</v>
      </c>
      <c r="C96" s="23" t="str">
        <f>IFERROR(__xludf.DUMMYFUNCTION("GOOGLETRANSLATE(B96, ""en"", ""fr"")"),"GLOBAL")</f>
        <v>GLOBAL</v>
      </c>
      <c r="D96" s="23" t="str">
        <f>IFERROR(__xludf.DUMMYFUNCTION("GOOGLETRANSLATE(B96, ""en"", ""es"")"),"GLOBAL")</f>
        <v>GLOBAL</v>
      </c>
      <c r="E96" s="23" t="str">
        <f>IFERROR(__xludf.DUMMYFUNCTION("GOOGLETRANSLATE(B96, ""en"", ""ru"")"),"ГЛОБАЛЬНЫЙ")</f>
        <v>ГЛОБАЛЬНЫЙ</v>
      </c>
      <c r="F96" s="23" t="str">
        <f>IFERROR(__xludf.DUMMYFUNCTION("GOOGLETRANSLATE(B96, ""en"", ""tr"")"),"KÜRESEL")</f>
        <v>KÜRESEL</v>
      </c>
      <c r="G96" s="23" t="str">
        <f>IFERROR(__xludf.DUMMYFUNCTION("GOOGLETRANSLATE(B96, ""en"", ""pt"")"),"GLOBAL")</f>
        <v>GLOBAL</v>
      </c>
      <c r="H96" s="24" t="str">
        <f>IFERROR(__xludf.DUMMYFUNCTION("GOOGLETRANSLATE(B96, ""en"", ""de"")"),"GLOBAL")</f>
        <v>GLOBAL</v>
      </c>
      <c r="I96" s="23" t="str">
        <f>IFERROR(__xludf.DUMMYFUNCTION("GOOGLETRANSLATE(B96, ""en"", ""pl"")"),"ŚWIATOWY")</f>
        <v>ŚWIATOWY</v>
      </c>
      <c r="J96" s="25" t="str">
        <f>IFERROR(__xludf.DUMMYFUNCTION("GOOGLETRANSLATE(B96, ""en"", ""zh"")"),"全球的")</f>
        <v>全球的</v>
      </c>
      <c r="K96" s="25" t="str">
        <f>IFERROR(__xludf.DUMMYFUNCTION("GOOGLETRANSLATE(B96, ""en"", ""vi"")"),"TOÀN CẦU")</f>
        <v>TOÀN CẦU</v>
      </c>
      <c r="L96" s="26" t="str">
        <f>IFERROR(__xludf.DUMMYFUNCTION("GOOGLETRANSLATE(B96, ""en"", ""hr"")"),"GLOBALNO")</f>
        <v>GLOBALNO</v>
      </c>
      <c r="M96" s="28"/>
      <c r="N96" s="28"/>
      <c r="O96" s="28"/>
      <c r="P96" s="28"/>
      <c r="Q96" s="28"/>
      <c r="R96" s="28"/>
      <c r="S96" s="28"/>
      <c r="T96" s="28"/>
      <c r="U96" s="28"/>
      <c r="V96" s="28"/>
      <c r="W96" s="28"/>
      <c r="X96" s="28"/>
      <c r="Y96" s="28"/>
      <c r="Z96" s="28"/>
      <c r="AA96" s="28"/>
      <c r="AB96" s="28"/>
    </row>
    <row r="97">
      <c r="A97" s="21" t="s">
        <v>181</v>
      </c>
      <c r="B97" s="22" t="s">
        <v>182</v>
      </c>
      <c r="C97" s="23" t="str">
        <f>IFERROR(__xludf.DUMMYFUNCTION("GOOGLETRANSLATE(B97, ""en"", ""fr"")"),"COMMERCE")</f>
        <v>COMMERCE</v>
      </c>
      <c r="D97" s="23" t="str">
        <f>IFERROR(__xludf.DUMMYFUNCTION("GOOGLETRANSLATE(B97, ""en"", ""es"")"),"COMERCIO")</f>
        <v>COMERCIO</v>
      </c>
      <c r="E97" s="23" t="str">
        <f>IFERROR(__xludf.DUMMYFUNCTION("GOOGLETRANSLATE(B97, ""en"", ""ru"")"),"ТОРГОВЛЯ")</f>
        <v>ТОРГОВЛЯ</v>
      </c>
      <c r="F97" s="23" t="str">
        <f>IFERROR(__xludf.DUMMYFUNCTION("GOOGLETRANSLATE(B97, ""en"", ""tr"")"),"TİCARET")</f>
        <v>TİCARET</v>
      </c>
      <c r="G97" s="23" t="str">
        <f>IFERROR(__xludf.DUMMYFUNCTION("GOOGLETRANSLATE(B97, ""en"", ""pt"")"),"TROCA")</f>
        <v>TROCA</v>
      </c>
      <c r="H97" s="24" t="str">
        <f>IFERROR(__xludf.DUMMYFUNCTION("GOOGLETRANSLATE(B97, ""en"", ""de"")"),"HANDEL")</f>
        <v>HANDEL</v>
      </c>
      <c r="I97" s="23" t="str">
        <f>IFERROR(__xludf.DUMMYFUNCTION("GOOGLETRANSLATE(B97, ""en"", ""pl"")"),"HANDEL")</f>
        <v>HANDEL</v>
      </c>
      <c r="J97" s="25" t="str">
        <f>IFERROR(__xludf.DUMMYFUNCTION("GOOGLETRANSLATE(B97, ""en"", ""zh"")"),"贸易")</f>
        <v>贸易</v>
      </c>
      <c r="K97" s="25" t="str">
        <f>IFERROR(__xludf.DUMMYFUNCTION("GOOGLETRANSLATE(B97, ""en"", ""vi"")"),"BUÔN BÁN")</f>
        <v>BUÔN BÁN</v>
      </c>
      <c r="L97" s="26" t="str">
        <f>IFERROR(__xludf.DUMMYFUNCTION("GOOGLETRANSLATE(B97, ""en"", ""hr"")"),"TRGOVINA")</f>
        <v>TRGOVINA</v>
      </c>
      <c r="M97" s="28"/>
      <c r="N97" s="28"/>
      <c r="O97" s="28"/>
      <c r="P97" s="28"/>
      <c r="Q97" s="28"/>
      <c r="R97" s="28"/>
      <c r="S97" s="28"/>
      <c r="T97" s="28"/>
      <c r="U97" s="28"/>
      <c r="V97" s="28"/>
      <c r="W97" s="28"/>
      <c r="X97" s="28"/>
      <c r="Y97" s="28"/>
      <c r="Z97" s="28"/>
      <c r="AA97" s="28"/>
      <c r="AB97" s="28"/>
    </row>
    <row r="98">
      <c r="A98" s="21" t="s">
        <v>183</v>
      </c>
      <c r="B98" s="22" t="s">
        <v>184</v>
      </c>
      <c r="C98" s="23" t="str">
        <f>IFERROR(__xludf.DUMMYFUNCTION("GOOGLETRANSLATE(B98, ""en"", ""fr"")"),"Tapez un message")</f>
        <v>Tapez un message</v>
      </c>
      <c r="D98" s="23" t="str">
        <f>IFERROR(__xludf.DUMMYFUNCTION("GOOGLETRANSLATE(B98, ""en"", ""es"")"),"Escribir un mensaje")</f>
        <v>Escribir un mensaje</v>
      </c>
      <c r="E98" s="23" t="str">
        <f>IFERROR(__xludf.DUMMYFUNCTION("GOOGLETRANSLATE(B98, ""en"", ""ru"")"),"Введите сообщение")</f>
        <v>Введите сообщение</v>
      </c>
      <c r="F98" s="23" t="str">
        <f>IFERROR(__xludf.DUMMYFUNCTION("GOOGLETRANSLATE(B98, ""en"", ""tr"")"),"Bir mesaj yazın")</f>
        <v>Bir mesaj yazın</v>
      </c>
      <c r="G98" s="23" t="str">
        <f>IFERROR(__xludf.DUMMYFUNCTION("GOOGLETRANSLATE(B98, ""en"", ""pt"")"),"Digite uma mensagem")</f>
        <v>Digite uma mensagem</v>
      </c>
      <c r="H98" s="24" t="str">
        <f>IFERROR(__xludf.DUMMYFUNCTION("GOOGLETRANSLATE(B98, ""en"", ""de"")"),"Geben Sie eine Nachricht")</f>
        <v>Geben Sie eine Nachricht</v>
      </c>
      <c r="I98" s="23" t="str">
        <f>IFERROR(__xludf.DUMMYFUNCTION("GOOGLETRANSLATE(B98, ""en"", ""pl"")"),"Wpisz wiadomość")</f>
        <v>Wpisz wiadomość</v>
      </c>
      <c r="J98" s="25" t="str">
        <f>IFERROR(__xludf.DUMMYFUNCTION("GOOGLETRANSLATE(B98, ""en"", ""zh"")"),"键入消息")</f>
        <v>键入消息</v>
      </c>
      <c r="K98" s="25" t="str">
        <f>IFERROR(__xludf.DUMMYFUNCTION("GOOGLETRANSLATE(B98, ""en"", ""vi"")"),"Gõ một tin nhắn")</f>
        <v>Gõ một tin nhắn</v>
      </c>
      <c r="L98" s="26" t="str">
        <f>IFERROR(__xludf.DUMMYFUNCTION("GOOGLETRANSLATE(B98, ""en"", ""hr"")"),"Upišite poruku")</f>
        <v>Upišite poruku</v>
      </c>
      <c r="M98" s="28"/>
      <c r="N98" s="28"/>
      <c r="O98" s="28"/>
      <c r="P98" s="28"/>
      <c r="Q98" s="28"/>
      <c r="R98" s="28"/>
      <c r="S98" s="28"/>
      <c r="T98" s="28"/>
      <c r="U98" s="28"/>
      <c r="V98" s="28"/>
      <c r="W98" s="28"/>
      <c r="X98" s="28"/>
      <c r="Y98" s="28"/>
      <c r="Z98" s="28"/>
      <c r="AA98" s="28"/>
      <c r="AB98" s="28"/>
    </row>
    <row r="99">
      <c r="A99" s="21" t="s">
        <v>185</v>
      </c>
      <c r="B99" s="22" t="s">
        <v>185</v>
      </c>
      <c r="C99" s="23" t="str">
        <f>IFERROR(__xludf.DUMMYFUNCTION("GOOGLETRANSLATE(B99, ""en"", ""fr"")"),"Refroidir")</f>
        <v>Refroidir</v>
      </c>
      <c r="D99" s="23" t="str">
        <f>IFERROR(__xludf.DUMMYFUNCTION("GOOGLETRANSLATE(B99, ""en"", ""es"")"),"Enfriarse")</f>
        <v>Enfriarse</v>
      </c>
      <c r="E99" s="23" t="str">
        <f>IFERROR(__xludf.DUMMYFUNCTION("GOOGLETRANSLATE(B99, ""en"", ""ru"")"),"Остывать")</f>
        <v>Остывать</v>
      </c>
      <c r="F99" s="23" t="str">
        <f>IFERROR(__xludf.DUMMYFUNCTION("GOOGLETRANSLATE(B99, ""en"", ""tr"")"),"Sakin ol")</f>
        <v>Sakin ol</v>
      </c>
      <c r="G99" s="23" t="str">
        <f>IFERROR(__xludf.DUMMYFUNCTION("GOOGLETRANSLATE(B99, ""en"", ""pt"")"),"Esfriar")</f>
        <v>Esfriar</v>
      </c>
      <c r="H99" s="24" t="str">
        <f>IFERROR(__xludf.DUMMYFUNCTION("GOOGLETRANSLATE(B99, ""en"", ""de"")"),"Abkühlen")</f>
        <v>Abkühlen</v>
      </c>
      <c r="I99" s="23" t="str">
        <f>IFERROR(__xludf.DUMMYFUNCTION("GOOGLETRANSLATE(B99, ""en"", ""pl"")"),"Ochłonąć")</f>
        <v>Ochłonąć</v>
      </c>
      <c r="J99" s="25" t="str">
        <f>IFERROR(__xludf.DUMMYFUNCTION("GOOGLETRANSLATE(B99, ""en"", ""zh"")"),"冷却")</f>
        <v>冷却</v>
      </c>
      <c r="K99" s="25" t="str">
        <f>IFERROR(__xludf.DUMMYFUNCTION("GOOGLETRANSLATE(B99, ""en"", ""vi"")"),"Nguội đi")</f>
        <v>Nguội đi</v>
      </c>
      <c r="L99" s="26" t="str">
        <f>IFERROR(__xludf.DUMMYFUNCTION("GOOGLETRANSLATE(B99, ""en"", ""hr"")"),"Smiri se")</f>
        <v>Smiri se</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""fr"")"),"Envoi en cours")</f>
        <v>Envoi en cours</v>
      </c>
      <c r="D100" s="23" t="str">
        <f>IFERROR(__xludf.DUMMYFUNCTION("GOOGLETRANSLATE(B100, ""en"", ""es"")"),"Enviando")</f>
        <v>Enviando</v>
      </c>
      <c r="E100" s="23" t="str">
        <f>IFERROR(__xludf.DUMMYFUNCTION("GOOGLETRANSLATE(B100, ""en"", ""ru"")"),"Отправка")</f>
        <v>Отправка</v>
      </c>
      <c r="F100" s="23" t="str">
        <f>IFERROR(__xludf.DUMMYFUNCTION("GOOGLETRANSLATE(B100, ""en"", ""tr"")"),"gönderme")</f>
        <v>gönderme</v>
      </c>
      <c r="G100" s="23" t="str">
        <f>IFERROR(__xludf.DUMMYFUNCTION("GOOGLETRANSLATE(B100, ""en"", ""pt"")"),"transmissão")</f>
        <v>transmissão</v>
      </c>
      <c r="H100" s="24" t="str">
        <f>IFERROR(__xludf.DUMMYFUNCTION("GOOGLETRANSLATE(B100, ""en"", ""de"")"),"Versendung")</f>
        <v>Versendung</v>
      </c>
      <c r="I100" s="23" t="str">
        <f>IFERROR(__xludf.DUMMYFUNCTION("GOOGLETRANSLATE(B100, ""en"", ""pl"")"),"Wysyłanie")</f>
        <v>Wysyłanie</v>
      </c>
      <c r="J100" s="25" t="str">
        <f>IFERROR(__xludf.DUMMYFUNCTION("GOOGLETRANSLATE(B100, ""en"", ""zh"")"),"发出")</f>
        <v>发出</v>
      </c>
      <c r="K100" s="25" t="str">
        <f>IFERROR(__xludf.DUMMYFUNCTION("GOOGLETRANSLATE(B100, ""en"", ""vi"")"),"Gửi")</f>
        <v>Gửi</v>
      </c>
      <c r="L100" s="26" t="str">
        <f>IFERROR(__xludf.DUMMYFUNCTION("GOOGLETRANSLATE(B100, ""en"", ""hr"")"),"slanje")</f>
        <v>slanje</v>
      </c>
      <c r="M100" s="28"/>
      <c r="N100" s="28"/>
      <c r="O100" s="28"/>
      <c r="P100" s="28"/>
      <c r="Q100" s="28"/>
      <c r="R100" s="28"/>
      <c r="S100" s="28"/>
      <c r="T100" s="28"/>
      <c r="U100" s="28"/>
      <c r="V100" s="28"/>
      <c r="W100" s="28"/>
      <c r="X100" s="28"/>
      <c r="Y100" s="28"/>
      <c r="Z100" s="28"/>
      <c r="AA100" s="28"/>
      <c r="AB100" s="28"/>
    </row>
    <row r="101">
      <c r="A101" s="21" t="s">
        <v>187</v>
      </c>
      <c r="B101" s="22" t="s">
        <v>102</v>
      </c>
      <c r="C101" s="23" t="str">
        <f>IFERROR(__xludf.DUMMYFUNCTION("GOOGLETRANSLATE(B101, ""en"", ""fr"")"),"Statistiques")</f>
        <v>Statistiques</v>
      </c>
      <c r="D101" s="23" t="str">
        <f>IFERROR(__xludf.DUMMYFUNCTION("GOOGLETRANSLATE(B101, ""en"", ""es"")"),"estadísticas")</f>
        <v>estadísticas</v>
      </c>
      <c r="E101" s="23" t="str">
        <f>IFERROR(__xludf.DUMMYFUNCTION("GOOGLETRANSLATE(B101, ""en"", ""ru"")"),"Статистика")</f>
        <v>Статистика</v>
      </c>
      <c r="F101" s="23" t="str">
        <f>IFERROR(__xludf.DUMMYFUNCTION("GOOGLETRANSLATE(B101, ""en"", ""tr"")"),"İstatistikleri")</f>
        <v>İstatistikleri</v>
      </c>
      <c r="G101" s="23" t="str">
        <f>IFERROR(__xludf.DUMMYFUNCTION("GOOGLETRANSLATE(B101, ""en"", ""pt"")"),"Estatísticas")</f>
        <v>Estatísticas</v>
      </c>
      <c r="H101" s="24" t="str">
        <f>IFERROR(__xludf.DUMMYFUNCTION("GOOGLETRANSLATE(B101, ""en"", ""de"")"),"Statistiken")</f>
        <v>Statistiken</v>
      </c>
      <c r="I101" s="23" t="str">
        <f>IFERROR(__xludf.DUMMYFUNCTION("GOOGLETRANSLATE(B101, ""en"", ""pl"")"),"Statystyki")</f>
        <v>Statystyki</v>
      </c>
      <c r="J101" s="25" t="str">
        <f>IFERROR(__xludf.DUMMYFUNCTION("GOOGLETRANSLATE(B101, ""en"", ""zh"")"),"统计")</f>
        <v>统计</v>
      </c>
      <c r="K101" s="25" t="str">
        <f>IFERROR(__xludf.DUMMYFUNCTION("GOOGLETRANSLATE(B101, ""en"", ""vi"")"),"Thống kê")</f>
        <v>Thống kê</v>
      </c>
      <c r="L101" s="26" t="str">
        <f>IFERROR(__xludf.DUMMYFUNCTION("GOOGLETRANSLATE(B101, ""en"", ""hr"")"),"Statistike")</f>
        <v>Statistike</v>
      </c>
      <c r="M101" s="28"/>
      <c r="N101" s="28"/>
      <c r="O101" s="28"/>
      <c r="P101" s="28"/>
      <c r="Q101" s="28"/>
      <c r="R101" s="28"/>
      <c r="S101" s="28"/>
      <c r="T101" s="28"/>
      <c r="U101" s="28"/>
      <c r="V101" s="28"/>
      <c r="W101" s="28"/>
      <c r="X101" s="28"/>
      <c r="Y101" s="28"/>
      <c r="Z101" s="28"/>
      <c r="AA101" s="28"/>
      <c r="AB101" s="28"/>
    </row>
    <row r="102">
      <c r="A102" s="21" t="s">
        <v>188</v>
      </c>
      <c r="B102" s="22" t="s">
        <v>189</v>
      </c>
      <c r="C102" s="23" t="str">
        <f>IFERROR(__xludf.DUMMYFUNCTION("GOOGLETRANSLATE(B102, ""en"", ""fr"")"),"Banque")</f>
        <v>Banque</v>
      </c>
      <c r="D102" s="23" t="str">
        <f>IFERROR(__xludf.DUMMYFUNCTION("GOOGLETRANSLATE(B102, ""en"", ""es"")"),"Banco")</f>
        <v>Banco</v>
      </c>
      <c r="E102" s="23" t="str">
        <f>IFERROR(__xludf.DUMMYFUNCTION("GOOGLETRANSLATE(B102, ""en"", ""ru"")"),"банк")</f>
        <v>банк</v>
      </c>
      <c r="F102" s="23" t="str">
        <f>IFERROR(__xludf.DUMMYFUNCTION("GOOGLETRANSLATE(B102, ""en"", ""tr"")"),"Banka")</f>
        <v>Banka</v>
      </c>
      <c r="G102" s="23" t="str">
        <f>IFERROR(__xludf.DUMMYFUNCTION("GOOGLETRANSLATE(B102, ""en"", ""pt"")"),"Banco")</f>
        <v>Banco</v>
      </c>
      <c r="H102" s="24" t="str">
        <f>IFERROR(__xludf.DUMMYFUNCTION("GOOGLETRANSLATE(B102, ""en"", ""de"")"),"Bank")</f>
        <v>Bank</v>
      </c>
      <c r="I102" s="23" t="str">
        <f>IFERROR(__xludf.DUMMYFUNCTION("GOOGLETRANSLATE(B102, ""en"", ""pl"")"),"Bank")</f>
        <v>Bank</v>
      </c>
      <c r="J102" s="25" t="str">
        <f>IFERROR(__xludf.DUMMYFUNCTION("GOOGLETRANSLATE(B102, ""en"", ""zh"")"),"银行")</f>
        <v>银行</v>
      </c>
      <c r="K102" s="25" t="str">
        <f>IFERROR(__xludf.DUMMYFUNCTION("GOOGLETRANSLATE(B102, ""en"", ""vi"")"),"ngân hàng")</f>
        <v>ngân hàng</v>
      </c>
      <c r="L102" s="26" t="str">
        <f>IFERROR(__xludf.DUMMYFUNCTION("GOOGLETRANSLATE(B102, ""en"", ""hr"")"),"Banka")</f>
        <v>Banka</v>
      </c>
      <c r="M102" s="28"/>
      <c r="N102" s="28"/>
      <c r="O102" s="28"/>
      <c r="P102" s="28"/>
      <c r="Q102" s="28"/>
      <c r="R102" s="28"/>
      <c r="S102" s="28"/>
      <c r="T102" s="28"/>
      <c r="U102" s="28"/>
      <c r="V102" s="28"/>
      <c r="W102" s="28"/>
      <c r="X102" s="28"/>
      <c r="Y102" s="28"/>
      <c r="Z102" s="28"/>
      <c r="AA102" s="28"/>
      <c r="AB102" s="28"/>
    </row>
    <row r="103">
      <c r="A103" s="21" t="s">
        <v>190</v>
      </c>
      <c r="B103" s="22" t="s">
        <v>191</v>
      </c>
      <c r="C103" s="23" t="str">
        <f>IFERROR(__xludf.DUMMYFUNCTION("GOOGLETRANSLATE(B103, ""en"", ""fr"")"),"Déposez tous les articles en stock")</f>
        <v>Déposez tous les articles en stock</v>
      </c>
      <c r="D103" s="23" t="str">
        <f>IFERROR(__xludf.DUMMYFUNCTION("GOOGLETRANSLATE(B103, ""en"", ""es"")"),"Depositar todos los artículos del inventario")</f>
        <v>Depositar todos los artículos del inventario</v>
      </c>
      <c r="E103" s="23" t="str">
        <f>IFERROR(__xludf.DUMMYFUNCTION("GOOGLETRANSLATE(B103, ""en"", ""ru"")"),"Депозит все товарно-материальные ценности")</f>
        <v>Депозит все товарно-материальные ценности</v>
      </c>
      <c r="F103" s="23" t="str">
        <f>IFERROR(__xludf.DUMMYFUNCTION("GOOGLETRANSLATE(B103, ""en"", ""tr"")"),"Tüm envanter öğeleri yatırmak")</f>
        <v>Tüm envanter öğeleri yatırmak</v>
      </c>
      <c r="G103" s="23" t="str">
        <f>IFERROR(__xludf.DUMMYFUNCTION("GOOGLETRANSLATE(B103, ""en"", ""pt"")"),"Depositar todos os itens de estoque")</f>
        <v>Depositar todos os itens de estoque</v>
      </c>
      <c r="H103" s="24" t="str">
        <f>IFERROR(__xludf.DUMMYFUNCTION("GOOGLETRANSLATE(B103, ""en"", ""de"")"),"Kaution alle Inventargegenstände")</f>
        <v>Kaution alle Inventargegenstände</v>
      </c>
      <c r="I103" s="23" t="str">
        <f>IFERROR(__xludf.DUMMYFUNCTION("GOOGLETRANSLATE(B103, ""en"", ""pl"")"),"Deponowania wszystkich pozycji magazynowych")</f>
        <v>Deponowania wszystkich pozycji magazynowych</v>
      </c>
      <c r="J103" s="25" t="str">
        <f>IFERROR(__xludf.DUMMYFUNCTION("GOOGLETRANSLATE(B103, ""en"", ""zh"")"),"所有存放在库存物品")</f>
        <v>所有存放在库存物品</v>
      </c>
      <c r="K103" s="25" t="str">
        <f>IFERROR(__xludf.DUMMYFUNCTION("GOOGLETRANSLATE(B103, ""en"", ""vi"")"),"Gửi tất cả các mặt hàng tồn kho")</f>
        <v>Gửi tất cả các mặt hàng tồn kho</v>
      </c>
      <c r="L103" s="26" t="str">
        <f>IFERROR(__xludf.DUMMYFUNCTION("GOOGLETRANSLATE(B103, ""en"", ""hr"")"),"Depozit sve stavke inventar")</f>
        <v>Depozit sve stavke inventar</v>
      </c>
      <c r="M103" s="28"/>
      <c r="N103" s="28"/>
      <c r="O103" s="28"/>
      <c r="P103" s="28"/>
      <c r="Q103" s="28"/>
      <c r="R103" s="28"/>
      <c r="S103" s="28"/>
      <c r="T103" s="28"/>
      <c r="U103" s="28"/>
      <c r="V103" s="28"/>
      <c r="W103" s="28"/>
      <c r="X103" s="28"/>
      <c r="Y103" s="28"/>
      <c r="Z103" s="28"/>
      <c r="AA103" s="28"/>
      <c r="AB103" s="28"/>
    </row>
    <row r="104">
      <c r="A104" s="21" t="s">
        <v>192</v>
      </c>
      <c r="B104" s="22" t="s">
        <v>193</v>
      </c>
      <c r="C104" s="23" t="str">
        <f>IFERROR(__xludf.DUMMYFUNCTION("GOOGLETRANSLATE(B104, ""en"", ""fr"")"),"Vous possédez un compte poids de stockage bancaire ugrade.")</f>
        <v>Vous possédez un compte poids de stockage bancaire ugrade.</v>
      </c>
      <c r="D104" s="23" t="str">
        <f>IFERROR(__xludf.DUMMYFUNCTION("GOOGLETRANSLATE(B104, ""en"", ""es"")"),"Cuenta necesario para ugrade peso almacenamiento de banco.")</f>
        <v>Cuenta necesario para ugrade peso almacenamiento de banco.</v>
      </c>
      <c r="E104" s="23" t="str">
        <f>IFERROR(__xludf.DUMMYFUNCTION("GOOGLETRANSLATE(B104, ""en"", ""ru"")"),"Аккаунт необходимо ugrade вес банковского хранения.")</f>
        <v>Аккаунт необходимо ugrade вес банковского хранения.</v>
      </c>
      <c r="F104" s="23" t="str">
        <f>IFERROR(__xludf.DUMMYFUNCTION("GOOGLETRANSLATE(B104, ""en"", ""tr"")"),"ugrade banka depolama ağırlığına ihtiyaç Hesabı.")</f>
        <v>ugrade banka depolama ağırlığına ihtiyaç Hesabı.</v>
      </c>
      <c r="G104" s="23" t="str">
        <f>IFERROR(__xludf.DUMMYFUNCTION("GOOGLETRANSLATE(B104, ""en"", ""pt"")"),"Conta precisava peso armazenamento banco ugrade.")</f>
        <v>Conta precisava peso armazenamento banco ugrade.</v>
      </c>
      <c r="H104" s="24" t="str">
        <f>IFERROR(__xludf.DUMMYFUNCTION("GOOGLETRANSLATE(B104, ""en"", ""de"")"),"-Konto benötigt, um Ugrade Bankspeicher Gewicht.")</f>
        <v>-Konto benötigt, um Ugrade Bankspeicher Gewicht.</v>
      </c>
      <c r="I104" s="23" t="str">
        <f>IFERROR(__xludf.DUMMYFUNCTION("GOOGLETRANSLATE(B104, ""en"", ""pl"")"),"Konto potrzebne do ugrade wagi przechowywania bankowego.")</f>
        <v>Konto potrzebne do ugrade wagi przechowywania bankowego.</v>
      </c>
      <c r="J104" s="25" t="str">
        <f>IFERROR(__xludf.DUMMYFUNCTION("GOOGLETRANSLATE(B104, ""en"", ""zh"")"),"帐户需要ugrade库存储的重量。")</f>
        <v>帐户需要ugrade库存储的重量。</v>
      </c>
      <c r="K104" s="25" t="str">
        <f>IFERROR(__xludf.DUMMYFUNCTION("GOOGLETRANSLATE(B104, ""en"", ""vi"")"),"Tài khoản cần thiết để cân lưu trữ ngân hàng Ugrade.")</f>
        <v>Tài khoản cần thiết để cân lưu trữ ngân hàng Ugrade.</v>
      </c>
      <c r="L104" s="26" t="str">
        <f>IFERROR(__xludf.DUMMYFUNCTION("GOOGLETRANSLATE(B104, ""en"", ""hr"")"),"Potreban je račun za Unaprijedite težine pohranu banka.")</f>
        <v>Potreban je račun za Unaprijedite težine pohranu banka.</v>
      </c>
      <c r="M104" s="28"/>
      <c r="N104" s="28"/>
      <c r="O104" s="28"/>
      <c r="P104" s="28"/>
      <c r="Q104" s="28"/>
      <c r="R104" s="28"/>
      <c r="S104" s="28"/>
      <c r="T104" s="28"/>
      <c r="U104" s="28"/>
      <c r="V104" s="28"/>
      <c r="W104" s="28"/>
      <c r="X104" s="28"/>
      <c r="Y104" s="28"/>
      <c r="Z104" s="28"/>
      <c r="AA104" s="28"/>
      <c r="AB104" s="28"/>
    </row>
    <row r="105">
      <c r="A105" s="21" t="s">
        <v>194</v>
      </c>
      <c r="B105" s="22" t="s">
        <v>195</v>
      </c>
      <c r="C105" s="23" t="str">
        <f>IFERROR(__xludf.DUMMYFUNCTION("GOOGLETRANSLATE(B105, ""en"", ""fr"")"),"Mise à jour le stockage bancaire")</f>
        <v>Mise à jour le stockage bancaire</v>
      </c>
      <c r="D105" s="23" t="str">
        <f>IFERROR(__xludf.DUMMYFUNCTION("GOOGLETRANSLATE(B105, ""en"", ""es"")"),"almacenamiento en bancos de actualización")</f>
        <v>almacenamiento en bancos de actualización</v>
      </c>
      <c r="E105" s="23" t="str">
        <f>IFERROR(__xludf.DUMMYFUNCTION("GOOGLETRANSLATE(B105, ""en"", ""ru"")"),"Расширьте хранилище банка")</f>
        <v>Расширьте хранилище банка</v>
      </c>
      <c r="F105" s="23" t="str">
        <f>IFERROR(__xludf.DUMMYFUNCTION("GOOGLETRANSLATE(B105, ""en"", ""tr"")"),"Yükseltme banka depolama")</f>
        <v>Yükseltme banka depolama</v>
      </c>
      <c r="G105" s="23" t="str">
        <f>IFERROR(__xludf.DUMMYFUNCTION("GOOGLETRANSLATE(B105, ""en"", ""pt"")"),"armazenamento banco atualização")</f>
        <v>armazenamento banco atualização</v>
      </c>
      <c r="H105" s="24" t="str">
        <f>IFERROR(__xludf.DUMMYFUNCTION("GOOGLETRANSLATE(B105, ""en"", ""de"")"),"Upgrade-Bank-Speicher")</f>
        <v>Upgrade-Bank-Speicher</v>
      </c>
      <c r="I105" s="23" t="str">
        <f>IFERROR(__xludf.DUMMYFUNCTION("GOOGLETRANSLATE(B105, ""en"", ""pl"")"),"Upgrade przechowywania banku")</f>
        <v>Upgrade przechowywania banku</v>
      </c>
      <c r="J105" s="25" t="str">
        <f>IFERROR(__xludf.DUMMYFUNCTION("GOOGLETRANSLATE(B105, ""en"", ""zh"")"),"升级银行存储")</f>
        <v>升级银行存储</v>
      </c>
      <c r="K105" s="25" t="str">
        <f>IFERROR(__xludf.DUMMYFUNCTION("GOOGLETRANSLATE(B105, ""en"", ""vi"")"),"lưu trữ ngân hàng nâng cấp")</f>
        <v>lưu trữ ngân hàng nâng cấp</v>
      </c>
      <c r="L105" s="26" t="str">
        <f>IFERROR(__xludf.DUMMYFUNCTION("GOOGLETRANSLATE(B105, ""en"", ""hr"")"),"Nadogradnja pohrane banka")</f>
        <v>Nadogradnja pohrane banka</v>
      </c>
      <c r="M105" s="28"/>
      <c r="N105" s="28"/>
      <c r="O105" s="28"/>
      <c r="P105" s="28"/>
      <c r="Q105" s="28"/>
      <c r="R105" s="28"/>
      <c r="S105" s="28"/>
      <c r="T105" s="28"/>
      <c r="U105" s="28"/>
      <c r="V105" s="28"/>
      <c r="W105" s="28"/>
      <c r="X105" s="28"/>
      <c r="Y105" s="28"/>
      <c r="Z105" s="28"/>
      <c r="AA105" s="28"/>
      <c r="AB105" s="28"/>
    </row>
    <row r="106">
      <c r="A106" s="21" t="s">
        <v>196</v>
      </c>
      <c r="B106" s="22" t="s">
        <v>196</v>
      </c>
      <c r="C106" s="23" t="str">
        <f>IFERROR(__xludf.DUMMYFUNCTION("GOOGLETRANSLATE(B106, ""en"", ""fr"")"),"Pas assez de gloire")</f>
        <v>Pas assez de gloire</v>
      </c>
      <c r="D106" s="23" t="str">
        <f>IFERROR(__xludf.DUMMYFUNCTION("GOOGLETRANSLATE(B106, ""en"", ""es"")"),"No hay suficiente gloria")</f>
        <v>No hay suficiente gloria</v>
      </c>
      <c r="E106" s="23" t="str">
        <f>IFERROR(__xludf.DUMMYFUNCTION("GOOGLETRANSLATE(B106, ""en"", ""ru"")"),"Не хватает славы")</f>
        <v>Не хватает славы</v>
      </c>
      <c r="F106" s="23" t="str">
        <f>IFERROR(__xludf.DUMMYFUNCTION("GOOGLETRANSLATE(B106, ""en"", ""tr"")"),"Yeterli zafer")</f>
        <v>Yeterli zafer</v>
      </c>
      <c r="G106" s="23" t="str">
        <f>IFERROR(__xludf.DUMMYFUNCTION("GOOGLETRANSLATE(B106, ""en"", ""pt"")"),"Não glória suficiente")</f>
        <v>Não glória suficiente</v>
      </c>
      <c r="H106" s="24" t="str">
        <f>IFERROR(__xludf.DUMMYFUNCTION("GOOGLETRANSLATE(B106, ""en"", ""de"")"),"Nicht genug Ruhm")</f>
        <v>Nicht genug Ruhm</v>
      </c>
      <c r="I106" s="23" t="str">
        <f>IFERROR(__xludf.DUMMYFUNCTION("GOOGLETRANSLATE(B106, ""en"", ""pl"")"),"Nie wystarczająco chwała")</f>
        <v>Nie wystarczająco chwała</v>
      </c>
      <c r="J106" s="25" t="str">
        <f>IFERROR(__xludf.DUMMYFUNCTION("GOOGLETRANSLATE(B106, ""en"", ""zh"")"),"没有足够的荣耀")</f>
        <v>没有足够的荣耀</v>
      </c>
      <c r="K106" s="25" t="str">
        <f>IFERROR(__xludf.DUMMYFUNCTION("GOOGLETRANSLATE(B106, ""en"", ""vi"")"),"Không đủ vinh quang")</f>
        <v>Không đủ vinh quang</v>
      </c>
      <c r="L106" s="26" t="str">
        <f>IFERROR(__xludf.DUMMYFUNCTION("GOOGLETRANSLATE(B106, ""en"", ""hr"")"),"Nedovoljno slava")</f>
        <v>Nedovoljno slava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""fr"")"),"Stockage")</f>
        <v>Stockage</v>
      </c>
      <c r="D107" s="23" t="str">
        <f>IFERROR(__xludf.DUMMYFUNCTION("GOOGLETRANSLATE(B107, ""en"", ""es"")"),"Almacenamiento")</f>
        <v>Almacenamiento</v>
      </c>
      <c r="E107" s="23" t="str">
        <f>IFERROR(__xludf.DUMMYFUNCTION("GOOGLETRANSLATE(B107, ""en"", ""ru"")"),"Место хранения")</f>
        <v>Место хранения</v>
      </c>
      <c r="F107" s="23" t="str">
        <f>IFERROR(__xludf.DUMMYFUNCTION("GOOGLETRANSLATE(B107, ""en"", ""tr"")"),"Depolama")</f>
        <v>Depolama</v>
      </c>
      <c r="G107" s="23" t="str">
        <f>IFERROR(__xludf.DUMMYFUNCTION("GOOGLETRANSLATE(B107, ""en"", ""pt"")"),"Armazenar")</f>
        <v>Armazenar</v>
      </c>
      <c r="H107" s="24" t="str">
        <f>IFERROR(__xludf.DUMMYFUNCTION("GOOGLETRANSLATE(B107, ""en"", ""de"")"),"Lager")</f>
        <v>Lager</v>
      </c>
      <c r="I107" s="23" t="str">
        <f>IFERROR(__xludf.DUMMYFUNCTION("GOOGLETRANSLATE(B107, ""en"", ""pl"")"),"Przechowywanie")</f>
        <v>Przechowywanie</v>
      </c>
      <c r="J107" s="25" t="str">
        <f>IFERROR(__xludf.DUMMYFUNCTION("GOOGLETRANSLATE(B107, ""en"", ""zh"")"),"贮存")</f>
        <v>贮存</v>
      </c>
      <c r="K107" s="25" t="str">
        <f>IFERROR(__xludf.DUMMYFUNCTION("GOOGLETRANSLATE(B107, ""en"", ""vi"")"),"Lưu trữ")</f>
        <v>Lưu trữ</v>
      </c>
      <c r="L107" s="26" t="str">
        <f>IFERROR(__xludf.DUMMYFUNCTION("GOOGLETRANSLATE(B107, ""en"", ""hr"")"),"skladištenje")</f>
        <v>skladištenje</v>
      </c>
      <c r="M107" s="28"/>
      <c r="N107" s="28"/>
      <c r="O107" s="28"/>
      <c r="P107" s="28"/>
      <c r="Q107" s="28"/>
      <c r="R107" s="28"/>
      <c r="S107" s="28"/>
      <c r="T107" s="28"/>
      <c r="U107" s="28"/>
      <c r="V107" s="28"/>
      <c r="W107" s="28"/>
      <c r="X107" s="28"/>
      <c r="Y107" s="28"/>
      <c r="Z107" s="28"/>
      <c r="AA107" s="28"/>
      <c r="AB107" s="28"/>
    </row>
    <row r="108">
      <c r="A108" s="21" t="s">
        <v>198</v>
      </c>
      <c r="B108" s="22" t="s">
        <v>199</v>
      </c>
      <c r="C108" s="23" t="str">
        <f>IFERROR(__xludf.DUMMYFUNCTION("GOOGLETRANSLATE(B108, ""en"", ""fr"")"),"Poids total de stockage")</f>
        <v>Poids total de stockage</v>
      </c>
      <c r="D108" s="23" t="str">
        <f>IFERROR(__xludf.DUMMYFUNCTION("GOOGLETRANSLATE(B108, ""en"", ""es"")"),"El peso total de almacenamiento")</f>
        <v>El peso total de almacenamiento</v>
      </c>
      <c r="E108" s="23" t="str">
        <f>IFERROR(__xludf.DUMMYFUNCTION("GOOGLETRANSLATE(B108, ""en"", ""ru"")"),"Общий вес хранения")</f>
        <v>Общий вес хранения</v>
      </c>
      <c r="F108" s="23" t="str">
        <f>IFERROR(__xludf.DUMMYFUNCTION("GOOGLETRANSLATE(B108, ""en"", ""tr"")"),"Toplam depolama ağırlığı")</f>
        <v>Toplam depolama ağırlığı</v>
      </c>
      <c r="G108" s="23" t="str">
        <f>IFERROR(__xludf.DUMMYFUNCTION("GOOGLETRANSLATE(B108, ""en"", ""pt"")"),"Peso total de armazenamento")</f>
        <v>Peso total de armazenamento</v>
      </c>
      <c r="H108" s="24" t="str">
        <f>IFERROR(__xludf.DUMMYFUNCTION("GOOGLETRANSLATE(B108, ""en"", ""de"")"),"Gesamtspeichergewicht")</f>
        <v>Gesamtspeichergewicht</v>
      </c>
      <c r="I108" s="23" t="str">
        <f>IFERROR(__xludf.DUMMYFUNCTION("GOOGLETRANSLATE(B108, ""en"", ""pl"")"),"Całkowita waga magazynowanie")</f>
        <v>Całkowita waga magazynowanie</v>
      </c>
      <c r="J108" s="25" t="str">
        <f>IFERROR(__xludf.DUMMYFUNCTION("GOOGLETRANSLATE(B108, ""en"", ""zh"")"),"总存储装置权重")</f>
        <v>总存储装置权重</v>
      </c>
      <c r="K108" s="25" t="str">
        <f>IFERROR(__xludf.DUMMYFUNCTION("GOOGLETRANSLATE(B108, ""en"", ""vi"")"),"Tổng trọng lượng lưu trữ")</f>
        <v>Tổng trọng lượng lưu trữ</v>
      </c>
      <c r="L108" s="26" t="str">
        <f>IFERROR(__xludf.DUMMYFUNCTION("GOOGLETRANSLATE(B108, ""en"", ""hr"")"),"Ukupna težina skladištenje")</f>
        <v>Ukupna težina skladištenje</v>
      </c>
      <c r="M108" s="28"/>
      <c r="N108" s="28"/>
      <c r="O108" s="28"/>
      <c r="P108" s="28"/>
      <c r="Q108" s="28"/>
      <c r="R108" s="28"/>
      <c r="S108" s="28"/>
      <c r="T108" s="28"/>
      <c r="U108" s="28"/>
      <c r="V108" s="28"/>
      <c r="W108" s="28"/>
      <c r="X108" s="28"/>
      <c r="Y108" s="28"/>
      <c r="Z108" s="28"/>
      <c r="AA108" s="28"/>
      <c r="AB108" s="28"/>
    </row>
    <row r="109">
      <c r="A109" s="21" t="s">
        <v>200</v>
      </c>
      <c r="B109" s="22" t="s">
        <v>201</v>
      </c>
      <c r="C109" s="23" t="str">
        <f>IFERROR(__xludf.DUMMYFUNCTION("GOOGLETRANSLATE(B109, ""en"", ""fr"")"),"Le stockage est vide.")</f>
        <v>Le stockage est vide.</v>
      </c>
      <c r="D109" s="23" t="str">
        <f>IFERROR(__xludf.DUMMYFUNCTION("GOOGLETRANSLATE(B109, ""en"", ""es"")"),"Almacenamiento está vacía.")</f>
        <v>Almacenamiento está vacía.</v>
      </c>
      <c r="E109" s="23" t="str">
        <f>IFERROR(__xludf.DUMMYFUNCTION("GOOGLETRANSLATE(B109, ""en"", ""ru"")"),"Хранение пустой.")</f>
        <v>Хранение пустой.</v>
      </c>
      <c r="F109" s="23" t="str">
        <f>IFERROR(__xludf.DUMMYFUNCTION("GOOGLETRANSLATE(B109, ""en"", ""tr"")"),"Depolama boş.")</f>
        <v>Depolama boş.</v>
      </c>
      <c r="G109" s="23" t="str">
        <f>IFERROR(__xludf.DUMMYFUNCTION("GOOGLETRANSLATE(B109, ""en"", ""pt"")"),"Armazenamento está vazio.")</f>
        <v>Armazenamento está vazio.</v>
      </c>
      <c r="H109" s="24" t="str">
        <f>IFERROR(__xludf.DUMMYFUNCTION("GOOGLETRANSLATE(B109, ""en"", ""de"")"),"Storage ist leer.")</f>
        <v>Storage ist leer.</v>
      </c>
      <c r="I109" s="23" t="str">
        <f>IFERROR(__xludf.DUMMYFUNCTION("GOOGLETRANSLATE(B109, ""en"", ""pl"")"),"Storage jest pusty.")</f>
        <v>Storage jest pusty.</v>
      </c>
      <c r="J109" s="25" t="str">
        <f>IFERROR(__xludf.DUMMYFUNCTION("GOOGLETRANSLATE(B109, ""en"", ""zh"")"),"存储是空的。")</f>
        <v>存储是空的。</v>
      </c>
      <c r="K109" s="25" t="str">
        <f>IFERROR(__xludf.DUMMYFUNCTION("GOOGLETRANSLATE(B109, ""en"", ""vi"")"),"Lưu trữ trống.")</f>
        <v>Lưu trữ trống.</v>
      </c>
      <c r="L109" s="26" t="str">
        <f>IFERROR(__xludf.DUMMYFUNCTION("GOOGLETRANSLATE(B109, ""en"", ""hr"")"),"Pohrana je prazna.")</f>
        <v>Pohrana je prazna.</v>
      </c>
      <c r="M109" s="28"/>
      <c r="N109" s="28"/>
      <c r="O109" s="28"/>
      <c r="P109" s="28"/>
      <c r="Q109" s="28"/>
      <c r="R109" s="28"/>
      <c r="S109" s="28"/>
      <c r="T109" s="28"/>
      <c r="U109" s="28"/>
      <c r="V109" s="28"/>
      <c r="W109" s="28"/>
      <c r="X109" s="28"/>
      <c r="Y109" s="28"/>
      <c r="Z109" s="28"/>
      <c r="AA109" s="28"/>
      <c r="AB109" s="28"/>
    </row>
    <row r="110">
      <c r="A110" s="21" t="s">
        <v>202</v>
      </c>
      <c r="B110" s="22" t="s">
        <v>202</v>
      </c>
      <c r="C110" s="23" t="str">
        <f>IFERROR(__xludf.DUMMYFUNCTION("GOOGLETRANSLATE(B110, ""en"", ""fr"")"),"Dépôt")</f>
        <v>Dépôt</v>
      </c>
      <c r="D110" s="23" t="str">
        <f>IFERROR(__xludf.DUMMYFUNCTION("GOOGLETRANSLATE(B110, ""en"", ""es"")"),"Depositar")</f>
        <v>Depositar</v>
      </c>
      <c r="E110" s="23" t="str">
        <f>IFERROR(__xludf.DUMMYFUNCTION("GOOGLETRANSLATE(B110, ""en"", ""ru"")"),"депозит")</f>
        <v>депозит</v>
      </c>
      <c r="F110" s="23" t="str">
        <f>IFERROR(__xludf.DUMMYFUNCTION("GOOGLETRANSLATE(B110, ""en"", ""tr"")"),"Depozito")</f>
        <v>Depozito</v>
      </c>
      <c r="G110" s="23" t="str">
        <f>IFERROR(__xludf.DUMMYFUNCTION("GOOGLETRANSLATE(B110, ""en"", ""pt"")"),"Depósito")</f>
        <v>Depósito</v>
      </c>
      <c r="H110" s="24" t="str">
        <f>IFERROR(__xludf.DUMMYFUNCTION("GOOGLETRANSLATE(B110, ""en"", ""de"")"),"Anzahlung")</f>
        <v>Anzahlung</v>
      </c>
      <c r="I110" s="23" t="str">
        <f>IFERROR(__xludf.DUMMYFUNCTION("GOOGLETRANSLATE(B110, ""en"", ""pl"")"),"Kaucja")</f>
        <v>Kaucja</v>
      </c>
      <c r="J110" s="25" t="str">
        <f>IFERROR(__xludf.DUMMYFUNCTION("GOOGLETRANSLATE(B110, ""en"", ""zh"")"),"订金")</f>
        <v>订金</v>
      </c>
      <c r="K110" s="25" t="str">
        <f>IFERROR(__xludf.DUMMYFUNCTION("GOOGLETRANSLATE(B110, ""en"", ""vi"")"),"Tiền gửi")</f>
        <v>Tiền gửi</v>
      </c>
      <c r="L110" s="26" t="str">
        <f>IFERROR(__xludf.DUMMYFUNCTION("GOOGLETRANSLATE(B110, ""en"", ""hr"")"),"depozit")</f>
        <v>depozit</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""fr"")"),"Retirer")</f>
        <v>Retirer</v>
      </c>
      <c r="D111" s="23" t="str">
        <f>IFERROR(__xludf.DUMMYFUNCTION("GOOGLETRANSLATE(B111, ""en"", ""es"")"),"Retirar")</f>
        <v>Retirar</v>
      </c>
      <c r="E111" s="23" t="str">
        <f>IFERROR(__xludf.DUMMYFUNCTION("GOOGLETRANSLATE(B111, ""en"", ""ru"")"),"Отзывать")</f>
        <v>Отзывать</v>
      </c>
      <c r="F111" s="23" t="str">
        <f>IFERROR(__xludf.DUMMYFUNCTION("GOOGLETRANSLATE(B111, ""en"", ""tr"")"),"Çekil")</f>
        <v>Çekil</v>
      </c>
      <c r="G111" s="23" t="str">
        <f>IFERROR(__xludf.DUMMYFUNCTION("GOOGLETRANSLATE(B111, ""en"", ""pt"")"),"Retirar")</f>
        <v>Retirar</v>
      </c>
      <c r="H111" s="24" t="str">
        <f>IFERROR(__xludf.DUMMYFUNCTION("GOOGLETRANSLATE(B111, ""en"", ""de"")"),"Abheben")</f>
        <v>Abheben</v>
      </c>
      <c r="I111" s="23" t="str">
        <f>IFERROR(__xludf.DUMMYFUNCTION("GOOGLETRANSLATE(B111, ""en"", ""pl"")"),"Wycofać")</f>
        <v>Wycofać</v>
      </c>
      <c r="J111" s="25" t="str">
        <f>IFERROR(__xludf.DUMMYFUNCTION("GOOGLETRANSLATE(B111, ""en"", ""zh"")"),"提取")</f>
        <v>提取</v>
      </c>
      <c r="K111" s="25" t="str">
        <f>IFERROR(__xludf.DUMMYFUNCTION("GOOGLETRANSLATE(B111, ""en"", ""vi"")"),"rút")</f>
        <v>rút</v>
      </c>
      <c r="L111" s="26" t="str">
        <f>IFERROR(__xludf.DUMMYFUNCTION("GOOGLETRANSLATE(B111, ""en"", ""hr"")"),"Povući")</f>
        <v>Povući</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""fr"")"),"Pas assez d'espace libre")</f>
        <v>Pas assez d'espace libre</v>
      </c>
      <c r="D112" s="23" t="str">
        <f>IFERROR(__xludf.DUMMYFUNCTION("GOOGLETRANSLATE(B112, ""en"", ""es"")"),"No hay suficiente espacio libre")</f>
        <v>No hay suficiente espacio libre</v>
      </c>
      <c r="E112" s="23" t="str">
        <f>IFERROR(__xludf.DUMMYFUNCTION("GOOGLETRANSLATE(B112, ""en"", ""ru"")"),"Не достаточно свободного места")</f>
        <v>Не достаточно свободного места</v>
      </c>
      <c r="F112" s="23" t="str">
        <f>IFERROR(__xludf.DUMMYFUNCTION("GOOGLETRANSLATE(B112, ""en"", ""tr"")"),"Yeterince boş alan yok")</f>
        <v>Yeterince boş alan yok</v>
      </c>
      <c r="G112" s="23" t="str">
        <f>IFERROR(__xludf.DUMMYFUNCTION("GOOGLETRANSLATE(B112, ""en"", ""pt"")"),"Não há espaço livre suficiente")</f>
        <v>Não há espaço livre suficiente</v>
      </c>
      <c r="H112" s="24" t="str">
        <f>IFERROR(__xludf.DUMMYFUNCTION("GOOGLETRANSLATE(B112, ""en"", ""de"")"),"Nicht genügend freier Speicherplatz")</f>
        <v>Nicht genügend freier Speicherplatz</v>
      </c>
      <c r="I112" s="23" t="str">
        <f>IFERROR(__xludf.DUMMYFUNCTION("GOOGLETRANSLATE(B112, ""en"", ""pl"")"),"Za mało wolnej przestrzeni")</f>
        <v>Za mało wolnej przestrzeni</v>
      </c>
      <c r="J112" s="25" t="str">
        <f>IFERROR(__xludf.DUMMYFUNCTION("GOOGLETRANSLATE(B112, ""en"", ""zh"")"),"没有足够的自由空间")</f>
        <v>没有足够的自由空间</v>
      </c>
      <c r="K112" s="25" t="str">
        <f>IFERROR(__xludf.DUMMYFUNCTION("GOOGLETRANSLATE(B112, ""en"", ""vi"")"),"Không đủ chỗ trống")</f>
        <v>Không đủ chỗ trống</v>
      </c>
      <c r="L112" s="26" t="str">
        <f>IFERROR(__xludf.DUMMYFUNCTION("GOOGLETRANSLATE(B112, ""en"", ""hr"")"),"Nema dovoljno slobodnog prostora")</f>
        <v>Nema dovoljno slobodnog prostora</v>
      </c>
      <c r="M112" s="28"/>
      <c r="N112" s="28"/>
      <c r="O112" s="28"/>
      <c r="P112" s="28"/>
      <c r="Q112" s="28"/>
      <c r="R112" s="28"/>
      <c r="S112" s="28"/>
      <c r="T112" s="28"/>
      <c r="U112" s="28"/>
      <c r="V112" s="28"/>
      <c r="W112" s="28"/>
      <c r="X112" s="28"/>
      <c r="Y112" s="28"/>
      <c r="Z112" s="28"/>
      <c r="AA112" s="28"/>
      <c r="AB112" s="28"/>
    </row>
    <row r="113">
      <c r="A113" s="21" t="s">
        <v>205</v>
      </c>
      <c r="B113" s="22" t="s">
        <v>110</v>
      </c>
      <c r="C113" s="23" t="str">
        <f>IFERROR(__xludf.DUMMYFUNCTION("GOOGLETRANSLATE(B113, ""en"", ""fr"")"),"Inventaire")</f>
        <v>Inventaire</v>
      </c>
      <c r="D113" s="23" t="str">
        <f>IFERROR(__xludf.DUMMYFUNCTION("GOOGLETRANSLATE(B113, ""en"", ""es"")"),"Inventario")</f>
        <v>Inventario</v>
      </c>
      <c r="E113" s="23" t="str">
        <f>IFERROR(__xludf.DUMMYFUNCTION("GOOGLETRANSLATE(B113, ""en"", ""ru"")"),"инвентарь")</f>
        <v>инвентарь</v>
      </c>
      <c r="F113" s="23" t="str">
        <f>IFERROR(__xludf.DUMMYFUNCTION("GOOGLETRANSLATE(B113, ""en"", ""tr"")"),"Envanter")</f>
        <v>Envanter</v>
      </c>
      <c r="G113" s="23" t="str">
        <f>IFERROR(__xludf.DUMMYFUNCTION("GOOGLETRANSLATE(B113, ""en"", ""pt"")"),"Inventário")</f>
        <v>Inventário</v>
      </c>
      <c r="H113" s="24" t="str">
        <f>IFERROR(__xludf.DUMMYFUNCTION("GOOGLETRANSLATE(B113, ""en"", ""de"")"),"Inventar")</f>
        <v>Inventar</v>
      </c>
      <c r="I113" s="23" t="str">
        <f>IFERROR(__xludf.DUMMYFUNCTION("GOOGLETRANSLATE(B113, ""en"", ""pl"")"),"Inwentarz")</f>
        <v>Inwentarz</v>
      </c>
      <c r="J113" s="25" t="str">
        <f>IFERROR(__xludf.DUMMYFUNCTION("GOOGLETRANSLATE(B113, ""en"", ""zh"")"),"存货")</f>
        <v>存货</v>
      </c>
      <c r="K113" s="25" t="str">
        <f>IFERROR(__xludf.DUMMYFUNCTION("GOOGLETRANSLATE(B113, ""en"", ""vi"")"),"Hàng tồn kho")</f>
        <v>Hàng tồn kho</v>
      </c>
      <c r="L113" s="26" t="str">
        <f>IFERROR(__xludf.DUMMYFUNCTION("GOOGLETRANSLATE(B113, ""en"", ""hr"")"),"Inventar")</f>
        <v>Inventar</v>
      </c>
      <c r="M113" s="28"/>
      <c r="N113" s="28"/>
      <c r="O113" s="28"/>
      <c r="P113" s="28"/>
      <c r="Q113" s="28"/>
      <c r="R113" s="28"/>
      <c r="S113" s="28"/>
      <c r="T113" s="28"/>
      <c r="U113" s="28"/>
      <c r="V113" s="28"/>
      <c r="W113" s="28"/>
      <c r="X113" s="28"/>
      <c r="Y113" s="28"/>
      <c r="Z113" s="28"/>
      <c r="AA113" s="28"/>
      <c r="AB113" s="28"/>
    </row>
    <row r="114">
      <c r="A114" s="21" t="s">
        <v>206</v>
      </c>
      <c r="B114" s="22" t="s">
        <v>207</v>
      </c>
      <c r="C114" s="23" t="str">
        <f>IFERROR(__xludf.DUMMYFUNCTION("GOOGLETRANSLATE(B114, ""en"", ""fr"")"),"Poids total des stocks")</f>
        <v>Poids total des stocks</v>
      </c>
      <c r="D114" s="23" t="str">
        <f>IFERROR(__xludf.DUMMYFUNCTION("GOOGLETRANSLATE(B114, ""en"", ""es"")"),"El peso total del inventario")</f>
        <v>El peso total del inventario</v>
      </c>
      <c r="E114" s="23" t="str">
        <f>IFERROR(__xludf.DUMMYFUNCTION("GOOGLETRANSLATE(B114, ""en"", ""ru"")"),"Общий вес инвентаря")</f>
        <v>Общий вес инвентаря</v>
      </c>
      <c r="F114" s="23" t="str">
        <f>IFERROR(__xludf.DUMMYFUNCTION("GOOGLETRANSLATE(B114, ""en"", ""tr"")"),"Toplam envanter ağırlığı")</f>
        <v>Toplam envanter ağırlığı</v>
      </c>
      <c r="G114" s="23" t="str">
        <f>IFERROR(__xludf.DUMMYFUNCTION("GOOGLETRANSLATE(B114, ""en"", ""pt"")"),"Peso total de inventário")</f>
        <v>Peso total de inventário</v>
      </c>
      <c r="H114" s="24" t="str">
        <f>IFERROR(__xludf.DUMMYFUNCTION("GOOGLETRANSLATE(B114, ""en"", ""de"")"),"Gesamtbestand Gewicht")</f>
        <v>Gesamtbestand Gewicht</v>
      </c>
      <c r="I114" s="23" t="str">
        <f>IFERROR(__xludf.DUMMYFUNCTION("GOOGLETRANSLATE(B114, ""en"", ""pl"")"),"Całkowita waga zapasów")</f>
        <v>Całkowita waga zapasów</v>
      </c>
      <c r="J114" s="25" t="str">
        <f>IFERROR(__xludf.DUMMYFUNCTION("GOOGLETRANSLATE(B114, ""en"", ""zh"")"),"总库存量")</f>
        <v>总库存量</v>
      </c>
      <c r="K114" s="25" t="str">
        <f>IFERROR(__xludf.DUMMYFUNCTION("GOOGLETRANSLATE(B114, ""en"", ""vi"")"),"Tổng trọng lượng hàng tồn kho")</f>
        <v>Tổng trọng lượng hàng tồn kho</v>
      </c>
      <c r="L114" s="26" t="str">
        <f>IFERROR(__xludf.DUMMYFUNCTION("GOOGLETRANSLATE(B114, ""en"", ""hr"")"),"Ukupna težina inventar")</f>
        <v>Ukupna težina inventar</v>
      </c>
      <c r="M114" s="28"/>
      <c r="N114" s="28"/>
      <c r="O114" s="28"/>
      <c r="P114" s="28"/>
      <c r="Q114" s="28"/>
      <c r="R114" s="28"/>
      <c r="S114" s="28"/>
      <c r="T114" s="28"/>
      <c r="U114" s="28"/>
      <c r="V114" s="28"/>
      <c r="W114" s="28"/>
      <c r="X114" s="28"/>
      <c r="Y114" s="28"/>
      <c r="Z114" s="28"/>
      <c r="AA114" s="28"/>
      <c r="AB114" s="28"/>
    </row>
    <row r="115">
      <c r="A115" s="21" t="s">
        <v>208</v>
      </c>
      <c r="B115" s="22" t="s">
        <v>209</v>
      </c>
      <c r="C115" s="23" t="str">
        <f>IFERROR(__xludf.DUMMYFUNCTION("GOOGLETRANSLATE(B115, ""en"", ""fr"")"),"Rechercher")</f>
        <v>Rechercher</v>
      </c>
      <c r="D115" s="23" t="str">
        <f>IFERROR(__xludf.DUMMYFUNCTION("GOOGLETRANSLATE(B115, ""en"", ""es"")"),"Buscar")</f>
        <v>Buscar</v>
      </c>
      <c r="E115" s="23" t="str">
        <f>IFERROR(__xludf.DUMMYFUNCTION("GOOGLETRANSLATE(B115, ""en"", ""ru"")"),"Поиск")</f>
        <v>Поиск</v>
      </c>
      <c r="F115" s="23" t="str">
        <f>IFERROR(__xludf.DUMMYFUNCTION("GOOGLETRANSLATE(B115, ""en"", ""tr"")"),"Arama")</f>
        <v>Arama</v>
      </c>
      <c r="G115" s="23" t="str">
        <f>IFERROR(__xludf.DUMMYFUNCTION("GOOGLETRANSLATE(B115, ""en"", ""pt"")"),"Procurar")</f>
        <v>Procurar</v>
      </c>
      <c r="H115" s="24" t="str">
        <f>IFERROR(__xludf.DUMMYFUNCTION("GOOGLETRANSLATE(B115, ""en"", ""de"")"),"Suche")</f>
        <v>Suche</v>
      </c>
      <c r="I115" s="23" t="str">
        <f>IFERROR(__xludf.DUMMYFUNCTION("GOOGLETRANSLATE(B115, ""en"", ""pl"")"),"Szukaj")</f>
        <v>Szukaj</v>
      </c>
      <c r="J115" s="25" t="str">
        <f>IFERROR(__xludf.DUMMYFUNCTION("GOOGLETRANSLATE(B115, ""en"", ""zh"")"),"搜索")</f>
        <v>搜索</v>
      </c>
      <c r="K115" s="25" t="str">
        <f>IFERROR(__xludf.DUMMYFUNCTION("GOOGLETRANSLATE(B115, ""en"", ""vi"")"),"Tìm kiếm")</f>
        <v>Tìm kiếm</v>
      </c>
      <c r="L115" s="26" t="str">
        <f>IFERROR(__xludf.DUMMYFUNCTION("GOOGLETRANSLATE(B115, ""en"", ""hr"")"),"traži")</f>
        <v>traži</v>
      </c>
      <c r="M115" s="28"/>
      <c r="N115" s="28"/>
      <c r="O115" s="28"/>
      <c r="P115" s="28"/>
      <c r="Q115" s="28"/>
      <c r="R115" s="28"/>
      <c r="S115" s="28"/>
      <c r="T115" s="28"/>
      <c r="U115" s="28"/>
      <c r="V115" s="28"/>
      <c r="W115" s="28"/>
      <c r="X115" s="28"/>
      <c r="Y115" s="28"/>
      <c r="Z115" s="28"/>
      <c r="AA115" s="28"/>
      <c r="AB115" s="28"/>
    </row>
    <row r="116">
      <c r="A116" s="21" t="s">
        <v>210</v>
      </c>
      <c r="B116" s="22" t="s">
        <v>211</v>
      </c>
      <c r="C116" s="23" t="str">
        <f>IFERROR(__xludf.DUMMYFUNCTION("GOOGLETRANSLATE(B116, ""en"", ""fr"")"),"L'inventaire est vide.")</f>
        <v>L'inventaire est vide.</v>
      </c>
      <c r="D116" s="23" t="str">
        <f>IFERROR(__xludf.DUMMYFUNCTION("GOOGLETRANSLATE(B116, ""en"", ""es"")"),"Inventario está vacía.")</f>
        <v>Inventario está vacía.</v>
      </c>
      <c r="E116" s="23" t="str">
        <f>IFERROR(__xludf.DUMMYFUNCTION("GOOGLETRANSLATE(B116, ""en"", ""ru"")"),"Inventory пуст.")</f>
        <v>Inventory пуст.</v>
      </c>
      <c r="F116" s="23" t="str">
        <f>IFERROR(__xludf.DUMMYFUNCTION("GOOGLETRANSLATE(B116, ""en"", ""tr"")"),"Envanter boş.")</f>
        <v>Envanter boş.</v>
      </c>
      <c r="G116" s="23" t="str">
        <f>IFERROR(__xludf.DUMMYFUNCTION("GOOGLETRANSLATE(B116, ""en"", ""pt"")"),"Inventário está vazia.")</f>
        <v>Inventário está vazia.</v>
      </c>
      <c r="H116" s="24" t="str">
        <f>IFERROR(__xludf.DUMMYFUNCTION("GOOGLETRANSLATE(B116, ""en"", ""de"")"),"Inventory ist leer.")</f>
        <v>Inventory ist leer.</v>
      </c>
      <c r="I116" s="23" t="str">
        <f>IFERROR(__xludf.DUMMYFUNCTION("GOOGLETRANSLATE(B116, ""en"", ""pl"")"),"Inwentaryzacja jest pusty.")</f>
        <v>Inwentaryzacja jest pusty.</v>
      </c>
      <c r="J116" s="25" t="str">
        <f>IFERROR(__xludf.DUMMYFUNCTION("GOOGLETRANSLATE(B116, ""en"", ""zh"")"),"库存是空的。")</f>
        <v>库存是空的。</v>
      </c>
      <c r="K116" s="25" t="str">
        <f>IFERROR(__xludf.DUMMYFUNCTION("GOOGLETRANSLATE(B116, ""en"", ""vi"")"),"Hàng tồn kho trống.")</f>
        <v>Hàng tồn kho trống.</v>
      </c>
      <c r="L116" s="26" t="str">
        <f>IFERROR(__xludf.DUMMYFUNCTION("GOOGLETRANSLATE(B116, ""en"", ""hr"")"),"Popis je prazan.")</f>
        <v>Popis je prazan.</v>
      </c>
      <c r="M116" s="28"/>
      <c r="N116" s="28"/>
      <c r="O116" s="28"/>
      <c r="P116" s="28"/>
      <c r="Q116" s="28"/>
      <c r="R116" s="28"/>
      <c r="S116" s="28"/>
      <c r="T116" s="28"/>
      <c r="U116" s="28"/>
      <c r="V116" s="28"/>
      <c r="W116" s="28"/>
      <c r="X116" s="28"/>
      <c r="Y116" s="28"/>
      <c r="Z116" s="28"/>
      <c r="AA116" s="28"/>
      <c r="AB116" s="28"/>
    </row>
    <row r="117">
      <c r="A117" s="21" t="s">
        <v>212</v>
      </c>
      <c r="B117" s="22" t="s">
        <v>212</v>
      </c>
      <c r="C117" s="23" t="str">
        <f>IFERROR(__xludf.DUMMYFUNCTION("GOOGLETRANSLATE(B117, ""en"", ""fr"")"),"Retirer du Hotbar")</f>
        <v>Retirer du Hotbar</v>
      </c>
      <c r="D117" s="23" t="str">
        <f>IFERROR(__xludf.DUMMYFUNCTION("GOOGLETRANSLATE(B117, ""en"", ""es"")"),"Remover de barra de acceso rápido")</f>
        <v>Remover de barra de acceso rápido</v>
      </c>
      <c r="E117" s="23" t="str">
        <f>IFERROR(__xludf.DUMMYFUNCTION("GOOGLETRANSLATE(B117, ""en"", ""ru"")"),"Удалить из хотбар")</f>
        <v>Удалить из хотбар</v>
      </c>
      <c r="F117" s="23" t="str">
        <f>IFERROR(__xludf.DUMMYFUNCTION("GOOGLETRANSLATE(B117, ""en"", ""tr"")"),"Kısayol çubuğunun kaldır")</f>
        <v>Kısayol çubuğunun kaldır</v>
      </c>
      <c r="G117" s="23" t="str">
        <f>IFERROR(__xludf.DUMMYFUNCTION("GOOGLETRANSLATE(B117, ""en"", ""pt"")"),"Retire do hotbar")</f>
        <v>Retire do hotbar</v>
      </c>
      <c r="H117" s="24" t="str">
        <f>IFERROR(__xludf.DUMMYFUNCTION("GOOGLETRANSLATE(B117, ""en"", ""de"")"),"Entfernen von hotbar")</f>
        <v>Entfernen von hotbar</v>
      </c>
      <c r="I117" s="23" t="str">
        <f>IFERROR(__xludf.DUMMYFUNCTION("GOOGLETRANSLATE(B117, ""en"", ""pl"")"),"Usuń z Hotbar")</f>
        <v>Usuń z Hotbar</v>
      </c>
      <c r="J117" s="25" t="str">
        <f>IFERROR(__xludf.DUMMYFUNCTION("GOOGLETRANSLATE(B117, ""en"", ""zh"")"),"从快捷栏删除")</f>
        <v>从快捷栏删除</v>
      </c>
      <c r="K117" s="25" t="str">
        <f>IFERROR(__xludf.DUMMYFUNCTION("GOOGLETRANSLATE(B117, ""en"", ""vi"")"),"Xoá khỏi Hotbar")</f>
        <v>Xoá khỏi Hotbar</v>
      </c>
      <c r="L117" s="26" t="str">
        <f>IFERROR(__xludf.DUMMYFUNCTION("GOOGLETRANSLATE(B117, ""en"", ""hr"")"),"Ukloni iz hotbar")</f>
        <v>Ukloni iz hotbar</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""fr"")"),"Hotbar complète")</f>
        <v>Hotbar complète</v>
      </c>
      <c r="D118" s="23" t="str">
        <f>IFERROR(__xludf.DUMMYFUNCTION("GOOGLETRANSLATE(B118, ""en"", ""es"")"),"barra de acceso completa")</f>
        <v>barra de acceso completa</v>
      </c>
      <c r="E118" s="23" t="str">
        <f>IFERROR(__xludf.DUMMYFUNCTION("GOOGLETRANSLATE(B118, ""en"", ""ru"")"),"Hotbar полный")</f>
        <v>Hotbar полный</v>
      </c>
      <c r="F118" s="23" t="str">
        <f>IFERROR(__xludf.DUMMYFUNCTION("GOOGLETRANSLATE(B118, ""en"", ""tr"")"),"tam Hotbar")</f>
        <v>tam Hotbar</v>
      </c>
      <c r="G118" s="23" t="str">
        <f>IFERROR(__xludf.DUMMYFUNCTION("GOOGLETRANSLATE(B118, ""en"", ""pt"")"),"Hotbar completo")</f>
        <v>Hotbar completo</v>
      </c>
      <c r="H118" s="24" t="str">
        <f>IFERROR(__xludf.DUMMYFUNCTION("GOOGLETRANSLATE(B118, ""en"", ""de"")"),"Hotbar voll")</f>
        <v>Hotbar voll</v>
      </c>
      <c r="I118" s="23" t="str">
        <f>IFERROR(__xludf.DUMMYFUNCTION("GOOGLETRANSLATE(B118, ""en"", ""pl"")"),"Hotbar pełny")</f>
        <v>Hotbar pełny</v>
      </c>
      <c r="J118" s="25" t="str">
        <f>IFERROR(__xludf.DUMMYFUNCTION("GOOGLETRANSLATE(B118, ""en"", ""zh"")"),"快捷栏完整")</f>
        <v>快捷栏完整</v>
      </c>
      <c r="K118" s="25" t="str">
        <f>IFERROR(__xludf.DUMMYFUNCTION("GOOGLETRANSLATE(B118, ""en"", ""vi"")"),"Hotbar đầy đủ")</f>
        <v>Hotbar đầy đủ</v>
      </c>
      <c r="L118" s="26" t="str">
        <f>IFERROR(__xludf.DUMMYFUNCTION("GOOGLETRANSLATE(B118, ""en"", ""hr"")"),"Hotbar puni")</f>
        <v>Hotbar puni</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""fr"")"),"Ajouter à Hotbar")</f>
        <v>Ajouter à Hotbar</v>
      </c>
      <c r="D119" s="23" t="str">
        <f>IFERROR(__xludf.DUMMYFUNCTION("GOOGLETRANSLATE(B119, ""en"", ""es"")"),"Añadir a la barra de acceso rápido")</f>
        <v>Añadir a la barra de acceso rápido</v>
      </c>
      <c r="E119" s="23" t="str">
        <f>IFERROR(__xludf.DUMMYFUNCTION("GOOGLETRANSLATE(B119, ""en"", ""ru"")"),"Добавить в хотбар")</f>
        <v>Добавить в хотбар</v>
      </c>
      <c r="F119" s="23" t="str">
        <f>IFERROR(__xludf.DUMMYFUNCTION("GOOGLETRANSLATE(B119, ""en"", ""tr"")"),"Kısayol çubuğunun ekle")</f>
        <v>Kısayol çubuğunun ekle</v>
      </c>
      <c r="G119" s="23" t="str">
        <f>IFERROR(__xludf.DUMMYFUNCTION("GOOGLETRANSLATE(B119, ""en"", ""pt"")"),"Adicionar a hotbar")</f>
        <v>Adicionar a hotbar</v>
      </c>
      <c r="H119" s="24" t="str">
        <f>IFERROR(__xludf.DUMMYFUNCTION("GOOGLETRANSLATE(B119, ""en"", ""de"")"),"In der hotbar")</f>
        <v>In der hotbar</v>
      </c>
      <c r="I119" s="23" t="str">
        <f>IFERROR(__xludf.DUMMYFUNCTION("GOOGLETRANSLATE(B119, ""en"", ""pl"")"),"Dodaj do Hotbar")</f>
        <v>Dodaj do Hotbar</v>
      </c>
      <c r="J119" s="25" t="str">
        <f>IFERROR(__xludf.DUMMYFUNCTION("GOOGLETRANSLATE(B119, ""en"", ""zh"")"),"添加到快捷栏")</f>
        <v>添加到快捷栏</v>
      </c>
      <c r="K119" s="25" t="str">
        <f>IFERROR(__xludf.DUMMYFUNCTION("GOOGLETRANSLATE(B119, ""en"", ""vi"")"),"Thêm vào Hotbar")</f>
        <v>Thêm vào Hotbar</v>
      </c>
      <c r="L119" s="26" t="str">
        <f>IFERROR(__xludf.DUMMYFUNCTION("GOOGLETRANSLATE(B119, ""en"", ""hr"")"),"Dodaj u hotbar")</f>
        <v>Dodaj u hotbar</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""fr"")"),"Equip rapide")</f>
        <v>Equip rapide</v>
      </c>
      <c r="D120" s="23" t="str">
        <f>IFERROR(__xludf.DUMMYFUNCTION("GOOGLETRANSLATE(B120, ""en"", ""es"")"),"Equipo rápida")</f>
        <v>Equipo rápida</v>
      </c>
      <c r="E120" s="23" t="str">
        <f>IFERROR(__xludf.DUMMYFUNCTION("GOOGLETRANSLATE(B120, ""en"", ""ru"")"),"Быстрый оборудо")</f>
        <v>Быстрый оборудо</v>
      </c>
      <c r="F120" s="23" t="str">
        <f>IFERROR(__xludf.DUMMYFUNCTION("GOOGLETRANSLATE(B120, ""en"", ""tr"")"),"Hızlı donatmak")</f>
        <v>Hızlı donatmak</v>
      </c>
      <c r="G120" s="23" t="str">
        <f>IFERROR(__xludf.DUMMYFUNCTION("GOOGLETRANSLATE(B120, ""en"", ""pt"")"),"equip rápida")</f>
        <v>equip rápida</v>
      </c>
      <c r="H120" s="24" t="str">
        <f>IFERROR(__xludf.DUMMYFUNCTION("GOOGLETRANSLATE(B120, ""en"", ""de"")"),"Schnell Ausrüsten")</f>
        <v>Schnell Ausrüsten</v>
      </c>
      <c r="I120" s="23" t="str">
        <f>IFERROR(__xludf.DUMMYFUNCTION("GOOGLETRANSLATE(B120, ""en"", ""pl"")"),"szybkie Equip")</f>
        <v>szybkie Equip</v>
      </c>
      <c r="J120" s="25" t="str">
        <f>IFERROR(__xludf.DUMMYFUNCTION("GOOGLETRANSLATE(B120, ""en"", ""zh"")"),"快速装备")</f>
        <v>快速装备</v>
      </c>
      <c r="K120" s="25" t="str">
        <f>IFERROR(__xludf.DUMMYFUNCTION("GOOGLETRANSLATE(B120, ""en"", ""vi"")"),"trang bị nhanh")</f>
        <v>trang bị nhanh</v>
      </c>
      <c r="L120" s="26" t="str">
        <f>IFERROR(__xludf.DUMMYFUNCTION("GOOGLETRANSLATE(B120, ""en"", ""hr"")"),"Brzo opremiti")</f>
        <v>Brzo opremiti</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""fr"")"),"utilisation rapide")</f>
        <v>utilisation rapide</v>
      </c>
      <c r="D121" s="23" t="str">
        <f>IFERROR(__xludf.DUMMYFUNCTION("GOOGLETRANSLATE(B121, ""en"", ""es"")"),"el uso rápido")</f>
        <v>el uso rápido</v>
      </c>
      <c r="E121" s="23" t="str">
        <f>IFERROR(__xludf.DUMMYFUNCTION("GOOGLETRANSLATE(B121, ""en"", ""ru"")"),"Быстрое использование")</f>
        <v>Быстрое использование</v>
      </c>
      <c r="F121" s="23" t="str">
        <f>IFERROR(__xludf.DUMMYFUNCTION("GOOGLETRANSLATE(B121, ""en"", ""tr"")"),"Hızlı kullanım")</f>
        <v>Hızlı kullanım</v>
      </c>
      <c r="G121" s="23" t="str">
        <f>IFERROR(__xludf.DUMMYFUNCTION("GOOGLETRANSLATE(B121, ""en"", ""pt"")"),"uso rápido")</f>
        <v>uso rápido</v>
      </c>
      <c r="H121" s="24" t="str">
        <f>IFERROR(__xludf.DUMMYFUNCTION("GOOGLETRANSLATE(B121, ""en"", ""de"")"),"Schnell Einsatz")</f>
        <v>Schnell Einsatz</v>
      </c>
      <c r="I121" s="23" t="str">
        <f>IFERROR(__xludf.DUMMYFUNCTION("GOOGLETRANSLATE(B121, ""en"", ""pl"")"),"szybkie stosowanie")</f>
        <v>szybkie stosowanie</v>
      </c>
      <c r="J121" s="25" t="str">
        <f>IFERROR(__xludf.DUMMYFUNCTION("GOOGLETRANSLATE(B121, ""en"", ""zh"")"),"快速使用")</f>
        <v>快速使用</v>
      </c>
      <c r="K121" s="25" t="str">
        <f>IFERROR(__xludf.DUMMYFUNCTION("GOOGLETRANSLATE(B121, ""en"", ""vi"")"),"sử dụng nhanh chóng")</f>
        <v>sử dụng nhanh chóng</v>
      </c>
      <c r="L121" s="26" t="str">
        <f>IFERROR(__xludf.DUMMYFUNCTION("GOOGLETRANSLATE(B121, ""en"", ""hr"")"),"Brza primjena")</f>
        <v>Brza primjena</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""fr"")"),"Tomber")</f>
        <v>Tomber</v>
      </c>
      <c r="D122" s="23" t="str">
        <f>IFERROR(__xludf.DUMMYFUNCTION("GOOGLETRANSLATE(B122, ""en"", ""es"")"),"Soltar")</f>
        <v>Soltar</v>
      </c>
      <c r="E122" s="23" t="str">
        <f>IFERROR(__xludf.DUMMYFUNCTION("GOOGLETRANSLATE(B122, ""en"", ""ru"")"),"Уронить")</f>
        <v>Уронить</v>
      </c>
      <c r="F122" s="23" t="str">
        <f>IFERROR(__xludf.DUMMYFUNCTION("GOOGLETRANSLATE(B122, ""en"", ""tr"")"),"Düşürmek")</f>
        <v>Düşürmek</v>
      </c>
      <c r="G122" s="23" t="str">
        <f>IFERROR(__xludf.DUMMYFUNCTION("GOOGLETRANSLATE(B122, ""en"", ""pt"")"),"Solta")</f>
        <v>Solta</v>
      </c>
      <c r="H122" s="24" t="str">
        <f>IFERROR(__xludf.DUMMYFUNCTION("GOOGLETRANSLATE(B122, ""en"", ""de"")"),"Fallen")</f>
        <v>Fallen</v>
      </c>
      <c r="I122" s="23" t="str">
        <f>IFERROR(__xludf.DUMMYFUNCTION("GOOGLETRANSLATE(B122, ""en"", ""pl"")"),"Upuszczać")</f>
        <v>Upuszczać</v>
      </c>
      <c r="J122" s="25" t="str">
        <f>IFERROR(__xludf.DUMMYFUNCTION("GOOGLETRANSLATE(B122, ""en"", ""zh"")"),"降低")</f>
        <v>降低</v>
      </c>
      <c r="K122" s="25" t="str">
        <f>IFERROR(__xludf.DUMMYFUNCTION("GOOGLETRANSLATE(B122, ""en"", ""vi"")"),"Rơi vãi")</f>
        <v>Rơi vãi</v>
      </c>
      <c r="L122" s="26" t="str">
        <f>IFERROR(__xludf.DUMMYFUNCTION("GOOGLETRANSLATE(B122, ""en"", ""hr"")"),"Pad")</f>
        <v>Pad</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""fr"")"),"Poids")</f>
        <v>Poids</v>
      </c>
      <c r="D123" s="23" t="str">
        <f>IFERROR(__xludf.DUMMYFUNCTION("GOOGLETRANSLATE(B123, ""en"", ""es"")"),"Peso")</f>
        <v>Peso</v>
      </c>
      <c r="E123" s="23" t="str">
        <f>IFERROR(__xludf.DUMMYFUNCTION("GOOGLETRANSLATE(B123, ""en"", ""ru"")"),"Масса")</f>
        <v>Масса</v>
      </c>
      <c r="F123" s="23" t="str">
        <f>IFERROR(__xludf.DUMMYFUNCTION("GOOGLETRANSLATE(B123, ""en"", ""tr"")"),"Ağırlık")</f>
        <v>Ağırlık</v>
      </c>
      <c r="G123" s="23" t="str">
        <f>IFERROR(__xludf.DUMMYFUNCTION("GOOGLETRANSLATE(B123, ""en"", ""pt"")"),"Peso")</f>
        <v>Peso</v>
      </c>
      <c r="H123" s="24" t="str">
        <f>IFERROR(__xludf.DUMMYFUNCTION("GOOGLETRANSLATE(B123, ""en"", ""de"")"),"Gewicht")</f>
        <v>Gewicht</v>
      </c>
      <c r="I123" s="23" t="str">
        <f>IFERROR(__xludf.DUMMYFUNCTION("GOOGLETRANSLATE(B123, ""en"", ""pl"")"),"Waga")</f>
        <v>Waga</v>
      </c>
      <c r="J123" s="25" t="str">
        <f>IFERROR(__xludf.DUMMYFUNCTION("GOOGLETRANSLATE(B123, ""en"", ""zh"")"),"重量")</f>
        <v>重量</v>
      </c>
      <c r="K123" s="25" t="str">
        <f>IFERROR(__xludf.DUMMYFUNCTION("GOOGLETRANSLATE(B123, ""en"", ""vi"")"),"Cân nặng")</f>
        <v>Cân nặng</v>
      </c>
      <c r="L123" s="26" t="str">
        <f>IFERROR(__xludf.DUMMYFUNCTION("GOOGLETRANSLATE(B123, ""en"", ""hr"")"),"Težina")</f>
        <v>Težina</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""fr"")"),"Afficher les détails du produit")</f>
        <v>Afficher les détails du produit</v>
      </c>
      <c r="D124" s="23" t="str">
        <f>IFERROR(__xludf.DUMMYFUNCTION("GOOGLETRANSLATE(B124, ""en"", ""es"")"),"Mostrar los detalles del artículo")</f>
        <v>Mostrar los detalles del artículo</v>
      </c>
      <c r="E124" s="23" t="str">
        <f>IFERROR(__xludf.DUMMYFUNCTION("GOOGLETRANSLATE(B124, ""en"", ""ru"")"),"детали Показать")</f>
        <v>детали Показать</v>
      </c>
      <c r="F124" s="23" t="str">
        <f>IFERROR(__xludf.DUMMYFUNCTION("GOOGLETRANSLATE(B124, ""en"", ""tr"")"),"Öğe ayrıntılarını göster")</f>
        <v>Öğe ayrıntılarını göster</v>
      </c>
      <c r="G124" s="23" t="str">
        <f>IFERROR(__xludf.DUMMYFUNCTION("GOOGLETRANSLATE(B124, ""en"", ""pt"")"),"Apresentar programa de itens")</f>
        <v>Apresentar programa de itens</v>
      </c>
      <c r="H124" s="24" t="str">
        <f>IFERROR(__xludf.DUMMYFUNCTION("GOOGLETRANSLATE(B124, ""en"", ""de"")"),"Anzeigen Artikeldetails")</f>
        <v>Anzeigen Artikeldetails</v>
      </c>
      <c r="I124" s="23" t="str">
        <f>IFERROR(__xludf.DUMMYFUNCTION("GOOGLETRANSLATE(B124, ""en"", ""pl"")"),"Pokaż artykuł")</f>
        <v>Pokaż artykuł</v>
      </c>
      <c r="J124" s="25" t="str">
        <f>IFERROR(__xludf.DUMMYFUNCTION("GOOGLETRANSLATE(B124, ""en"", ""zh"")"),"显示项目的详细信息")</f>
        <v>显示项目的详细信息</v>
      </c>
      <c r="K124" s="25" t="str">
        <f>IFERROR(__xludf.DUMMYFUNCTION("GOOGLETRANSLATE(B124, ""en"", ""vi"")"),"Hiển thị chi tiết mục")</f>
        <v>Hiển thị chi tiết mục</v>
      </c>
      <c r="L124" s="26" t="str">
        <f>IFERROR(__xludf.DUMMYFUNCTION("GOOGLETRANSLATE(B124, ""en"", ""hr"")"),"Pokaži pojedinosti stavke")</f>
        <v>Pokaži pojedinosti stavke</v>
      </c>
      <c r="M124" s="28"/>
      <c r="N124" s="28"/>
      <c r="O124" s="28"/>
      <c r="P124" s="28"/>
      <c r="Q124" s="28"/>
      <c r="R124" s="28"/>
      <c r="S124" s="28"/>
      <c r="T124" s="28"/>
      <c r="U124" s="28"/>
      <c r="V124" s="28"/>
      <c r="W124" s="28"/>
      <c r="X124" s="28"/>
      <c r="Y124" s="28"/>
      <c r="Z124" s="28"/>
      <c r="AA124" s="28"/>
      <c r="AB124" s="28"/>
    </row>
    <row r="125">
      <c r="A125" s="21" t="s">
        <v>220</v>
      </c>
      <c r="B125" s="22" t="s">
        <v>221</v>
      </c>
      <c r="C125" s="23" t="str">
        <f>IFERROR(__xludf.DUMMYFUNCTION("GOOGLETRANSLATE(B125, ""en"", ""fr"")"),"Aucun élément trouvé.")</f>
        <v>Aucun élément trouvé.</v>
      </c>
      <c r="D125" s="23" t="str">
        <f>IFERROR(__xludf.DUMMYFUNCTION("GOOGLETRANSLATE(B125, ""en"", ""es"")"),"No se encontraron artículos.")</f>
        <v>No se encontraron artículos.</v>
      </c>
      <c r="E125" s="23" t="str">
        <f>IFERROR(__xludf.DUMMYFUNCTION("GOOGLETRANSLATE(B125, ""en"", ""ru"")"),"Ничего не найдено.")</f>
        <v>Ничего не найдено.</v>
      </c>
      <c r="F125" s="23" t="str">
        <f>IFERROR(__xludf.DUMMYFUNCTION("GOOGLETRANSLATE(B125, ""en"", ""tr"")"),"Hiç bir öğe bulunamadı.")</f>
        <v>Hiç bir öğe bulunamadı.</v>
      </c>
      <c r="G125" s="23" t="str">
        <f>IFERROR(__xludf.DUMMYFUNCTION("GOOGLETRANSLATE(B125, ""en"", ""pt"")"),"Nenhum item encontrado.")</f>
        <v>Nenhum item encontrado.</v>
      </c>
      <c r="H125" s="24" t="str">
        <f>IFERROR(__xludf.DUMMYFUNCTION("GOOGLETRANSLATE(B125, ""en"", ""de"")"),"Keine Elemente gefunden.")</f>
        <v>Keine Elemente gefunden.</v>
      </c>
      <c r="I125" s="23" t="str">
        <f>IFERROR(__xludf.DUMMYFUNCTION("GOOGLETRANSLATE(B125, ""en"", ""pl"")"),"Nie znaleziono żadnych przedmiotów.")</f>
        <v>Nie znaleziono żadnych przedmiotów.</v>
      </c>
      <c r="J125" s="25" t="str">
        <f>IFERROR(__xludf.DUMMYFUNCTION("GOOGLETRANSLATE(B125, ""en"", ""zh"")"),"未找到任何项目。")</f>
        <v>未找到任何项目。</v>
      </c>
      <c r="K125" s="25" t="str">
        <f>IFERROR(__xludf.DUMMYFUNCTION("GOOGLETRANSLATE(B125, ""en"", ""vi"")"),"Không tìm thấy vật nào.")</f>
        <v>Không tìm thấy vật nào.</v>
      </c>
      <c r="L125" s="26" t="str">
        <f>IFERROR(__xludf.DUMMYFUNCTION("GOOGLETRANSLATE(B125, ""en"", ""hr"")"),"Nema podataka.")</f>
        <v>Nema podataka.</v>
      </c>
      <c r="M125" s="28"/>
      <c r="N125" s="28"/>
      <c r="O125" s="28"/>
      <c r="P125" s="28"/>
      <c r="Q125" s="28"/>
      <c r="R125" s="28"/>
      <c r="S125" s="28"/>
      <c r="T125" s="28"/>
      <c r="U125" s="28"/>
      <c r="V125" s="28"/>
      <c r="W125" s="28"/>
      <c r="X125" s="28"/>
      <c r="Y125" s="28"/>
      <c r="Z125" s="28"/>
      <c r="AA125" s="28"/>
      <c r="AB125" s="28"/>
    </row>
    <row r="126">
      <c r="A126" s="21" t="s">
        <v>222</v>
      </c>
      <c r="B126" s="22" t="s">
        <v>223</v>
      </c>
      <c r="C126" s="23" t="str">
        <f>IFERROR(__xludf.DUMMYFUNCTION("GOOGLETRANSLATE(B126, ""en"", ""fr"")"),"Aucune option disponible artisanat.")</f>
        <v>Aucune option disponible artisanat.</v>
      </c>
      <c r="D126" s="23" t="str">
        <f>IFERROR(__xludf.DUMMYFUNCTION("GOOGLETRANSLATE(B126, ""en"", ""es"")"),"No hay opciones disponibles que hacen a mano.")</f>
        <v>No hay opciones disponibles que hacen a mano.</v>
      </c>
      <c r="E126" s="23" t="str">
        <f>IFERROR(__xludf.DUMMYFUNCTION("GOOGLETRANSLATE(B126, ""en"", ""ru"")"),"Нет крафта варианты.")</f>
        <v>Нет крафта варианты.</v>
      </c>
      <c r="F126" s="23" t="str">
        <f>IFERROR(__xludf.DUMMYFUNCTION("GOOGLETRANSLATE(B126, ""en"", ""tr"")"),"Hiçbir işçiliği seçenekler kullanılabilir.")</f>
        <v>Hiçbir işçiliği seçenekler kullanılabilir.</v>
      </c>
      <c r="G126" s="23" t="str">
        <f>IFERROR(__xludf.DUMMYFUNCTION("GOOGLETRANSLATE(B126, ""en"", ""pt"")"),"Sem opções de artesanato disponível.")</f>
        <v>Sem opções de artesanato disponível.</v>
      </c>
      <c r="H126" s="24" t="str">
        <f>IFERROR(__xludf.DUMMYFUNCTION("GOOGLETRANSLATE(B126, ""en"", ""de"")"),"Keine Crafting-Optionen zur Verfügung.")</f>
        <v>Keine Crafting-Optionen zur Verfügung.</v>
      </c>
      <c r="I126" s="23" t="str">
        <f>IFERROR(__xludf.DUMMYFUNCTION("GOOGLETRANSLATE(B126, ""en"", ""pl"")"),"Brak opcji rzemieślniczych dostępny.")</f>
        <v>Brak opcji rzemieślniczych dostępny.</v>
      </c>
      <c r="J126" s="25" t="str">
        <f>IFERROR(__xludf.DUMMYFUNCTION("GOOGLETRANSLATE(B126, ""en"", ""zh"")"),"无各具特色的选项。")</f>
        <v>无各具特色的选项。</v>
      </c>
      <c r="K126" s="25" t="str">
        <f>IFERROR(__xludf.DUMMYFUNCTION("GOOGLETRANSLATE(B126, ""en"", ""vi"")"),"Không có tùy chọn crafting sẵn.")</f>
        <v>Không có tùy chọn crafting sẵn.</v>
      </c>
      <c r="L126" s="26" t="str">
        <f>IFERROR(__xludf.DUMMYFUNCTION("GOOGLETRANSLATE(B126, ""en"", ""hr"")"),"Nema crafting opcije na raspolaganju.")</f>
        <v>Nema crafting opcije na raspolaganju.</v>
      </c>
      <c r="M126" s="28"/>
      <c r="N126" s="28"/>
      <c r="O126" s="28"/>
      <c r="P126" s="28"/>
      <c r="Q126" s="28"/>
      <c r="R126" s="28"/>
      <c r="S126" s="28"/>
      <c r="T126" s="28"/>
      <c r="U126" s="28"/>
      <c r="V126" s="28"/>
      <c r="W126" s="28"/>
      <c r="X126" s="28"/>
      <c r="Y126" s="28"/>
      <c r="Z126" s="28"/>
      <c r="AA126" s="28"/>
      <c r="AB126" s="28"/>
    </row>
    <row r="127">
      <c r="A127" s="21" t="s">
        <v>224</v>
      </c>
      <c r="B127" s="22" t="s">
        <v>224</v>
      </c>
      <c r="C127" s="23" t="str">
        <f>IFERROR(__xludf.DUMMYFUNCTION("GOOGLETRANSLATE(B127, ""en"", ""fr"")"),"Artisanat")</f>
        <v>Artisanat</v>
      </c>
      <c r="D127" s="23" t="str">
        <f>IFERROR(__xludf.DUMMYFUNCTION("GOOGLETRANSLATE(B127, ""en"", ""es"")"),"Artesanía")</f>
        <v>Artesanía</v>
      </c>
      <c r="E127" s="23" t="str">
        <f>IFERROR(__xludf.DUMMYFUNCTION("GOOGLETRANSLATE(B127, ""en"", ""ru"")"),"Ремесло")</f>
        <v>Ремесло</v>
      </c>
      <c r="F127" s="23" t="str">
        <f>IFERROR(__xludf.DUMMYFUNCTION("GOOGLETRANSLATE(B127, ""en"", ""tr"")"),"zanaat")</f>
        <v>zanaat</v>
      </c>
      <c r="G127" s="23" t="str">
        <f>IFERROR(__xludf.DUMMYFUNCTION("GOOGLETRANSLATE(B127, ""en"", ""pt"")"),"Construir")</f>
        <v>Construir</v>
      </c>
      <c r="H127" s="24" t="str">
        <f>IFERROR(__xludf.DUMMYFUNCTION("GOOGLETRANSLATE(B127, ""en"", ""de"")"),"Kunst")</f>
        <v>Kunst</v>
      </c>
      <c r="I127" s="23" t="str">
        <f>IFERROR(__xludf.DUMMYFUNCTION("GOOGLETRANSLATE(B127, ""en"", ""pl"")"),"Rzemiosło")</f>
        <v>Rzemiosło</v>
      </c>
      <c r="J127" s="25" t="str">
        <f>IFERROR(__xludf.DUMMYFUNCTION("GOOGLETRANSLATE(B127, ""en"", ""zh"")"),"工艺")</f>
        <v>工艺</v>
      </c>
      <c r="K127" s="25" t="str">
        <f>IFERROR(__xludf.DUMMYFUNCTION("GOOGLETRANSLATE(B127, ""en"", ""vi"")"),"Craft")</f>
        <v>Craft</v>
      </c>
      <c r="L127" s="26" t="str">
        <f>IFERROR(__xludf.DUMMYFUNCTION("GOOGLETRANSLATE(B127, ""en"", ""hr"")"),"čamac")</f>
        <v>čamac</v>
      </c>
      <c r="M127" s="28"/>
      <c r="N127" s="28"/>
      <c r="O127" s="28"/>
      <c r="P127" s="28"/>
      <c r="Q127" s="28"/>
      <c r="R127" s="28"/>
      <c r="S127" s="28"/>
      <c r="T127" s="28"/>
      <c r="U127" s="28"/>
      <c r="V127" s="28"/>
      <c r="W127" s="28"/>
      <c r="X127" s="28"/>
      <c r="Y127" s="28"/>
      <c r="Z127" s="28"/>
      <c r="AA127" s="28"/>
      <c r="AB127" s="28"/>
    </row>
    <row r="128">
      <c r="A128" s="29" t="s">
        <v>225</v>
      </c>
      <c r="B128" s="22" t="s">
        <v>225</v>
      </c>
      <c r="C128" s="23" t="str">
        <f>IFERROR(__xludf.DUMMYFUNCTION("GOOGLETRANSLATE(B128, ""en"", ""fr"")"),"Niveau")</f>
        <v>Niveau</v>
      </c>
      <c r="D128" s="23" t="str">
        <f>IFERROR(__xludf.DUMMYFUNCTION("GOOGLETRANSLATE(B128, ""en"", ""es"")"),"Nivel")</f>
        <v>Nivel</v>
      </c>
      <c r="E128" s="23" t="str">
        <f>IFERROR(__xludf.DUMMYFUNCTION("GOOGLETRANSLATE(B128, ""en"", ""ru"")"),"Уровень")</f>
        <v>Уровень</v>
      </c>
      <c r="F128" s="23" t="str">
        <f>IFERROR(__xludf.DUMMYFUNCTION("GOOGLETRANSLATE(B128, ""en"", ""tr"")"),"seviye")</f>
        <v>seviye</v>
      </c>
      <c r="G128" s="23" t="str">
        <f>IFERROR(__xludf.DUMMYFUNCTION("GOOGLETRANSLATE(B128, ""en"", ""pt"")"),"Nível")</f>
        <v>Nível</v>
      </c>
      <c r="H128" s="24" t="str">
        <f>IFERROR(__xludf.DUMMYFUNCTION("GOOGLETRANSLATE(B128, ""en"", ""de"")"),"Niveau")</f>
        <v>Niveau</v>
      </c>
      <c r="I128" s="23" t="str">
        <f>IFERROR(__xludf.DUMMYFUNCTION("GOOGLETRANSLATE(B128, ""en"", ""pl"")"),"Poziom")</f>
        <v>Poziom</v>
      </c>
      <c r="J128" s="25" t="str">
        <f>IFERROR(__xludf.DUMMYFUNCTION("GOOGLETRANSLATE(B128, ""en"", ""zh"")"),"等级")</f>
        <v>等级</v>
      </c>
      <c r="K128" s="25" t="str">
        <f>IFERROR(__xludf.DUMMYFUNCTION("GOOGLETRANSLATE(B128, ""en"", ""vi"")"),"Cấp độ")</f>
        <v>Cấp độ</v>
      </c>
      <c r="L128" s="26" t="str">
        <f>IFERROR(__xludf.DUMMYFUNCTION("GOOGLETRANSLATE(B128, ""en"", ""hr"")"),"nivo")</f>
        <v>nivo</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""fr"")"),"Exp")</f>
        <v>Exp</v>
      </c>
      <c r="D129" s="23" t="str">
        <f>IFERROR(__xludf.DUMMYFUNCTION("GOOGLETRANSLATE(B129, ""en"", ""es"")"),"Exp")</f>
        <v>Exp</v>
      </c>
      <c r="E129" s="23" t="str">
        <f>IFERROR(__xludf.DUMMYFUNCTION("GOOGLETRANSLATE(B129, ""en"", ""ru"")"),"Exp")</f>
        <v>Exp</v>
      </c>
      <c r="F129" s="23" t="str">
        <f>IFERROR(__xludf.DUMMYFUNCTION("GOOGLETRANSLATE(B129, ""en"", ""tr"")"),"Tecrübe")</f>
        <v>Tecrübe</v>
      </c>
      <c r="G129" s="23" t="str">
        <f>IFERROR(__xludf.DUMMYFUNCTION("GOOGLETRANSLATE(B129, ""en"", ""pt"")"),"Exp")</f>
        <v>Exp</v>
      </c>
      <c r="H129" s="24" t="str">
        <f>IFERROR(__xludf.DUMMYFUNCTION("GOOGLETRANSLATE(B129, ""en"", ""de"")"),"Exp")</f>
        <v>Exp</v>
      </c>
      <c r="I129" s="23" t="str">
        <f>IFERROR(__xludf.DUMMYFUNCTION("GOOGLETRANSLATE(B129, ""en"", ""pl"")"),"Exp")</f>
        <v>Exp</v>
      </c>
      <c r="J129" s="25" t="str">
        <f>IFERROR(__xludf.DUMMYFUNCTION("GOOGLETRANSLATE(B129, ""en"", ""zh"")"),"EXP")</f>
        <v>EXP</v>
      </c>
      <c r="K129" s="25" t="str">
        <f>IFERROR(__xludf.DUMMYFUNCTION("GOOGLETRANSLATE(B129, ""en"", ""vi"")"),"Exp")</f>
        <v>Exp</v>
      </c>
      <c r="L129" s="26" t="str">
        <f>IFERROR(__xludf.DUMMYFUNCTION("GOOGLETRANSLATE(B129, ""en"", ""hr"")"),"Početnik")</f>
        <v>Početnik</v>
      </c>
      <c r="M129" s="28"/>
      <c r="N129" s="28"/>
      <c r="O129" s="28"/>
      <c r="P129" s="28"/>
      <c r="Q129" s="28"/>
      <c r="R129" s="28"/>
      <c r="S129" s="28"/>
      <c r="T129" s="28"/>
      <c r="U129" s="28"/>
      <c r="V129" s="28"/>
      <c r="W129" s="28"/>
      <c r="X129" s="28"/>
      <c r="Y129" s="28"/>
      <c r="Z129" s="28"/>
      <c r="AA129" s="28"/>
      <c r="AB129" s="28"/>
    </row>
    <row r="130">
      <c r="A130" s="29" t="s">
        <v>104</v>
      </c>
      <c r="B130" s="22" t="s">
        <v>104</v>
      </c>
      <c r="C130" s="23" t="str">
        <f>IFERROR(__xludf.DUMMYFUNCTION("GOOGLETRANSLATE(B130, ""en"", ""fr"")"),"Tâches")</f>
        <v>Tâches</v>
      </c>
      <c r="D130" s="23" t="str">
        <f>IFERROR(__xludf.DUMMYFUNCTION("GOOGLETRANSLATE(B130, ""en"", ""es"")"),"Tareas")</f>
        <v>Tareas</v>
      </c>
      <c r="E130" s="23" t="str">
        <f>IFERROR(__xludf.DUMMYFUNCTION("GOOGLETRANSLATE(B130, ""en"", ""ru"")"),"Задачи")</f>
        <v>Задачи</v>
      </c>
      <c r="F130" s="23" t="str">
        <f>IFERROR(__xludf.DUMMYFUNCTION("GOOGLETRANSLATE(B130, ""en"", ""tr"")"),"Görevler")</f>
        <v>Görevler</v>
      </c>
      <c r="G130" s="23" t="str">
        <f>IFERROR(__xludf.DUMMYFUNCTION("GOOGLETRANSLATE(B130, ""en"", ""pt"")"),"Tarefas")</f>
        <v>Tarefas</v>
      </c>
      <c r="H130" s="24" t="str">
        <f>IFERROR(__xludf.DUMMYFUNCTION("GOOGLETRANSLATE(B130, ""en"", ""de"")"),"Aufgaben")</f>
        <v>Aufgaben</v>
      </c>
      <c r="I130" s="23" t="str">
        <f>IFERROR(__xludf.DUMMYFUNCTION("GOOGLETRANSLATE(B130, ""en"", ""pl"")"),"zadania")</f>
        <v>zadania</v>
      </c>
      <c r="J130" s="25" t="str">
        <f>IFERROR(__xludf.DUMMYFUNCTION("GOOGLETRANSLATE(B130, ""en"", ""zh"")"),"任务")</f>
        <v>任务</v>
      </c>
      <c r="K130" s="25" t="str">
        <f>IFERROR(__xludf.DUMMYFUNCTION("GOOGLETRANSLATE(B130, ""en"", ""vi"")"),"Nhiệm vụ")</f>
        <v>Nhiệm vụ</v>
      </c>
      <c r="L130" s="26" t="str">
        <f>IFERROR(__xludf.DUMMYFUNCTION("GOOGLETRANSLATE(B130, ""en"", ""hr"")"),"zadaci")</f>
        <v>zadaci</v>
      </c>
      <c r="M130" s="28"/>
      <c r="N130" s="28"/>
      <c r="O130" s="28"/>
      <c r="P130" s="28"/>
      <c r="Q130" s="28"/>
      <c r="R130" s="28"/>
      <c r="S130" s="28"/>
      <c r="T130" s="28"/>
      <c r="U130" s="28"/>
      <c r="V130" s="28"/>
      <c r="W130" s="28"/>
      <c r="X130" s="28"/>
      <c r="Y130" s="28"/>
      <c r="Z130" s="28"/>
      <c r="AA130" s="28"/>
      <c r="AB130" s="28"/>
    </row>
    <row r="131">
      <c r="A131" s="29" t="s">
        <v>227</v>
      </c>
      <c r="B131" s="22" t="s">
        <v>227</v>
      </c>
      <c r="C131" s="23" t="str">
        <f>IFERROR(__xludf.DUMMYFUNCTION("GOOGLETRANSLATE(B131, ""en"", ""fr"")"),"Tâche")</f>
        <v>Tâche</v>
      </c>
      <c r="D131" s="23" t="str">
        <f>IFERROR(__xludf.DUMMYFUNCTION("GOOGLETRANSLATE(B131, ""en"", ""es"")"),"Tarea")</f>
        <v>Tarea</v>
      </c>
      <c r="E131" s="23" t="str">
        <f>IFERROR(__xludf.DUMMYFUNCTION("GOOGLETRANSLATE(B131, ""en"", ""ru"")"),"Задача")</f>
        <v>Задача</v>
      </c>
      <c r="F131" s="23" t="str">
        <f>IFERROR(__xludf.DUMMYFUNCTION("GOOGLETRANSLATE(B131, ""en"", ""tr"")"),"Görev")</f>
        <v>Görev</v>
      </c>
      <c r="G131" s="23" t="str">
        <f>IFERROR(__xludf.DUMMYFUNCTION("GOOGLETRANSLATE(B131, ""en"", ""pt"")"),"Tarefa")</f>
        <v>Tarefa</v>
      </c>
      <c r="H131" s="24" t="str">
        <f>IFERROR(__xludf.DUMMYFUNCTION("GOOGLETRANSLATE(B131, ""en"", ""de"")"),"Aufgabe")</f>
        <v>Aufgabe</v>
      </c>
      <c r="I131" s="23" t="str">
        <f>IFERROR(__xludf.DUMMYFUNCTION("GOOGLETRANSLATE(B131, ""en"", ""pl"")"),"Zadanie")</f>
        <v>Zadanie</v>
      </c>
      <c r="J131" s="25" t="str">
        <f>IFERROR(__xludf.DUMMYFUNCTION("GOOGLETRANSLATE(B131, ""en"", ""zh"")"),"任务")</f>
        <v>任务</v>
      </c>
      <c r="K131" s="25" t="str">
        <f>IFERROR(__xludf.DUMMYFUNCTION("GOOGLETRANSLATE(B131, ""en"", ""vi"")"),"Bài tập")</f>
        <v>Bài tập</v>
      </c>
      <c r="L131" s="26" t="str">
        <f>IFERROR(__xludf.DUMMYFUNCTION("GOOGLETRANSLATE(B131, ""en"", ""hr"")"),"Zadatak")</f>
        <v>Zadatak</v>
      </c>
      <c r="M131" s="28"/>
      <c r="N131" s="28"/>
      <c r="O131" s="28"/>
      <c r="P131" s="28"/>
      <c r="Q131" s="28"/>
      <c r="R131" s="28"/>
      <c r="S131" s="28"/>
      <c r="T131" s="28"/>
      <c r="U131" s="28"/>
      <c r="V131" s="28"/>
      <c r="W131" s="28"/>
      <c r="X131" s="28"/>
      <c r="Y131" s="28"/>
      <c r="Z131" s="28"/>
      <c r="AA131" s="28"/>
      <c r="AB131" s="28"/>
    </row>
    <row r="132">
      <c r="A132" s="21" t="s">
        <v>228</v>
      </c>
      <c r="B132" s="22" t="s">
        <v>228</v>
      </c>
      <c r="C132" s="23" t="str">
        <f>IFERROR(__xludf.DUMMYFUNCTION("GOOGLETRANSLATE(B132, ""en"", ""fr"")"),"Le progrès")</f>
        <v>Le progrès</v>
      </c>
      <c r="D132" s="23" t="str">
        <f>IFERROR(__xludf.DUMMYFUNCTION("GOOGLETRANSLATE(B132, ""en"", ""es"")"),"Progreso")</f>
        <v>Progreso</v>
      </c>
      <c r="E132" s="23" t="str">
        <f>IFERROR(__xludf.DUMMYFUNCTION("GOOGLETRANSLATE(B132, ""en"", ""ru"")"),"Прогресс")</f>
        <v>Прогресс</v>
      </c>
      <c r="F132" s="23" t="str">
        <f>IFERROR(__xludf.DUMMYFUNCTION("GOOGLETRANSLATE(B132, ""en"", ""tr"")"),"İlerleme")</f>
        <v>İlerleme</v>
      </c>
      <c r="G132" s="23" t="str">
        <f>IFERROR(__xludf.DUMMYFUNCTION("GOOGLETRANSLATE(B132, ""en"", ""pt"")"),"Progresso")</f>
        <v>Progresso</v>
      </c>
      <c r="H132" s="24" t="str">
        <f>IFERROR(__xludf.DUMMYFUNCTION("GOOGLETRANSLATE(B132, ""en"", ""de"")"),"Fortschritt")</f>
        <v>Fortschritt</v>
      </c>
      <c r="I132" s="23" t="str">
        <f>IFERROR(__xludf.DUMMYFUNCTION("GOOGLETRANSLATE(B132, ""en"", ""pl"")"),"Postęp")</f>
        <v>Postęp</v>
      </c>
      <c r="J132" s="25" t="str">
        <f>IFERROR(__xludf.DUMMYFUNCTION("GOOGLETRANSLATE(B132, ""en"", ""zh"")"),"进步")</f>
        <v>进步</v>
      </c>
      <c r="K132" s="25" t="str">
        <f>IFERROR(__xludf.DUMMYFUNCTION("GOOGLETRANSLATE(B132, ""en"", ""vi"")"),"Phát triển")</f>
        <v>Phát triển</v>
      </c>
      <c r="L132" s="26" t="str">
        <f>IFERROR(__xludf.DUMMYFUNCTION("GOOGLETRANSLATE(B132, ""en"", ""hr"")"),"Napredak")</f>
        <v>Napredak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""fr"")"),"Récompense")</f>
        <v>Récompense</v>
      </c>
      <c r="D133" s="23" t="str">
        <f>IFERROR(__xludf.DUMMYFUNCTION("GOOGLETRANSLATE(B133, ""en"", ""es"")"),"Recompensa")</f>
        <v>Recompensa</v>
      </c>
      <c r="E133" s="23" t="str">
        <f>IFERROR(__xludf.DUMMYFUNCTION("GOOGLETRANSLATE(B133, ""en"", ""ru"")"),"Вознаграждение")</f>
        <v>Вознаграждение</v>
      </c>
      <c r="F133" s="23" t="str">
        <f>IFERROR(__xludf.DUMMYFUNCTION("GOOGLETRANSLATE(B133, ""en"", ""tr"")"),"Ödül")</f>
        <v>Ödül</v>
      </c>
      <c r="G133" s="23" t="str">
        <f>IFERROR(__xludf.DUMMYFUNCTION("GOOGLETRANSLATE(B133, ""en"", ""pt"")"),"Recompensa")</f>
        <v>Recompensa</v>
      </c>
      <c r="H133" s="24" t="str">
        <f>IFERROR(__xludf.DUMMYFUNCTION("GOOGLETRANSLATE(B133, ""en"", ""de"")"),"Belohnung")</f>
        <v>Belohnung</v>
      </c>
      <c r="I133" s="23" t="str">
        <f>IFERROR(__xludf.DUMMYFUNCTION("GOOGLETRANSLATE(B133, ""en"", ""pl"")"),"Nagroda")</f>
        <v>Nagroda</v>
      </c>
      <c r="J133" s="25" t="str">
        <f>IFERROR(__xludf.DUMMYFUNCTION("GOOGLETRANSLATE(B133, ""en"", ""zh"")"),"报酬")</f>
        <v>报酬</v>
      </c>
      <c r="K133" s="25" t="str">
        <f>IFERROR(__xludf.DUMMYFUNCTION("GOOGLETRANSLATE(B133, ""en"", ""vi"")"),"Phần thưởng")</f>
        <v>Phần thưởng</v>
      </c>
      <c r="L133" s="26" t="str">
        <f>IFERROR(__xludf.DUMMYFUNCTION("GOOGLETRANSLATE(B133, ""en"", ""hr"")"),"Nagrada")</f>
        <v>Nagrada</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""fr"")"),"Pister")</f>
        <v>Pister</v>
      </c>
      <c r="D134" s="23" t="str">
        <f>IFERROR(__xludf.DUMMYFUNCTION("GOOGLETRANSLATE(B134, ""en"", ""es"")"),"Pista")</f>
        <v>Pista</v>
      </c>
      <c r="E134" s="23" t="str">
        <f>IFERROR(__xludf.DUMMYFUNCTION("GOOGLETRANSLATE(B134, ""en"", ""ru"")"),"Отслеживать")</f>
        <v>Отслеживать</v>
      </c>
      <c r="F134" s="23" t="str">
        <f>IFERROR(__xludf.DUMMYFUNCTION("GOOGLETRANSLATE(B134, ""en"", ""tr"")"),"Izlemek")</f>
        <v>Izlemek</v>
      </c>
      <c r="G134" s="23" t="str">
        <f>IFERROR(__xludf.DUMMYFUNCTION("GOOGLETRANSLATE(B134, ""en"", ""pt"")"),"Acompanhar")</f>
        <v>Acompanhar</v>
      </c>
      <c r="H134" s="24" t="str">
        <f>IFERROR(__xludf.DUMMYFUNCTION("GOOGLETRANSLATE(B134, ""en"", ""de"")"),"Spur")</f>
        <v>Spur</v>
      </c>
      <c r="I134" s="23" t="str">
        <f>IFERROR(__xludf.DUMMYFUNCTION("GOOGLETRANSLATE(B134, ""en"", ""pl"")"),"Tor")</f>
        <v>Tor</v>
      </c>
      <c r="J134" s="25" t="str">
        <f>IFERROR(__xludf.DUMMYFUNCTION("GOOGLETRANSLATE(B134, ""en"", ""zh"")"),"追踪")</f>
        <v>追踪</v>
      </c>
      <c r="K134" s="25" t="str">
        <f>IFERROR(__xludf.DUMMYFUNCTION("GOOGLETRANSLATE(B134, ""en"", ""vi"")"),"đường ray")</f>
        <v>đường ray</v>
      </c>
      <c r="L134" s="26" t="str">
        <f>IFERROR(__xludf.DUMMYFUNCTION("GOOGLETRANSLATE(B134, ""en"", ""hr"")"),"Staza")</f>
        <v>Staza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""fr"")"),"Réclamer")</f>
        <v>Réclamer</v>
      </c>
      <c r="D135" s="23" t="str">
        <f>IFERROR(__xludf.DUMMYFUNCTION("GOOGLETRANSLATE(B135, ""en"", ""es"")"),"Afirmar")</f>
        <v>Afirmar</v>
      </c>
      <c r="E135" s="23" t="str">
        <f>IFERROR(__xludf.DUMMYFUNCTION("GOOGLETRANSLATE(B135, ""en"", ""ru"")"),"Требовать")</f>
        <v>Требовать</v>
      </c>
      <c r="F135" s="23" t="str">
        <f>IFERROR(__xludf.DUMMYFUNCTION("GOOGLETRANSLATE(B135, ""en"", ""tr"")"),"İddia")</f>
        <v>İddia</v>
      </c>
      <c r="G135" s="23" t="str">
        <f>IFERROR(__xludf.DUMMYFUNCTION("GOOGLETRANSLATE(B135, ""en"", ""pt"")"),"Afirmação")</f>
        <v>Afirmação</v>
      </c>
      <c r="H135" s="24" t="str">
        <f>IFERROR(__xludf.DUMMYFUNCTION("GOOGLETRANSLATE(B135, ""en"", ""de"")"),"Anspruch")</f>
        <v>Anspruch</v>
      </c>
      <c r="I135" s="23" t="str">
        <f>IFERROR(__xludf.DUMMYFUNCTION("GOOGLETRANSLATE(B135, ""en"", ""pl"")"),"Roszczenie")</f>
        <v>Roszczenie</v>
      </c>
      <c r="J135" s="25" t="str">
        <f>IFERROR(__xludf.DUMMYFUNCTION("GOOGLETRANSLATE(B135, ""en"", ""zh"")"),"宣称")</f>
        <v>宣称</v>
      </c>
      <c r="K135" s="25" t="str">
        <f>IFERROR(__xludf.DUMMYFUNCTION("GOOGLETRANSLATE(B135, ""en"", ""vi"")"),"Yêu cầu")</f>
        <v>Yêu cầu</v>
      </c>
      <c r="L135" s="26" t="str">
        <f>IFERROR(__xludf.DUMMYFUNCTION("GOOGLETRANSLATE(B135, ""en"", ""hr"")"),"Zahtjev")</f>
        <v>Zahtjev</v>
      </c>
      <c r="M135" s="28"/>
      <c r="N135" s="28"/>
      <c r="O135" s="28"/>
      <c r="P135" s="28"/>
      <c r="Q135" s="28"/>
      <c r="R135" s="28"/>
      <c r="S135" s="28"/>
      <c r="T135" s="28"/>
      <c r="U135" s="28"/>
      <c r="V135" s="28"/>
      <c r="W135" s="28"/>
      <c r="X135" s="28"/>
      <c r="Y135" s="28"/>
      <c r="Z135" s="28"/>
      <c r="AA135" s="28"/>
      <c r="AB135" s="28"/>
    </row>
    <row r="136">
      <c r="A136" s="21" t="s">
        <v>232</v>
      </c>
      <c r="B136" s="22" t="s">
        <v>233</v>
      </c>
      <c r="C136" s="23" t="str">
        <f>IFERROR(__xludf.DUMMYFUNCTION("GOOGLETRANSLATE(B136, ""en"", ""fr"")"),"Tâche terminée!")</f>
        <v>Tâche terminée!</v>
      </c>
      <c r="D136" s="23" t="str">
        <f>IFERROR(__xludf.DUMMYFUNCTION("GOOGLETRANSLATE(B136, ""en"", ""es"")"),"¡Tarea terminada!")</f>
        <v>¡Tarea terminada!</v>
      </c>
      <c r="E136" s="23" t="str">
        <f>IFERROR(__xludf.DUMMYFUNCTION("GOOGLETRANSLATE(B136, ""en"", ""ru"")"),"Задача выполнена!")</f>
        <v>Задача выполнена!</v>
      </c>
      <c r="F136" s="23" t="str">
        <f>IFERROR(__xludf.DUMMYFUNCTION("GOOGLETRANSLATE(B136, ""en"", ""tr"")"),"Görev tamamlandı!")</f>
        <v>Görev tamamlandı!</v>
      </c>
      <c r="G136" s="23" t="str">
        <f>IFERROR(__xludf.DUMMYFUNCTION("GOOGLETRANSLATE(B136, ""en"", ""pt"")"),"Tarefa completa!")</f>
        <v>Tarefa completa!</v>
      </c>
      <c r="H136" s="24" t="str">
        <f>IFERROR(__xludf.DUMMYFUNCTION("GOOGLETRANSLATE(B136, ""en"", ""de"")"),"Aufgabe erledigt!")</f>
        <v>Aufgabe erledigt!</v>
      </c>
      <c r="I136" s="23" t="str">
        <f>IFERROR(__xludf.DUMMYFUNCTION("GOOGLETRANSLATE(B136, ""en"", ""pl"")"),"Zadanie ukończone!")</f>
        <v>Zadanie ukończone!</v>
      </c>
      <c r="J136" s="25" t="str">
        <f>IFERROR(__xludf.DUMMYFUNCTION("GOOGLETRANSLATE(B136, ""en"", ""zh"")"),"任务完成！")</f>
        <v>任务完成！</v>
      </c>
      <c r="K136" s="25" t="str">
        <f>IFERROR(__xludf.DUMMYFUNCTION("GOOGLETRANSLATE(B136, ""en"", ""vi"")"),"Nhiệm vụ hoàn thành!")</f>
        <v>Nhiệm vụ hoàn thành!</v>
      </c>
      <c r="L136" s="26" t="str">
        <f>IFERROR(__xludf.DUMMYFUNCTION("GOOGLETRANSLATE(B136, ""en"", ""hr"")"),"Zadatak završena!")</f>
        <v>Zadatak završena!</v>
      </c>
      <c r="M136" s="28"/>
      <c r="N136" s="28"/>
      <c r="O136" s="28"/>
      <c r="P136" s="28"/>
      <c r="Q136" s="28"/>
      <c r="R136" s="28"/>
      <c r="S136" s="28"/>
      <c r="T136" s="28"/>
      <c r="U136" s="28"/>
      <c r="V136" s="28"/>
      <c r="W136" s="28"/>
      <c r="X136" s="28"/>
      <c r="Y136" s="28"/>
      <c r="Z136" s="28"/>
      <c r="AA136" s="28"/>
      <c r="AB136" s="28"/>
    </row>
    <row r="137">
      <c r="A137" s="21" t="s">
        <v>234</v>
      </c>
      <c r="B137" s="22" t="s">
        <v>235</v>
      </c>
      <c r="C137" s="23" t="str">
        <f>IFERROR(__xludf.DUMMYFUNCTION("GOOGLETRANSLATE(B137, ""en"", ""fr"")"),"Tu es mort!")</f>
        <v>Tu es mort!</v>
      </c>
      <c r="D137" s="23" t="str">
        <f>IFERROR(__xludf.DUMMYFUNCTION("GOOGLETRANSLATE(B137, ""en"", ""es"")"),"Moriste!")</f>
        <v>Moriste!</v>
      </c>
      <c r="E137" s="23" t="str">
        <f>IFERROR(__xludf.DUMMYFUNCTION("GOOGLETRANSLATE(B137, ""en"", ""ru"")"),"Ты умер!")</f>
        <v>Ты умер!</v>
      </c>
      <c r="F137" s="23" t="str">
        <f>IFERROR(__xludf.DUMMYFUNCTION("GOOGLETRANSLATE(B137, ""en"", ""tr"")"),"Öldün!")</f>
        <v>Öldün!</v>
      </c>
      <c r="G137" s="23" t="str">
        <f>IFERROR(__xludf.DUMMYFUNCTION("GOOGLETRANSLATE(B137, ""en"", ""pt"")"),"Você morreu!")</f>
        <v>Você morreu!</v>
      </c>
      <c r="H137" s="24" t="str">
        <f>IFERROR(__xludf.DUMMYFUNCTION("GOOGLETRANSLATE(B137, ""en"", ""de"")"),"Du bist gestorben!")</f>
        <v>Du bist gestorben!</v>
      </c>
      <c r="I137" s="23" t="str">
        <f>IFERROR(__xludf.DUMMYFUNCTION("GOOGLETRANSLATE(B137, ""en"", ""pl"")"),"Umarłeś!")</f>
        <v>Umarłeś!</v>
      </c>
      <c r="J137" s="25" t="str">
        <f>IFERROR(__xludf.DUMMYFUNCTION("GOOGLETRANSLATE(B137, ""en"", ""zh"")"),"你死了！")</f>
        <v>你死了！</v>
      </c>
      <c r="K137" s="25" t="str">
        <f>IFERROR(__xludf.DUMMYFUNCTION("GOOGLETRANSLATE(B137, ""en"", ""vi"")"),"Bạn đã chết!")</f>
        <v>Bạn đã chết!</v>
      </c>
      <c r="L137" s="26" t="str">
        <f>IFERROR(__xludf.DUMMYFUNCTION("GOOGLETRANSLATE(B137, ""en"", ""hr"")"),"umro si!")</f>
        <v>umro si!</v>
      </c>
      <c r="M137" s="28"/>
      <c r="N137" s="28"/>
      <c r="O137" s="28"/>
      <c r="P137" s="28"/>
      <c r="Q137" s="28"/>
      <c r="R137" s="28"/>
      <c r="S137" s="28"/>
      <c r="T137" s="28"/>
      <c r="U137" s="28"/>
      <c r="V137" s="28"/>
      <c r="W137" s="28"/>
      <c r="X137" s="28"/>
      <c r="Y137" s="28"/>
      <c r="Z137" s="28"/>
      <c r="AA137" s="28"/>
      <c r="AB137" s="28"/>
    </row>
    <row r="138">
      <c r="A138" s="21" t="s">
        <v>236</v>
      </c>
      <c r="B138" s="22" t="s">
        <v>237</v>
      </c>
      <c r="C138" s="23" t="str">
        <f>IFERROR(__xludf.DUMMYFUNCTION("GOOGLETRANSLATE(B138, ""en"", ""fr"")"),"Mieux préparé la prochaine fois. Les produits durent plus longtemps lorsqu'elle est faite avec des stats de craft plus.")</f>
        <v>Mieux préparé la prochaine fois. Les produits durent plus longtemps lorsqu'elle est faite avec des stats de craft plus.</v>
      </c>
      <c r="D138" s="23" t="str">
        <f>IFERROR(__xludf.DUMMYFUNCTION("GOOGLETRANSLATE(B138, ""en"", ""es"")"),"Estar mejor preparados la próxima vez. Los productos que duran más cuando se hace con las estadísticas de artesanía más altas.")</f>
        <v>Estar mejor preparados la próxima vez. Los productos que duran más cuando se hace con las estadísticas de artesanía más altas.</v>
      </c>
      <c r="E138" s="23" t="str">
        <f>IFERROR(__xludf.DUMMYFUNCTION("GOOGLETRANSLATE(B138,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8" s="23" t="str">
        <f>IFERROR(__xludf.DUMMYFUNCTION("GOOGLETRANSLATE(B138, ""en"", ""tr"")"),"dahaki sefere daha iyi hazırlıklı olun. Daha yüksek işçiliği istatistiklerle yaptığında Öğeler uzun sürecek.")</f>
        <v>dahaki sefere daha iyi hazırlıklı olun. Daha yüksek işçiliği istatistiklerle yaptığında Öğeler uzun sürecek.</v>
      </c>
      <c r="G138" s="23" t="str">
        <f>IFERROR(__xludf.DUMMYFUNCTION("GOOGLETRANSLATE(B138, ""en"", ""pt"")"),"Ser mais bem preparado da próxima vez. Itens vai durar mais tempo quando feito com estatísticas de artesanato mais elevados.")</f>
        <v>Ser mais bem preparado da próxima vez. Itens vai durar mais tempo quando feito com estatísticas de artesanato mais elevados.</v>
      </c>
      <c r="H138" s="24" t="str">
        <f>IFERROR(__xludf.DUMMYFUNCTION("GOOGLETRANSLATE(B138, ""en"", ""de"")"),"Wird beim nächsten Mal besser vorbereitet. Artikel wird länger dauern, wenn sie mit höheren Crafting Statistiken gemacht.")</f>
        <v>Wird beim nächsten Mal besser vorbereitet. Artikel wird länger dauern, wenn sie mit höheren Crafting Statistiken gemacht.</v>
      </c>
      <c r="I138" s="23" t="str">
        <f>IFERROR(__xludf.DUMMYFUNCTION("GOOGLETRANSLATE(B138, ""en"", ""pl"")"),"Być lepiej przygotowany następnym razem. Rzeczy są trwalsze, gdy wykonane z wyższymi statystykach rzemieślniczych.")</f>
        <v>Być lepiej przygotowany następnym razem. Rzeczy są trwalsze, gdy wykonane z wyższymi statystykach rzemieślniczych.</v>
      </c>
      <c r="J138" s="25" t="str">
        <f>IFERROR(__xludf.DUMMYFUNCTION("GOOGLETRANSLATE(B138, ""en"", ""zh"")"),"更好地准备下一次。当具有较高各具特色统计制成的物品将持续较长时间。")</f>
        <v>更好地准备下一次。当具有较高各具特色统计制成的物品将持续较长时间。</v>
      </c>
      <c r="K138" s="25" t="str">
        <f>IFERROR(__xludf.DUMMYFUNCTION("GOOGLETRANSLATE(B138,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8" s="26" t="str">
        <f>IFERROR(__xludf.DUMMYFUNCTION("GOOGLETRANSLATE(B138, ""en"", ""hr"")"),"Biti bolje pripremljeni sljedeći put. Predmeti će trajati duže ako se s višim statistikama lukavost.")</f>
        <v>Biti bolje pripremljeni sljedeći put. Predmeti će trajati duže ako se s višim statistikama lukavost.</v>
      </c>
      <c r="M138" s="28"/>
      <c r="N138" s="28"/>
      <c r="O138" s="28"/>
      <c r="P138" s="28"/>
      <c r="Q138" s="28"/>
      <c r="R138" s="28"/>
      <c r="S138" s="28"/>
      <c r="T138" s="28"/>
      <c r="U138" s="28"/>
      <c r="V138" s="28"/>
      <c r="W138" s="28"/>
      <c r="X138" s="28"/>
      <c r="Y138" s="28"/>
      <c r="Z138" s="28"/>
      <c r="AA138" s="28"/>
      <c r="AB138" s="28"/>
    </row>
    <row r="139">
      <c r="A139" s="21" t="s">
        <v>238</v>
      </c>
      <c r="B139" s="22" t="s">
        <v>239</v>
      </c>
      <c r="C139" s="23" t="str">
        <f>IFERROR(__xludf.DUMMYFUNCTION("GOOGLETRANSLATE(B139, ""en"", ""fr"")"),"Essayez de travailler avec d'autres joueurs lorsque vous faites quelque chose de dangereux.")</f>
        <v>Essayez de travailler avec d'autres joueurs lorsque vous faites quelque chose de dangereux.</v>
      </c>
      <c r="D139" s="23" t="str">
        <f>IFERROR(__xludf.DUMMYFUNCTION("GOOGLETRANSLATE(B139, ""en"", ""es"")"),"Trate de trabajar con otros jugadores cuando se hace algo peligroso.")</f>
        <v>Trate de trabajar con otros jugadores cuando se hace algo peligroso.</v>
      </c>
      <c r="E139" s="23" t="str">
        <f>IFERROR(__xludf.DUMMYFUNCTION("GOOGLETRANSLATE(B139, ""en"", ""ru"")"),"Попробуйте работать с другими игроками, когда делает что-то опасное.")</f>
        <v>Попробуйте работать с другими игроками, когда делает что-то опасное.</v>
      </c>
      <c r="F139" s="23" t="str">
        <f>IFERROR(__xludf.DUMMYFUNCTION("GOOGLETRANSLATE(B139, ""en"", ""tr"")"),"tehlikeli bir şey yaparken diğer oyuncular çalışmayı deneyin.")</f>
        <v>tehlikeli bir şey yaparken diğer oyuncular çalışmayı deneyin.</v>
      </c>
      <c r="G139" s="23" t="str">
        <f>IFERROR(__xludf.DUMMYFUNCTION("GOOGLETRANSLATE(B139, ""en"", ""pt"")"),"Tente trabalhar com outros jogadores ao fazer algo perigoso.")</f>
        <v>Tente trabalhar com outros jogadores ao fazer algo perigoso.</v>
      </c>
      <c r="H139" s="24" t="str">
        <f>IFERROR(__xludf.DUMMYFUNCTION("GOOGLETRANSLATE(B139, ""en"", ""de"")"),"Versuchen Sie, mit anderen Spielern zu arbeiten, wenn etwas gefährlich zu tun.")</f>
        <v>Versuchen Sie, mit anderen Spielern zu arbeiten, wenn etwas gefährlich zu tun.</v>
      </c>
      <c r="I139" s="23" t="str">
        <f>IFERROR(__xludf.DUMMYFUNCTION("GOOGLETRANSLATE(B139, ""en"", ""pl"")"),"Spróbować pracy z innymi graczami, gdy robi coś niebezpiecznego.")</f>
        <v>Spróbować pracy z innymi graczami, gdy robi coś niebezpiecznego.</v>
      </c>
      <c r="J139" s="25" t="str">
        <f>IFERROR(__xludf.DUMMYFUNCTION("GOOGLETRANSLATE(B139, ""en"", ""zh"")"),"尝试做一些危险的时候与其他玩家合作。")</f>
        <v>尝试做一些危险的时候与其他玩家合作。</v>
      </c>
      <c r="K139" s="25" t="str">
        <f>IFERROR(__xludf.DUMMYFUNCTION("GOOGLETRANSLATE(B139, ""en"", ""vi"")"),"Cố gắng làm việc với những người chơi khác khi làm điều gì đó nguy hiểm.")</f>
        <v>Cố gắng làm việc với những người chơi khác khi làm điều gì đó nguy hiểm.</v>
      </c>
      <c r="L139" s="26" t="str">
        <f>IFERROR(__xludf.DUMMYFUNCTION("GOOGLETRANSLATE(B139, ""en"", ""hr"")"),"Pokušajte raditi s drugim igračima kada se radi nešto opasno.")</f>
        <v>Pokušajte raditi s drugim igračima kada se radi nešto opasno.</v>
      </c>
      <c r="M139" s="28"/>
      <c r="N139" s="28"/>
      <c r="O139" s="28"/>
      <c r="P139" s="28"/>
      <c r="Q139" s="28"/>
      <c r="R139" s="28"/>
      <c r="S139" s="28"/>
      <c r="T139" s="28"/>
      <c r="U139" s="28"/>
      <c r="V139" s="28"/>
      <c r="W139" s="28"/>
      <c r="X139" s="28"/>
      <c r="Y139" s="28"/>
      <c r="Z139" s="28"/>
      <c r="AA139" s="28"/>
      <c r="AB139" s="28"/>
    </row>
    <row r="140">
      <c r="A140" s="21" t="s">
        <v>240</v>
      </c>
      <c r="B140" s="22" t="s">
        <v>241</v>
      </c>
      <c r="C140" s="23" t="str">
        <f>IFERROR(__xludf.DUMMYFUNCTION("GOOGLETRANSLATE(B140, ""en"", ""fr"")"),"De nombreuses créatures dangereuses apparaissent seulement la nuit.")</f>
        <v>De nombreuses créatures dangereuses apparaissent seulement la nuit.</v>
      </c>
      <c r="D140" s="23" t="str">
        <f>IFERROR(__xludf.DUMMYFUNCTION("GOOGLETRANSLATE(B140, ""en"", ""es"")"),"Muchas criaturas peligrosas sólo aparecen durante la noche.")</f>
        <v>Muchas criaturas peligrosas sólo aparecen durante la noche.</v>
      </c>
      <c r="E140" s="23" t="str">
        <f>IFERROR(__xludf.DUMMYFUNCTION("GOOGLETRANSLATE(B140, ""en"", ""ru"")"),"Многие опасные существа появляются только в ночное время.")</f>
        <v>Многие опасные существа появляются только в ночное время.</v>
      </c>
      <c r="F140" s="23" t="str">
        <f>IFERROR(__xludf.DUMMYFUNCTION("GOOGLETRANSLATE(B140, ""en"", ""tr"")"),"Birçok tehlikeli yaratıklar sadece geceleri görünür.")</f>
        <v>Birçok tehlikeli yaratıklar sadece geceleri görünür.</v>
      </c>
      <c r="G140" s="23" t="str">
        <f>IFERROR(__xludf.DUMMYFUNCTION("GOOGLETRANSLATE(B140, ""en"", ""pt"")"),"Muitas criaturas perigosas só aparecem à noite.")</f>
        <v>Muitas criaturas perigosas só aparecem à noite.</v>
      </c>
      <c r="H140" s="24" t="str">
        <f>IFERROR(__xludf.DUMMYFUNCTION("GOOGLETRANSLATE(B140, ""en"", ""de"")"),"Viele gefährlichen Kreaturen nur in der Nacht erscheinen.")</f>
        <v>Viele gefährlichen Kreaturen nur in der Nacht erscheinen.</v>
      </c>
      <c r="I140" s="23" t="str">
        <f>IFERROR(__xludf.DUMMYFUNCTION("GOOGLETRANSLATE(B140, ""en"", ""pl"")"),"Wiele niebezpiecznych stworzeń pojawiają się tylko w nocy.")</f>
        <v>Wiele niebezpiecznych stworzeń pojawiają się tylko w nocy.</v>
      </c>
      <c r="J140" s="25" t="str">
        <f>IFERROR(__xludf.DUMMYFUNCTION("GOOGLETRANSLATE(B140, ""en"", ""zh"")"),"许多危险的生物只在夜间出现。")</f>
        <v>许多危险的生物只在夜间出现。</v>
      </c>
      <c r="K140" s="25" t="str">
        <f>IFERROR(__xludf.DUMMYFUNCTION("GOOGLETRANSLATE(B140, ""en"", ""vi"")"),"Nhiều sinh vật nguy hiểm chỉ xuất hiện vào ban đêm.")</f>
        <v>Nhiều sinh vật nguy hiểm chỉ xuất hiện vào ban đêm.</v>
      </c>
      <c r="L140" s="26" t="str">
        <f>IFERROR(__xludf.DUMMYFUNCTION("GOOGLETRANSLATE(B140, ""en"", ""hr"")"),"Mnogi opasnih bića pojavljuju samo noću.")</f>
        <v>Mnogi opasnih bića pojavljuju samo noću.</v>
      </c>
      <c r="M140" s="28"/>
      <c r="N140" s="28"/>
      <c r="O140" s="28"/>
      <c r="P140" s="28"/>
      <c r="Q140" s="28"/>
      <c r="R140" s="28"/>
      <c r="S140" s="28"/>
      <c r="T140" s="28"/>
      <c r="U140" s="28"/>
      <c r="V140" s="28"/>
      <c r="W140" s="28"/>
      <c r="X140" s="28"/>
      <c r="Y140" s="28"/>
      <c r="Z140" s="28"/>
      <c r="AA140" s="28"/>
      <c r="AB140" s="28"/>
    </row>
    <row r="141">
      <c r="A141" s="21" t="s">
        <v>242</v>
      </c>
      <c r="B141" s="22" t="s">
        <v>242</v>
      </c>
      <c r="C141" s="23" t="str">
        <f>IFERROR(__xludf.DUMMYFUNCTION("GOOGLETRANSLATE(B141, ""en"", ""fr"")"),"respawn")</f>
        <v>respawn</v>
      </c>
      <c r="D141" s="23" t="str">
        <f>IFERROR(__xludf.DUMMYFUNCTION("GOOGLETRANSLATE(B141, ""en"", ""es"")"),"Reaparición")</f>
        <v>Reaparición</v>
      </c>
      <c r="E141" s="23" t="str">
        <f>IFERROR(__xludf.DUMMYFUNCTION("GOOGLETRANSLATE(B141, ""en"", ""ru"")"),"респаун")</f>
        <v>респаун</v>
      </c>
      <c r="F141" s="23" t="str">
        <f>IFERROR(__xludf.DUMMYFUNCTION("GOOGLETRANSLATE(B141, ""en"", ""tr"")"),"yeniden doğma")</f>
        <v>yeniden doğma</v>
      </c>
      <c r="G141" s="23" t="str">
        <f>IFERROR(__xludf.DUMMYFUNCTION("GOOGLETRANSLATE(B141, ""en"", ""pt"")"),"reaparecimento")</f>
        <v>reaparecimento</v>
      </c>
      <c r="H141" s="24" t="str">
        <f>IFERROR(__xludf.DUMMYFUNCTION("GOOGLETRANSLATE(B141, ""en"", ""de"")"),"Respawn")</f>
        <v>Respawn</v>
      </c>
      <c r="I141" s="23" t="str">
        <f>IFERROR(__xludf.DUMMYFUNCTION("GOOGLETRANSLATE(B141, ""en"", ""pl"")"),"respawn")</f>
        <v>respawn</v>
      </c>
      <c r="J141" s="25" t="str">
        <f>IFERROR(__xludf.DUMMYFUNCTION("GOOGLETRANSLATE(B141, ""en"", ""zh"")"),"重生")</f>
        <v>重生</v>
      </c>
      <c r="K141" s="25" t="str">
        <f>IFERROR(__xludf.DUMMYFUNCTION("GOOGLETRANSLATE(B141, ""en"", ""vi"")"),"Respawn")</f>
        <v>Respawn</v>
      </c>
      <c r="L141" s="26" t="str">
        <f>IFERROR(__xludf.DUMMYFUNCTION("GOOGLETRANSLATE(B141, ""en"", ""hr"")"),"respawn")</f>
        <v>respawn</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""fr"")"),"Donjon")</f>
        <v>Donjon</v>
      </c>
      <c r="D142" s="23" t="str">
        <f>IFERROR(__xludf.DUMMYFUNCTION("GOOGLETRANSLATE(B142, ""en"", ""es"")"),"Calabozo")</f>
        <v>Calabozo</v>
      </c>
      <c r="E142" s="23" t="str">
        <f>IFERROR(__xludf.DUMMYFUNCTION("GOOGLETRANSLATE(B142, ""en"", ""ru"")"),"Подземелье")</f>
        <v>Подземелье</v>
      </c>
      <c r="F142" s="23" t="str">
        <f>IFERROR(__xludf.DUMMYFUNCTION("GOOGLETRANSLATE(B142, ""en"", ""tr"")"),"Zindan")</f>
        <v>Zindan</v>
      </c>
      <c r="G142" s="23" t="str">
        <f>IFERROR(__xludf.DUMMYFUNCTION("GOOGLETRANSLATE(B142, ""en"", ""pt"")"),"Masmorra")</f>
        <v>Masmorra</v>
      </c>
      <c r="H142" s="24" t="str">
        <f>IFERROR(__xludf.DUMMYFUNCTION("GOOGLETRANSLATE(B142, ""en"", ""de"")"),"Verlies")</f>
        <v>Verlies</v>
      </c>
      <c r="I142" s="23" t="str">
        <f>IFERROR(__xludf.DUMMYFUNCTION("GOOGLETRANSLATE(B142, ""en"", ""pl"")"),"Loch")</f>
        <v>Loch</v>
      </c>
      <c r="J142" s="25" t="str">
        <f>IFERROR(__xludf.DUMMYFUNCTION("GOOGLETRANSLATE(B142, ""en"", ""zh"")"),"地下城")</f>
        <v>地下城</v>
      </c>
      <c r="K142" s="25" t="str">
        <f>IFERROR(__xludf.DUMMYFUNCTION("GOOGLETRANSLATE(B142, ""en"", ""vi"")"),"ngục tối")</f>
        <v>ngục tối</v>
      </c>
      <c r="L142" s="26" t="str">
        <f>IFERROR(__xludf.DUMMYFUNCTION("GOOGLETRANSLATE(B142, ""en"", ""hr"")"),"Tamnica")</f>
        <v>Tamnica</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""fr"")"),"Difficulté")</f>
        <v>Difficulté</v>
      </c>
      <c r="D143" s="23" t="str">
        <f>IFERROR(__xludf.DUMMYFUNCTION("GOOGLETRANSLATE(B143, ""en"", ""es"")"),"Dificultad")</f>
        <v>Dificultad</v>
      </c>
      <c r="E143" s="23" t="str">
        <f>IFERROR(__xludf.DUMMYFUNCTION("GOOGLETRANSLATE(B143, ""en"", ""ru"")"),"трудность")</f>
        <v>трудность</v>
      </c>
      <c r="F143" s="23" t="str">
        <f>IFERROR(__xludf.DUMMYFUNCTION("GOOGLETRANSLATE(B143, ""en"", ""tr"")"),"zorluk")</f>
        <v>zorluk</v>
      </c>
      <c r="G143" s="23" t="str">
        <f>IFERROR(__xludf.DUMMYFUNCTION("GOOGLETRANSLATE(B143, ""en"", ""pt"")"),"Dificuldade")</f>
        <v>Dificuldade</v>
      </c>
      <c r="H143" s="24" t="str">
        <f>IFERROR(__xludf.DUMMYFUNCTION("GOOGLETRANSLATE(B143, ""en"", ""de"")"),"Schwierigkeit")</f>
        <v>Schwierigkeit</v>
      </c>
      <c r="I143" s="23" t="str">
        <f>IFERROR(__xludf.DUMMYFUNCTION("GOOGLETRANSLATE(B143, ""en"", ""pl"")"),"Trudność")</f>
        <v>Trudność</v>
      </c>
      <c r="J143" s="25" t="str">
        <f>IFERROR(__xludf.DUMMYFUNCTION("GOOGLETRANSLATE(B143, ""en"", ""zh"")"),"困难")</f>
        <v>困难</v>
      </c>
      <c r="K143" s="25" t="str">
        <f>IFERROR(__xludf.DUMMYFUNCTION("GOOGLETRANSLATE(B143, ""en"", ""vi"")"),"Khó khăn")</f>
        <v>Khó khăn</v>
      </c>
      <c r="L143" s="26" t="str">
        <f>IFERROR(__xludf.DUMMYFUNCTION("GOOGLETRANSLATE(B143, ""en"", ""hr"")"),"teškoća")</f>
        <v>teškoća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""fr"")"),"Débutant")</f>
        <v>Débutant</v>
      </c>
      <c r="D144" s="23" t="str">
        <f>IFERROR(__xludf.DUMMYFUNCTION("GOOGLETRANSLATE(B144, ""en"", ""es"")"),"Principiante")</f>
        <v>Principiante</v>
      </c>
      <c r="E144" s="23" t="str">
        <f>IFERROR(__xludf.DUMMYFUNCTION("GOOGLETRANSLATE(B144, ""en"", ""ru"")"),"начинающий")</f>
        <v>начинающий</v>
      </c>
      <c r="F144" s="23" t="str">
        <f>IFERROR(__xludf.DUMMYFUNCTION("GOOGLETRANSLATE(B144, ""en"", ""tr"")"),"Acemi")</f>
        <v>Acemi</v>
      </c>
      <c r="G144" s="23" t="str">
        <f>IFERROR(__xludf.DUMMYFUNCTION("GOOGLETRANSLATE(B144, ""en"", ""pt"")"),"Principiante")</f>
        <v>Principiante</v>
      </c>
      <c r="H144" s="24" t="str">
        <f>IFERROR(__xludf.DUMMYFUNCTION("GOOGLETRANSLATE(B144, ""en"", ""de"")"),"Anfänger")</f>
        <v>Anfänger</v>
      </c>
      <c r="I144" s="23" t="str">
        <f>IFERROR(__xludf.DUMMYFUNCTION("GOOGLETRANSLATE(B144, ""en"", ""pl"")"),"Początkujący")</f>
        <v>Początkujący</v>
      </c>
      <c r="J144" s="25" t="str">
        <f>IFERROR(__xludf.DUMMYFUNCTION("GOOGLETRANSLATE(B144, ""en"", ""zh"")"),"初学者")</f>
        <v>初学者</v>
      </c>
      <c r="K144" s="25" t="str">
        <f>IFERROR(__xludf.DUMMYFUNCTION("GOOGLETRANSLATE(B144, ""en"", ""vi"")"),"Người bắt đầu")</f>
        <v>Người bắt đầu</v>
      </c>
      <c r="L144" s="26" t="str">
        <f>IFERROR(__xludf.DUMMYFUNCTION("GOOGLETRANSLATE(B144, ""en"", ""hr"")"),"Početnik")</f>
        <v>Početnik</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""fr"")"),"Avancée")</f>
        <v>Avancée</v>
      </c>
      <c r="D145" s="23" t="str">
        <f>IFERROR(__xludf.DUMMYFUNCTION("GOOGLETRANSLATE(B145, ""en"", ""es"")"),"Avanzado")</f>
        <v>Avanzado</v>
      </c>
      <c r="E145" s="23" t="str">
        <f>IFERROR(__xludf.DUMMYFUNCTION("GOOGLETRANSLATE(B145, ""en"", ""ru"")"),"Передовой")</f>
        <v>Передовой</v>
      </c>
      <c r="F145" s="23" t="str">
        <f>IFERROR(__xludf.DUMMYFUNCTION("GOOGLETRANSLATE(B145, ""en"", ""tr"")"),"ileri")</f>
        <v>ileri</v>
      </c>
      <c r="G145" s="23" t="str">
        <f>IFERROR(__xludf.DUMMYFUNCTION("GOOGLETRANSLATE(B145, ""en"", ""pt"")"),"avançado")</f>
        <v>avançado</v>
      </c>
      <c r="H145" s="24" t="str">
        <f>IFERROR(__xludf.DUMMYFUNCTION("GOOGLETRANSLATE(B145, ""en"", ""de"")"),"fortgeschritten")</f>
        <v>fortgeschritten</v>
      </c>
      <c r="I145" s="23" t="str">
        <f>IFERROR(__xludf.DUMMYFUNCTION("GOOGLETRANSLATE(B145, ""en"", ""pl"")"),"zaawansowane")</f>
        <v>zaawansowane</v>
      </c>
      <c r="J145" s="25" t="str">
        <f>IFERROR(__xludf.DUMMYFUNCTION("GOOGLETRANSLATE(B145, ""en"", ""zh"")"),"先进的")</f>
        <v>先进的</v>
      </c>
      <c r="K145" s="25" t="str">
        <f>IFERROR(__xludf.DUMMYFUNCTION("GOOGLETRANSLATE(B145, ""en"", ""vi"")"),"Nâng cao")</f>
        <v>Nâng cao</v>
      </c>
      <c r="L145" s="26" t="str">
        <f>IFERROR(__xludf.DUMMYFUNCTION("GOOGLETRANSLATE(B145, ""en"", ""hr"")"),"Napredna")</f>
        <v>Napredna</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""fr"")"),"Expert")</f>
        <v>Expert</v>
      </c>
      <c r="D146" s="23" t="str">
        <f>IFERROR(__xludf.DUMMYFUNCTION("GOOGLETRANSLATE(B146, ""en"", ""es"")"),"Experto")</f>
        <v>Experto</v>
      </c>
      <c r="E146" s="23" t="str">
        <f>IFERROR(__xludf.DUMMYFUNCTION("GOOGLETRANSLATE(B146, ""en"", ""ru"")"),"эксперт")</f>
        <v>эксперт</v>
      </c>
      <c r="F146" s="23" t="str">
        <f>IFERROR(__xludf.DUMMYFUNCTION("GOOGLETRANSLATE(B146, ""en"", ""tr"")"),"Uzman")</f>
        <v>Uzman</v>
      </c>
      <c r="G146" s="23" t="str">
        <f>IFERROR(__xludf.DUMMYFUNCTION("GOOGLETRANSLATE(B146, ""en"", ""pt"")"),"Especialista")</f>
        <v>Especialista</v>
      </c>
      <c r="H146" s="24" t="str">
        <f>IFERROR(__xludf.DUMMYFUNCTION("GOOGLETRANSLATE(B146, ""en"", ""de"")"),"Experte")</f>
        <v>Experte</v>
      </c>
      <c r="I146" s="23" t="str">
        <f>IFERROR(__xludf.DUMMYFUNCTION("GOOGLETRANSLATE(B146, ""en"", ""pl"")"),"Ekspert")</f>
        <v>Ekspert</v>
      </c>
      <c r="J146" s="25" t="str">
        <f>IFERROR(__xludf.DUMMYFUNCTION("GOOGLETRANSLATE(B146, ""en"", ""zh"")"),"专家")</f>
        <v>专家</v>
      </c>
      <c r="K146" s="25" t="str">
        <f>IFERROR(__xludf.DUMMYFUNCTION("GOOGLETRANSLATE(B146, ""en"", ""vi"")"),"Chuyên gia")</f>
        <v>Chuyên gia</v>
      </c>
      <c r="L146" s="26" t="str">
        <f>IFERROR(__xludf.DUMMYFUNCTION("GOOGLETRANSLATE(B146, ""en"", ""hr"")"),"Stručnjak")</f>
        <v>Stručnjak</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""fr"")"),"Maître")</f>
        <v>Maître</v>
      </c>
      <c r="D147" s="23" t="str">
        <f>IFERROR(__xludf.DUMMYFUNCTION("GOOGLETRANSLATE(B147, ""en"", ""es"")"),"Maestría")</f>
        <v>Maestría</v>
      </c>
      <c r="E147" s="23" t="str">
        <f>IFERROR(__xludf.DUMMYFUNCTION("GOOGLETRANSLATE(B147, ""en"", ""ru"")"),"Владелец")</f>
        <v>Владелец</v>
      </c>
      <c r="F147" s="23" t="str">
        <f>IFERROR(__xludf.DUMMYFUNCTION("GOOGLETRANSLATE(B147, ""en"", ""tr"")"),"Usta")</f>
        <v>Usta</v>
      </c>
      <c r="G147" s="23" t="str">
        <f>IFERROR(__xludf.DUMMYFUNCTION("GOOGLETRANSLATE(B147, ""en"", ""pt"")"),"Mestre")</f>
        <v>Mestre</v>
      </c>
      <c r="H147" s="24" t="str">
        <f>IFERROR(__xludf.DUMMYFUNCTION("GOOGLETRANSLATE(B147, ""en"", ""de"")"),"Meister")</f>
        <v>Meister</v>
      </c>
      <c r="I147" s="23" t="str">
        <f>IFERROR(__xludf.DUMMYFUNCTION("GOOGLETRANSLATE(B147, ""en"", ""pl"")"),"Mistrz")</f>
        <v>Mistrz</v>
      </c>
      <c r="J147" s="25" t="str">
        <f>IFERROR(__xludf.DUMMYFUNCTION("GOOGLETRANSLATE(B147, ""en"", ""zh"")"),"掌握")</f>
        <v>掌握</v>
      </c>
      <c r="K147" s="25" t="str">
        <f>IFERROR(__xludf.DUMMYFUNCTION("GOOGLETRANSLATE(B147, ""en"", ""vi"")"),"Bậc thầy")</f>
        <v>Bậc thầy</v>
      </c>
      <c r="L147" s="26" t="str">
        <f>IFERROR(__xludf.DUMMYFUNCTION("GOOGLETRANSLATE(B147, ""en"", ""hr"")"),"Ovladati; majstorski")</f>
        <v>Ovladati; majstorski</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""fr"")"),"coût d'entrée")</f>
        <v>coût d'entrée</v>
      </c>
      <c r="D148" s="23" t="str">
        <f>IFERROR(__xludf.DUMMYFUNCTION("GOOGLETRANSLATE(B148, ""en"", ""es"")"),"costo de entrada")</f>
        <v>costo de entrada</v>
      </c>
      <c r="E148" s="23" t="str">
        <f>IFERROR(__xludf.DUMMYFUNCTION("GOOGLETRANSLATE(B148, ""en"", ""ru"")"),"первоначальные расходы")</f>
        <v>первоначальные расходы</v>
      </c>
      <c r="F148" s="23" t="str">
        <f>IFERROR(__xludf.DUMMYFUNCTION("GOOGLETRANSLATE(B148, ""en"", ""tr"")"),"Giriş maliyeti")</f>
        <v>Giriş maliyeti</v>
      </c>
      <c r="G148" s="23" t="str">
        <f>IFERROR(__xludf.DUMMYFUNCTION("GOOGLETRANSLATE(B148, ""en"", ""pt"")"),"custo de entrada")</f>
        <v>custo de entrada</v>
      </c>
      <c r="H148" s="24" t="str">
        <f>IFERROR(__xludf.DUMMYFUNCTION("GOOGLETRANSLATE(B148, ""en"", ""de"")"),"Einstiegskosten")</f>
        <v>Einstiegskosten</v>
      </c>
      <c r="I148" s="23" t="str">
        <f>IFERROR(__xludf.DUMMYFUNCTION("GOOGLETRANSLATE(B148, ""en"", ""pl"")"),"koszt wpisu")</f>
        <v>koszt wpisu</v>
      </c>
      <c r="J148" s="25" t="str">
        <f>IFERROR(__xludf.DUMMYFUNCTION("GOOGLETRANSLATE(B148, ""en"", ""zh"")"),"进入成本")</f>
        <v>进入成本</v>
      </c>
      <c r="K148" s="25" t="str">
        <f>IFERROR(__xludf.DUMMYFUNCTION("GOOGLETRANSLATE(B148, ""en"", ""vi"")"),"chi phí nhập")</f>
        <v>chi phí nhập</v>
      </c>
      <c r="L148" s="26" t="str">
        <f>IFERROR(__xludf.DUMMYFUNCTION("GOOGLETRANSLATE(B148, ""en"", ""hr"")"),"trošak ulaz")</f>
        <v>trošak ulaz</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""fr"")"),"le maximum de joueurs")</f>
        <v>le maximum de joueurs</v>
      </c>
      <c r="D149" s="23" t="str">
        <f>IFERROR(__xludf.DUMMYFUNCTION("GOOGLETRANSLATE(B149, ""en"", ""es"")"),"jugadores máximos")</f>
        <v>jugadores máximos</v>
      </c>
      <c r="E149" s="23" t="str">
        <f>IFERROR(__xludf.DUMMYFUNCTION("GOOGLETRANSLATE(B149, ""en"", ""ru"")"),"максимум игроков")</f>
        <v>максимум игроков</v>
      </c>
      <c r="F149" s="23" t="str">
        <f>IFERROR(__xludf.DUMMYFUNCTION("GOOGLETRANSLATE(B149, ""en"", ""tr"")"),"maksimum oyuncu")</f>
        <v>maksimum oyuncu</v>
      </c>
      <c r="G149" s="23" t="str">
        <f>IFERROR(__xludf.DUMMYFUNCTION("GOOGLETRANSLATE(B149, ""en"", ""pt"")"),"máximo de jogadores")</f>
        <v>máximo de jogadores</v>
      </c>
      <c r="H149" s="24" t="str">
        <f>IFERROR(__xludf.DUMMYFUNCTION("GOOGLETRANSLATE(B149, ""en"", ""de"")"),"Maximale Spielerzahl")</f>
        <v>Maximale Spielerzahl</v>
      </c>
      <c r="I149" s="23" t="str">
        <f>IFERROR(__xludf.DUMMYFUNCTION("GOOGLETRANSLATE(B149, ""en"", ""pl"")"),"maksimum graczy")</f>
        <v>maksimum graczy</v>
      </c>
      <c r="J149" s="25" t="str">
        <f>IFERROR(__xludf.DUMMYFUNCTION("GOOGLETRANSLATE(B149, ""en"", ""zh"")"),"最大的球员")</f>
        <v>最大的球员</v>
      </c>
      <c r="K149" s="25" t="str">
        <f>IFERROR(__xludf.DUMMYFUNCTION("GOOGLETRANSLATE(B149, ""en"", ""vi"")"),"người chơi Max")</f>
        <v>người chơi Max</v>
      </c>
      <c r="L149" s="26" t="str">
        <f>IFERROR(__xludf.DUMMYFUNCTION("GOOGLETRANSLATE(B149, ""en"", ""hr"")"),"maksimalno igrača")</f>
        <v>maksimalno igrača</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""fr"")"),"Créer")</f>
        <v>Créer</v>
      </c>
      <c r="D150" s="23" t="str">
        <f>IFERROR(__xludf.DUMMYFUNCTION("GOOGLETRANSLATE(B150, ""en"", ""es"")"),"Crear")</f>
        <v>Crear</v>
      </c>
      <c r="E150" s="23" t="str">
        <f>IFERROR(__xludf.DUMMYFUNCTION("GOOGLETRANSLATE(B150, ""en"", ""ru"")"),"Создавать")</f>
        <v>Создавать</v>
      </c>
      <c r="F150" s="23" t="str">
        <f>IFERROR(__xludf.DUMMYFUNCTION("GOOGLETRANSLATE(B150, ""en"", ""tr"")"),"Oluşturmak")</f>
        <v>Oluşturmak</v>
      </c>
      <c r="G150" s="23" t="str">
        <f>IFERROR(__xludf.DUMMYFUNCTION("GOOGLETRANSLATE(B150, ""en"", ""pt"")"),"Crio")</f>
        <v>Crio</v>
      </c>
      <c r="H150" s="24" t="str">
        <f>IFERROR(__xludf.DUMMYFUNCTION("GOOGLETRANSLATE(B150, ""en"", ""de"")"),"Erstellen")</f>
        <v>Erstellen</v>
      </c>
      <c r="I150" s="23" t="str">
        <f>IFERROR(__xludf.DUMMYFUNCTION("GOOGLETRANSLATE(B150, ""en"", ""pl"")"),"Stwórz")</f>
        <v>Stwórz</v>
      </c>
      <c r="J150" s="25" t="str">
        <f>IFERROR(__xludf.DUMMYFUNCTION("GOOGLETRANSLATE(B150, ""en"", ""zh"")"),"创造")</f>
        <v>创造</v>
      </c>
      <c r="K150" s="25" t="str">
        <f>IFERROR(__xludf.DUMMYFUNCTION("GOOGLETRANSLATE(B150, ""en"", ""vi"")"),"Tạo nên")</f>
        <v>Tạo nên</v>
      </c>
      <c r="L150" s="26" t="str">
        <f>IFERROR(__xludf.DUMMYFUNCTION("GOOGLETRANSLATE(B150, ""en"", ""hr"")"),"Stvoriti")</f>
        <v>Stvoriti</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""fr"")"),"Quitter")</f>
        <v>Quitter</v>
      </c>
      <c r="D151" s="23" t="str">
        <f>IFERROR(__xludf.DUMMYFUNCTION("GOOGLETRANSLATE(B151, ""en"", ""es"")"),"Licencia")</f>
        <v>Licencia</v>
      </c>
      <c r="E151" s="23" t="str">
        <f>IFERROR(__xludf.DUMMYFUNCTION("GOOGLETRANSLATE(B151, ""en"", ""ru"")"),"Покинуть")</f>
        <v>Покинуть</v>
      </c>
      <c r="F151" s="23" t="str">
        <f>IFERROR(__xludf.DUMMYFUNCTION("GOOGLETRANSLATE(B151, ""en"", ""tr"")"),"Ayrılmak")</f>
        <v>Ayrılmak</v>
      </c>
      <c r="G151" s="23" t="str">
        <f>IFERROR(__xludf.DUMMYFUNCTION("GOOGLETRANSLATE(B151, ""en"", ""pt"")"),"Sair")</f>
        <v>Sair</v>
      </c>
      <c r="H151" s="24" t="str">
        <f>IFERROR(__xludf.DUMMYFUNCTION("GOOGLETRANSLATE(B151, ""en"", ""de"")"),"Verlassen")</f>
        <v>Verlassen</v>
      </c>
      <c r="I151" s="23" t="str">
        <f>IFERROR(__xludf.DUMMYFUNCTION("GOOGLETRANSLATE(B151, ""en"", ""pl"")"),"Wychodzić")</f>
        <v>Wychodzić</v>
      </c>
      <c r="J151" s="25" t="str">
        <f>IFERROR(__xludf.DUMMYFUNCTION("GOOGLETRANSLATE(B151, ""en"", ""zh"")"),"离开")</f>
        <v>离开</v>
      </c>
      <c r="K151" s="25" t="str">
        <f>IFERROR(__xludf.DUMMYFUNCTION("GOOGLETRANSLATE(B151, ""en"", ""vi"")"),"Rời khỏi")</f>
        <v>Rời khỏi</v>
      </c>
      <c r="L151" s="26" t="str">
        <f>IFERROR(__xludf.DUMMYFUNCTION("GOOGLETRANSLATE(B151, ""en"", ""hr"")"),"Napustiti")</f>
        <v>Napustiti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""fr"")"),"Démarrer")</f>
        <v>Démarrer</v>
      </c>
      <c r="D152" s="23" t="str">
        <f>IFERROR(__xludf.DUMMYFUNCTION("GOOGLETRANSLATE(B152, ""en"", ""es"")"),"Comienzo")</f>
        <v>Comienzo</v>
      </c>
      <c r="E152" s="23" t="str">
        <f>IFERROR(__xludf.DUMMYFUNCTION("GOOGLETRANSLATE(B152, ""en"", ""ru"")"),"Начинать")</f>
        <v>Начинать</v>
      </c>
      <c r="F152" s="23" t="str">
        <f>IFERROR(__xludf.DUMMYFUNCTION("GOOGLETRANSLATE(B152, ""en"", ""tr"")"),"Başlat")</f>
        <v>Başlat</v>
      </c>
      <c r="G152" s="23" t="str">
        <f>IFERROR(__xludf.DUMMYFUNCTION("GOOGLETRANSLATE(B152, ""en"", ""pt"")"),"Começar")</f>
        <v>Começar</v>
      </c>
      <c r="H152" s="24" t="str">
        <f>IFERROR(__xludf.DUMMYFUNCTION("GOOGLETRANSLATE(B152, ""en"", ""de"")"),"Start")</f>
        <v>Start</v>
      </c>
      <c r="I152" s="23" t="str">
        <f>IFERROR(__xludf.DUMMYFUNCTION("GOOGLETRANSLATE(B152, ""en"", ""pl"")"),"Początek")</f>
        <v>Początek</v>
      </c>
      <c r="J152" s="25" t="str">
        <f>IFERROR(__xludf.DUMMYFUNCTION("GOOGLETRANSLATE(B152, ""en"", ""zh"")"),"开始")</f>
        <v>开始</v>
      </c>
      <c r="K152" s="25" t="str">
        <f>IFERROR(__xludf.DUMMYFUNCTION("GOOGLETRANSLATE(B152, ""en"", ""vi"")"),"Khởi đầu")</f>
        <v>Khởi đầu</v>
      </c>
      <c r="L152" s="26" t="str">
        <f>IFERROR(__xludf.DUMMYFUNCTION("GOOGLETRANSLATE(B152, ""en"", ""hr"")"),"Početak")</f>
        <v>Početak</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""fr"")"),"Annuler")</f>
        <v>Annuler</v>
      </c>
      <c r="D153" s="23" t="str">
        <f>IFERROR(__xludf.DUMMYFUNCTION("GOOGLETRANSLATE(B153, ""en"", ""es"")"),"Cancelar")</f>
        <v>Cancelar</v>
      </c>
      <c r="E153" s="23" t="str">
        <f>IFERROR(__xludf.DUMMYFUNCTION("GOOGLETRANSLATE(B153, ""en"", ""ru"")"),"Отмена")</f>
        <v>Отмена</v>
      </c>
      <c r="F153" s="23" t="str">
        <f>IFERROR(__xludf.DUMMYFUNCTION("GOOGLETRANSLATE(B153, ""en"", ""tr"")"),"İptal etmek")</f>
        <v>İptal etmek</v>
      </c>
      <c r="G153" s="23" t="str">
        <f>IFERROR(__xludf.DUMMYFUNCTION("GOOGLETRANSLATE(B153, ""en"", ""pt"")"),"Cancelar")</f>
        <v>Cancelar</v>
      </c>
      <c r="H153" s="24" t="str">
        <f>IFERROR(__xludf.DUMMYFUNCTION("GOOGLETRANSLATE(B153, ""en"", ""de"")"),"Stornieren")</f>
        <v>Stornieren</v>
      </c>
      <c r="I153" s="23" t="str">
        <f>IFERROR(__xludf.DUMMYFUNCTION("GOOGLETRANSLATE(B153, ""en"", ""pl"")"),"Anuluj")</f>
        <v>Anuluj</v>
      </c>
      <c r="J153" s="25" t="str">
        <f>IFERROR(__xludf.DUMMYFUNCTION("GOOGLETRANSLATE(B153, ""en"", ""zh"")"),"取消")</f>
        <v>取消</v>
      </c>
      <c r="K153" s="25" t="str">
        <f>IFERROR(__xludf.DUMMYFUNCTION("GOOGLETRANSLATE(B153, ""en"", ""vi"")"),"hủy bỏ")</f>
        <v>hủy bỏ</v>
      </c>
      <c r="L153" s="26" t="str">
        <f>IFERROR(__xludf.DUMMYFUNCTION("GOOGLETRANSLATE(B153, ""en"", ""hr"")"),"Otkazati")</f>
        <v>Otkazati</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""fr"")"),"Fête")</f>
        <v>Fête</v>
      </c>
      <c r="D154" s="23" t="str">
        <f>IFERROR(__xludf.DUMMYFUNCTION("GOOGLETRANSLATE(B154, ""en"", ""es"")"),"Fiesta")</f>
        <v>Fiesta</v>
      </c>
      <c r="E154" s="23" t="str">
        <f>IFERROR(__xludf.DUMMYFUNCTION("GOOGLETRANSLATE(B154, ""en"", ""ru"")"),"Вечеринка")</f>
        <v>Вечеринка</v>
      </c>
      <c r="F154" s="23" t="str">
        <f>IFERROR(__xludf.DUMMYFUNCTION("GOOGLETRANSLATE(B154, ""en"", ""tr"")"),"Parti")</f>
        <v>Parti</v>
      </c>
      <c r="G154" s="23" t="str">
        <f>IFERROR(__xludf.DUMMYFUNCTION("GOOGLETRANSLATE(B154, ""en"", ""pt"")"),"Partido")</f>
        <v>Partido</v>
      </c>
      <c r="H154" s="24" t="str">
        <f>IFERROR(__xludf.DUMMYFUNCTION("GOOGLETRANSLATE(B154, ""en"", ""de"")"),"Party")</f>
        <v>Party</v>
      </c>
      <c r="I154" s="23" t="str">
        <f>IFERROR(__xludf.DUMMYFUNCTION("GOOGLETRANSLATE(B154, ""en"", ""pl"")"),"Przyjęcie")</f>
        <v>Przyjęcie</v>
      </c>
      <c r="J154" s="25" t="str">
        <f>IFERROR(__xludf.DUMMYFUNCTION("GOOGLETRANSLATE(B154, ""en"", ""zh"")"),"派对")</f>
        <v>派对</v>
      </c>
      <c r="K154" s="25" t="str">
        <f>IFERROR(__xludf.DUMMYFUNCTION("GOOGLETRANSLATE(B154, ""en"", ""vi"")"),"Buổi tiệc")</f>
        <v>Buổi tiệc</v>
      </c>
      <c r="L154" s="26" t="str">
        <f>IFERROR(__xludf.DUMMYFUNCTION("GOOGLETRANSLATE(B154, ""en"", ""hr"")"),"Zabava")</f>
        <v>Zabava</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""fr"")"),"Des soirées")</f>
        <v>Des soirées</v>
      </c>
      <c r="D155" s="23" t="str">
        <f>IFERROR(__xludf.DUMMYFUNCTION("GOOGLETRANSLATE(B155, ""en"", ""es"")"),"Fiestas")</f>
        <v>Fiestas</v>
      </c>
      <c r="E155" s="23" t="str">
        <f>IFERROR(__xludf.DUMMYFUNCTION("GOOGLETRANSLATE(B155, ""en"", ""ru"")"),"Стороны")</f>
        <v>Стороны</v>
      </c>
      <c r="F155" s="23" t="str">
        <f>IFERROR(__xludf.DUMMYFUNCTION("GOOGLETRANSLATE(B155, ""en"", ""tr"")"),"Taraflar")</f>
        <v>Taraflar</v>
      </c>
      <c r="G155" s="23" t="str">
        <f>IFERROR(__xludf.DUMMYFUNCTION("GOOGLETRANSLATE(B155, ""en"", ""pt"")"),"Partidos")</f>
        <v>Partidos</v>
      </c>
      <c r="H155" s="24" t="str">
        <f>IFERROR(__xludf.DUMMYFUNCTION("GOOGLETRANSLATE(B155, ""en"", ""de"")"),"Parteien")</f>
        <v>Parteien</v>
      </c>
      <c r="I155" s="23" t="str">
        <f>IFERROR(__xludf.DUMMYFUNCTION("GOOGLETRANSLATE(B155, ""en"", ""pl"")"),"strony")</f>
        <v>strony</v>
      </c>
      <c r="J155" s="25" t="str">
        <f>IFERROR(__xludf.DUMMYFUNCTION("GOOGLETRANSLATE(B155, ""en"", ""zh"")"),"派对")</f>
        <v>派对</v>
      </c>
      <c r="K155" s="25" t="str">
        <f>IFERROR(__xludf.DUMMYFUNCTION("GOOGLETRANSLATE(B155, ""en"", ""vi"")"),"bên")</f>
        <v>bên</v>
      </c>
      <c r="L155" s="26" t="str">
        <f>IFERROR(__xludf.DUMMYFUNCTION("GOOGLETRANSLATE(B155, ""en"", ""hr"")"),"Strane")</f>
        <v>Strane</v>
      </c>
      <c r="M155" s="28"/>
      <c r="N155" s="28"/>
      <c r="O155" s="28"/>
      <c r="P155" s="28"/>
      <c r="Q155" s="28"/>
      <c r="R155" s="28"/>
      <c r="S155" s="28"/>
      <c r="T155" s="28"/>
      <c r="U155" s="28"/>
      <c r="V155" s="28"/>
      <c r="W155" s="28"/>
      <c r="X155" s="28"/>
      <c r="Y155" s="28"/>
      <c r="Z155" s="28"/>
      <c r="AA155" s="28"/>
      <c r="AB155" s="28"/>
    </row>
    <row r="156">
      <c r="A156" s="21" t="s">
        <v>257</v>
      </c>
      <c r="B156" s="22" t="s">
        <v>249</v>
      </c>
      <c r="C156" s="23" t="str">
        <f>IFERROR(__xludf.DUMMYFUNCTION("GOOGLETRANSLATE(B156, ""en"", ""fr"")"),"coût d'entrée")</f>
        <v>coût d'entrée</v>
      </c>
      <c r="D156" s="23" t="str">
        <f>IFERROR(__xludf.DUMMYFUNCTION("GOOGLETRANSLATE(B156, ""en"", ""es"")"),"costo de entrada")</f>
        <v>costo de entrada</v>
      </c>
      <c r="E156" s="23" t="str">
        <f>IFERROR(__xludf.DUMMYFUNCTION("GOOGLETRANSLATE(B156, ""en"", ""ru"")"),"первоначальные расходы")</f>
        <v>первоначальные расходы</v>
      </c>
      <c r="F156" s="23" t="str">
        <f>IFERROR(__xludf.DUMMYFUNCTION("GOOGLETRANSLATE(B156, ""en"", ""tr"")"),"Giriş maliyeti")</f>
        <v>Giriş maliyeti</v>
      </c>
      <c r="G156" s="23" t="str">
        <f>IFERROR(__xludf.DUMMYFUNCTION("GOOGLETRANSLATE(B156, ""en"", ""pt"")"),"custo de entrada")</f>
        <v>custo de entrada</v>
      </c>
      <c r="H156" s="24" t="str">
        <f>IFERROR(__xludf.DUMMYFUNCTION("GOOGLETRANSLATE(B156, ""en"", ""de"")"),"Einstiegskosten")</f>
        <v>Einstiegskosten</v>
      </c>
      <c r="I156" s="23" t="str">
        <f>IFERROR(__xludf.DUMMYFUNCTION("GOOGLETRANSLATE(B156, ""en"", ""pl"")"),"koszt wpisu")</f>
        <v>koszt wpisu</v>
      </c>
      <c r="J156" s="25" t="str">
        <f>IFERROR(__xludf.DUMMYFUNCTION("GOOGLETRANSLATE(B156, ""en"", ""zh"")"),"进入成本")</f>
        <v>进入成本</v>
      </c>
      <c r="K156" s="25" t="str">
        <f>IFERROR(__xludf.DUMMYFUNCTION("GOOGLETRANSLATE(B156, ""en"", ""vi"")"),"chi phí nhập")</f>
        <v>chi phí nhập</v>
      </c>
      <c r="L156" s="26" t="str">
        <f>IFERROR(__xludf.DUMMYFUNCTION("GOOGLETRANSLATE(B156, ""en"", ""hr"")"),"trošak ulaz")</f>
        <v>trošak ulaz</v>
      </c>
      <c r="M156" s="28"/>
      <c r="N156" s="28"/>
      <c r="O156" s="28"/>
      <c r="P156" s="28"/>
      <c r="Q156" s="28"/>
      <c r="R156" s="28"/>
      <c r="S156" s="28"/>
      <c r="T156" s="28"/>
      <c r="U156" s="28"/>
      <c r="V156" s="28"/>
      <c r="W156" s="28"/>
      <c r="X156" s="28"/>
      <c r="Y156" s="28"/>
      <c r="Z156" s="28"/>
      <c r="AA156" s="28"/>
      <c r="AB156" s="28"/>
    </row>
    <row r="157">
      <c r="A157" s="21" t="s">
        <v>258</v>
      </c>
      <c r="B157" s="22" t="s">
        <v>258</v>
      </c>
      <c r="C157" s="23"/>
      <c r="D157" s="23" t="str">
        <f>IFERROR(__xludf.DUMMYFUNCTION("GOOGLETRANSLATE(B157, ""en"", ""es"")"),"Tiempo restante")</f>
        <v>Tiempo restante</v>
      </c>
      <c r="E157" s="23" t="str">
        <f>IFERROR(__xludf.DUMMYFUNCTION("GOOGLETRANSLATE(B157, ""en"", ""ru"")"),"Времени осталось")</f>
        <v>Времени осталось</v>
      </c>
      <c r="F157" s="23" t="str">
        <f>IFERROR(__xludf.DUMMYFUNCTION("GOOGLETRANSLATE(B157, ""en"", ""tr"")"),"Kalan süre")</f>
        <v>Kalan süre</v>
      </c>
      <c r="G157" s="23" t="str">
        <f>IFERROR(__xludf.DUMMYFUNCTION("GOOGLETRANSLATE(B157, ""en"", ""pt"")"),"Tempo restante")</f>
        <v>Tempo restante</v>
      </c>
      <c r="H157" s="24" t="str">
        <f>IFERROR(__xludf.DUMMYFUNCTION("GOOGLETRANSLATE(B157, ""en"", ""de"")"),"verbleibende Zeit")</f>
        <v>verbleibende Zeit</v>
      </c>
      <c r="I157" s="23" t="str">
        <f>IFERROR(__xludf.DUMMYFUNCTION("GOOGLETRANSLATE(B157, ""en"", ""pl"")"),"Pozostały czas")</f>
        <v>Pozostały czas</v>
      </c>
      <c r="J157" s="25" t="str">
        <f>IFERROR(__xludf.DUMMYFUNCTION("GOOGLETRANSLATE(B157, ""en"", ""zh"")"),"剩余时间")</f>
        <v>剩余时间</v>
      </c>
      <c r="K157" s="25" t="str">
        <f>IFERROR(__xludf.DUMMYFUNCTION("GOOGLETRANSLATE(B157, ""en"", ""vi"")"),"Thời gian còn lại")</f>
        <v>Thời gian còn lại</v>
      </c>
      <c r="L157" s="26" t="str">
        <f>IFERROR(__xludf.DUMMYFUNCTION("GOOGLETRANSLATE(B157, ""en"", ""hr"")"),"Preostalo vrijeme")</f>
        <v>Preostalo vrijeme</v>
      </c>
      <c r="M157" s="28"/>
      <c r="N157" s="28"/>
      <c r="O157" s="28"/>
      <c r="P157" s="28"/>
      <c r="Q157" s="28"/>
      <c r="R157" s="28"/>
      <c r="S157" s="28"/>
      <c r="T157" s="28"/>
      <c r="U157" s="28"/>
      <c r="V157" s="28"/>
      <c r="W157" s="28"/>
      <c r="X157" s="28"/>
      <c r="Y157" s="28"/>
      <c r="Z157" s="28"/>
      <c r="AA157" s="28"/>
      <c r="AB157" s="28"/>
    </row>
    <row r="158">
      <c r="A158" s="21" t="s">
        <v>259</v>
      </c>
      <c r="B158" s="22" t="s">
        <v>260</v>
      </c>
      <c r="C158" s="23" t="str">
        <f>IFERROR(__xludf.DUMMYFUNCTION("GOOGLETRANSLATE(B158, ""en"", ""fr"")"),"égouts de la ville")</f>
        <v>égouts de la ville</v>
      </c>
      <c r="D158" s="23" t="str">
        <f>IFERROR(__xludf.DUMMYFUNCTION("GOOGLETRANSLATE(B158, ""en"", ""es"")"),"alcantarillas de la ciudad")</f>
        <v>alcantarillas de la ciudad</v>
      </c>
      <c r="E158" s="23" t="str">
        <f>IFERROR(__xludf.DUMMYFUNCTION("GOOGLETRANSLATE(B158, ""en"", ""ru"")"),"Городские сточные воды")</f>
        <v>Городские сточные воды</v>
      </c>
      <c r="F158" s="23" t="str">
        <f>IFERROR(__xludf.DUMMYFUNCTION("GOOGLETRANSLATE(B158, ""en"", ""tr"")"),"Şehir kanalizasyon")</f>
        <v>Şehir kanalizasyon</v>
      </c>
      <c r="G158" s="23" t="str">
        <f>IFERROR(__xludf.DUMMYFUNCTION("GOOGLETRANSLATE(B158, ""en"", ""pt"")"),"esgotos da cidade")</f>
        <v>esgotos da cidade</v>
      </c>
      <c r="H158" s="24" t="str">
        <f>IFERROR(__xludf.DUMMYFUNCTION("GOOGLETRANSLATE(B158, ""en"", ""de"")"),"Stadt Kanalisation")</f>
        <v>Stadt Kanalisation</v>
      </c>
      <c r="I158" s="23" t="str">
        <f>IFERROR(__xludf.DUMMYFUNCTION("GOOGLETRANSLATE(B158, ""en"", ""pl"")"),"ścieki miejskie")</f>
        <v>ścieki miejskie</v>
      </c>
      <c r="J158" s="25" t="str">
        <f>IFERROR(__xludf.DUMMYFUNCTION("GOOGLETRANSLATE(B158, ""en"", ""zh"")"),"城市下水道")</f>
        <v>城市下水道</v>
      </c>
      <c r="K158" s="25" t="str">
        <f>IFERROR(__xludf.DUMMYFUNCTION("GOOGLETRANSLATE(B158, ""en"", ""vi"")"),"cống thành phố")</f>
        <v>cống thành phố</v>
      </c>
      <c r="L158" s="26" t="str">
        <f>IFERROR(__xludf.DUMMYFUNCTION("GOOGLETRANSLATE(B158, ""en"", ""hr"")"),"Grad kanalizacija")</f>
        <v>Grad kanalizacija</v>
      </c>
      <c r="M158" s="28"/>
      <c r="N158" s="28"/>
      <c r="O158" s="28"/>
      <c r="P158" s="28"/>
      <c r="Q158" s="28"/>
      <c r="R158" s="28"/>
      <c r="S158" s="28"/>
      <c r="T158" s="28"/>
      <c r="U158" s="28"/>
      <c r="V158" s="28"/>
      <c r="W158" s="28"/>
      <c r="X158" s="28"/>
      <c r="Y158" s="28"/>
      <c r="Z158" s="28"/>
      <c r="AA158" s="28"/>
      <c r="AB158" s="28"/>
    </row>
    <row r="159">
      <c r="A159" s="21" t="s">
        <v>261</v>
      </c>
      <c r="B159" s="22" t="s">
        <v>262</v>
      </c>
      <c r="C159" s="23" t="str">
        <f>IFERROR(__xludf.DUMMYFUNCTION("GOOGLETRANSLATE(B159, ""en"", ""fr"")"),"domaine de la formation Chevalier")</f>
        <v>domaine de la formation Chevalier</v>
      </c>
      <c r="D159" s="23" t="str">
        <f>IFERROR(__xludf.DUMMYFUNCTION("GOOGLETRANSLATE(B159, ""en"", ""es"")"),"arena de entrenamiento Knight")</f>
        <v>arena de entrenamiento Knight</v>
      </c>
      <c r="E159" s="23" t="str">
        <f>IFERROR(__xludf.DUMMYFUNCTION("GOOGLETRANSLATE(B159, ""en"", ""ru"")"),"Knight тренировки арены")</f>
        <v>Knight тренировки арены</v>
      </c>
      <c r="F159" s="23" t="str">
        <f>IFERROR(__xludf.DUMMYFUNCTION("GOOGLETRANSLATE(B159, ""en"", ""tr"")"),"Şövalye eğitim arena")</f>
        <v>Şövalye eğitim arena</v>
      </c>
      <c r="G159" s="23" t="str">
        <f>IFERROR(__xludf.DUMMYFUNCTION("GOOGLETRANSLATE(B159, ""en"", ""pt"")"),"arena de treinamento Cavaleiro")</f>
        <v>arena de treinamento Cavaleiro</v>
      </c>
      <c r="H159" s="24" t="str">
        <f>IFERROR(__xludf.DUMMYFUNCTION("GOOGLETRANSLATE(B159, ""en"", ""de"")"),"Ritter Trainingsarena")</f>
        <v>Ritter Trainingsarena</v>
      </c>
      <c r="I159" s="23" t="str">
        <f>IFERROR(__xludf.DUMMYFUNCTION("GOOGLETRANSLATE(B159, ""en"", ""pl"")"),"Rycerz szkolenie areny")</f>
        <v>Rycerz szkolenie areny</v>
      </c>
      <c r="J159" s="25" t="str">
        <f>IFERROR(__xludf.DUMMYFUNCTION("GOOGLETRANSLATE(B159, ""en"", ""zh"")"),"骑士训练竞技场")</f>
        <v>骑士训练竞技场</v>
      </c>
      <c r="K159" s="25" t="str">
        <f>IFERROR(__xludf.DUMMYFUNCTION("GOOGLETRANSLATE(B159, ""en"", ""vi"")"),"trường đào tạo knight")</f>
        <v>trường đào tạo knight</v>
      </c>
      <c r="L159" s="26" t="str">
        <f>IFERROR(__xludf.DUMMYFUNCTION("GOOGLETRANSLATE(B159, ""en"", ""hr"")"),"Vitez trening arena")</f>
        <v>Vitez trening arena</v>
      </c>
      <c r="M159" s="28"/>
      <c r="N159" s="28"/>
      <c r="O159" s="28"/>
      <c r="P159" s="28"/>
      <c r="Q159" s="28"/>
      <c r="R159" s="28"/>
      <c r="S159" s="28"/>
      <c r="T159" s="28"/>
      <c r="U159" s="28"/>
      <c r="V159" s="28"/>
      <c r="W159" s="28"/>
      <c r="X159" s="28"/>
      <c r="Y159" s="28"/>
      <c r="Z159" s="28"/>
      <c r="AA159" s="28"/>
      <c r="AB159" s="28"/>
    </row>
    <row r="160">
      <c r="A160" s="21" t="s">
        <v>263</v>
      </c>
      <c r="B160" s="22" t="s">
        <v>264</v>
      </c>
      <c r="C160" s="23" t="str">
        <f>IFERROR(__xludf.DUMMYFUNCTION("GOOGLETRANSLATE(B160, ""en"", ""fr"")"),"planque Bandit")</f>
        <v>planque Bandit</v>
      </c>
      <c r="D160" s="23" t="str">
        <f>IFERROR(__xludf.DUMMYFUNCTION("GOOGLETRANSLATE(B160, ""en"", ""es"")"),"escondite de bandido")</f>
        <v>escondite de bandido</v>
      </c>
      <c r="E160" s="23" t="str">
        <f>IFERROR(__xludf.DUMMYFUNCTION("GOOGLETRANSLATE(B160, ""en"", ""ru"")"),"Bandit логово")</f>
        <v>Bandit логово</v>
      </c>
      <c r="F160" s="23" t="str">
        <f>IFERROR(__xludf.DUMMYFUNCTION("GOOGLETRANSLATE(B160, ""en"", ""tr"")"),"Haydut gizlenme yeri")</f>
        <v>Haydut gizlenme yeri</v>
      </c>
      <c r="G160" s="23" t="str">
        <f>IFERROR(__xludf.DUMMYFUNCTION("GOOGLETRANSLATE(B160, ""en"", ""pt"")"),"esconderijo do bandido")</f>
        <v>esconderijo do bandido</v>
      </c>
      <c r="H160" s="24" t="str">
        <f>IFERROR(__xludf.DUMMYFUNCTION("GOOGLETRANSLATE(B160, ""en"", ""de"")"),"Bandit Versteck")</f>
        <v>Bandit Versteck</v>
      </c>
      <c r="I160" s="23" t="str">
        <f>IFERROR(__xludf.DUMMYFUNCTION("GOOGLETRANSLATE(B160, ""en"", ""pl"")"),"Bandit kryjówka")</f>
        <v>Bandit kryjówka</v>
      </c>
      <c r="J160" s="25" t="str">
        <f>IFERROR(__xludf.DUMMYFUNCTION("GOOGLETRANSLATE(B160, ""en"", ""zh"")"),"土匪藏身之处")</f>
        <v>土匪藏身之处</v>
      </c>
      <c r="K160" s="25" t="str">
        <f>IFERROR(__xludf.DUMMYFUNCTION("GOOGLETRANSLATE(B160, ""en"", ""vi"")"),"Bandit nơi ẩn náu")</f>
        <v>Bandit nơi ẩn náu</v>
      </c>
      <c r="L160" s="26" t="str">
        <f>IFERROR(__xludf.DUMMYFUNCTION("GOOGLETRANSLATE(B160, ""en"", ""hr"")"),"Bandit skrovište")</f>
        <v>Bandit skrovište</v>
      </c>
      <c r="M160" s="28"/>
      <c r="N160" s="28"/>
      <c r="O160" s="28"/>
      <c r="P160" s="28"/>
      <c r="Q160" s="28"/>
      <c r="R160" s="28"/>
      <c r="S160" s="28"/>
      <c r="T160" s="28"/>
      <c r="U160" s="28"/>
      <c r="V160" s="28"/>
      <c r="W160" s="28"/>
      <c r="X160" s="28"/>
      <c r="Y160" s="28"/>
      <c r="Z160" s="28"/>
      <c r="AA160" s="28"/>
      <c r="AB160" s="28"/>
    </row>
    <row r="161">
      <c r="A161" s="21" t="s">
        <v>265</v>
      </c>
      <c r="B161" s="22" t="s">
        <v>266</v>
      </c>
      <c r="C161" s="23" t="str">
        <f>IFERROR(__xludf.DUMMYFUNCTION("GOOGLETRANSLATE(B161, ""en"", ""fr"")"),"pyramide Ouest")</f>
        <v>pyramide Ouest</v>
      </c>
      <c r="D161" s="23" t="str">
        <f>IFERROR(__xludf.DUMMYFUNCTION("GOOGLETRANSLATE(B161, ""en"", ""es"")"),"pirámide West")</f>
        <v>pirámide West</v>
      </c>
      <c r="E161" s="23" t="str">
        <f>IFERROR(__xludf.DUMMYFUNCTION("GOOGLETRANSLATE(B161, ""en"", ""ru"")"),"Западная пирамида")</f>
        <v>Западная пирамида</v>
      </c>
      <c r="F161" s="23" t="str">
        <f>IFERROR(__xludf.DUMMYFUNCTION("GOOGLETRANSLATE(B161, ""en"", ""tr"")"),"Batı piramit")</f>
        <v>Batı piramit</v>
      </c>
      <c r="G161" s="23" t="str">
        <f>IFERROR(__xludf.DUMMYFUNCTION("GOOGLETRANSLATE(B161, ""en"", ""pt"")"),"pirâmide oeste")</f>
        <v>pirâmide oeste</v>
      </c>
      <c r="H161" s="24" t="str">
        <f>IFERROR(__xludf.DUMMYFUNCTION("GOOGLETRANSLATE(B161, ""en"", ""de"")"),"West-Pyramide")</f>
        <v>West-Pyramide</v>
      </c>
      <c r="I161" s="23" t="str">
        <f>IFERROR(__xludf.DUMMYFUNCTION("GOOGLETRANSLATE(B161, ""en"", ""pl"")"),"zachód piramida")</f>
        <v>zachód piramida</v>
      </c>
      <c r="J161" s="25" t="str">
        <f>IFERROR(__xludf.DUMMYFUNCTION("GOOGLETRANSLATE(B161, ""en"", ""zh"")"),"西金字塔")</f>
        <v>西金字塔</v>
      </c>
      <c r="K161" s="25" t="str">
        <f>IFERROR(__xludf.DUMMYFUNCTION("GOOGLETRANSLATE(B161, ""en"", ""vi"")"),"kim tự tháp Tây")</f>
        <v>kim tự tháp Tây</v>
      </c>
      <c r="L161" s="26" t="str">
        <f>IFERROR(__xludf.DUMMYFUNCTION("GOOGLETRANSLATE(B161, ""en"", ""hr"")"),"West piramida")</f>
        <v>West piramida</v>
      </c>
      <c r="M161" s="28"/>
      <c r="N161" s="28"/>
      <c r="O161" s="28"/>
      <c r="P161" s="28"/>
      <c r="Q161" s="28"/>
      <c r="R161" s="28"/>
      <c r="S161" s="28"/>
      <c r="T161" s="28"/>
      <c r="U161" s="28"/>
      <c r="V161" s="28"/>
      <c r="W161" s="28"/>
      <c r="X161" s="28"/>
      <c r="Y161" s="28"/>
      <c r="Z161" s="28"/>
      <c r="AA161" s="28"/>
      <c r="AB161" s="28"/>
    </row>
    <row r="162">
      <c r="A162" s="21" t="s">
        <v>267</v>
      </c>
      <c r="B162" s="22" t="s">
        <v>268</v>
      </c>
      <c r="C162" s="23" t="str">
        <f>IFERROR(__xludf.DUMMYFUNCTION("GOOGLETRANSLATE(B162, ""en"", ""fr"")"),"pyramide Est")</f>
        <v>pyramide Est</v>
      </c>
      <c r="D162" s="23" t="str">
        <f>IFERROR(__xludf.DUMMYFUNCTION("GOOGLETRANSLATE(B162, ""en"", ""es"")"),"al este de la pirámide")</f>
        <v>al este de la pirámide</v>
      </c>
      <c r="E162" s="23" t="str">
        <f>IFERROR(__xludf.DUMMYFUNCTION("GOOGLETRANSLATE(B162, ""en"", ""ru"")"),"Восточная пирамида")</f>
        <v>Восточная пирамида</v>
      </c>
      <c r="F162" s="23" t="str">
        <f>IFERROR(__xludf.DUMMYFUNCTION("GOOGLETRANSLATE(B162, ""en"", ""tr"")"),"Doğu piramit")</f>
        <v>Doğu piramit</v>
      </c>
      <c r="G162" s="23" t="str">
        <f>IFERROR(__xludf.DUMMYFUNCTION("GOOGLETRANSLATE(B162, ""en"", ""pt"")"),"pirâmide leste")</f>
        <v>pirâmide leste</v>
      </c>
      <c r="H162" s="24" t="str">
        <f>IFERROR(__xludf.DUMMYFUNCTION("GOOGLETRANSLATE(B162, ""en"", ""de"")"),"East Pyramide")</f>
        <v>East Pyramide</v>
      </c>
      <c r="I162" s="23" t="str">
        <f>IFERROR(__xludf.DUMMYFUNCTION("GOOGLETRANSLATE(B162, ""en"", ""pl"")"),"East piramida")</f>
        <v>East piramida</v>
      </c>
      <c r="J162" s="25" t="str">
        <f>IFERROR(__xludf.DUMMYFUNCTION("GOOGLETRANSLATE(B162, ""en"", ""zh"")"),"东方金字塔")</f>
        <v>东方金字塔</v>
      </c>
      <c r="K162" s="25" t="str">
        <f>IFERROR(__xludf.DUMMYFUNCTION("GOOGLETRANSLATE(B162, ""en"", ""vi"")"),"Đông kim tự tháp")</f>
        <v>Đông kim tự tháp</v>
      </c>
      <c r="L162" s="26" t="str">
        <f>IFERROR(__xludf.DUMMYFUNCTION("GOOGLETRANSLATE(B162, ""en"", ""hr"")"),"Istok piramida")</f>
        <v>Istok piramida</v>
      </c>
      <c r="M162" s="28"/>
      <c r="N162" s="28"/>
      <c r="O162" s="28"/>
      <c r="P162" s="28"/>
      <c r="Q162" s="28"/>
      <c r="R162" s="28"/>
      <c r="S162" s="28"/>
      <c r="T162" s="28"/>
      <c r="U162" s="28"/>
      <c r="V162" s="28"/>
      <c r="W162" s="28"/>
      <c r="X162" s="28"/>
      <c r="Y162" s="28"/>
      <c r="Z162" s="28"/>
      <c r="AA162" s="28"/>
      <c r="AB162" s="28"/>
    </row>
    <row r="163">
      <c r="A163" s="21" t="s">
        <v>269</v>
      </c>
      <c r="B163" s="22" t="s">
        <v>270</v>
      </c>
      <c r="C163" s="23" t="str">
        <f>IFERROR(__xludf.DUMMYFUNCTION("GOOGLETRANSLATE(B163, ""en"", ""fr"")"),"salles de sang")</f>
        <v>salles de sang</v>
      </c>
      <c r="D163" s="23" t="str">
        <f>IFERROR(__xludf.DUMMYFUNCTION("GOOGLETRANSLATE(B163, ""en"", ""es"")"),"salas de sangre")</f>
        <v>salas de sangre</v>
      </c>
      <c r="E163" s="23" t="str">
        <f>IFERROR(__xludf.DUMMYFUNCTION("GOOGLETRANSLATE(B163, ""en"", ""ru"")"),"Кровеносные залы")</f>
        <v>Кровеносные залы</v>
      </c>
      <c r="F163" s="23" t="str">
        <f>IFERROR(__xludf.DUMMYFUNCTION("GOOGLETRANSLATE(B163, ""en"", ""tr"")"),"Kan salonları")</f>
        <v>Kan salonları</v>
      </c>
      <c r="G163" s="23" t="str">
        <f>IFERROR(__xludf.DUMMYFUNCTION("GOOGLETRANSLATE(B163, ""en"", ""pt"")"),"salas de sangue")</f>
        <v>salas de sangue</v>
      </c>
      <c r="H163" s="24" t="str">
        <f>IFERROR(__xludf.DUMMYFUNCTION("GOOGLETRANSLATE(B163, ""en"", ""de"")"),"Bluthallen")</f>
        <v>Bluthallen</v>
      </c>
      <c r="I163" s="23" t="str">
        <f>IFERROR(__xludf.DUMMYFUNCTION("GOOGLETRANSLATE(B163, ""en"", ""pl"")"),"hale krwi")</f>
        <v>hale krwi</v>
      </c>
      <c r="J163" s="25" t="str">
        <f>IFERROR(__xludf.DUMMYFUNCTION("GOOGLETRANSLATE(B163, ""en"", ""zh"")"),"血大厅")</f>
        <v>血大厅</v>
      </c>
      <c r="K163" s="25" t="str">
        <f>IFERROR(__xludf.DUMMYFUNCTION("GOOGLETRANSLATE(B163, ""en"", ""vi"")"),"hội trường máu")</f>
        <v>hội trường máu</v>
      </c>
      <c r="L163" s="26" t="str">
        <f>IFERROR(__xludf.DUMMYFUNCTION("GOOGLETRANSLATE(B163, ""en"", ""hr"")"),"krvni dvorane")</f>
        <v>krvni dvorane</v>
      </c>
      <c r="M163" s="28"/>
      <c r="N163" s="28"/>
      <c r="O163" s="28"/>
      <c r="P163" s="28"/>
      <c r="Q163" s="28"/>
      <c r="R163" s="28"/>
      <c r="S163" s="28"/>
      <c r="T163" s="28"/>
      <c r="U163" s="28"/>
      <c r="V163" s="28"/>
      <c r="W163" s="28"/>
      <c r="X163" s="28"/>
      <c r="Y163" s="28"/>
      <c r="Z163" s="28"/>
      <c r="AA163" s="28"/>
      <c r="AB163" s="28"/>
    </row>
    <row r="164">
      <c r="A164" s="21" t="s">
        <v>271</v>
      </c>
      <c r="B164" s="22" t="s">
        <v>272</v>
      </c>
      <c r="C164" s="23" t="str">
        <f>IFERROR(__xludf.DUMMYFUNCTION("GOOGLETRANSLATE(B164, ""en"", ""fr"")"),"ombre dōjō")</f>
        <v>ombre dōjō</v>
      </c>
      <c r="D164" s="23" t="str">
        <f>IFERROR(__xludf.DUMMYFUNCTION("GOOGLETRANSLATE(B164, ""en"", ""es"")"),"sombra dōjō")</f>
        <v>sombra dōjō</v>
      </c>
      <c r="E164" s="23" t="str">
        <f>IFERROR(__xludf.DUMMYFUNCTION("GOOGLETRANSLATE(B164, ""en"", ""ru"")"),"Тень Dojo")</f>
        <v>Тень Dojo</v>
      </c>
      <c r="F164" s="23" t="str">
        <f>IFERROR(__xludf.DUMMYFUNCTION("GOOGLETRANSLATE(B164, ""en"", ""tr"")"),"dojoda gölge")</f>
        <v>dojoda gölge</v>
      </c>
      <c r="G164" s="23" t="str">
        <f>IFERROR(__xludf.DUMMYFUNCTION("GOOGLETRANSLATE(B164, ""en"", ""pt"")"),"sombra dojo")</f>
        <v>sombra dojo</v>
      </c>
      <c r="H164" s="24" t="str">
        <f>IFERROR(__xludf.DUMMYFUNCTION("GOOGLETRANSLATE(B164, ""en"", ""de"")"),"Schatten Dōjōs")</f>
        <v>Schatten Dōjōs</v>
      </c>
      <c r="I164" s="23" t="str">
        <f>IFERROR(__xludf.DUMMYFUNCTION("GOOGLETRANSLATE(B164, ""en"", ""pl"")"),"cień dojo")</f>
        <v>cień dojo</v>
      </c>
      <c r="J164" s="25" t="str">
        <f>IFERROR(__xludf.DUMMYFUNCTION("GOOGLETRANSLATE(B164, ""en"", ""zh"")"),"暗影道场")</f>
        <v>暗影道场</v>
      </c>
      <c r="K164" s="25" t="str">
        <f>IFERROR(__xludf.DUMMYFUNCTION("GOOGLETRANSLATE(B164, ""en"", ""vi"")"),"shadow võ đường")</f>
        <v>shadow võ đường</v>
      </c>
      <c r="L164" s="26" t="str">
        <f>IFERROR(__xludf.DUMMYFUNCTION("GOOGLETRANSLATE(B164, ""en"", ""hr"")"),"shadow Dojo")</f>
        <v>shadow Dojo</v>
      </c>
      <c r="M164" s="28"/>
      <c r="N164" s="28"/>
      <c r="O164" s="28"/>
      <c r="P164" s="28"/>
      <c r="Q164" s="28"/>
      <c r="R164" s="28"/>
      <c r="S164" s="28"/>
      <c r="T164" s="28"/>
      <c r="U164" s="28"/>
      <c r="V164" s="28"/>
      <c r="W164" s="28"/>
      <c r="X164" s="28"/>
      <c r="Y164" s="28"/>
      <c r="Z164" s="28"/>
      <c r="AA164" s="28"/>
      <c r="AB164" s="28"/>
    </row>
    <row r="165">
      <c r="A165" s="21" t="s">
        <v>273</v>
      </c>
      <c r="B165" s="22" t="s">
        <v>274</v>
      </c>
      <c r="C165" s="23" t="str">
        <f>IFERROR(__xludf.DUMMYFUNCTION("GOOGLETRANSLATE(B165, ""en"", ""fr"")"),"labyrinthe forestier")</f>
        <v>labyrinthe forestier</v>
      </c>
      <c r="D165" s="23" t="str">
        <f>IFERROR(__xludf.DUMMYFUNCTION("GOOGLETRANSLATE(B165, ""en"", ""es"")"),"laberinto de los bosques")</f>
        <v>laberinto de los bosques</v>
      </c>
      <c r="E165" s="23" t="str">
        <f>IFERROR(__xludf.DUMMYFUNCTION("GOOGLETRANSLATE(B165, ""en"", ""ru"")"),"Лесной лабиринт")</f>
        <v>Лесной лабиринт</v>
      </c>
      <c r="F165" s="23" t="str">
        <f>IFERROR(__xludf.DUMMYFUNCTION("GOOGLETRANSLATE(B165, ""en"", ""tr"")"),"Orman labirent")</f>
        <v>Orman labirent</v>
      </c>
      <c r="G165" s="23" t="str">
        <f>IFERROR(__xludf.DUMMYFUNCTION("GOOGLETRANSLATE(B165, ""en"", ""pt"")"),"labirinto floresta")</f>
        <v>labirinto floresta</v>
      </c>
      <c r="H165" s="24" t="str">
        <f>IFERROR(__xludf.DUMMYFUNCTION("GOOGLETRANSLATE(B165, ""en"", ""de"")"),"Waldlabyrinth")</f>
        <v>Waldlabyrinth</v>
      </c>
      <c r="I165" s="23" t="str">
        <f>IFERROR(__xludf.DUMMYFUNCTION("GOOGLETRANSLATE(B165, ""en"", ""pl"")"),"leśny labirynt")</f>
        <v>leśny labirynt</v>
      </c>
      <c r="J165" s="25" t="str">
        <f>IFERROR(__xludf.DUMMYFUNCTION("GOOGLETRANSLATE(B165, ""en"", ""zh"")"),"森林迷宫")</f>
        <v>森林迷宫</v>
      </c>
      <c r="K165" s="25" t="str">
        <f>IFERROR(__xludf.DUMMYFUNCTION("GOOGLETRANSLATE(B165, ""en"", ""vi"")"),"mê cung rừng")</f>
        <v>mê cung rừng</v>
      </c>
      <c r="L165" s="26" t="str">
        <f>IFERROR(__xludf.DUMMYFUNCTION("GOOGLETRANSLATE(B165, ""en"", ""hr"")"),"šuma labirint")</f>
        <v>šuma labirint</v>
      </c>
      <c r="M165" s="28"/>
      <c r="N165" s="28"/>
      <c r="O165" s="28"/>
      <c r="P165" s="28"/>
      <c r="Q165" s="28"/>
      <c r="R165" s="28"/>
      <c r="S165" s="28"/>
      <c r="T165" s="28"/>
      <c r="U165" s="28"/>
      <c r="V165" s="28"/>
      <c r="W165" s="28"/>
      <c r="X165" s="28"/>
      <c r="Y165" s="28"/>
      <c r="Z165" s="28"/>
      <c r="AA165" s="28"/>
      <c r="AB165" s="28"/>
    </row>
    <row r="166">
      <c r="A166" s="21" t="s">
        <v>275</v>
      </c>
      <c r="B166" s="22" t="s">
        <v>276</v>
      </c>
      <c r="C166" s="23" t="str">
        <f>IFERROR(__xludf.DUMMYFUNCTION("GOOGLETRANSLATE(B166, ""en"", ""fr"")"),"domaine de la formation Mage")</f>
        <v>domaine de la formation Mage</v>
      </c>
      <c r="D166" s="23" t="str">
        <f>IFERROR(__xludf.DUMMYFUNCTION("GOOGLETRANSLATE(B166, ""en"", ""es"")"),"campo de la formación Mago")</f>
        <v>campo de la formación Mago</v>
      </c>
      <c r="E166" s="23" t="str">
        <f>IFERROR(__xludf.DUMMYFUNCTION("GOOGLETRANSLATE(B166, ""en"", ""ru"")"),"Mage обучения арена")</f>
        <v>Mage обучения арена</v>
      </c>
      <c r="F166" s="23" t="str">
        <f>IFERROR(__xludf.DUMMYFUNCTION("GOOGLETRANSLATE(B166, ""en"", ""tr"")"),"Büyücü eğitim arena")</f>
        <v>Büyücü eğitim arena</v>
      </c>
      <c r="G166" s="23" t="str">
        <f>IFERROR(__xludf.DUMMYFUNCTION("GOOGLETRANSLATE(B166, ""en"", ""pt"")"),"arena de treinamento de Mage")</f>
        <v>arena de treinamento de Mage</v>
      </c>
      <c r="H166" s="24" t="str">
        <f>IFERROR(__xludf.DUMMYFUNCTION("GOOGLETRANSLATE(B166, ""en"", ""de"")"),"Mage Trainingsarena")</f>
        <v>Mage Trainingsarena</v>
      </c>
      <c r="I166" s="23" t="str">
        <f>IFERROR(__xludf.DUMMYFUNCTION("GOOGLETRANSLATE(B166, ""en"", ""pl"")"),"Mage szkolenie areny")</f>
        <v>Mage szkolenie areny</v>
      </c>
      <c r="J166" s="25" t="str">
        <f>IFERROR(__xludf.DUMMYFUNCTION("GOOGLETRANSLATE(B166, ""en"", ""zh"")"),"法师训练竞技场")</f>
        <v>法师训练竞技场</v>
      </c>
      <c r="K166" s="25" t="str">
        <f>IFERROR(__xludf.DUMMYFUNCTION("GOOGLETRANSLATE(B166, ""en"", ""vi"")"),"trường đào tạo Mage")</f>
        <v>trường đào tạo Mage</v>
      </c>
      <c r="L166" s="26" t="str">
        <f>IFERROR(__xludf.DUMMYFUNCTION("GOOGLETRANSLATE(B166, ""en"", ""hr"")"),"Mage Arena trening")</f>
        <v>Mage Arena trening</v>
      </c>
      <c r="M166" s="28"/>
      <c r="N166" s="28"/>
      <c r="O166" s="28"/>
      <c r="P166" s="28"/>
      <c r="Q166" s="28"/>
      <c r="R166" s="28"/>
      <c r="S166" s="28"/>
      <c r="T166" s="28"/>
      <c r="U166" s="28"/>
      <c r="V166" s="28"/>
      <c r="W166" s="28"/>
      <c r="X166" s="28"/>
      <c r="Y166" s="28"/>
      <c r="Z166" s="28"/>
      <c r="AA166" s="28"/>
      <c r="AB166" s="28"/>
    </row>
    <row r="167">
      <c r="A167" s="21" t="s">
        <v>277</v>
      </c>
      <c r="B167" s="22" t="s">
        <v>278</v>
      </c>
      <c r="C167" s="23" t="str">
        <f>IFERROR(__xludf.DUMMYFUNCTION("GOOGLETRANSLATE(B167, ""en"", ""fr"")"),"Coup")</f>
        <v>Coup</v>
      </c>
      <c r="D167" s="23" t="str">
        <f>IFERROR(__xludf.DUMMYFUNCTION("GOOGLETRANSLATE(B167, ""en"", ""es"")"),"Patear")</f>
        <v>Patear</v>
      </c>
      <c r="E167" s="23" t="str">
        <f>IFERROR(__xludf.DUMMYFUNCTION("GOOGLETRANSLATE(B167, ""en"", ""ru"")"),"Пинать")</f>
        <v>Пинать</v>
      </c>
      <c r="F167" s="23" t="str">
        <f>IFERROR(__xludf.DUMMYFUNCTION("GOOGLETRANSLATE(B167, ""en"", ""tr"")"),"Atmak")</f>
        <v>Atmak</v>
      </c>
      <c r="G167" s="23" t="str">
        <f>IFERROR(__xludf.DUMMYFUNCTION("GOOGLETRANSLATE(B167, ""en"", ""pt"")"),"Pontapé")</f>
        <v>Pontapé</v>
      </c>
      <c r="H167" s="24" t="str">
        <f>IFERROR(__xludf.DUMMYFUNCTION("GOOGLETRANSLATE(B167, ""en"", ""de"")"),"Trete")</f>
        <v>Trete</v>
      </c>
      <c r="I167" s="23" t="str">
        <f>IFERROR(__xludf.DUMMYFUNCTION("GOOGLETRANSLATE(B167, ""en"", ""pl"")"),"kopnięcie")</f>
        <v>kopnięcie</v>
      </c>
      <c r="J167" s="25" t="str">
        <f>IFERROR(__xludf.DUMMYFUNCTION("GOOGLETRANSLATE(B167, ""en"", ""zh"")"),"踢")</f>
        <v>踢</v>
      </c>
      <c r="K167" s="25" t="str">
        <f>IFERROR(__xludf.DUMMYFUNCTION("GOOGLETRANSLATE(B167, ""en"", ""vi"")"),"Đá")</f>
        <v>Đá</v>
      </c>
      <c r="L167" s="26" t="str">
        <f>IFERROR(__xludf.DUMMYFUNCTION("GOOGLETRANSLATE(B167, ""en"", ""hr"")"),"Kick")</f>
        <v>Kick</v>
      </c>
      <c r="M167" s="28"/>
      <c r="N167" s="28"/>
      <c r="O167" s="28"/>
      <c r="P167" s="28"/>
      <c r="Q167" s="28"/>
      <c r="R167" s="28"/>
      <c r="S167" s="28"/>
      <c r="T167" s="28"/>
      <c r="U167" s="28"/>
      <c r="V167" s="28"/>
      <c r="W167" s="28"/>
      <c r="X167" s="28"/>
      <c r="Y167" s="28"/>
      <c r="Z167" s="28"/>
      <c r="AA167" s="28"/>
      <c r="AB167" s="28"/>
    </row>
    <row r="168">
      <c r="A168" s="21" t="s">
        <v>279</v>
      </c>
      <c r="B168" s="22" t="s">
        <v>280</v>
      </c>
      <c r="C168" s="23" t="str">
        <f>IFERROR(__xludf.DUMMYFUNCTION("GOOGLETRANSLATE(B168, ""en"", ""fr"")"),"Promouvoir")</f>
        <v>Promouvoir</v>
      </c>
      <c r="D168" s="23" t="str">
        <f>IFERROR(__xludf.DUMMYFUNCTION("GOOGLETRANSLATE(B168, ""en"", ""es"")"),"Promover")</f>
        <v>Promover</v>
      </c>
      <c r="E168" s="23" t="str">
        <f>IFERROR(__xludf.DUMMYFUNCTION("GOOGLETRANSLATE(B168, ""en"", ""ru"")"),"Продвигать")</f>
        <v>Продвигать</v>
      </c>
      <c r="F168" s="23" t="str">
        <f>IFERROR(__xludf.DUMMYFUNCTION("GOOGLETRANSLATE(B168, ""en"", ""tr"")"),"Desteklemek")</f>
        <v>Desteklemek</v>
      </c>
      <c r="G168" s="23" t="str">
        <f>IFERROR(__xludf.DUMMYFUNCTION("GOOGLETRANSLATE(B168, ""en"", ""pt"")"),"Promover")</f>
        <v>Promover</v>
      </c>
      <c r="H168" s="24" t="str">
        <f>IFERROR(__xludf.DUMMYFUNCTION("GOOGLETRANSLATE(B168, ""en"", ""de"")"),"Fördern")</f>
        <v>Fördern</v>
      </c>
      <c r="I168" s="23" t="str">
        <f>IFERROR(__xludf.DUMMYFUNCTION("GOOGLETRANSLATE(B168, ""en"", ""pl"")"),"Promować")</f>
        <v>Promować</v>
      </c>
      <c r="J168" s="25" t="str">
        <f>IFERROR(__xludf.DUMMYFUNCTION("GOOGLETRANSLATE(B168, ""en"", ""zh"")"),"推动")</f>
        <v>推动</v>
      </c>
      <c r="K168" s="25" t="str">
        <f>IFERROR(__xludf.DUMMYFUNCTION("GOOGLETRANSLATE(B168, ""en"", ""vi"")"),"Khuyến khích")</f>
        <v>Khuyến khích</v>
      </c>
      <c r="L168" s="26" t="str">
        <f>IFERROR(__xludf.DUMMYFUNCTION("GOOGLETRANSLATE(B168, ""en"", ""hr"")"),"unaprijediti")</f>
        <v>unaprijediti</v>
      </c>
      <c r="M168" s="28"/>
      <c r="N168" s="28"/>
      <c r="O168" s="28"/>
      <c r="P168" s="28"/>
      <c r="Q168" s="28"/>
      <c r="R168" s="28"/>
      <c r="S168" s="28"/>
      <c r="T168" s="28"/>
      <c r="U168" s="28"/>
      <c r="V168" s="28"/>
      <c r="W168" s="28"/>
      <c r="X168" s="28"/>
      <c r="Y168" s="28"/>
      <c r="Z168" s="28"/>
      <c r="AA168" s="28"/>
      <c r="AB168" s="28"/>
    </row>
    <row r="169">
      <c r="A169" s="21" t="s">
        <v>281</v>
      </c>
      <c r="B169" s="22" t="s">
        <v>252</v>
      </c>
      <c r="C169" s="23" t="str">
        <f>IFERROR(__xludf.DUMMYFUNCTION("GOOGLETRANSLATE(B169, ""en"", ""fr"")"),"Quitter")</f>
        <v>Quitter</v>
      </c>
      <c r="D169" s="23" t="str">
        <f>IFERROR(__xludf.DUMMYFUNCTION("GOOGLETRANSLATE(B169, ""en"", ""es"")"),"Licencia")</f>
        <v>Licencia</v>
      </c>
      <c r="E169" s="23" t="str">
        <f>IFERROR(__xludf.DUMMYFUNCTION("GOOGLETRANSLATE(B169, ""en"", ""ru"")"),"Покинуть")</f>
        <v>Покинуть</v>
      </c>
      <c r="F169" s="23" t="str">
        <f>IFERROR(__xludf.DUMMYFUNCTION("GOOGLETRANSLATE(B169, ""en"", ""tr"")"),"Ayrılmak")</f>
        <v>Ayrılmak</v>
      </c>
      <c r="G169" s="23" t="str">
        <f>IFERROR(__xludf.DUMMYFUNCTION("GOOGLETRANSLATE(B169, ""en"", ""pt"")"),"Sair")</f>
        <v>Sair</v>
      </c>
      <c r="H169" s="24" t="str">
        <f>IFERROR(__xludf.DUMMYFUNCTION("GOOGLETRANSLATE(B169, ""en"", ""de"")"),"Verlassen")</f>
        <v>Verlassen</v>
      </c>
      <c r="I169" s="23" t="str">
        <f>IFERROR(__xludf.DUMMYFUNCTION("GOOGLETRANSLATE(B169, ""en"", ""pl"")"),"Wychodzić")</f>
        <v>Wychodzić</v>
      </c>
      <c r="J169" s="25" t="str">
        <f>IFERROR(__xludf.DUMMYFUNCTION("GOOGLETRANSLATE(B169, ""en"", ""zh"")"),"离开")</f>
        <v>离开</v>
      </c>
      <c r="K169" s="25" t="str">
        <f>IFERROR(__xludf.DUMMYFUNCTION("GOOGLETRANSLATE(B169, ""en"", ""vi"")"),"Rời khỏi")</f>
        <v>Rời khỏi</v>
      </c>
      <c r="L169" s="26" t="str">
        <f>IFERROR(__xludf.DUMMYFUNCTION("GOOGLETRANSLATE(B169, ""en"", ""hr"")"),"Napustiti")</f>
        <v>Napustiti</v>
      </c>
      <c r="M169" s="28"/>
      <c r="N169" s="28"/>
      <c r="O169" s="28"/>
      <c r="P169" s="28"/>
      <c r="Q169" s="28"/>
      <c r="R169" s="28"/>
      <c r="S169" s="28"/>
      <c r="T169" s="28"/>
      <c r="U169" s="28"/>
      <c r="V169" s="28"/>
      <c r="W169" s="28"/>
      <c r="X169" s="28"/>
      <c r="Y169" s="28"/>
      <c r="Z169" s="28"/>
      <c r="AA169" s="28"/>
      <c r="AB169" s="28"/>
    </row>
    <row r="170">
      <c r="A170" s="21" t="s">
        <v>108</v>
      </c>
      <c r="B170" s="22" t="s">
        <v>108</v>
      </c>
      <c r="C170" s="23" t="str">
        <f>IFERROR(__xludf.DUMMYFUNCTION("GOOGLETRANSLATE(B170, ""en"", ""fr"")"),"Clan")</f>
        <v>Clan</v>
      </c>
      <c r="D170" s="23" t="str">
        <f>IFERROR(__xludf.DUMMYFUNCTION("GOOGLETRANSLATE(B170, ""en"", ""es"")"),"Clan")</f>
        <v>Clan</v>
      </c>
      <c r="E170" s="23" t="str">
        <f>IFERROR(__xludf.DUMMYFUNCTION("GOOGLETRANSLATE(B170, ""en"", ""ru"")"),"клан")</f>
        <v>клан</v>
      </c>
      <c r="F170" s="23" t="str">
        <f>IFERROR(__xludf.DUMMYFUNCTION("GOOGLETRANSLATE(B170, ""en"", ""tr"")"),"klan")</f>
        <v>klan</v>
      </c>
      <c r="G170" s="23" t="str">
        <f>IFERROR(__xludf.DUMMYFUNCTION("GOOGLETRANSLATE(B170, ""en"", ""pt"")"),"Clã")</f>
        <v>Clã</v>
      </c>
      <c r="H170" s="24" t="str">
        <f>IFERROR(__xludf.DUMMYFUNCTION("GOOGLETRANSLATE(B170, ""en"", ""de"")"),"Clan")</f>
        <v>Clan</v>
      </c>
      <c r="I170" s="23" t="str">
        <f>IFERROR(__xludf.DUMMYFUNCTION("GOOGLETRANSLATE(B170, ""en"", ""pl"")"),"Klan")</f>
        <v>Klan</v>
      </c>
      <c r="J170" s="25" t="str">
        <f>IFERROR(__xludf.DUMMYFUNCTION("GOOGLETRANSLATE(B170, ""en"", ""zh"")"),"氏族")</f>
        <v>氏族</v>
      </c>
      <c r="K170" s="25" t="str">
        <f>IFERROR(__xludf.DUMMYFUNCTION("GOOGLETRANSLATE(B170, ""en"", ""vi"")"),"Clan")</f>
        <v>Clan</v>
      </c>
      <c r="L170" s="26" t="str">
        <f>IFERROR(__xludf.DUMMYFUNCTION("GOOGLETRANSLATE(B170, ""en"", ""hr"")"),"Klan")</f>
        <v>Klan</v>
      </c>
      <c r="M170" s="28"/>
      <c r="N170" s="28"/>
      <c r="O170" s="28"/>
      <c r="P170" s="28"/>
      <c r="Q170" s="28"/>
      <c r="R170" s="28"/>
      <c r="S170" s="28"/>
      <c r="T170" s="28"/>
      <c r="U170" s="28"/>
      <c r="V170" s="28"/>
      <c r="W170" s="28"/>
      <c r="X170" s="28"/>
      <c r="Y170" s="28"/>
      <c r="Z170" s="28"/>
      <c r="AA170" s="28"/>
      <c r="AB170" s="28"/>
    </row>
    <row r="171">
      <c r="A171" s="21" t="s">
        <v>282</v>
      </c>
      <c r="B171" s="22" t="s">
        <v>283</v>
      </c>
      <c r="C171" s="23" t="str">
        <f>IFERROR(__xludf.DUMMYFUNCTION("GOOGLETRANSLATE(B171, ""en"", ""fr"")"),"Vous êtes déjà dans un clan.")</f>
        <v>Vous êtes déjà dans un clan.</v>
      </c>
      <c r="D171" s="23" t="str">
        <f>IFERROR(__xludf.DUMMYFUNCTION("GOOGLETRANSLATE(B171, ""en"", ""es"")"),"Ya estás en un clan.")</f>
        <v>Ya estás en un clan.</v>
      </c>
      <c r="E171" s="23" t="str">
        <f>IFERROR(__xludf.DUMMYFUNCTION("GOOGLETRANSLATE(B171, ""en"", ""ru"")"),"Вы уже в клане.")</f>
        <v>Вы уже в клане.</v>
      </c>
      <c r="F171" s="23" t="str">
        <f>IFERROR(__xludf.DUMMYFUNCTION("GOOGLETRANSLATE(B171, ""en"", ""tr"")"),"Bir klan zaten.")</f>
        <v>Bir klan zaten.</v>
      </c>
      <c r="G171" s="23" t="str">
        <f>IFERROR(__xludf.DUMMYFUNCTION("GOOGLETRANSLATE(B171, ""en"", ""pt"")"),"Você já está em um clã.")</f>
        <v>Você já está em um clã.</v>
      </c>
      <c r="H171" s="24" t="str">
        <f>IFERROR(__xludf.DUMMYFUNCTION("GOOGLETRANSLATE(B171, ""en"", ""de"")"),"Sie sind bereits in einem Clan.")</f>
        <v>Sie sind bereits in einem Clan.</v>
      </c>
      <c r="I171" s="23" t="str">
        <f>IFERROR(__xludf.DUMMYFUNCTION("GOOGLETRANSLATE(B171, ""en"", ""pl"")"),"Jesteś już w klanie.")</f>
        <v>Jesteś już w klanie.</v>
      </c>
      <c r="J171" s="25" t="str">
        <f>IFERROR(__xludf.DUMMYFUNCTION("GOOGLETRANSLATE(B171, ""en"", ""zh"")"),"你已经在一个家族。")</f>
        <v>你已经在一个家族。</v>
      </c>
      <c r="K171" s="25" t="str">
        <f>IFERROR(__xludf.DUMMYFUNCTION("GOOGLETRANSLATE(B171, ""en"", ""vi"")"),"Bạn đang tham gia một gia tộc.")</f>
        <v>Bạn đang tham gia một gia tộc.</v>
      </c>
      <c r="L171" s="26" t="str">
        <f>IFERROR(__xludf.DUMMYFUNCTION("GOOGLETRANSLATE(B171, ""en"", ""hr"")"),"Već ste u klanu.")</f>
        <v>Već ste u klanu.</v>
      </c>
      <c r="M171" s="28"/>
      <c r="N171" s="28"/>
      <c r="O171" s="28"/>
      <c r="P171" s="28"/>
      <c r="Q171" s="28"/>
      <c r="R171" s="28"/>
      <c r="S171" s="28"/>
      <c r="T171" s="28"/>
      <c r="U171" s="28"/>
      <c r="V171" s="28"/>
      <c r="W171" s="28"/>
      <c r="X171" s="28"/>
      <c r="Y171" s="28"/>
      <c r="Z171" s="28"/>
      <c r="AA171" s="28"/>
      <c r="AB171" s="28"/>
    </row>
    <row r="172">
      <c r="A172" s="21" t="s">
        <v>284</v>
      </c>
      <c r="B172" s="22" t="s">
        <v>285</v>
      </c>
      <c r="C172" s="23" t="str">
        <f>IFERROR(__xludf.DUMMYFUNCTION("GOOGLETRANSLATE(B172, ""en"", ""fr"")"),"Clan a rejoint!")</f>
        <v>Clan a rejoint!</v>
      </c>
      <c r="D172" s="23" t="str">
        <f>IFERROR(__xludf.DUMMYFUNCTION("GOOGLETRANSLATE(B172, ""en"", ""es"")"),"Clan unió!")</f>
        <v>Clan unió!</v>
      </c>
      <c r="E172" s="23" t="str">
        <f>IFERROR(__xludf.DUMMYFUNCTION("GOOGLETRANSLATE(B172, ""en"", ""ru"")"),"присоединился к клану!")</f>
        <v>присоединился к клану!</v>
      </c>
      <c r="F172" s="23" t="str">
        <f>IFERROR(__xludf.DUMMYFUNCTION("GOOGLETRANSLATE(B172, ""en"", ""tr"")"),"Klan katıldı!")</f>
        <v>Klan katıldı!</v>
      </c>
      <c r="G172" s="23" t="str">
        <f>IFERROR(__xludf.DUMMYFUNCTION("GOOGLETRANSLATE(B172, ""en"", ""pt"")"),"Clã juntou!")</f>
        <v>Clã juntou!</v>
      </c>
      <c r="H172" s="24" t="str">
        <f>IFERROR(__xludf.DUMMYFUNCTION("GOOGLETRANSLATE(B172, ""en"", ""de"")"),"Clan beigetreten!")</f>
        <v>Clan beigetreten!</v>
      </c>
      <c r="I172" s="23" t="str">
        <f>IFERROR(__xludf.DUMMYFUNCTION("GOOGLETRANSLATE(B172, ""en"", ""pl"")"),"Klan dołączył!")</f>
        <v>Klan dołączył!</v>
      </c>
      <c r="J172" s="25" t="str">
        <f>IFERROR(__xludf.DUMMYFUNCTION("GOOGLETRANSLATE(B172, ""en"", ""zh"")"),"氏族加入！")</f>
        <v>氏族加入！</v>
      </c>
      <c r="K172" s="25" t="str">
        <f>IFERROR(__xludf.DUMMYFUNCTION("GOOGLETRANSLATE(B172, ""en"", ""vi"")"),"Clan tham gia!")</f>
        <v>Clan tham gia!</v>
      </c>
      <c r="L172" s="26" t="str">
        <f>IFERROR(__xludf.DUMMYFUNCTION("GOOGLETRANSLATE(B172, ""en"", ""hr"")"),"Clan pridružio!")</f>
        <v>Clan pridružio!</v>
      </c>
      <c r="M172" s="28"/>
      <c r="N172" s="28"/>
      <c r="O172" s="28"/>
      <c r="P172" s="28"/>
      <c r="Q172" s="28"/>
      <c r="R172" s="28"/>
      <c r="S172" s="28"/>
      <c r="T172" s="28"/>
      <c r="U172" s="28"/>
      <c r="V172" s="28"/>
      <c r="W172" s="28"/>
      <c r="X172" s="28"/>
      <c r="Y172" s="28"/>
      <c r="Z172" s="28"/>
      <c r="AA172" s="28"/>
      <c r="AB172" s="28"/>
    </row>
    <row r="173">
      <c r="A173" s="21" t="s">
        <v>286</v>
      </c>
      <c r="B173" s="22" t="s">
        <v>287</v>
      </c>
      <c r="C173" s="23" t="str">
        <f>IFERROR(__xludf.DUMMYFUNCTION("GOOGLETRANSLATE(B173, ""en"", ""fr"")"),"limite de la structure du clan atteint.")</f>
        <v>limite de la structure du clan atteint.</v>
      </c>
      <c r="D173" s="23" t="str">
        <f>IFERROR(__xludf.DUMMYFUNCTION("GOOGLETRANSLATE(B173, ""en"", ""es"")"),"Clan estructura ha alcanzado el límite.")</f>
        <v>Clan estructura ha alcanzado el límite.</v>
      </c>
      <c r="E173" s="23" t="str">
        <f>IFERROR(__xludf.DUMMYFUNCTION("GOOGLETRANSLATE(B173, ""en"", ""ru"")"),"Clan структура достигнут предел.")</f>
        <v>Clan структура достигнут предел.</v>
      </c>
      <c r="F173" s="23" t="str">
        <f>IFERROR(__xludf.DUMMYFUNCTION("GOOGLETRANSLATE(B173, ""en"", ""tr"")"),"Klan yapısı sınırı ulaşmıştır.")</f>
        <v>Klan yapısı sınırı ulaşmıştır.</v>
      </c>
      <c r="G173" s="23" t="str">
        <f>IFERROR(__xludf.DUMMYFUNCTION("GOOGLETRANSLATE(B173, ""en"", ""pt"")"),"Clã limite estrutura alcançado.")</f>
        <v>Clã limite estrutura alcançado.</v>
      </c>
      <c r="H173" s="24" t="str">
        <f>IFERROR(__xludf.DUMMYFUNCTION("GOOGLETRANSLATE(B173, ""en"", ""de"")"),"Klanstruktur Grenze erreicht.")</f>
        <v>Klanstruktur Grenze erreicht.</v>
      </c>
      <c r="I173" s="23" t="str">
        <f>IFERROR(__xludf.DUMMYFUNCTION("GOOGLETRANSLATE(B173, ""en"", ""pl"")"),"Klan granica konstrukcja osiągnięta.")</f>
        <v>Klan granica konstrukcja osiągnięta.</v>
      </c>
      <c r="J173" s="25" t="str">
        <f>IFERROR(__xludf.DUMMYFUNCTION("GOOGLETRANSLATE(B173, ""en"", ""zh"")"),"部族结构达到上限。")</f>
        <v>部族结构达到上限。</v>
      </c>
      <c r="K173" s="25" t="str">
        <f>IFERROR(__xludf.DUMMYFUNCTION("GOOGLETRANSLATE(B173, ""en"", ""vi"")"),"giới hạn cấu trúc gia tộc đạt được.")</f>
        <v>giới hạn cấu trúc gia tộc đạt được.</v>
      </c>
      <c r="L173" s="26" t="str">
        <f>IFERROR(__xludf.DUMMYFUNCTION("GOOGLETRANSLATE(B173, ""en"", ""hr"")"),"Clan granica struktura postignut.")</f>
        <v>Clan granica struktura postignut.</v>
      </c>
      <c r="M173" s="28"/>
      <c r="N173" s="28"/>
      <c r="O173" s="28"/>
      <c r="P173" s="28"/>
      <c r="Q173" s="28"/>
      <c r="R173" s="28"/>
      <c r="S173" s="28"/>
      <c r="T173" s="28"/>
      <c r="U173" s="28"/>
      <c r="V173" s="28"/>
      <c r="W173" s="28"/>
      <c r="X173" s="28"/>
      <c r="Y173" s="28"/>
      <c r="Z173" s="28"/>
      <c r="AA173" s="28"/>
      <c r="AB173" s="28"/>
    </row>
    <row r="174">
      <c r="A174" s="21" t="s">
        <v>288</v>
      </c>
      <c r="B174" s="22" t="s">
        <v>289</v>
      </c>
      <c r="C174" s="23" t="str">
        <f>IFERROR(__xludf.DUMMYFUNCTION("GOOGLETRANSLATE(B174, ""en"", ""fr"")"),"Votre clan a été détruit!")</f>
        <v>Votre clan a été détruit!</v>
      </c>
      <c r="D174" s="23" t="str">
        <f>IFERROR(__xludf.DUMMYFUNCTION("GOOGLETRANSLATE(B174, ""en"", ""es"")"),"Su clan ha sido destruida!")</f>
        <v>Su clan ha sido destruida!</v>
      </c>
      <c r="E174" s="23" t="str">
        <f>IFERROR(__xludf.DUMMYFUNCTION("GOOGLETRANSLATE(B174, ""en"", ""ru"")"),"Ваш клан был уничтожен!")</f>
        <v>Ваш клан был уничтожен!</v>
      </c>
      <c r="F174" s="23" t="str">
        <f>IFERROR(__xludf.DUMMYFUNCTION("GOOGLETRANSLATE(B174, ""en"", ""tr"")"),"Sizin klan yok edildi!")</f>
        <v>Sizin klan yok edildi!</v>
      </c>
      <c r="G174" s="23" t="str">
        <f>IFERROR(__xludf.DUMMYFUNCTION("GOOGLETRANSLATE(B174, ""en"", ""pt"")"),"Seu clã foi destruído!")</f>
        <v>Seu clã foi destruído!</v>
      </c>
      <c r="H174" s="24" t="str">
        <f>IFERROR(__xludf.DUMMYFUNCTION("GOOGLETRANSLATE(B174, ""en"", ""de"")"),"Ihr Clan wurde zerstört!")</f>
        <v>Ihr Clan wurde zerstört!</v>
      </c>
      <c r="I174" s="23" t="str">
        <f>IFERROR(__xludf.DUMMYFUNCTION("GOOGLETRANSLATE(B174, ""en"", ""pl"")"),"Twój klan został zniszczony!")</f>
        <v>Twój klan został zniszczony!</v>
      </c>
      <c r="J174" s="25" t="str">
        <f>IFERROR(__xludf.DUMMYFUNCTION("GOOGLETRANSLATE(B174, ""en"", ""zh"")"),"你的家族已被摧毁！")</f>
        <v>你的家族已被摧毁！</v>
      </c>
      <c r="K174" s="25" t="str">
        <f>IFERROR(__xludf.DUMMYFUNCTION("GOOGLETRANSLATE(B174, ""en"", ""vi"")"),"gia tộc của bạn đã bị phá hủy!")</f>
        <v>gia tộc của bạn đã bị phá hủy!</v>
      </c>
      <c r="L174" s="26" t="str">
        <f>IFERROR(__xludf.DUMMYFUNCTION("GOOGLETRANSLATE(B174, ""en"", ""hr"")"),"Vaš klan je uništen!")</f>
        <v>Vaš klan je uništen!</v>
      </c>
      <c r="M174" s="28"/>
      <c r="N174" s="28"/>
      <c r="O174" s="28"/>
      <c r="P174" s="28"/>
      <c r="Q174" s="28"/>
      <c r="R174" s="28"/>
      <c r="S174" s="28"/>
      <c r="T174" s="28"/>
      <c r="U174" s="28"/>
      <c r="V174" s="28"/>
      <c r="W174" s="28"/>
      <c r="X174" s="28"/>
      <c r="Y174" s="28"/>
      <c r="Z174" s="28"/>
      <c r="AA174" s="28"/>
      <c r="AB174" s="28"/>
    </row>
    <row r="175">
      <c r="A175" s="21" t="s">
        <v>290</v>
      </c>
      <c r="B175" s="22" t="s">
        <v>291</v>
      </c>
      <c r="C175" s="23" t="str">
        <f>IFERROR(__xludf.DUMMYFUNCTION("GOOGLETRANSLATE(B175, ""en"", ""fr"")"),"membre du clan a lancé:")</f>
        <v>membre du clan a lancé:</v>
      </c>
      <c r="D175" s="23" t="str">
        <f>IFERROR(__xludf.DUMMYFUNCTION("GOOGLETRANSLATE(B175, ""en"", ""es"")"),"miembro del clan expulsado:")</f>
        <v>miembro del clan expulsado:</v>
      </c>
      <c r="E175" s="23" t="str">
        <f>IFERROR(__xludf.DUMMYFUNCTION("GOOGLETRANSLATE(B175, ""en"", ""ru"")"),"Член клана ноги:")</f>
        <v>Член клана ноги:</v>
      </c>
      <c r="F175" s="23" t="str">
        <f>IFERROR(__xludf.DUMMYFUNCTION("GOOGLETRANSLATE(B175, ""en"", ""tr"")"),"Klan üyesi tekmeledi:")</f>
        <v>Klan üyesi tekmeledi:</v>
      </c>
      <c r="G175" s="23" t="str">
        <f>IFERROR(__xludf.DUMMYFUNCTION("GOOGLETRANSLATE(B175, ""en"", ""pt"")"),"membro do clã expulso:")</f>
        <v>membro do clã expulso:</v>
      </c>
      <c r="H175" s="24" t="str">
        <f>IFERROR(__xludf.DUMMYFUNCTION("GOOGLETRANSLATE(B175, ""en"", ""de"")"),"Clan Mitglied getreten:")</f>
        <v>Clan Mitglied getreten:</v>
      </c>
      <c r="I175" s="23" t="str">
        <f>IFERROR(__xludf.DUMMYFUNCTION("GOOGLETRANSLATE(B175, ""en"", ""pl"")"),"klanowicz kopnął:")</f>
        <v>klanowicz kopnął:</v>
      </c>
      <c r="J175" s="25" t="str">
        <f>IFERROR(__xludf.DUMMYFUNCTION("GOOGLETRANSLATE(B175, ""en"", ""zh"")"),"氏族成员踢：")</f>
        <v>氏族成员踢：</v>
      </c>
      <c r="K175" s="25" t="str">
        <f>IFERROR(__xludf.DUMMYFUNCTION("GOOGLETRANSLATE(B175, ""en"", ""vi"")"),"thành viên gia tộc đá:")</f>
        <v>thành viên gia tộc đá:</v>
      </c>
      <c r="L175" s="26" t="str">
        <f>IFERROR(__xludf.DUMMYFUNCTION("GOOGLETRANSLATE(B175, ""en"", ""hr"")"),"Član klana nogom:")</f>
        <v>Član klana nogom:</v>
      </c>
      <c r="M175" s="28"/>
      <c r="N175" s="28"/>
      <c r="O175" s="28"/>
      <c r="P175" s="28"/>
      <c r="Q175" s="28"/>
      <c r="R175" s="28"/>
      <c r="S175" s="28"/>
      <c r="T175" s="28"/>
      <c r="U175" s="28"/>
      <c r="V175" s="28"/>
      <c r="W175" s="28"/>
      <c r="X175" s="28"/>
      <c r="Y175" s="28"/>
      <c r="Z175" s="28"/>
      <c r="AA175" s="28"/>
      <c r="AB175" s="28"/>
    </row>
    <row r="176">
      <c r="A176" s="21" t="s">
        <v>292</v>
      </c>
      <c r="B176" s="22" t="s">
        <v>293</v>
      </c>
      <c r="C176" s="23" t="str">
        <f>IFERROR(__xludf.DUMMYFUNCTION("GOOGLETRANSLATE(B176, ""en"", ""fr"")"),"Vous avez été promu dans votre clan.")</f>
        <v>Vous avez été promu dans votre clan.</v>
      </c>
      <c r="D176" s="23" t="str">
        <f>IFERROR(__xludf.DUMMYFUNCTION("GOOGLETRANSLATE(B176, ""en"", ""es"")"),"Usted ha sido promovido en su clan.")</f>
        <v>Usted ha sido promovido en su clan.</v>
      </c>
      <c r="E176" s="23" t="str">
        <f>IFERROR(__xludf.DUMMYFUNCTION("GOOGLETRANSLATE(B176, ""en"", ""ru"")"),"Вы были повышены в вашем клане.")</f>
        <v>Вы были повышены в вашем клане.</v>
      </c>
      <c r="F176" s="23" t="str">
        <f>IFERROR(__xludf.DUMMYFUNCTION("GOOGLETRANSLATE(B176, ""en"", ""tr"")"),"Eğer klan destek görmüşlerdir.")</f>
        <v>Eğer klan destek görmüşlerdir.</v>
      </c>
      <c r="G176" s="23" t="str">
        <f>IFERROR(__xludf.DUMMYFUNCTION("GOOGLETRANSLATE(B176, ""en"", ""pt"")"),"Você foi promovido em seu clã.")</f>
        <v>Você foi promovido em seu clã.</v>
      </c>
      <c r="H176" s="24" t="str">
        <f>IFERROR(__xludf.DUMMYFUNCTION("GOOGLETRANSLATE(B176, ""en"", ""de"")"),"Sie haben in Ihrem Clan gefördert.")</f>
        <v>Sie haben in Ihrem Clan gefördert.</v>
      </c>
      <c r="I176" s="23" t="str">
        <f>IFERROR(__xludf.DUMMYFUNCTION("GOOGLETRANSLATE(B176, ""en"", ""pl"")"),"Został awansowany w swoim klanie.")</f>
        <v>Został awansowany w swoim klanie.</v>
      </c>
      <c r="J176" s="25" t="str">
        <f>IFERROR(__xludf.DUMMYFUNCTION("GOOGLETRANSLATE(B176, ""en"", ""zh"")"),"你已被提升为在你的战队。")</f>
        <v>你已被提升为在你的战队。</v>
      </c>
      <c r="K176" s="25" t="str">
        <f>IFERROR(__xludf.DUMMYFUNCTION("GOOGLETRANSLATE(B176, ""en"", ""vi"")"),"Bạn đã được phát huy trong gia tộc của mình.")</f>
        <v>Bạn đã được phát huy trong gia tộc của mình.</v>
      </c>
      <c r="L176" s="26" t="str">
        <f>IFERROR(__xludf.DUMMYFUNCTION("GOOGLETRANSLATE(B176, ""en"", ""hr"")"),"Ti su promaknut u svoj klan.")</f>
        <v>Ti su promaknut u svoj klan.</v>
      </c>
      <c r="M176" s="28"/>
      <c r="N176" s="28"/>
      <c r="O176" s="28"/>
      <c r="P176" s="28"/>
      <c r="Q176" s="28"/>
      <c r="R176" s="28"/>
      <c r="S176" s="28"/>
      <c r="T176" s="28"/>
      <c r="U176" s="28"/>
      <c r="V176" s="28"/>
      <c r="W176" s="28"/>
      <c r="X176" s="28"/>
      <c r="Y176" s="28"/>
      <c r="Z176" s="28"/>
      <c r="AA176" s="28"/>
      <c r="AB176" s="28"/>
    </row>
    <row r="177">
      <c r="A177" s="21" t="s">
        <v>294</v>
      </c>
      <c r="B177" s="22" t="s">
        <v>295</v>
      </c>
      <c r="C177" s="23" t="str">
        <f>IFERROR(__xludf.DUMMYFUNCTION("GOOGLETRANSLATE(B177, ""en"", ""fr"")"),"Pioche nécessaire pour extraire le minerai.")</f>
        <v>Pioche nécessaire pour extraire le minerai.</v>
      </c>
      <c r="D177" s="23" t="str">
        <f>IFERROR(__xludf.DUMMYFUNCTION("GOOGLETRANSLATE(B177, ""en"", ""es"")"),"Pico necesaria para el mineral de la mina.")</f>
        <v>Pico necesaria para el mineral de la mina.</v>
      </c>
      <c r="E177" s="23" t="str">
        <f>IFERROR(__xludf.DUMMYFUNCTION("GOOGLETRANSLATE(B177, ""en"", ""ru"")"),"Кирка нужно добывать руду.")</f>
        <v>Кирка нужно добывать руду.</v>
      </c>
      <c r="F177" s="23" t="str">
        <f>IFERROR(__xludf.DUMMYFUNCTION("GOOGLETRANSLATE(B177, ""en"", ""tr"")"),"Kazma maden cevheri gerekiyordu.")</f>
        <v>Kazma maden cevheri gerekiyordu.</v>
      </c>
      <c r="G177" s="23" t="str">
        <f>IFERROR(__xludf.DUMMYFUNCTION("GOOGLETRANSLATE(B177, ""en"", ""pt"")"),"Picareta necessário para explorar minério.")</f>
        <v>Picareta necessário para explorar minério.</v>
      </c>
      <c r="H177" s="24" t="str">
        <f>IFERROR(__xludf.DUMMYFUNCTION("GOOGLETRANSLATE(B177, ""en"", ""de"")"),"Pickaxe musste Mine Erz.")</f>
        <v>Pickaxe musste Mine Erz.</v>
      </c>
      <c r="I177" s="23" t="str">
        <f>IFERROR(__xludf.DUMMYFUNCTION("GOOGLETRANSLATE(B177, ""en"", ""pl"")"),"Kilof potrzebne do kopalni rudy.")</f>
        <v>Kilof potrzebne do kopalni rudy.</v>
      </c>
      <c r="J177" s="25" t="str">
        <f>IFERROR(__xludf.DUMMYFUNCTION("GOOGLETRANSLATE(B177, ""en"", ""zh"")"),"镐头需要矿石。")</f>
        <v>镐头需要矿石。</v>
      </c>
      <c r="K177" s="25" t="str">
        <f>IFERROR(__xludf.DUMMYFUNCTION("GOOGLETRANSLATE(B177, ""en"", ""vi"")"),"Cuốc cần thiết để quặng mỏ.")</f>
        <v>Cuốc cần thiết để quặng mỏ.</v>
      </c>
      <c r="L177" s="26" t="str">
        <f>IFERROR(__xludf.DUMMYFUNCTION("GOOGLETRANSLATE(B177, ""en"", ""hr"")"),"Pijuk potrebne za rude.")</f>
        <v>Pijuk potrebne za rude.</v>
      </c>
      <c r="M177" s="28"/>
      <c r="N177" s="28"/>
      <c r="O177" s="28"/>
      <c r="P177" s="28"/>
      <c r="Q177" s="28"/>
      <c r="R177" s="28"/>
      <c r="S177" s="28"/>
      <c r="T177" s="28"/>
      <c r="U177" s="28"/>
      <c r="V177" s="28"/>
      <c r="W177" s="28"/>
      <c r="X177" s="28"/>
      <c r="Y177" s="28"/>
      <c r="Z177" s="28"/>
      <c r="AA177" s="28"/>
      <c r="AB177" s="28"/>
    </row>
    <row r="178">
      <c r="A178" s="21" t="s">
        <v>296</v>
      </c>
      <c r="B178" s="22" t="s">
        <v>297</v>
      </c>
      <c r="C178" s="23" t="str">
        <f>IFERROR(__xludf.DUMMYFUNCTION("GOOGLETRANSLATE(B178, ""en"", ""fr"")"),"Hatchet nécessaire pour couper l'arbre.")</f>
        <v>Hatchet nécessaire pour couper l'arbre.</v>
      </c>
      <c r="D178" s="23" t="str">
        <f>IFERROR(__xludf.DUMMYFUNCTION("GOOGLETRANSLATE(B178, ""en"", ""es"")"),"Hatchet necesaria para cortar el árbol.")</f>
        <v>Hatchet necesaria para cortar el árbol.</v>
      </c>
      <c r="E178" s="23" t="str">
        <f>IFERROR(__xludf.DUMMYFUNCTION("GOOGLETRANSLATE(B178, ""en"", ""ru"")"),"Топор нужно рубить дерево.")</f>
        <v>Топор нужно рубить дерево.</v>
      </c>
      <c r="F178" s="23" t="str">
        <f>IFERROR(__xludf.DUMMYFUNCTION("GOOGLETRANSLATE(B178, ""en"", ""tr"")"),"Balta ağacı kesmek gerekiyordu.")</f>
        <v>Balta ağacı kesmek gerekiyordu.</v>
      </c>
      <c r="G178" s="23" t="str">
        <f>IFERROR(__xludf.DUMMYFUNCTION("GOOGLETRANSLATE(B178, ""en"", ""pt"")"),"Hatchet necessária para cortar a árvore.")</f>
        <v>Hatchet necessária para cortar a árvore.</v>
      </c>
      <c r="H178" s="24" t="str">
        <f>IFERROR(__xludf.DUMMYFUNCTION("GOOGLETRANSLATE(B178, ""en"", ""de"")"),"Hatchet benötigt Baum zu fällen.")</f>
        <v>Hatchet benötigt Baum zu fällen.</v>
      </c>
      <c r="I178" s="23" t="str">
        <f>IFERROR(__xludf.DUMMYFUNCTION("GOOGLETRANSLATE(B178, ""en"", ""pl"")"),"Hatchet musiał porąbać drzewo.")</f>
        <v>Hatchet musiał porąbać drzewo.</v>
      </c>
      <c r="J178" s="25" t="str">
        <f>IFERROR(__xludf.DUMMYFUNCTION("GOOGLETRANSLATE(B178, ""en"", ""zh"")"),"斧头需要砍的树。")</f>
        <v>斧头需要砍的树。</v>
      </c>
      <c r="K178" s="25" t="str">
        <f>IFERROR(__xludf.DUMMYFUNCTION("GOOGLETRANSLATE(B178, ""en"", ""vi"")"),"Hatchet cần thiết để chặt cây.")</f>
        <v>Hatchet cần thiết để chặt cây.</v>
      </c>
      <c r="L178" s="26" t="str">
        <f>IFERROR(__xludf.DUMMYFUNCTION("GOOGLETRANSLATE(B178, ""en"", ""hr"")"),"Hatchet potrebno usitniti drvo.")</f>
        <v>Hatchet potrebno usitniti drvo.</v>
      </c>
      <c r="M178" s="28"/>
      <c r="N178" s="28"/>
      <c r="O178" s="28"/>
      <c r="P178" s="28"/>
      <c r="Q178" s="28"/>
      <c r="R178" s="28"/>
      <c r="S178" s="28"/>
      <c r="T178" s="28"/>
      <c r="U178" s="28"/>
      <c r="V178" s="28"/>
      <c r="W178" s="28"/>
      <c r="X178" s="28"/>
      <c r="Y178" s="28"/>
      <c r="Z178" s="28"/>
      <c r="AA178" s="28"/>
      <c r="AB178" s="28"/>
    </row>
    <row r="179">
      <c r="A179" s="21" t="s">
        <v>298</v>
      </c>
      <c r="B179" s="22" t="s">
        <v>298</v>
      </c>
      <c r="C179" s="23" t="str">
        <f>IFERROR(__xludf.DUMMYFUNCTION("GOOGLETRANSLATE(B179, ""en"", ""fr"")"),"Base")</f>
        <v>Base</v>
      </c>
      <c r="D179" s="23" t="str">
        <f>IFERROR(__xludf.DUMMYFUNCTION("GOOGLETRANSLATE(B179, ""en"", ""es"")"),"Base")</f>
        <v>Base</v>
      </c>
      <c r="E179" s="23" t="str">
        <f>IFERROR(__xludf.DUMMYFUNCTION("GOOGLETRANSLATE(B179, ""en"", ""ru"")"),"База")</f>
        <v>База</v>
      </c>
      <c r="F179" s="23" t="str">
        <f>IFERROR(__xludf.DUMMYFUNCTION("GOOGLETRANSLATE(B179, ""en"", ""tr"")"),"baz")</f>
        <v>baz</v>
      </c>
      <c r="G179" s="23" t="str">
        <f>IFERROR(__xludf.DUMMYFUNCTION("GOOGLETRANSLATE(B179, ""en"", ""pt"")"),"Base")</f>
        <v>Base</v>
      </c>
      <c r="H179" s="24" t="str">
        <f>IFERROR(__xludf.DUMMYFUNCTION("GOOGLETRANSLATE(B179, ""en"", ""de"")"),"Base")</f>
        <v>Base</v>
      </c>
      <c r="I179" s="23" t="str">
        <f>IFERROR(__xludf.DUMMYFUNCTION("GOOGLETRANSLATE(B179, ""en"", ""pl"")"),"Baza")</f>
        <v>Baza</v>
      </c>
      <c r="J179" s="25" t="str">
        <f>IFERROR(__xludf.DUMMYFUNCTION("GOOGLETRANSLATE(B179, ""en"", ""zh"")"),"根据")</f>
        <v>根据</v>
      </c>
      <c r="K179" s="25" t="str">
        <f>IFERROR(__xludf.DUMMYFUNCTION("GOOGLETRANSLATE(B179, ""en"", ""vi"")"),"Căn cứ")</f>
        <v>Căn cứ</v>
      </c>
      <c r="L179" s="26" t="str">
        <f>IFERROR(__xludf.DUMMYFUNCTION("GOOGLETRANSLATE(B179, ""en"", ""hr"")"),"Baza")</f>
        <v>Baza</v>
      </c>
      <c r="M179" s="28"/>
      <c r="N179" s="28"/>
      <c r="O179" s="28"/>
      <c r="P179" s="28"/>
      <c r="Q179" s="28"/>
      <c r="R179" s="28"/>
      <c r="S179" s="28"/>
      <c r="T179" s="28"/>
      <c r="U179" s="28"/>
      <c r="V179" s="28"/>
      <c r="W179" s="28"/>
      <c r="X179" s="28"/>
      <c r="Y179" s="28"/>
      <c r="Z179" s="28"/>
      <c r="AA179" s="28"/>
      <c r="AB179" s="28"/>
    </row>
    <row r="180">
      <c r="A180" s="21" t="s">
        <v>299</v>
      </c>
      <c r="B180" s="22" t="s">
        <v>299</v>
      </c>
      <c r="C180" s="23" t="str">
        <f>IFERROR(__xludf.DUMMYFUNCTION("GOOGLETRANSLATE(B180, ""en"", ""fr"")"),"Enclume")</f>
        <v>Enclume</v>
      </c>
      <c r="D180" s="23" t="str">
        <f>IFERROR(__xludf.DUMMYFUNCTION("GOOGLETRANSLATE(B180, ""en"", ""es"")"),"Yunque")</f>
        <v>Yunque</v>
      </c>
      <c r="E180" s="23" t="str">
        <f>IFERROR(__xludf.DUMMYFUNCTION("GOOGLETRANSLATE(B180, ""en"", ""ru"")"),"наковальня")</f>
        <v>наковальня</v>
      </c>
      <c r="F180" s="23" t="str">
        <f>IFERROR(__xludf.DUMMYFUNCTION("GOOGLETRANSLATE(B180, ""en"", ""tr"")"),"Örs")</f>
        <v>Örs</v>
      </c>
      <c r="G180" s="23" t="str">
        <f>IFERROR(__xludf.DUMMYFUNCTION("GOOGLETRANSLATE(B180, ""en"", ""pt"")"),"Bigorna")</f>
        <v>Bigorna</v>
      </c>
      <c r="H180" s="24" t="str">
        <f>IFERROR(__xludf.DUMMYFUNCTION("GOOGLETRANSLATE(B180, ""en"", ""de"")"),"Amboss")</f>
        <v>Amboss</v>
      </c>
      <c r="I180" s="23" t="str">
        <f>IFERROR(__xludf.DUMMYFUNCTION("GOOGLETRANSLATE(B180, ""en"", ""pl"")"),"Kowadło")</f>
        <v>Kowadło</v>
      </c>
      <c r="J180" s="25" t="str">
        <f>IFERROR(__xludf.DUMMYFUNCTION("GOOGLETRANSLATE(B180, ""en"", ""zh"")"),"砧")</f>
        <v>砧</v>
      </c>
      <c r="K180" s="25" t="str">
        <f>IFERROR(__xludf.DUMMYFUNCTION("GOOGLETRANSLATE(B180, ""en"", ""vi"")"),"cái de")</f>
        <v>cái de</v>
      </c>
      <c r="L180" s="26" t="str">
        <f>IFERROR(__xludf.DUMMYFUNCTION("GOOGLETRANSLATE(B180, ""en"", ""hr"")"),"Nakovanj")</f>
        <v>Nakovanj</v>
      </c>
      <c r="M180" s="28"/>
      <c r="N180" s="28"/>
      <c r="O180" s="28"/>
      <c r="P180" s="28"/>
      <c r="Q180" s="28"/>
      <c r="R180" s="28"/>
      <c r="S180" s="28"/>
      <c r="T180" s="28"/>
      <c r="U180" s="28"/>
      <c r="V180" s="28"/>
      <c r="W180" s="28"/>
      <c r="X180" s="28"/>
      <c r="Y180" s="28"/>
      <c r="Z180" s="28"/>
      <c r="AA180" s="28"/>
      <c r="AB180" s="28"/>
    </row>
    <row r="181">
      <c r="A181" s="21" t="s">
        <v>300</v>
      </c>
      <c r="B181" s="22" t="s">
        <v>300</v>
      </c>
      <c r="C181" s="23" t="str">
        <f>IFERROR(__xludf.DUMMYFUNCTION("GOOGLETRANSLATE(B181, ""en"", ""fr"")"),"fourneau")</f>
        <v>fourneau</v>
      </c>
      <c r="D181" s="23" t="str">
        <f>IFERROR(__xludf.DUMMYFUNCTION("GOOGLETRANSLATE(B181, ""en"", ""es"")"),"Horno")</f>
        <v>Horno</v>
      </c>
      <c r="E181" s="23" t="str">
        <f>IFERROR(__xludf.DUMMYFUNCTION("GOOGLETRANSLATE(B181, ""en"", ""ru"")"),"печь")</f>
        <v>печь</v>
      </c>
      <c r="F181" s="23" t="str">
        <f>IFERROR(__xludf.DUMMYFUNCTION("GOOGLETRANSLATE(B181, ""en"", ""tr"")"),"Fırın")</f>
        <v>Fırın</v>
      </c>
      <c r="G181" s="23" t="str">
        <f>IFERROR(__xludf.DUMMYFUNCTION("GOOGLETRANSLATE(B181, ""en"", ""pt"")"),"Forno")</f>
        <v>Forno</v>
      </c>
      <c r="H181" s="24" t="str">
        <f>IFERROR(__xludf.DUMMYFUNCTION("GOOGLETRANSLATE(B181, ""en"", ""de"")"),"Ofen")</f>
        <v>Ofen</v>
      </c>
      <c r="I181" s="23" t="str">
        <f>IFERROR(__xludf.DUMMYFUNCTION("GOOGLETRANSLATE(B181, ""en"", ""pl"")"),"Piec")</f>
        <v>Piec</v>
      </c>
      <c r="J181" s="25" t="str">
        <f>IFERROR(__xludf.DUMMYFUNCTION("GOOGLETRANSLATE(B181, ""en"", ""zh"")"),"炉")</f>
        <v>炉</v>
      </c>
      <c r="K181" s="25" t="str">
        <f>IFERROR(__xludf.DUMMYFUNCTION("GOOGLETRANSLATE(B181, ""en"", ""vi"")"),"Lò lửa")</f>
        <v>Lò lửa</v>
      </c>
      <c r="L181" s="26" t="str">
        <f>IFERROR(__xludf.DUMMYFUNCTION("GOOGLETRANSLATE(B181, ""en"", ""hr"")"),"Peć")</f>
        <v>Peć</v>
      </c>
      <c r="M181" s="28"/>
      <c r="N181" s="28"/>
      <c r="O181" s="28"/>
      <c r="P181" s="28"/>
      <c r="Q181" s="28"/>
      <c r="R181" s="28"/>
      <c r="S181" s="28"/>
      <c r="T181" s="28"/>
      <c r="U181" s="28"/>
      <c r="V181" s="28"/>
      <c r="W181" s="28"/>
      <c r="X181" s="28"/>
      <c r="Y181" s="28"/>
      <c r="Z181" s="28"/>
      <c r="AA181" s="28"/>
      <c r="AB181" s="28"/>
    </row>
    <row r="182">
      <c r="A182" s="21" t="s">
        <v>301</v>
      </c>
      <c r="B182" s="22" t="s">
        <v>301</v>
      </c>
      <c r="C182" s="23" t="str">
        <f>IFERROR(__xludf.DUMMYFUNCTION("GOOGLETRANSLATE(B182, ""en"", ""fr"")"),"Laboratoire")</f>
        <v>Laboratoire</v>
      </c>
      <c r="D182" s="23" t="str">
        <f>IFERROR(__xludf.DUMMYFUNCTION("GOOGLETRANSLATE(B182, ""en"", ""es"")"),"Laboratorio")</f>
        <v>Laboratorio</v>
      </c>
      <c r="E182" s="23" t="str">
        <f>IFERROR(__xludf.DUMMYFUNCTION("GOOGLETRANSLATE(B182, ""en"", ""ru"")"),"лаборатория")</f>
        <v>лаборатория</v>
      </c>
      <c r="F182" s="23" t="str">
        <f>IFERROR(__xludf.DUMMYFUNCTION("GOOGLETRANSLATE(B182, ""en"", ""tr"")"),"laboratuvar")</f>
        <v>laboratuvar</v>
      </c>
      <c r="G182" s="23" t="str">
        <f>IFERROR(__xludf.DUMMYFUNCTION("GOOGLETRANSLATE(B182, ""en"", ""pt"")"),"Laboratório")</f>
        <v>Laboratório</v>
      </c>
      <c r="H182" s="24" t="str">
        <f>IFERROR(__xludf.DUMMYFUNCTION("GOOGLETRANSLATE(B182, ""en"", ""de"")"),"Labor")</f>
        <v>Labor</v>
      </c>
      <c r="I182" s="23" t="str">
        <f>IFERROR(__xludf.DUMMYFUNCTION("GOOGLETRANSLATE(B182, ""en"", ""pl"")"),"Laboratorium")</f>
        <v>Laboratorium</v>
      </c>
      <c r="J182" s="25" t="str">
        <f>IFERROR(__xludf.DUMMYFUNCTION("GOOGLETRANSLATE(B182, ""en"", ""zh"")"),"实验室")</f>
        <v>实验室</v>
      </c>
      <c r="K182" s="25" t="str">
        <f>IFERROR(__xludf.DUMMYFUNCTION("GOOGLETRANSLATE(B182, ""en"", ""vi"")"),"phòng thí nghiệm")</f>
        <v>phòng thí nghiệm</v>
      </c>
      <c r="L182" s="26" t="str">
        <f>IFERROR(__xludf.DUMMYFUNCTION("GOOGLETRANSLATE(B182, ""en"", ""hr"")"),"Laboratorija")</f>
        <v>Laboratorija</v>
      </c>
      <c r="M182" s="28"/>
      <c r="N182" s="28"/>
      <c r="O182" s="28"/>
      <c r="P182" s="28"/>
      <c r="Q182" s="28"/>
      <c r="R182" s="28"/>
      <c r="S182" s="28"/>
      <c r="T182" s="28"/>
      <c r="U182" s="28"/>
      <c r="V182" s="28"/>
      <c r="W182" s="28"/>
      <c r="X182" s="28"/>
      <c r="Y182" s="28"/>
      <c r="Z182" s="28"/>
      <c r="AA182" s="28"/>
      <c r="AB182" s="28"/>
    </row>
    <row r="183">
      <c r="A183" s="21" t="s">
        <v>302</v>
      </c>
      <c r="B183" s="22" t="s">
        <v>302</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303</v>
      </c>
      <c r="B184" s="22" t="s">
        <v>304</v>
      </c>
      <c r="C184" s="23" t="str">
        <f>IFERROR(__xludf.DUMMYFUNCTION("GOOGLETRANSLATE(B184, ""en"", ""fr"")"),"Votre inventaire est plein.")</f>
        <v>Votre inventaire est plein.</v>
      </c>
      <c r="D184" s="23" t="str">
        <f>IFERROR(__xludf.DUMMYFUNCTION("GOOGLETRANSLATE(B184, ""en"", ""es"")"),"Tu inventario está lleno.")</f>
        <v>Tu inventario está lleno.</v>
      </c>
      <c r="E184" s="23" t="str">
        <f>IFERROR(__xludf.DUMMYFUNCTION("GOOGLETRANSLATE(B184, ""en"", ""ru"")"),"Ваш инвентарь полон.")</f>
        <v>Ваш инвентарь полон.</v>
      </c>
      <c r="F184" s="23" t="str">
        <f>IFERROR(__xludf.DUMMYFUNCTION("GOOGLETRANSLATE(B184, ""en"", ""tr"")"),"Envanterin dolu.")</f>
        <v>Envanterin dolu.</v>
      </c>
      <c r="G184" s="23" t="str">
        <f>IFERROR(__xludf.DUMMYFUNCTION("GOOGLETRANSLATE(B184, ""en"", ""pt"")"),"Seu inventário está cheio.")</f>
        <v>Seu inventário está cheio.</v>
      </c>
      <c r="H184" s="24" t="str">
        <f>IFERROR(__xludf.DUMMYFUNCTION("GOOGLETRANSLATE(B184, ""en"", ""de"")"),"Dein Inventar ist voll.")</f>
        <v>Dein Inventar ist voll.</v>
      </c>
      <c r="I184" s="23" t="str">
        <f>IFERROR(__xludf.DUMMYFUNCTION("GOOGLETRANSLATE(B184, ""en"", ""pl"")"),"Twój inwentarz jest pełny.")</f>
        <v>Twój inwentarz jest pełny.</v>
      </c>
      <c r="J184" s="25" t="str">
        <f>IFERROR(__xludf.DUMMYFUNCTION("GOOGLETRANSLATE(B184, ""en"", ""zh"")"),"你的库存已满。")</f>
        <v>你的库存已满。</v>
      </c>
      <c r="K184" s="25" t="str">
        <f>IFERROR(__xludf.DUMMYFUNCTION("GOOGLETRANSLATE(B184, ""en"", ""vi"")"),"hàng tồn kho của bạn đã đầy.")</f>
        <v>hàng tồn kho của bạn đã đầy.</v>
      </c>
      <c r="L184" s="26" t="str">
        <f>IFERROR(__xludf.DUMMYFUNCTION("GOOGLETRANSLATE(B184, ""en"", ""hr"")"),"Vaš popis je pun.")</f>
        <v>Vaš popis je pun.</v>
      </c>
      <c r="M184" s="28"/>
      <c r="N184" s="28"/>
      <c r="O184" s="28"/>
      <c r="P184" s="28"/>
      <c r="Q184" s="28"/>
      <c r="R184" s="28"/>
      <c r="S184" s="28"/>
      <c r="T184" s="28"/>
      <c r="U184" s="28"/>
      <c r="V184" s="28"/>
      <c r="W184" s="28"/>
      <c r="X184" s="28"/>
      <c r="Y184" s="28"/>
      <c r="Z184" s="28"/>
      <c r="AA184" s="28"/>
      <c r="AB184" s="28"/>
    </row>
    <row r="185">
      <c r="A185" s="21" t="s">
        <v>305</v>
      </c>
      <c r="B185" s="22" t="s">
        <v>306</v>
      </c>
      <c r="C185" s="23" t="str">
        <f>IFERROR(__xludf.DUMMYFUNCTION("GOOGLETRANSLATE(B185, ""en"", ""fr"")"),"Vous ne pouvez pas laisser tomber cet article ici.
Il y a quelque chose de la manière.")</f>
        <v>Vous ne pouvez pas laisser tomber cet article ici.
Il y a quelque chose de la manière.</v>
      </c>
      <c r="D185" s="23" t="str">
        <f>IFERROR(__xludf.DUMMYFUNCTION("GOOGLETRANSLATE(B185, ""en"", ""es"")"),"No se puede dejar que el tema aquí.
Hay algo en el camino.")</f>
        <v>No se puede dejar que el tema aquí.
Hay algo en el camino.</v>
      </c>
      <c r="E185" s="23" t="str">
        <f>IFERROR(__xludf.DUMMYFUNCTION("GOOGLETRANSLATE(B185, ""en"", ""ru"")"),"Вы не можете оставить этот пункт здесь.
Существует что-то в пути.")</f>
        <v>Вы не можете оставить этот пункт здесь.
Существует что-то в пути.</v>
      </c>
      <c r="F185" s="23" t="str">
        <f>IFERROR(__xludf.DUMMYFUNCTION("GOOGLETRANSLATE(B185, ""en"", ""tr"")"),"Burada o maddenin bırakamazsınız.
şekilde bir şey var.")</f>
        <v>Burada o maddenin bırakamazsınız.
şekilde bir şey var.</v>
      </c>
      <c r="G185" s="23" t="str">
        <f>IFERROR(__xludf.DUMMYFUNCTION("GOOGLETRANSLATE(B185, ""en"", ""pt"")"),"Você não pode soltar esse item aqui.
Há algo no caminho.")</f>
        <v>Você não pode soltar esse item aqui.
Há algo no caminho.</v>
      </c>
      <c r="H185" s="24" t="str">
        <f>IFERROR(__xludf.DUMMYFUNCTION("GOOGLETRANSLATE(B185, ""en"", ""de"")"),"Sie können hier nicht das Element fallen.
Es gibt etwas in der Art und Weise.")</f>
        <v>Sie können hier nicht das Element fallen.
Es gibt etwas in der Art und Weise.</v>
      </c>
      <c r="I185" s="23" t="str">
        <f>IFERROR(__xludf.DUMMYFUNCTION("GOOGLETRANSLATE(B185, ""en"", ""pl"")"),"Nie można upuścić ten element tutaj.
Jest coś na drodze.")</f>
        <v>Nie można upuścić ten element tutaj.
Jest coś na drodze.</v>
      </c>
      <c r="J185" s="25" t="str">
        <f>IFERROR(__xludf.DUMMYFUNCTION("GOOGLETRANSLATE(B185, ""en"", ""zh"")"),"这里你不能丢弃物品。
也有一些是在路上。")</f>
        <v>这里你不能丢弃物品。
也有一些是在路上。</v>
      </c>
      <c r="K185" s="25" t="str">
        <f>IFERROR(__xludf.DUMMYFUNCTION("GOOGLETRANSLATE(B185, ""en"", ""vi"")"),"Bạn không thể thả mục đó ở đây.
Có gì đó trong cách.")</f>
        <v>Bạn không thể thả mục đó ở đây.
Có gì đó trong cách.</v>
      </c>
      <c r="L185" s="26" t="str">
        <f>IFERROR(__xludf.DUMMYFUNCTION("GOOGLETRANSLATE(B185, ""en"", ""hr"")"),"Ne možete ispustiti tu stavku ovdje.
Ima nešto u načinu.")</f>
        <v>Ne možete ispustiti tu stavku ovdje.
Ima nešto u načinu.</v>
      </c>
      <c r="M185" s="28"/>
      <c r="N185" s="28"/>
      <c r="O185" s="28"/>
      <c r="P185" s="28"/>
      <c r="Q185" s="28"/>
      <c r="R185" s="28"/>
      <c r="S185" s="28"/>
      <c r="T185" s="28"/>
      <c r="U185" s="28"/>
      <c r="V185" s="28"/>
      <c r="W185" s="28"/>
      <c r="X185" s="28"/>
      <c r="Y185" s="28"/>
      <c r="Z185" s="28"/>
      <c r="AA185" s="28"/>
      <c r="AB185" s="28"/>
    </row>
    <row r="186">
      <c r="A186" s="21"/>
      <c r="B186" s="22"/>
      <c r="C186" s="23"/>
      <c r="D186" s="23"/>
      <c r="E186" s="30"/>
      <c r="F186" s="23"/>
      <c r="G186" s="30"/>
      <c r="H186" s="31"/>
      <c r="I186" s="30"/>
      <c r="J186" s="32"/>
      <c r="K186" s="32"/>
      <c r="L186" s="33"/>
      <c r="M186" s="28"/>
      <c r="N186" s="28"/>
      <c r="O186" s="28"/>
      <c r="P186" s="28"/>
      <c r="Q186" s="28"/>
      <c r="R186" s="28"/>
      <c r="S186" s="28"/>
      <c r="T186" s="28"/>
      <c r="U186" s="28"/>
      <c r="V186" s="28"/>
      <c r="W186" s="28"/>
      <c r="X186" s="28"/>
      <c r="Y186" s="28"/>
      <c r="Z186" s="28"/>
      <c r="AA186" s="28"/>
      <c r="AB186" s="28"/>
    </row>
    <row r="187">
      <c r="A187" s="34"/>
      <c r="B187" s="35"/>
      <c r="C187" s="30"/>
      <c r="D187" s="30"/>
      <c r="E187" s="30"/>
      <c r="F187" s="30"/>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""fr"")"),"Minerai de fer")</f>
        <v>Minerai de fer</v>
      </c>
      <c r="D33" s="23" t="str">
        <f>IFERROR(__xludf.DUMMYFUNCTION("GOOGLETRANSLATE(B33, ""en"", ""es"")"),"Mineral de hierro")</f>
        <v>Mineral de hierro</v>
      </c>
      <c r="E33" s="23" t="str">
        <f>IFERROR(__xludf.DUMMYFUNCTION("GOOGLETRANSLATE(B33, ""en"", ""ru"")"),"Железная руда")</f>
        <v>Железная руда</v>
      </c>
      <c r="F33" s="23" t="str">
        <f>IFERROR(__xludf.DUMMYFUNCTION("GOOGLETRANSLATE(B33, ""en"", ""tr"")"),"Demir cevheri")</f>
        <v>Demir cevheri</v>
      </c>
      <c r="G33" s="23" t="str">
        <f>IFERROR(__xludf.DUMMYFUNCTION("GOOGLETRANSLATE(B33, ""en"", ""pt"")"),"Minério de ferro")</f>
        <v>Minério de ferro</v>
      </c>
      <c r="H33" s="24" t="str">
        <f>IFERROR(__xludf.DUMMYFUNCTION("GOOGLETRANSLATE(B33, ""en"", ""de"")"),"Eisenerz")</f>
        <v>Eisenerz</v>
      </c>
      <c r="I33" s="23" t="str">
        <f>IFERROR(__xludf.DUMMYFUNCTION("GOOGLETRANSLATE(B33, ""en"", ""pl"")"),"Ruda żelaza")</f>
        <v>Ruda żelaza</v>
      </c>
      <c r="J33" s="25" t="str">
        <f>IFERROR(__xludf.DUMMYFUNCTION("GOOGLETRANSLATE(B33, ""en"", ""zh"")"),"铁矿")</f>
        <v>铁矿</v>
      </c>
      <c r="K33" s="25" t="str">
        <f>IFERROR(__xludf.DUMMYFUNCTION("GOOGLETRANSLATE(B33, ""en"", ""vi"")"),"Quặng sắt")</f>
        <v>Quặng sắt</v>
      </c>
      <c r="L33" s="26" t="str">
        <f>IFERROR(__xludf.DUMMYFUNCTION("GOOGLETRANSLATE(B33, ""en"", ""hr"")"),"željezne rude")</f>
        <v>željezne rude</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une barre de fer à un four.")</f>
        <v>Peut être conçu dans une barre de fer à un four.</v>
      </c>
      <c r="D34" s="23" t="str">
        <f>IFERROR(__xludf.DUMMYFUNCTION("GOOGLETRANSLATE(B34, ""en"", ""es"")"),"Se pueden fabricar en una barra de hierro en un horno.")</f>
        <v>Se pueden fabricar en una barra de hierro en un horno.</v>
      </c>
      <c r="E34" s="23" t="str">
        <f>IFERROR(__xludf.DUMMYFUNCTION("GOOGLETRANSLATE(B34, ""en"", ""ru"")"),"Может быть сделан в железный прут в печи.")</f>
        <v>Может быть сделан в железный прут в печи.</v>
      </c>
      <c r="F34" s="23" t="str">
        <f>IFERROR(__xludf.DUMMYFUNCTION("GOOGLETRANSLATE(B34, ""en"", ""tr"")"),"Bir fırında bir demir çubuk içine hazırlanmış olabilir.")</f>
        <v>Bir fırında bir demir çubuk içine hazırlanmış olabilir.</v>
      </c>
      <c r="G34" s="23" t="str">
        <f>IFERROR(__xludf.DUMMYFUNCTION("GOOGLETRANSLATE(B34, ""en"", ""pt"")"),"Pode ser trabalhada em uma barra de ferro em um forno.")</f>
        <v>Pode ser trabalhada em uma barra de ferro em um forno.</v>
      </c>
      <c r="H34" s="24" t="str">
        <f>IFERROR(__xludf.DUMMYFUNCTION("GOOGLETRANSLATE(B34, ""en"", ""de"")"),"Kann in einem Ofen in eine Eisenstange gefertigt werden.")</f>
        <v>Kann in einem Ofen in eine Eisenstange gefertigt werden.</v>
      </c>
      <c r="I34" s="23" t="str">
        <f>IFERROR(__xludf.DUMMYFUNCTION("GOOGLETRANSLATE(B34, ""en"", ""pl"")"),"Mogą być wykonane w żelaznym prętem w piecu.")</f>
        <v>Mogą być wykonane w żelaznym prętem w piecu.</v>
      </c>
      <c r="J34" s="25" t="str">
        <f>IFERROR(__xludf.DUMMYFUNCTION("GOOGLETRANSLATE(B34, ""en"", ""zh"")"),"可以制作成一炉铁棍。")</f>
        <v>可以制作成一炉铁棍。</v>
      </c>
      <c r="K34" s="25" t="str">
        <f>IFERROR(__xludf.DUMMYFUNCTION("GOOGLETRANSLATE(B34, ""en"", ""vi"")"),"Có thể được chế tác thành một thanh sắt tại một lò.")</f>
        <v>Có thể được chế tác thành một thanh sắt tại một lò.</v>
      </c>
      <c r="L34" s="26" t="str">
        <f>IFERROR(__xludf.DUMMYFUNCTION("GOOGLETRANSLATE(B34, ""en"", ""hr"")"),"Mogu biti izrađeni u željeznom šipkom na peći.")</f>
        <v>Mogu biti izrađeni u željeznom šipkom na peći.</v>
      </c>
      <c r="M34" s="28"/>
      <c r="N34" s="28"/>
      <c r="O34" s="28"/>
      <c r="P34" s="28"/>
      <c r="Q34" s="28"/>
      <c r="R34" s="28"/>
      <c r="S34" s="28"/>
      <c r="T34" s="28"/>
      <c r="U34" s="28"/>
      <c r="V34" s="28"/>
      <c r="W34" s="28"/>
      <c r="X34" s="28"/>
      <c r="Y34" s="28"/>
      <c r="Z34" s="28"/>
      <c r="AA34" s="28"/>
      <c r="AB34" s="28"/>
    </row>
    <row r="35">
      <c r="A35" s="40" t="s">
        <v>359</v>
      </c>
      <c r="B35" s="22" t="s">
        <v>360</v>
      </c>
      <c r="C35" s="23" t="str">
        <f>IFERROR(__xludf.DUMMYFUNCTION("GOOGLETRANSLATE(B35, ""en"", ""fr"")"),"Barre de fer")</f>
        <v>Barre de fer</v>
      </c>
      <c r="D35" s="23" t="str">
        <f>IFERROR(__xludf.DUMMYFUNCTION("GOOGLETRANSLATE(B35, ""en"", ""es"")"),"Barra de acero")</f>
        <v>Barra de acero</v>
      </c>
      <c r="E35" s="23" t="str">
        <f>IFERROR(__xludf.DUMMYFUNCTION("GOOGLETRANSLATE(B35, ""en"", ""ru"")"),"Железный слиток")</f>
        <v>Железный слиток</v>
      </c>
      <c r="F35" s="23" t="str">
        <f>IFERROR(__xludf.DUMMYFUNCTION("GOOGLETRANSLATE(B35, ""en"", ""tr"")"),"Demir çubuk")</f>
        <v>Demir çubuk</v>
      </c>
      <c r="G35" s="23" t="str">
        <f>IFERROR(__xludf.DUMMYFUNCTION("GOOGLETRANSLATE(B35, ""en"", ""pt"")"),"Barra de ferro")</f>
        <v>Barra de ferro</v>
      </c>
      <c r="H35" s="24" t="str">
        <f>IFERROR(__xludf.DUMMYFUNCTION("GOOGLETRANSLATE(B35, ""en"", ""de"")"),"Eisenstange")</f>
        <v>Eisenstange</v>
      </c>
      <c r="I35" s="23" t="str">
        <f>IFERROR(__xludf.DUMMYFUNCTION("GOOGLETRANSLATE(B35, ""en"", ""pl"")"),"pręt")</f>
        <v>pręt</v>
      </c>
      <c r="J35" s="25" t="str">
        <f>IFERROR(__xludf.DUMMYFUNCTION("GOOGLETRANSLATE(B35, ""en"", ""zh"")"),"铁棒")</f>
        <v>铁棒</v>
      </c>
      <c r="K35" s="25" t="str">
        <f>IFERROR(__xludf.DUMMYFUNCTION("GOOGLETRANSLATE(B35, ""en"", ""vi"")"),"Thanh sắt")</f>
        <v>Thanh sắt</v>
      </c>
      <c r="L35" s="26" t="str">
        <f>IFERROR(__xludf.DUMMYFUNCTION("GOOGLETRANSLATE(B35, ""en"", ""hr"")"),"Željezo se ovdje")</f>
        <v>Željezo se ovdje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l'équipement de fer.")</f>
        <v>Peut être conçu dans l'équipement de fer.</v>
      </c>
      <c r="D36" s="23" t="str">
        <f>IFERROR(__xludf.DUMMYFUNCTION("GOOGLETRANSLATE(B36, ""en"", ""es"")"),"Puede ser elaborado en el equipo de hierro.")</f>
        <v>Puede ser elaborado en el equipo de hierro.</v>
      </c>
      <c r="E36" s="23" t="str">
        <f>IFERROR(__xludf.DUMMYFUNCTION("GOOGLETRANSLATE(B36, ""en"", ""ru"")"),"Может быть сделано в железе оборудования.")</f>
        <v>Может быть сделано в железе оборудования.</v>
      </c>
      <c r="F36" s="23" t="str">
        <f>IFERROR(__xludf.DUMMYFUNCTION("GOOGLETRANSLATE(B36, ""en"", ""tr"")"),"demir ekipman içine hazırlanmış olabilir.")</f>
        <v>demir ekipman içine hazırlanmış olabilir.</v>
      </c>
      <c r="G36" s="23" t="str">
        <f>IFERROR(__xludf.DUMMYFUNCTION("GOOGLETRANSLATE(B36, ""en"", ""pt"")"),"Pode ser trabalhada em equipamentos de ferro.")</f>
        <v>Pode ser trabalhada em equipamentos de ferro.</v>
      </c>
      <c r="H36" s="24" t="str">
        <f>IFERROR(__xludf.DUMMYFUNCTION("GOOGLETRANSLATE(B36, ""en"", ""de"")"),"Kann in Eisen Ausrüstung gefertigt werden.")</f>
        <v>Kann in Eisen Ausrüstung gefertigt werden.</v>
      </c>
      <c r="I36" s="23" t="str">
        <f>IFERROR(__xludf.DUMMYFUNCTION("GOOGLETRANSLATE(B36, ""en"", ""pl"")"),"Może być wykonane do sprzętu żelaza.")</f>
        <v>Może być wykonane do sprzętu żelaza.</v>
      </c>
      <c r="J36" s="25" t="str">
        <f>IFERROR(__xludf.DUMMYFUNCTION("GOOGLETRANSLATE(B36, ""en"", ""zh"")"),"可制作成铁设备。")</f>
        <v>可制作成铁设备。</v>
      </c>
      <c r="K36" s="25" t="str">
        <f>IFERROR(__xludf.DUMMYFUNCTION("GOOGLETRANSLATE(B36, ""en"", ""vi"")"),"Có thể được chế tác vào thiết bị sắt.")</f>
        <v>Có thể được chế tác vào thiết bị sắt.</v>
      </c>
      <c r="L36" s="26" t="str">
        <f>IFERROR(__xludf.DUMMYFUNCTION("GOOGLETRANSLATE(B36, ""en"", ""hr"")"),"Mogu biti izrađeni u željeznom opreme.")</f>
        <v>Mogu biti izrađeni u željeznom opreme.</v>
      </c>
      <c r="M36" s="28"/>
      <c r="N36" s="28"/>
      <c r="O36" s="28"/>
      <c r="P36" s="28"/>
      <c r="Q36" s="28"/>
      <c r="R36" s="28"/>
      <c r="S36" s="28"/>
      <c r="T36" s="28"/>
      <c r="U36" s="28"/>
      <c r="V36" s="28"/>
      <c r="W36" s="28"/>
      <c r="X36" s="28"/>
      <c r="Y36" s="28"/>
      <c r="Z36" s="28"/>
      <c r="AA36" s="28"/>
      <c r="AB36" s="28"/>
    </row>
    <row r="37">
      <c r="A37" s="21" t="s">
        <v>363</v>
      </c>
      <c r="B37" s="22" t="s">
        <v>364</v>
      </c>
      <c r="C37" s="23" t="str">
        <f>IFERROR(__xludf.DUMMYFUNCTION("GOOGLETRANSLATE(B37, ""en"", ""fr"")"),"minerai Dungium")</f>
        <v>minerai Dungium</v>
      </c>
      <c r="D37" s="23" t="str">
        <f>IFERROR(__xludf.DUMMYFUNCTION("GOOGLETRANSLATE(B37, ""en"", ""es"")"),"mineral de Dungium")</f>
        <v>mineral de Dungium</v>
      </c>
      <c r="E37" s="23" t="str">
        <f>IFERROR(__xludf.DUMMYFUNCTION("GOOGLETRANSLATE(B37, ""en"", ""ru"")"),"Dungium руда")</f>
        <v>Dungium руда</v>
      </c>
      <c r="F37" s="23" t="str">
        <f>IFERROR(__xludf.DUMMYFUNCTION("GOOGLETRANSLATE(B37, ""en"", ""tr"")"),"Dungium cevher")</f>
        <v>Dungium cevher</v>
      </c>
      <c r="G37" s="23" t="str">
        <f>IFERROR(__xludf.DUMMYFUNCTION("GOOGLETRANSLATE(B37, ""en"", ""pt"")"),"minério de Dungium")</f>
        <v>minério de Dungium</v>
      </c>
      <c r="H37" s="24" t="str">
        <f>IFERROR(__xludf.DUMMYFUNCTION("GOOGLETRANSLATE(B37, ""en"", ""de"")"),"Dungium Erz")</f>
        <v>Dungium Erz</v>
      </c>
      <c r="I37" s="23" t="str">
        <f>IFERROR(__xludf.DUMMYFUNCTION("GOOGLETRANSLATE(B37, ""en"", ""pl"")"),"ruda Dungium")</f>
        <v>ruda Dungium</v>
      </c>
      <c r="J37" s="25" t="str">
        <f>IFERROR(__xludf.DUMMYFUNCTION("GOOGLETRANSLATE(B37, ""en"", ""zh"")"),"Dungium矿")</f>
        <v>Dungium矿</v>
      </c>
      <c r="K37" s="25" t="str">
        <f>IFERROR(__xludf.DUMMYFUNCTION("GOOGLETRANSLATE(B37, ""en"", ""vi"")"),"quặng Dungium")</f>
        <v>quặng Dungium</v>
      </c>
      <c r="L37" s="26" t="str">
        <f>IFERROR(__xludf.DUMMYFUNCTION("GOOGLETRANSLATE(B37, ""en"", ""hr"")"),"Dungium rude")</f>
        <v>Dungium rude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une barre de dungium à un four.")</f>
        <v>Peut être conçu dans une barre de dungium à un four.</v>
      </c>
      <c r="D38" s="23" t="str">
        <f>IFERROR(__xludf.DUMMYFUNCTION("GOOGLETRANSLATE(B38, ""en"", ""es"")"),"Puede ser elaborado en un bar dungium en un horno.")</f>
        <v>Puede ser elaborado en un bar dungium en un horno.</v>
      </c>
      <c r="E38" s="23" t="str">
        <f>IFERROR(__xludf.DUMMYFUNCTION("GOOGLETRANSLATE(B38, ""en"", ""ru"")"),"Может быть сделан в бар dungium в печи.")</f>
        <v>Может быть сделан в бар dungium в печи.</v>
      </c>
      <c r="F38" s="23" t="str">
        <f>IFERROR(__xludf.DUMMYFUNCTION("GOOGLETRANSLATE(B38, ""en"", ""tr"")"),"Bir fırın bir dungium çubuğuna hazırlanmış olabilir.")</f>
        <v>Bir fırın bir dungium çubuğuna hazırlanmış olabilir.</v>
      </c>
      <c r="G38" s="23" t="str">
        <f>IFERROR(__xludf.DUMMYFUNCTION("GOOGLETRANSLATE(B38, ""en"", ""pt"")"),"Pode ser trabalhada em um bar dungium em um forno.")</f>
        <v>Pode ser trabalhada em um bar dungium em um forno.</v>
      </c>
      <c r="H38" s="24" t="str">
        <f>IFERROR(__xludf.DUMMYFUNCTION("GOOGLETRANSLATE(B38, ""en"", ""de"")"),"Kann in einem Ofen in eine dungium bar gefertigt werden.")</f>
        <v>Kann in einem Ofen in eine dungium bar gefertigt werden.</v>
      </c>
      <c r="I38" s="23" t="str">
        <f>IFERROR(__xludf.DUMMYFUNCTION("GOOGLETRANSLATE(B38, ""en"", ""pl"")"),"Może być wykonane do baru dungium w piecu.")</f>
        <v>Może być wykonane do baru dungium w piecu.</v>
      </c>
      <c r="J38" s="25" t="str">
        <f>IFERROR(__xludf.DUMMYFUNCTION("GOOGLETRANSLATE(B38, ""en"", ""zh"")"),"可以制作成一炉dungium吧。")</f>
        <v>可以制作成一炉dungium吧。</v>
      </c>
      <c r="K38" s="25" t="str">
        <f>IFERROR(__xludf.DUMMYFUNCTION("GOOGLETRANSLATE(B38, ""en"", ""vi"")"),"Có thể được chế tác thành một thanh dungium tại một lò.")</f>
        <v>Có thể được chế tác thành một thanh dungium tại một lò.</v>
      </c>
      <c r="L38" s="26" t="str">
        <f>IFERROR(__xludf.DUMMYFUNCTION("GOOGLETRANSLATE(B38, ""en"", ""hr"")"),"Mogu biti izrađeni u bar dungium na peći.")</f>
        <v>Mogu biti izrađeni u bar dungium na peći.</v>
      </c>
      <c r="M38" s="28"/>
      <c r="N38" s="28"/>
      <c r="O38" s="28"/>
      <c r="P38" s="28"/>
      <c r="Q38" s="28"/>
      <c r="R38" s="28"/>
      <c r="S38" s="28"/>
      <c r="T38" s="28"/>
      <c r="U38" s="28"/>
      <c r="V38" s="28"/>
      <c r="W38" s="28"/>
      <c r="X38" s="28"/>
      <c r="Y38" s="28"/>
      <c r="Z38" s="28"/>
      <c r="AA38" s="28"/>
      <c r="AB38" s="28"/>
    </row>
    <row r="39">
      <c r="A39" s="41" t="s">
        <v>367</v>
      </c>
      <c r="B39" s="22" t="s">
        <v>368</v>
      </c>
      <c r="C39" s="23" t="str">
        <f>IFERROR(__xludf.DUMMYFUNCTION("GOOGLETRANSLATE(B39, ""en"", ""fr"")"),"bar Dungium")</f>
        <v>bar Dungium</v>
      </c>
      <c r="D39" s="23" t="str">
        <f>IFERROR(__xludf.DUMMYFUNCTION("GOOGLETRANSLATE(B39, ""en"", ""es"")"),"barra de Dungium")</f>
        <v>barra de Dungium</v>
      </c>
      <c r="E39" s="23" t="str">
        <f>IFERROR(__xludf.DUMMYFUNCTION("GOOGLETRANSLATE(B39, ""en"", ""ru"")"),"Dungium бар")</f>
        <v>Dungium бар</v>
      </c>
      <c r="F39" s="23" t="str">
        <f>IFERROR(__xludf.DUMMYFUNCTION("GOOGLETRANSLATE(B39, ""en"", ""tr"")"),"Dungium çubuğu")</f>
        <v>Dungium çubuğu</v>
      </c>
      <c r="G39" s="23" t="str">
        <f>IFERROR(__xludf.DUMMYFUNCTION("GOOGLETRANSLATE(B39, ""en"", ""pt"")"),"bar Dungium")</f>
        <v>bar Dungium</v>
      </c>
      <c r="H39" s="24" t="str">
        <f>IFERROR(__xludf.DUMMYFUNCTION("GOOGLETRANSLATE(B39, ""en"", ""de"")"),"Dungium bar")</f>
        <v>Dungium bar</v>
      </c>
      <c r="I39" s="23" t="str">
        <f>IFERROR(__xludf.DUMMYFUNCTION("GOOGLETRANSLATE(B39, ""en"", ""pl"")"),"bar Dungium")</f>
        <v>bar Dungium</v>
      </c>
      <c r="J39" s="25" t="str">
        <f>IFERROR(__xludf.DUMMYFUNCTION("GOOGLETRANSLATE(B39, ""en"", ""zh"")"),"Dungium酒吧")</f>
        <v>Dungium酒吧</v>
      </c>
      <c r="K39" s="25" t="str">
        <f>IFERROR(__xludf.DUMMYFUNCTION("GOOGLETRANSLATE(B39, ""en"", ""vi"")"),"thanh Dungium")</f>
        <v>thanh Dungium</v>
      </c>
      <c r="L39" s="26" t="str">
        <f>IFERROR(__xludf.DUMMYFUNCTION("GOOGLETRANSLATE(B39, ""en"", ""hr"")"),"Dungium bar")</f>
        <v>Dungium bar</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l'équipement dungium.")</f>
        <v>Peut être conçu dans l'équipement dungium.</v>
      </c>
      <c r="D40" s="23" t="str">
        <f>IFERROR(__xludf.DUMMYFUNCTION("GOOGLETRANSLATE(B40, ""en"", ""es"")"),"Puede ser elaborado en el equipo dungium.")</f>
        <v>Puede ser elaborado en el equipo dungium.</v>
      </c>
      <c r="E40" s="23" t="str">
        <f>IFERROR(__xludf.DUMMYFUNCTION("GOOGLETRANSLATE(B40, ""en"", ""ru"")"),"Может быть изготовлен в dungium оборудования.")</f>
        <v>Может быть изготовлен в dungium оборудования.</v>
      </c>
      <c r="F40" s="23" t="str">
        <f>IFERROR(__xludf.DUMMYFUNCTION("GOOGLETRANSLATE(B40, ""en"", ""tr"")"),"dungium ekipman içine hazırlanmış olabilir.")</f>
        <v>dungium ekipman içine hazırlanmış olabilir.</v>
      </c>
      <c r="G40" s="23" t="str">
        <f>IFERROR(__xludf.DUMMYFUNCTION("GOOGLETRANSLATE(B40, ""en"", ""pt"")"),"Pode ser trabalhada em equipamentos dungium.")</f>
        <v>Pode ser trabalhada em equipamentos dungium.</v>
      </c>
      <c r="H40" s="24" t="str">
        <f>IFERROR(__xludf.DUMMYFUNCTION("GOOGLETRANSLATE(B40, ""en"", ""de"")"),"Kann in dungium Geräte gefertigt werden.")</f>
        <v>Kann in dungium Geräte gefertigt werden.</v>
      </c>
      <c r="I40" s="23" t="str">
        <f>IFERROR(__xludf.DUMMYFUNCTION("GOOGLETRANSLATE(B40, ""en"", ""pl"")"),"Może być wykonane do sprzętu dungium.")</f>
        <v>Może być wykonane do sprzętu dungium.</v>
      </c>
      <c r="J40" s="25" t="str">
        <f>IFERROR(__xludf.DUMMYFUNCTION("GOOGLETRANSLATE(B40, ""en"", ""zh"")"),"可制作成dungium设备。")</f>
        <v>可制作成dungium设备。</v>
      </c>
      <c r="K40" s="25" t="str">
        <f>IFERROR(__xludf.DUMMYFUNCTION("GOOGLETRANSLATE(B40, ""en"", ""vi"")"),"Có thể được chế tác vào thiết bị dungium.")</f>
        <v>Có thể được chế tác vào thiết bị dungium.</v>
      </c>
      <c r="L40" s="26" t="str">
        <f>IFERROR(__xludf.DUMMYFUNCTION("GOOGLETRANSLATE(B40, ""en"", ""hr"")"),"Mogu biti izrađeni u dungium opreme.")</f>
        <v>Mogu biti izrađeni u dungium opreme.</v>
      </c>
      <c r="M40" s="28"/>
      <c r="N40" s="28"/>
      <c r="O40" s="28"/>
      <c r="P40" s="28"/>
      <c r="Q40" s="28"/>
      <c r="R40" s="28"/>
      <c r="S40" s="28"/>
      <c r="T40" s="28"/>
      <c r="U40" s="28"/>
      <c r="V40" s="28"/>
      <c r="W40" s="28"/>
      <c r="X40" s="28"/>
      <c r="Y40" s="28"/>
      <c r="Z40" s="28"/>
      <c r="AA40" s="28"/>
      <c r="AB40" s="28"/>
    </row>
    <row r="41">
      <c r="A41" s="40" t="s">
        <v>371</v>
      </c>
      <c r="B41" s="22" t="s">
        <v>372</v>
      </c>
      <c r="C41" s="23" t="str">
        <f>IFERROR(__xludf.DUMMYFUNCTION("GOOGLETRANSLATE(B41, ""en"", ""fr"")"),"minerai Noctis")</f>
        <v>minerai Noctis</v>
      </c>
      <c r="D41" s="23" t="str">
        <f>IFERROR(__xludf.DUMMYFUNCTION("GOOGLETRANSLATE(B41, ""en"", ""es"")"),"mineral de noctis")</f>
        <v>mineral de noctis</v>
      </c>
      <c r="E41" s="23" t="str">
        <f>IFERROR(__xludf.DUMMYFUNCTION("GOOGLETRANSLATE(B41, ""en"", ""ru"")"),"Ноктис руда")</f>
        <v>Ноктис руда</v>
      </c>
      <c r="F41" s="23" t="str">
        <f>IFERROR(__xludf.DUMMYFUNCTION("GOOGLETRANSLATE(B41, ""en"", ""tr"")"),"Noctis cevher")</f>
        <v>Noctis cevher</v>
      </c>
      <c r="G41" s="23" t="str">
        <f>IFERROR(__xludf.DUMMYFUNCTION("GOOGLETRANSLATE(B41, ""en"", ""pt"")"),"minério de Noctis")</f>
        <v>minério de Noctis</v>
      </c>
      <c r="H41" s="24" t="str">
        <f>IFERROR(__xludf.DUMMYFUNCTION("GOOGLETRANSLATE(B41, ""en"", ""de"")"),"Noctis Erz")</f>
        <v>Noctis Erz</v>
      </c>
      <c r="I41" s="23" t="str">
        <f>IFERROR(__xludf.DUMMYFUNCTION("GOOGLETRANSLATE(B41, ""en"", ""pl"")"),"ruda Noctis")</f>
        <v>ruda Noctis</v>
      </c>
      <c r="J41" s="25" t="str">
        <f>IFERROR(__xludf.DUMMYFUNCTION("GOOGLETRANSLATE(B41, ""en"", ""zh"")"),"Noctis矿")</f>
        <v>Noctis矿</v>
      </c>
      <c r="K41" s="25" t="str">
        <f>IFERROR(__xludf.DUMMYFUNCTION("GOOGLETRANSLATE(B41, ""en"", ""vi"")"),"quặng Noctis")</f>
        <v>quặng Noctis</v>
      </c>
      <c r="L41" s="26" t="str">
        <f>IFERROR(__xludf.DUMMYFUNCTION("GOOGLETRANSLATE(B41, ""en"", ""hr"")"),"Noctis rude")</f>
        <v>Noctis rude</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une barre de noctis à un four.")</f>
        <v>Peut être conçu dans une barre de noctis à un four.</v>
      </c>
      <c r="D42" s="23" t="str">
        <f>IFERROR(__xludf.DUMMYFUNCTION("GOOGLETRANSLATE(B42, ""en"", ""es"")"),"Puede ser elaborado en un bar noctis en un horno.")</f>
        <v>Puede ser elaborado en un bar noctis en un horno.</v>
      </c>
      <c r="E42" s="23" t="str">
        <f>IFERROR(__xludf.DUMMYFUNCTION("GOOGLETRANSLATE(B42, ""en"", ""ru"")"),"Может быть сделан в бар NOCTIS в печи.")</f>
        <v>Может быть сделан в бар NOCTIS в печи.</v>
      </c>
      <c r="F42" s="23" t="str">
        <f>IFERROR(__xludf.DUMMYFUNCTION("GOOGLETRANSLATE(B42, ""en"", ""tr"")"),"Bir fırın bir noctis çubuğuna hazırlanmış olabilir.")</f>
        <v>Bir fırın bir noctis çubuğuna hazırlanmış olabilir.</v>
      </c>
      <c r="G42" s="23" t="str">
        <f>IFERROR(__xludf.DUMMYFUNCTION("GOOGLETRANSLATE(B42, ""en"", ""pt"")"),"Pode ser trabalhada em um bar noctis em um forno.")</f>
        <v>Pode ser trabalhada em um bar noctis em um forno.</v>
      </c>
      <c r="H42" s="24" t="str">
        <f>IFERROR(__xludf.DUMMYFUNCTION("GOOGLETRANSLATE(B42, ""en"", ""de"")"),"Kann in einem Ofen in eine noctis bar gefertigt werden.")</f>
        <v>Kann in einem Ofen in eine noctis bar gefertigt werden.</v>
      </c>
      <c r="I42" s="23" t="str">
        <f>IFERROR(__xludf.DUMMYFUNCTION("GOOGLETRANSLATE(B42, ""en"", ""pl"")"),"Może być wykonane do baru Noctis w piecu.")</f>
        <v>Może być wykonane do baru Noctis w piecu.</v>
      </c>
      <c r="J42" s="25" t="str">
        <f>IFERROR(__xludf.DUMMYFUNCTION("GOOGLETRANSLATE(B42, ""en"", ""zh"")"),"可以制作成一炉noctis吧。")</f>
        <v>可以制作成一炉noctis吧。</v>
      </c>
      <c r="K42" s="25" t="str">
        <f>IFERROR(__xludf.DUMMYFUNCTION("GOOGLETRANSLATE(B42, ""en"", ""vi"")"),"Có thể được chế tác thành một thanh Noctis tại một lò.")</f>
        <v>Có thể được chế tác thành một thanh Noctis tại một lò.</v>
      </c>
      <c r="L42" s="26" t="str">
        <f>IFERROR(__xludf.DUMMYFUNCTION("GOOGLETRANSLATE(B42, ""en"", ""hr"")"),"Mogu biti izrađeni u bar noctis na peći.")</f>
        <v>Mogu biti izrađeni u bar noctis na peći.</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""fr"")"),"bar Noctis")</f>
        <v>bar Noctis</v>
      </c>
      <c r="D43" s="23" t="str">
        <f>IFERROR(__xludf.DUMMYFUNCTION("GOOGLETRANSLATE(B43, ""en"", ""es"")"),"barra de noctis")</f>
        <v>barra de noctis</v>
      </c>
      <c r="E43" s="23" t="str">
        <f>IFERROR(__xludf.DUMMYFUNCTION("GOOGLETRANSLATE(B43, ""en"", ""ru"")"),"Ноктис бар")</f>
        <v>Ноктис бар</v>
      </c>
      <c r="F43" s="23" t="str">
        <f>IFERROR(__xludf.DUMMYFUNCTION("GOOGLETRANSLATE(B43, ""en"", ""tr"")"),"Noctis çubuğu")</f>
        <v>Noctis çubuğu</v>
      </c>
      <c r="G43" s="23" t="str">
        <f>IFERROR(__xludf.DUMMYFUNCTION("GOOGLETRANSLATE(B43, ""en"", ""pt"")"),"bar Noctis")</f>
        <v>bar Noctis</v>
      </c>
      <c r="H43" s="24" t="str">
        <f>IFERROR(__xludf.DUMMYFUNCTION("GOOGLETRANSLATE(B43, ""en"", ""de"")"),"Noctis bar")</f>
        <v>Noctis bar</v>
      </c>
      <c r="I43" s="23" t="str">
        <f>IFERROR(__xludf.DUMMYFUNCTION("GOOGLETRANSLATE(B43, ""en"", ""pl"")"),"bar Noctis")</f>
        <v>bar Noctis</v>
      </c>
      <c r="J43" s="25" t="str">
        <f>IFERROR(__xludf.DUMMYFUNCTION("GOOGLETRANSLATE(B43, ""en"", ""zh"")"),"Noctis吧")</f>
        <v>Noctis吧</v>
      </c>
      <c r="K43" s="25" t="str">
        <f>IFERROR(__xludf.DUMMYFUNCTION("GOOGLETRANSLATE(B43, ""en"", ""vi"")"),"thanh Noctis")</f>
        <v>thanh Noctis</v>
      </c>
      <c r="L43" s="26" t="str">
        <f>IFERROR(__xludf.DUMMYFUNCTION("GOOGLETRANSLATE(B43, ""en"", ""hr"")"),"Noctis bar")</f>
        <v>Noctis bar</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l'équipement noctis.")</f>
        <v>Peut être conçu dans l'équipement noctis.</v>
      </c>
      <c r="D44" s="23" t="str">
        <f>IFERROR(__xludf.DUMMYFUNCTION("GOOGLETRANSLATE(B44, ""en"", ""es"")"),"Puede ser elaborado en el equipo noctis.")</f>
        <v>Puede ser elaborado en el equipo noctis.</v>
      </c>
      <c r="E44" s="23" t="str">
        <f>IFERROR(__xludf.DUMMYFUNCTION("GOOGLETRANSLATE(B44, ""en"", ""ru"")"),"Может быть изготовлен в NOCTIS оборудования.")</f>
        <v>Может быть изготовлен в NOCTIS оборудования.</v>
      </c>
      <c r="F44" s="23" t="str">
        <f>IFERROR(__xludf.DUMMYFUNCTION("GOOGLETRANSLATE(B44, ""en"", ""tr"")"),"noctis ekipmanı içine hazırlanmış olabilir.")</f>
        <v>noctis ekipmanı içine hazırlanmış olabilir.</v>
      </c>
      <c r="G44" s="23" t="str">
        <f>IFERROR(__xludf.DUMMYFUNCTION("GOOGLETRANSLATE(B44, ""en"", ""pt"")"),"Pode ser trabalhada em equipamentos noctis.")</f>
        <v>Pode ser trabalhada em equipamentos noctis.</v>
      </c>
      <c r="H44" s="24" t="str">
        <f>IFERROR(__xludf.DUMMYFUNCTION("GOOGLETRANSLATE(B44, ""en"", ""de"")"),"Kann in noctis Geräte gefertigt werden.")</f>
        <v>Kann in noctis Geräte gefertigt werden.</v>
      </c>
      <c r="I44" s="23" t="str">
        <f>IFERROR(__xludf.DUMMYFUNCTION("GOOGLETRANSLATE(B44, ""en"", ""pl"")"),"Może być wykonane do sprzętu Noctis.")</f>
        <v>Może być wykonane do sprzętu Noctis.</v>
      </c>
      <c r="J44" s="25" t="str">
        <f>IFERROR(__xludf.DUMMYFUNCTION("GOOGLETRANSLATE(B44, ""en"", ""zh"")"),"可制作成noctis设备。")</f>
        <v>可制作成noctis设备。</v>
      </c>
      <c r="K44" s="25" t="str">
        <f>IFERROR(__xludf.DUMMYFUNCTION("GOOGLETRANSLATE(B44, ""en"", ""vi"")"),"Có thể được chế tác vào thiết bị Noctis.")</f>
        <v>Có thể được chế tác vào thiết bị Noctis.</v>
      </c>
      <c r="L44" s="26" t="str">
        <f>IFERROR(__xludf.DUMMYFUNCTION("GOOGLETRANSLATE(B44, ""en"", ""hr"")"),"Mogu biti izrađeni u noctis opreme.")</f>
        <v>Mogu biti izrađeni u noctis opreme.</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""fr"")"),"grumes de chêne")</f>
        <v>grumes de chêne</v>
      </c>
      <c r="D45" s="23" t="str">
        <f>IFERROR(__xludf.DUMMYFUNCTION("GOOGLETRANSLATE(B45, ""en"", ""es"")"),"troncos de roble")</f>
        <v>troncos de roble</v>
      </c>
      <c r="E45" s="23" t="str">
        <f>IFERROR(__xludf.DUMMYFUNCTION("GOOGLETRANSLATE(B45, ""en"", ""ru"")"),"журналы Дуб")</f>
        <v>журналы Дуб</v>
      </c>
      <c r="F45" s="23" t="str">
        <f>IFERROR(__xludf.DUMMYFUNCTION("GOOGLETRANSLATE(B45, ""en"", ""tr"")"),"Meşe günlükleri")</f>
        <v>Meşe günlükleri</v>
      </c>
      <c r="G45" s="23" t="str">
        <f>IFERROR(__xludf.DUMMYFUNCTION("GOOGLETRANSLATE(B45, ""en"", ""pt"")"),"toros de carvalho")</f>
        <v>toros de carvalho</v>
      </c>
      <c r="H45" s="24" t="str">
        <f>IFERROR(__xludf.DUMMYFUNCTION("GOOGLETRANSLATE(B45, ""en"", ""de"")"),"Eichenstämme")</f>
        <v>Eichenstämme</v>
      </c>
      <c r="I45" s="23" t="str">
        <f>IFERROR(__xludf.DUMMYFUNCTION("GOOGLETRANSLATE(B45, ""en"", ""pl"")"),"kłody dębowe")</f>
        <v>kłody dębowe</v>
      </c>
      <c r="J45" s="25" t="str">
        <f>IFERROR(__xludf.DUMMYFUNCTION("GOOGLETRANSLATE(B45, ""en"", ""zh"")"),"橡木原木")</f>
        <v>橡木原木</v>
      </c>
      <c r="K45" s="25" t="str">
        <f>IFERROR(__xludf.DUMMYFUNCTION("GOOGLETRANSLATE(B45, ""en"", ""vi"")"),"bản ghi Oak")</f>
        <v>bản ghi Oak</v>
      </c>
      <c r="L45" s="26" t="str">
        <f>IFERROR(__xludf.DUMMYFUNCTION("GOOGLETRANSLATE(B45, ""en"", ""hr"")"),"hrast dnevnici")</f>
        <v>hrast dnevnici</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""fr"")"),"Un matériau d'artisanat de base.")</f>
        <v>Un matériau d'artisanat de base.</v>
      </c>
      <c r="D46" s="23" t="str">
        <f>IFERROR(__xludf.DUMMYFUNCTION("GOOGLETRANSLATE(B46, ""en"", ""es"")"),"Un material de elaboración básica.")</f>
        <v>Un material de elaboración básica.</v>
      </c>
      <c r="E46" s="23" t="str">
        <f>IFERROR(__xludf.DUMMYFUNCTION("GOOGLETRANSLATE(B46, ""en"", ""ru"")"),"Основной материал, крафт.")</f>
        <v>Основной материал, крафт.</v>
      </c>
      <c r="F46" s="23" t="str">
        <f>IFERROR(__xludf.DUMMYFUNCTION("GOOGLETRANSLATE(B46, ""en"", ""tr"")"),"Temel bir işçiliği materyal.")</f>
        <v>Temel bir işçiliği materyal.</v>
      </c>
      <c r="G46" s="23" t="str">
        <f>IFERROR(__xludf.DUMMYFUNCTION("GOOGLETRANSLATE(B46, ""en"", ""pt"")"),"Um material de base de elaboração.")</f>
        <v>Um material de base de elaboração.</v>
      </c>
      <c r="H46" s="24" t="str">
        <f>IFERROR(__xludf.DUMMYFUNCTION("GOOGLETRANSLATE(B46, ""en"", ""de"")"),"Ein grundlegendes Handwerksmaterial.")</f>
        <v>Ein grundlegendes Handwerksmaterial.</v>
      </c>
      <c r="I46" s="23" t="str">
        <f>IFERROR(__xludf.DUMMYFUNCTION("GOOGLETRANSLATE(B46, ""en"", ""pl"")"),"Podstawowym materiałem rzemiosła.")</f>
        <v>Podstawowym materiałem rzemiosła.</v>
      </c>
      <c r="J46" s="25" t="str">
        <f>IFERROR(__xludf.DUMMYFUNCTION("GOOGLETRANSLATE(B46, ""en"", ""zh"")"),"一个基本的手工艺材料。")</f>
        <v>一个基本的手工艺材料。</v>
      </c>
      <c r="K46" s="25" t="str">
        <f>IFERROR(__xludf.DUMMYFUNCTION("GOOGLETRANSLATE(B46, ""en"", ""vi"")"),"Một loại vật liệu crafting cơ bản.")</f>
        <v>Một loại vật liệu crafting cơ bản.</v>
      </c>
      <c r="L46" s="26" t="str">
        <f>IFERROR(__xludf.DUMMYFUNCTION("GOOGLETRANSLATE(B46, ""en"", ""hr"")"),"Osnovni materijal izradba.")</f>
        <v>Osnovni materijal izradba.</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""fr"")"),"Coton")</f>
        <v>Coton</v>
      </c>
      <c r="D47" s="23" t="str">
        <f>IFERROR(__xludf.DUMMYFUNCTION("GOOGLETRANSLATE(B47, ""en"", ""es"")"),"Algodón")</f>
        <v>Algodón</v>
      </c>
      <c r="E47" s="23" t="str">
        <f>IFERROR(__xludf.DUMMYFUNCTION("GOOGLETRANSLATE(B47, ""en"", ""ru"")"),"Хлопок")</f>
        <v>Хлопок</v>
      </c>
      <c r="F47" s="23" t="str">
        <f>IFERROR(__xludf.DUMMYFUNCTION("GOOGLETRANSLATE(B47, ""en"", ""tr"")"),"Pamuk")</f>
        <v>Pamuk</v>
      </c>
      <c r="G47" s="23" t="str">
        <f>IFERROR(__xludf.DUMMYFUNCTION("GOOGLETRANSLATE(B47, ""en"", ""pt"")"),"Algodão")</f>
        <v>Algodão</v>
      </c>
      <c r="H47" s="24" t="str">
        <f>IFERROR(__xludf.DUMMYFUNCTION("GOOGLETRANSLATE(B47, ""en"", ""de"")"),"Baumwolle")</f>
        <v>Baumwolle</v>
      </c>
      <c r="I47" s="23" t="str">
        <f>IFERROR(__xludf.DUMMYFUNCTION("GOOGLETRANSLATE(B47, ""en"", ""pl"")"),"Bawełna")</f>
        <v>Bawełna</v>
      </c>
      <c r="J47" s="25" t="str">
        <f>IFERROR(__xludf.DUMMYFUNCTION("GOOGLETRANSLATE(B47, ""en"", ""zh"")"),"棉布")</f>
        <v>棉布</v>
      </c>
      <c r="K47" s="25" t="str">
        <f>IFERROR(__xludf.DUMMYFUNCTION("GOOGLETRANSLATE(B47, ""en"", ""vi"")"),"Bông")</f>
        <v>Bông</v>
      </c>
      <c r="L47" s="26" t="str">
        <f>IFERROR(__xludf.DUMMYFUNCTION("GOOGLETRANSLATE(B47, ""en"", ""hr"")"),"Pamuk")</f>
        <v>Pamuk</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en différents tissus.")</f>
        <v>Peut être conçu en différents tissus.</v>
      </c>
      <c r="D48" s="23" t="str">
        <f>IFERROR(__xludf.DUMMYFUNCTION("GOOGLETRANSLATE(B48, ""en"", ""es"")"),"Se pueden fabricar en diferentes tejidos.")</f>
        <v>Se pueden fabricar en diferentes tejidos.</v>
      </c>
      <c r="E48" s="23" t="str">
        <f>IFERROR(__xludf.DUMMYFUNCTION("GOOGLETRANSLATE(B48, ""en"", ""ru"")"),"Может быть изготовлены в различные текстильные изделия.")</f>
        <v>Может быть изготовлены в различные текстильные изделия.</v>
      </c>
      <c r="F48" s="23" t="str">
        <f>IFERROR(__xludf.DUMMYFUNCTION("GOOGLETRANSLATE(B48, ""en"", ""tr"")"),"Çeşitli tekstil içine hazırlanmış olabilir.")</f>
        <v>Çeşitli tekstil içine hazırlanmış olabilir.</v>
      </c>
      <c r="G48" s="23" t="str">
        <f>IFERROR(__xludf.DUMMYFUNCTION("GOOGLETRANSLATE(B48, ""en"", ""pt"")"),"Pode ser trabalhada em vários tecidos.")</f>
        <v>Pode ser trabalhada em vários tecidos.</v>
      </c>
      <c r="H48" s="24" t="str">
        <f>IFERROR(__xludf.DUMMYFUNCTION("GOOGLETRANSLATE(B48, ""en"", ""de"")"),"Kann in verschiedenen Textilien gefertigt werden.")</f>
        <v>Kann in verschiedenen Textilien gefertigt werden.</v>
      </c>
      <c r="I48" s="23" t="str">
        <f>IFERROR(__xludf.DUMMYFUNCTION("GOOGLETRANSLATE(B48, ""en"", ""pl"")"),"Mogą być wykonane w różnych tkanin.")</f>
        <v>Mogą być wykonane w różnych tkanin.</v>
      </c>
      <c r="J48" s="25" t="str">
        <f>IFERROR(__xludf.DUMMYFUNCTION("GOOGLETRANSLATE(B48, ""en"", ""zh"")"),"可制作成各种纺织品。")</f>
        <v>可制作成各种纺织品。</v>
      </c>
      <c r="K48" s="25" t="str">
        <f>IFERROR(__xludf.DUMMYFUNCTION("GOOGLETRANSLATE(B48, ""en"", ""vi"")"),"Có thể được chế tác thành hàng dệt khác nhau.")</f>
        <v>Có thể được chế tác thành hàng dệt khác nhau.</v>
      </c>
      <c r="L48" s="26" t="str">
        <f>IFERROR(__xludf.DUMMYFUNCTION("GOOGLETRANSLATE(B48, ""en"", ""hr"")"),"Mogu biti izrađeni u raznim tekstila.")</f>
        <v>Mogu biti izrađeni u raznim tekstila.</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""fr"")"),"Chaîne")</f>
        <v>Chaîne</v>
      </c>
      <c r="D49" s="23" t="str">
        <f>IFERROR(__xludf.DUMMYFUNCTION("GOOGLETRANSLATE(B49, ""en"", ""es"")"),"Cuerda")</f>
        <v>Cuerda</v>
      </c>
      <c r="E49" s="23" t="str">
        <f>IFERROR(__xludf.DUMMYFUNCTION("GOOGLETRANSLATE(B49, ""en"", ""ru"")"),"Нить")</f>
        <v>Нить</v>
      </c>
      <c r="F49" s="23" t="str">
        <f>IFERROR(__xludf.DUMMYFUNCTION("GOOGLETRANSLATE(B49, ""en"", ""tr"")"),"sicim")</f>
        <v>sicim</v>
      </c>
      <c r="G49" s="23" t="str">
        <f>IFERROR(__xludf.DUMMYFUNCTION("GOOGLETRANSLATE(B49, ""en"", ""pt"")"),"Fragmento")</f>
        <v>Fragmento</v>
      </c>
      <c r="H49" s="24" t="str">
        <f>IFERROR(__xludf.DUMMYFUNCTION("GOOGLETRANSLATE(B49, ""en"", ""de"")"),"Schnur")</f>
        <v>Schnur</v>
      </c>
      <c r="I49" s="23" t="str">
        <f>IFERROR(__xludf.DUMMYFUNCTION("GOOGLETRANSLATE(B49, ""en"", ""pl"")"),"Strunowy")</f>
        <v>Strunowy</v>
      </c>
      <c r="J49" s="25" t="str">
        <f>IFERROR(__xludf.DUMMYFUNCTION("GOOGLETRANSLATE(B49, ""en"", ""zh"")"),"细绳")</f>
        <v>细绳</v>
      </c>
      <c r="K49" s="25" t="str">
        <f>IFERROR(__xludf.DUMMYFUNCTION("GOOGLETRANSLATE(B49, ""en"", ""vi"")"),"Chuỗi")</f>
        <v>Chuỗi</v>
      </c>
      <c r="L49" s="26" t="str">
        <f>IFERROR(__xludf.DUMMYFUNCTION("GOOGLETRANSLATE(B49, ""en"", ""hr"")"),"Niz")</f>
        <v>Niz</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""fr"")"),"Utilisé pour les arcs d'artisanat et des pièges.")</f>
        <v>Utilisé pour les arcs d'artisanat et des pièges.</v>
      </c>
      <c r="D50" s="23" t="str">
        <f>IFERROR(__xludf.DUMMYFUNCTION("GOOGLETRANSLATE(B50, ""en"", ""es"")"),"Se utiliza para arcos de artesanía y trampas.")</f>
        <v>Se utiliza para arcos de artesanía y trampas.</v>
      </c>
      <c r="E50" s="23" t="str">
        <f>IFERROR(__xludf.DUMMYFUNCTION("GOOGLETRANSLATE(B50, ""en"", ""ru"")"),"Используется для ремесленных луки и ловушки.")</f>
        <v>Используется для ремесленных луки и ловушки.</v>
      </c>
      <c r="F50" s="23" t="str">
        <f>IFERROR(__xludf.DUMMYFUNCTION("GOOGLETRANSLATE(B50, ""en"", ""tr"")"),"zanaat yay ve tuzaklar için kullanılır.")</f>
        <v>zanaat yay ve tuzaklar için kullanılır.</v>
      </c>
      <c r="G50" s="23" t="str">
        <f>IFERROR(__xludf.DUMMYFUNCTION("GOOGLETRANSLATE(B50, ""en"", ""pt"")"),"Usado para arcos artesanais e armadilhas.")</f>
        <v>Usado para arcos artesanais e armadilhas.</v>
      </c>
      <c r="H50" s="24" t="str">
        <f>IFERROR(__xludf.DUMMYFUNCTION("GOOGLETRANSLATE(B50, ""en"", ""de"")"),"Wird verwendet, um Handwerk Bögen und Fallen.")</f>
        <v>Wird verwendet, um Handwerk Bögen und Fallen.</v>
      </c>
      <c r="I50" s="23" t="str">
        <f>IFERROR(__xludf.DUMMYFUNCTION("GOOGLETRANSLATE(B50, ""en"", ""pl"")"),"Służy do łuków rzemieślniczych i pułapek.")</f>
        <v>Służy do łuków rzemieślniczych i pułapek.</v>
      </c>
      <c r="J50" s="25" t="str">
        <f>IFERROR(__xludf.DUMMYFUNCTION("GOOGLETRANSLATE(B50, ""en"", ""zh"")"),"用于工艺弓和陷阱。")</f>
        <v>用于工艺弓和陷阱。</v>
      </c>
      <c r="K50" s="25" t="str">
        <f>IFERROR(__xludf.DUMMYFUNCTION("GOOGLETRANSLATE(B50, ""en"", ""vi"")"),"Được sử dụng để cung thủ và bẫy.")</f>
        <v>Được sử dụng để cung thủ và bẫy.</v>
      </c>
      <c r="L50" s="26" t="str">
        <f>IFERROR(__xludf.DUMMYFUNCTION("GOOGLETRANSLATE(B50, ""en"", ""hr"")"),"Koristi se za obrtničke lukom i zamke.")</f>
        <v>Koristi se za obrtničke lukom i zamke.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""fr"")"),"en tissu")</f>
        <v>en tissu</v>
      </c>
      <c r="D51" s="23" t="str">
        <f>IFERROR(__xludf.DUMMYFUNCTION("GOOGLETRANSLATE(B51, ""en"", ""es"")"),"Tela")</f>
        <v>Tela</v>
      </c>
      <c r="E51" s="23" t="str">
        <f>IFERROR(__xludf.DUMMYFUNCTION("GOOGLETRANSLATE(B51, ""en"", ""ru"")"),"ткань")</f>
        <v>ткань</v>
      </c>
      <c r="F51" s="23" t="str">
        <f>IFERROR(__xludf.DUMMYFUNCTION("GOOGLETRANSLATE(B51, ""en"", ""tr"")"),"Kumaş")</f>
        <v>Kumaş</v>
      </c>
      <c r="G51" s="23" t="str">
        <f>IFERROR(__xludf.DUMMYFUNCTION("GOOGLETRANSLATE(B51, ""en"", ""pt"")"),"Tecido")</f>
        <v>Tecido</v>
      </c>
      <c r="H51" s="24" t="str">
        <f>IFERROR(__xludf.DUMMYFUNCTION("GOOGLETRANSLATE(B51, ""en"", ""de"")"),"Stoff")</f>
        <v>Stoff</v>
      </c>
      <c r="I51" s="23" t="str">
        <f>IFERROR(__xludf.DUMMYFUNCTION("GOOGLETRANSLATE(B51, ""en"", ""pl"")"),"Tkanina")</f>
        <v>Tkanina</v>
      </c>
      <c r="J51" s="25" t="str">
        <f>IFERROR(__xludf.DUMMYFUNCTION("GOOGLETRANSLATE(B51, ""en"", ""zh"")"),"织物")</f>
        <v>织物</v>
      </c>
      <c r="K51" s="25" t="str">
        <f>IFERROR(__xludf.DUMMYFUNCTION("GOOGLETRANSLATE(B51, ""en"", ""vi"")"),"Sợi vải")</f>
        <v>Sợi vải</v>
      </c>
      <c r="L51" s="26" t="str">
        <f>IFERROR(__xludf.DUMMYFUNCTION("GOOGLETRANSLATE(B51, ""en"", ""hr"")"),"Tkanina")</f>
        <v>Tkanina</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""fr"")"),"Peut être conçu dans les vêtements.")</f>
        <v>Peut être conçu dans les vêtements.</v>
      </c>
      <c r="D52" s="23" t="str">
        <f>IFERROR(__xludf.DUMMYFUNCTION("GOOGLETRANSLATE(B52, ""en"", ""es"")"),"Pueden hacer a mano en la ropa.")</f>
        <v>Pueden hacer a mano en la ropa.</v>
      </c>
      <c r="E52" s="23" t="str">
        <f>IFERROR(__xludf.DUMMYFUNCTION("GOOGLETRANSLATE(B52, ""en"", ""ru"")"),"Может быть сделано в одежду.")</f>
        <v>Может быть сделано в одежду.</v>
      </c>
      <c r="F52" s="23" t="str">
        <f>IFERROR(__xludf.DUMMYFUNCTION("GOOGLETRANSLATE(B52, ""en"", ""tr"")"),"Tişörtün içine hazırlanmış olabilir.")</f>
        <v>Tişörtün içine hazırlanmış olabilir.</v>
      </c>
      <c r="G52" s="23" t="str">
        <f>IFERROR(__xludf.DUMMYFUNCTION("GOOGLETRANSLATE(B52, ""en"", ""pt"")"),"Pode ser trabalhada em roupas.")</f>
        <v>Pode ser trabalhada em roupas.</v>
      </c>
      <c r="H52" s="24" t="str">
        <f>IFERROR(__xludf.DUMMYFUNCTION("GOOGLETRANSLATE(B52, ""en"", ""de"")"),"Kann in der Kleidung gefertigt werden.")</f>
        <v>Kann in der Kleidung gefertigt werden.</v>
      </c>
      <c r="I52" s="23" t="str">
        <f>IFERROR(__xludf.DUMMYFUNCTION("GOOGLETRANSLATE(B52, ""en"", ""pl"")"),"Może być wykonane do odzieży.")</f>
        <v>Może być wykonane do odzieży.</v>
      </c>
      <c r="J52" s="25" t="str">
        <f>IFERROR(__xludf.DUMMYFUNCTION("GOOGLETRANSLATE(B52, ""en"", ""zh"")"),"可制作成服装。")</f>
        <v>可制作成服装。</v>
      </c>
      <c r="K52" s="25" t="str">
        <f>IFERROR(__xludf.DUMMYFUNCTION("GOOGLETRANSLATE(B52, ""en"", ""vi"")"),"Có thể được chế tác vào quần áo.")</f>
        <v>Có thể được chế tác vào quần áo.</v>
      </c>
      <c r="L52" s="26" t="str">
        <f>IFERROR(__xludf.DUMMYFUNCTION("GOOGLETRANSLATE(B52, ""en"", ""hr"")"),"Mogu biti izrađeni u odjeću.")</f>
        <v>Mogu biti izrađeni u odjeću.</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""fr"")"),"Plumes")</f>
        <v>Plumes</v>
      </c>
      <c r="D53" s="23" t="str">
        <f>IFERROR(__xludf.DUMMYFUNCTION("GOOGLETRANSLATE(B53, ""en"", ""es"")"),"Plumas")</f>
        <v>Plumas</v>
      </c>
      <c r="E53" s="23" t="str">
        <f>IFERROR(__xludf.DUMMYFUNCTION("GOOGLETRANSLATE(B53, ""en"", ""ru"")"),"Перья")</f>
        <v>Перья</v>
      </c>
      <c r="F53" s="23" t="str">
        <f>IFERROR(__xludf.DUMMYFUNCTION("GOOGLETRANSLATE(B53, ""en"", ""tr"")"),"Tüyler")</f>
        <v>Tüyler</v>
      </c>
      <c r="G53" s="23" t="str">
        <f>IFERROR(__xludf.DUMMYFUNCTION("GOOGLETRANSLATE(B53, ""en"", ""pt"")"),"Penas")</f>
        <v>Penas</v>
      </c>
      <c r="H53" s="24" t="str">
        <f>IFERROR(__xludf.DUMMYFUNCTION("GOOGLETRANSLATE(B53, ""en"", ""de"")"),"Gefieder")</f>
        <v>Gefieder</v>
      </c>
      <c r="I53" s="23" t="str">
        <f>IFERROR(__xludf.DUMMYFUNCTION("GOOGLETRANSLATE(B53, ""en"", ""pl"")"),"Pióra")</f>
        <v>Pióra</v>
      </c>
      <c r="J53" s="25" t="str">
        <f>IFERROR(__xludf.DUMMYFUNCTION("GOOGLETRANSLATE(B53, ""en"", ""zh"")"),"羽毛")</f>
        <v>羽毛</v>
      </c>
      <c r="K53" s="25" t="str">
        <f>IFERROR(__xludf.DUMMYFUNCTION("GOOGLETRANSLATE(B53, ""en"", ""vi"")"),"lông")</f>
        <v>lông</v>
      </c>
      <c r="L53" s="26" t="str">
        <f>IFERROR(__xludf.DUMMYFUNCTION("GOOGLETRANSLATE(B53, ""en"", ""hr"")"),"perje")</f>
        <v>perje</v>
      </c>
      <c r="M53" s="28"/>
      <c r="N53" s="28"/>
      <c r="O53" s="28"/>
      <c r="P53" s="28"/>
      <c r="Q53" s="28"/>
      <c r="R53" s="28"/>
      <c r="S53" s="28"/>
      <c r="T53" s="28"/>
      <c r="U53" s="28"/>
      <c r="V53" s="28"/>
      <c r="W53" s="28"/>
      <c r="X53" s="28"/>
      <c r="Y53" s="28"/>
      <c r="Z53" s="28"/>
      <c r="AA53" s="28"/>
      <c r="AB53" s="28"/>
    </row>
    <row r="54">
      <c r="A54" s="40" t="s">
        <v>397</v>
      </c>
      <c r="B54" s="22" t="s">
        <v>398</v>
      </c>
      <c r="C54" s="23" t="str">
        <f>IFERROR(__xludf.DUMMYFUNCTION("GOOGLETRANSLATE(B54, ""en"", ""fr"")"),"Peut être conçu en flèches.")</f>
        <v>Peut être conçu en flèches.</v>
      </c>
      <c r="D54" s="23" t="str">
        <f>IFERROR(__xludf.DUMMYFUNCTION("GOOGLETRANSLATE(B54, ""en"", ""es"")"),"Se pueden fabricar en flechas.")</f>
        <v>Se pueden fabricar en flechas.</v>
      </c>
      <c r="E54" s="23" t="str">
        <f>IFERROR(__xludf.DUMMYFUNCTION("GOOGLETRANSLATE(B54, ""en"", ""ru"")"),"Может быть сделан в стрелки.")</f>
        <v>Может быть сделан в стрелки.</v>
      </c>
      <c r="F54" s="23" t="str">
        <f>IFERROR(__xludf.DUMMYFUNCTION("GOOGLETRANSLATE(B54, ""en"", ""tr"")"),"oklar içine hazırlanmış olabilir.")</f>
        <v>oklar içine hazırlanmış olabilir.</v>
      </c>
      <c r="G54" s="23" t="str">
        <f>IFERROR(__xludf.DUMMYFUNCTION("GOOGLETRANSLATE(B54, ""en"", ""pt"")"),"Pode ser trabalhada em setas.")</f>
        <v>Pode ser trabalhada em setas.</v>
      </c>
      <c r="H54" s="24" t="str">
        <f>IFERROR(__xludf.DUMMYFUNCTION("GOOGLETRANSLATE(B54, ""en"", ""de"")"),"Kann in Pfeile gefertigt werden.")</f>
        <v>Kann in Pfeile gefertigt werden.</v>
      </c>
      <c r="I54" s="23" t="str">
        <f>IFERROR(__xludf.DUMMYFUNCTION("GOOGLETRANSLATE(B54, ""en"", ""pl"")"),"Może być wykonane do strzałki.")</f>
        <v>Może być wykonane do strzałki.</v>
      </c>
      <c r="J54" s="25" t="str">
        <f>IFERROR(__xludf.DUMMYFUNCTION("GOOGLETRANSLATE(B54, ""en"", ""zh"")"),"可制作成箭头。")</f>
        <v>可制作成箭头。</v>
      </c>
      <c r="K54" s="25" t="str">
        <f>IFERROR(__xludf.DUMMYFUNCTION("GOOGLETRANSLATE(B54, ""en"", ""vi"")"),"Có thể được chế tác vào mũi tên.")</f>
        <v>Có thể được chế tác vào mũi tên.</v>
      </c>
      <c r="L54" s="26" t="str">
        <f>IFERROR(__xludf.DUMMYFUNCTION("GOOGLETRANSLATE(B54, ""en"", ""hr"")"),"Mogu biti izrađeni u strijele.")</f>
        <v>Mogu biti izrađeni u strijele.</v>
      </c>
      <c r="M54" s="28"/>
      <c r="N54" s="28"/>
      <c r="O54" s="28"/>
      <c r="P54" s="28"/>
      <c r="Q54" s="28"/>
      <c r="R54" s="28"/>
      <c r="S54" s="28"/>
      <c r="T54" s="28"/>
      <c r="U54" s="28"/>
      <c r="V54" s="28"/>
      <c r="W54" s="28"/>
      <c r="X54" s="28"/>
      <c r="Y54" s="28"/>
      <c r="Z54" s="28"/>
      <c r="AA54" s="28"/>
      <c r="AB54" s="28"/>
    </row>
    <row r="55">
      <c r="A55" s="41" t="s">
        <v>399</v>
      </c>
      <c r="B55" s="22" t="s">
        <v>400</v>
      </c>
      <c r="C55" s="23" t="str">
        <f>IFERROR(__xludf.DUMMYFUNCTION("GOOGLETRANSLATE(B55, ""en"", ""fr"")"),"Une casquette rouge")</f>
        <v>Une casquette rouge</v>
      </c>
      <c r="D55" s="23" t="str">
        <f>IFERROR(__xludf.DUMMYFUNCTION("GOOGLETRANSLATE(B55, ""en"", ""es"")"),"Gorra roja")</f>
        <v>Gorra roja</v>
      </c>
      <c r="E55" s="23" t="str">
        <f>IFERROR(__xludf.DUMMYFUNCTION("GOOGLETRANSLATE(B55, ""en"", ""ru"")"),"Красная Шапка")</f>
        <v>Красная Шапка</v>
      </c>
      <c r="F55" s="23" t="str">
        <f>IFERROR(__xludf.DUMMYFUNCTION("GOOGLETRANSLATE(B55, ""en"", ""tr"")"),"Kırmızı şapka")</f>
        <v>Kırmızı şapka</v>
      </c>
      <c r="G55" s="23" t="str">
        <f>IFERROR(__xludf.DUMMYFUNCTION("GOOGLETRANSLATE(B55, ""en"", ""pt"")"),"Boné vermelho")</f>
        <v>Boné vermelho</v>
      </c>
      <c r="H55" s="24" t="str">
        <f>IFERROR(__xludf.DUMMYFUNCTION("GOOGLETRANSLATE(B55, ""en"", ""de"")"),"Rote Mütze")</f>
        <v>Rote Mütze</v>
      </c>
      <c r="I55" s="23" t="str">
        <f>IFERROR(__xludf.DUMMYFUNCTION("GOOGLETRANSLATE(B55, ""en"", ""pl"")"),"Czerwona czapka")</f>
        <v>Czerwona czapka</v>
      </c>
      <c r="J55" s="25" t="str">
        <f>IFERROR(__xludf.DUMMYFUNCTION("GOOGLETRANSLATE(B55, ""en"", ""zh"")"),"红帽")</f>
        <v>红帽</v>
      </c>
      <c r="K55" s="25" t="str">
        <f>IFERROR(__xludf.DUMMYFUNCTION("GOOGLETRANSLATE(B55, ""en"", ""vi"")"),"Nắp màu đỏ")</f>
        <v>Nắp màu đỏ</v>
      </c>
      <c r="L55" s="26" t="str">
        <f>IFERROR(__xludf.DUMMYFUNCTION("GOOGLETRANSLATE(B55, ""en"", ""hr"")"),"Crvena kapa")</f>
        <v>Crvena kapa</v>
      </c>
      <c r="M55" s="28"/>
      <c r="N55" s="28"/>
      <c r="O55" s="28"/>
      <c r="P55" s="28"/>
      <c r="Q55" s="28"/>
      <c r="R55" s="28"/>
      <c r="S55" s="28"/>
      <c r="T55" s="28"/>
      <c r="U55" s="28"/>
      <c r="V55" s="28"/>
      <c r="W55" s="28"/>
      <c r="X55" s="28"/>
      <c r="Y55" s="28"/>
      <c r="Z55" s="28"/>
      <c r="AA55" s="28"/>
      <c r="AB55" s="28"/>
    </row>
    <row r="56">
      <c r="A56" s="41" t="s">
        <v>401</v>
      </c>
      <c r="B56" s="22" t="s">
        <v>402</v>
      </c>
      <c r="C56" s="23" t="str">
        <f>IFERROR(__xludf.DUMMYFUNCTION("GOOGLETRANSLATE(B56, ""en"", ""fr"")"),"Peut être mangé ou fabriqué dans une potion pour un effet plus fort.")</f>
        <v>Peut être mangé ou fabriqué dans une potion pour un effet plus fort.</v>
      </c>
      <c r="D56" s="23" t="str">
        <f>IFERROR(__xludf.DUMMYFUNCTION("GOOGLETRANSLATE(B56, ""en"", ""es"")"),"Se puede comer, o hecho a mano en una poción para un efecto más fuerte.")</f>
        <v>Se puede comer, o hecho a mano en una poción para un efecto más fuerte.</v>
      </c>
      <c r="E56" s="23" t="str">
        <f>IFERROR(__xludf.DUMMYFUNCTION("GOOGLETRANSLATE(B56, ""en"", ""ru"")"),"Может быть съедено, или созданной в зелье для усиления эффекта.")</f>
        <v>Может быть съедено, или созданной в зелье для усиления эффекта.</v>
      </c>
      <c r="F56" s="23" t="str">
        <f>IFERROR(__xludf.DUMMYFUNCTION("GOOGLETRANSLATE(B56, ""en"", ""tr"")"),"yemiş, veya daha güçlü bir etki için bir iksir içine hazırlanmış olabilir.")</f>
        <v>yemiş, veya daha güçlü bir etki için bir iksir içine hazırlanmış olabilir.</v>
      </c>
      <c r="G56" s="23" t="str">
        <f>IFERROR(__xludf.DUMMYFUNCTION("GOOGLETRANSLATE(B56, ""en"", ""pt"")"),"Pode ser comido, ou trabalhada em uma poção para um efeito mais forte.")</f>
        <v>Pode ser comido, ou trabalhada em uma poção para um efeito mais forte.</v>
      </c>
      <c r="H56" s="24" t="str">
        <f>IFERROR(__xludf.DUMMYFUNCTION("GOOGLETRANSLATE(B56, ""en"", ""de"")"),"Kann gegessen werden, oder für einen stärkeren Effekt in einen Trank gefertigt.")</f>
        <v>Kann gegessen werden, oder für einen stärkeren Effekt in einen Trank gefertigt.</v>
      </c>
      <c r="I56" s="23" t="str">
        <f>IFERROR(__xludf.DUMMYFUNCTION("GOOGLETRANSLATE(B56, ""en"", ""pl"")"),"Mogą być spożywane lub spreparowane w eliksir dla silniejszego efektu.")</f>
        <v>Mogą być spożywane lub spreparowane w eliksir dla silniejszego efektu.</v>
      </c>
      <c r="J56" s="25" t="str">
        <f>IFERROR(__xludf.DUMMYFUNCTION("GOOGLETRANSLATE(B56, ""en"", ""zh"")"),"可以吃，或制作成更强的效果药水。")</f>
        <v>可以吃，或制作成更强的效果药水。</v>
      </c>
      <c r="K56" s="25" t="str">
        <f>IFERROR(__xludf.DUMMYFUNCTION("GOOGLETRANSLATE(B56, ""en"", ""vi"")"),"Có thể ăn, hoặc chế tác thành một potion cho một hiệu ứng mạnh mẽ.")</f>
        <v>Có thể ăn, hoặc chế tác thành một potion cho một hiệu ứng mạnh mẽ.</v>
      </c>
      <c r="L56" s="26" t="str">
        <f>IFERROR(__xludf.DUMMYFUNCTION("GOOGLETRANSLATE(B56, ""en"", ""hr"")"),"Može se jesti, ili izrađen u napitak za jači učinak.")</f>
        <v>Može se jesti, ili izrađen u napitak za jači učinak.</v>
      </c>
      <c r="M56" s="28"/>
      <c r="N56" s="28"/>
      <c r="O56" s="28"/>
      <c r="P56" s="28"/>
      <c r="Q56" s="28"/>
      <c r="R56" s="28"/>
      <c r="S56" s="28"/>
      <c r="T56" s="28"/>
      <c r="U56" s="28"/>
      <c r="V56" s="28"/>
      <c r="W56" s="28"/>
      <c r="X56" s="28"/>
      <c r="Y56" s="28"/>
      <c r="Z56" s="28"/>
      <c r="AA56" s="28"/>
      <c r="AB56" s="28"/>
    </row>
    <row r="57">
      <c r="A57" s="41" t="s">
        <v>403</v>
      </c>
      <c r="B57" s="22" t="s">
        <v>404</v>
      </c>
      <c r="C57" s="23" t="str">
        <f>IFERROR(__xludf.DUMMYFUNCTION("GOOGLETRANSLATE(B57, ""en"", ""fr"")"),"Greencap")</f>
        <v>Greencap</v>
      </c>
      <c r="D57" s="23" t="str">
        <f>IFERROR(__xludf.DUMMYFUNCTION("GOOGLETRANSLATE(B57, ""en"", ""es"")"),"Gorra verde")</f>
        <v>Gorra verde</v>
      </c>
      <c r="E57" s="23" t="str">
        <f>IFERROR(__xludf.DUMMYFUNCTION("GOOGLETRANSLATE(B57, ""en"", ""ru"")"),"Greencap")</f>
        <v>Greencap</v>
      </c>
      <c r="F57" s="23" t="str">
        <f>IFERROR(__xludf.DUMMYFUNCTION("GOOGLETRANSLATE(B57, ""en"", ""tr"")"),"Greencap")</f>
        <v>Greencap</v>
      </c>
      <c r="G57" s="23" t="str">
        <f>IFERROR(__xludf.DUMMYFUNCTION("GOOGLETRANSLATE(B57, ""en"", ""pt"")"),"greencap")</f>
        <v>greencap</v>
      </c>
      <c r="H57" s="24" t="str">
        <f>IFERROR(__xludf.DUMMYFUNCTION("GOOGLETRANSLATE(B57, ""en"", ""de"")"),"Greencap")</f>
        <v>Greencap</v>
      </c>
      <c r="I57" s="23" t="str">
        <f>IFERROR(__xludf.DUMMYFUNCTION("GOOGLETRANSLATE(B57, ""en"", ""pl"")"),"Greencap")</f>
        <v>Greencap</v>
      </c>
      <c r="J57" s="25" t="str">
        <f>IFERROR(__xludf.DUMMYFUNCTION("GOOGLETRANSLATE(B57, ""en"", ""zh"")"),"Greencap")</f>
        <v>Greencap</v>
      </c>
      <c r="K57" s="25" t="str">
        <f>IFERROR(__xludf.DUMMYFUNCTION("GOOGLETRANSLATE(B57, ""en"", ""vi"")"),"Chiếc mũ xanh")</f>
        <v>Chiếc mũ xanh</v>
      </c>
      <c r="L57" s="26" t="str">
        <f>IFERROR(__xludf.DUMMYFUNCTION("GOOGLETRANSLATE(B57, ""en"", ""hr"")"),"Greencap")</f>
        <v>Greencap</v>
      </c>
      <c r="M57" s="28"/>
      <c r="N57" s="28"/>
      <c r="O57" s="28"/>
      <c r="P57" s="28"/>
      <c r="Q57" s="28"/>
      <c r="R57" s="28"/>
      <c r="S57" s="28"/>
      <c r="T57" s="28"/>
      <c r="U57" s="28"/>
      <c r="V57" s="28"/>
      <c r="W57" s="28"/>
      <c r="X57" s="28"/>
      <c r="Y57" s="28"/>
      <c r="Z57" s="28"/>
      <c r="AA57" s="28"/>
      <c r="AB57" s="28"/>
    </row>
    <row r="58">
      <c r="A58" s="41" t="s">
        <v>405</v>
      </c>
      <c r="B58" s="22" t="s">
        <v>402</v>
      </c>
      <c r="C58" s="23" t="str">
        <f>IFERROR(__xludf.DUMMYFUNCTION("GOOGLETRANSLATE(B58, ""en"", ""fr"")"),"Peut être mangé ou fabriqué dans une potion pour un effet plus fort.")</f>
        <v>Peut être mangé ou fabriqué dans une potion pour un effet plus fort.</v>
      </c>
      <c r="D58" s="23" t="str">
        <f>IFERROR(__xludf.DUMMYFUNCTION("GOOGLETRANSLATE(B58, ""en"", ""es"")"),"Se puede comer, o hecho a mano en una poción para un efecto más fuerte.")</f>
        <v>Se puede comer, o hecho a mano en una poción para un efecto más fuerte.</v>
      </c>
      <c r="E58" s="23" t="str">
        <f>IFERROR(__xludf.DUMMYFUNCTION("GOOGLETRANSLATE(B58, ""en"", ""ru"")"),"Может быть съедено, или созданной в зелье для усиления эффекта.")</f>
        <v>Может быть съедено, или созданной в зелье для усиления эффекта.</v>
      </c>
      <c r="F58" s="23" t="str">
        <f>IFERROR(__xludf.DUMMYFUNCTION("GOOGLETRANSLATE(B58, ""en"", ""tr"")"),"yemiş, veya daha güçlü bir etki için bir iksir içine hazırlanmış olabilir.")</f>
        <v>yemiş, veya daha güçlü bir etki için bir iksir içine hazırlanmış olabilir.</v>
      </c>
      <c r="G58" s="23" t="str">
        <f>IFERROR(__xludf.DUMMYFUNCTION("GOOGLETRANSLATE(B58, ""en"", ""pt"")"),"Pode ser comido, ou trabalhada em uma poção para um efeito mais forte.")</f>
        <v>Pode ser comido, ou trabalhada em uma poção para um efeito mais forte.</v>
      </c>
      <c r="H58" s="24" t="str">
        <f>IFERROR(__xludf.DUMMYFUNCTION("GOOGLETRANSLATE(B58, ""en"", ""de"")"),"Kann gegessen werden, oder für einen stärkeren Effekt in einen Trank gefertigt.")</f>
        <v>Kann gegessen werden, oder für einen stärkeren Effekt in einen Trank gefertigt.</v>
      </c>
      <c r="I58" s="23" t="str">
        <f>IFERROR(__xludf.DUMMYFUNCTION("GOOGLETRANSLATE(B58, ""en"", ""pl"")"),"Mogą być spożywane lub spreparowane w eliksir dla silniejszego efektu.")</f>
        <v>Mogą być spożywane lub spreparowane w eliksir dla silniejszego efektu.</v>
      </c>
      <c r="J58" s="25" t="str">
        <f>IFERROR(__xludf.DUMMYFUNCTION("GOOGLETRANSLATE(B58, ""en"", ""zh"")"),"可以吃，或制作成更强的效果药水。")</f>
        <v>可以吃，或制作成更强的效果药水。</v>
      </c>
      <c r="K58" s="25" t="str">
        <f>IFERROR(__xludf.DUMMYFUNCTION("GOOGLETRANSLATE(B58, ""en"", ""vi"")"),"Có thể ăn, hoặc chế tác thành một potion cho một hiệu ứng mạnh mẽ.")</f>
        <v>Có thể ăn, hoặc chế tác thành một potion cho một hiệu ứng mạnh mẽ.</v>
      </c>
      <c r="L58" s="26" t="str">
        <f>IFERROR(__xludf.DUMMYFUNCTION("GOOGLETRANSLATE(B58, ""en"", ""hr"")"),"Može se jesti, ili izrađen u napitak za jači učinak.")</f>
        <v>Može se jesti, ili izrađen u napitak za jači učinak.</v>
      </c>
      <c r="M58" s="28"/>
      <c r="N58" s="28"/>
      <c r="O58" s="28"/>
      <c r="P58" s="28"/>
      <c r="Q58" s="28"/>
      <c r="R58" s="28"/>
      <c r="S58" s="28"/>
      <c r="T58" s="28"/>
      <c r="U58" s="28"/>
      <c r="V58" s="28"/>
      <c r="W58" s="28"/>
      <c r="X58" s="28"/>
      <c r="Y58" s="28"/>
      <c r="Z58" s="28"/>
      <c r="AA58" s="28"/>
      <c r="AB58" s="28"/>
    </row>
    <row r="59">
      <c r="A59" s="41" t="s">
        <v>406</v>
      </c>
      <c r="B59" s="22" t="s">
        <v>407</v>
      </c>
      <c r="C59" s="23" t="str">
        <f>IFERROR(__xludf.DUMMYFUNCTION("GOOGLETRANSLATE(B59, ""en"", ""fr"")"),"Casquette bleue")</f>
        <v>Casquette bleue</v>
      </c>
      <c r="D59" s="23" t="str">
        <f>IFERROR(__xludf.DUMMYFUNCTION("GOOGLETRANSLATE(B59, ""en"", ""es"")"),"Gorra azul")</f>
        <v>Gorra azul</v>
      </c>
      <c r="E59" s="23" t="str">
        <f>IFERROR(__xludf.DUMMYFUNCTION("GOOGLETRANSLATE(B59, ""en"", ""ru"")"),"Bluecap")</f>
        <v>Bluecap</v>
      </c>
      <c r="F59" s="23" t="str">
        <f>IFERROR(__xludf.DUMMYFUNCTION("GOOGLETRANSLATE(B59, ""en"", ""tr"")"),"Mavi şapka")</f>
        <v>Mavi şapka</v>
      </c>
      <c r="G59" s="23" t="str">
        <f>IFERROR(__xludf.DUMMYFUNCTION("GOOGLETRANSLATE(B59, ""en"", ""pt"")"),"Boné azul")</f>
        <v>Boné azul</v>
      </c>
      <c r="H59" s="24" t="str">
        <f>IFERROR(__xludf.DUMMYFUNCTION("GOOGLETRANSLATE(B59, ""en"", ""de"")"),"Blaue Kappe")</f>
        <v>Blaue Kappe</v>
      </c>
      <c r="I59" s="23" t="str">
        <f>IFERROR(__xludf.DUMMYFUNCTION("GOOGLETRANSLATE(B59, ""en"", ""pl"")"),"Niebieska czapka")</f>
        <v>Niebieska czapka</v>
      </c>
      <c r="J59" s="25" t="str">
        <f>IFERROR(__xludf.DUMMYFUNCTION("GOOGLETRANSLATE(B59, ""en"", ""zh"")"),"BlueCap的")</f>
        <v>BlueCap的</v>
      </c>
      <c r="K59" s="25" t="str">
        <f>IFERROR(__xludf.DUMMYFUNCTION("GOOGLETRANSLATE(B59, ""en"", ""vi"")"),"Mũ lưỡi trai màu xanh")</f>
        <v>Mũ lưỡi trai màu xanh</v>
      </c>
      <c r="L59" s="26" t="str">
        <f>IFERROR(__xludf.DUMMYFUNCTION("GOOGLETRANSLATE(B59, ""en"", ""hr"")"),"Bluecap")</f>
        <v>Bluecap</v>
      </c>
      <c r="M59" s="28"/>
      <c r="N59" s="28"/>
      <c r="O59" s="28"/>
      <c r="P59" s="28"/>
      <c r="Q59" s="28"/>
      <c r="R59" s="28"/>
      <c r="S59" s="28"/>
      <c r="T59" s="28"/>
      <c r="U59" s="28"/>
      <c r="V59" s="28"/>
      <c r="W59" s="28"/>
      <c r="X59" s="28"/>
      <c r="Y59" s="28"/>
      <c r="Z59" s="28"/>
      <c r="AA59" s="28"/>
      <c r="AB59" s="28"/>
    </row>
    <row r="60">
      <c r="A60" s="41" t="s">
        <v>408</v>
      </c>
      <c r="B60" s="22" t="s">
        <v>402</v>
      </c>
      <c r="C60" s="23" t="str">
        <f>IFERROR(__xludf.DUMMYFUNCTION("GOOGLETRANSLATE(B60, ""en"", ""fr"")"),"Peut être mangé ou fabriqué dans une potion pour un effet plus fort.")</f>
        <v>Peut être mangé ou fabriqué dans une potion pour un effet plus fort.</v>
      </c>
      <c r="D60" s="23" t="str">
        <f>IFERROR(__xludf.DUMMYFUNCTION("GOOGLETRANSLATE(B60, ""en"", ""es"")"),"Se puede comer, o hecho a mano en una poción para un efecto más fuerte.")</f>
        <v>Se puede comer, o hecho a mano en una poción para un efecto más fuerte.</v>
      </c>
      <c r="E60" s="23" t="str">
        <f>IFERROR(__xludf.DUMMYFUNCTION("GOOGLETRANSLATE(B60, ""en"", ""ru"")"),"Может быть съедено, или созданной в зелье для усиления эффекта.")</f>
        <v>Может быть съедено, или созданной в зелье для усиления эффекта.</v>
      </c>
      <c r="F60" s="23" t="str">
        <f>IFERROR(__xludf.DUMMYFUNCTION("GOOGLETRANSLATE(B60, ""en"", ""tr"")"),"yemiş, veya daha güçlü bir etki için bir iksir içine hazırlanmış olabilir.")</f>
        <v>yemiş, veya daha güçlü bir etki için bir iksir içine hazırlanmış olabilir.</v>
      </c>
      <c r="G60" s="23" t="str">
        <f>IFERROR(__xludf.DUMMYFUNCTION("GOOGLETRANSLATE(B60, ""en"", ""pt"")"),"Pode ser comido, ou trabalhada em uma poção para um efeito mais forte.")</f>
        <v>Pode ser comido, ou trabalhada em uma poção para um efeito mais forte.</v>
      </c>
      <c r="H60" s="24" t="str">
        <f>IFERROR(__xludf.DUMMYFUNCTION("GOOGLETRANSLATE(B60, ""en"", ""de"")"),"Kann gegessen werden, oder für einen stärkeren Effekt in einen Trank gefertigt.")</f>
        <v>Kann gegessen werden, oder für einen stärkeren Effekt in einen Trank gefertigt.</v>
      </c>
      <c r="I60" s="23" t="str">
        <f>IFERROR(__xludf.DUMMYFUNCTION("GOOGLETRANSLATE(B60, ""en"", ""pl"")"),"Mogą być spożywane lub spreparowane w eliksir dla silniejszego efektu.")</f>
        <v>Mogą być spożywane lub spreparowane w eliksir dla silniejszego efektu.</v>
      </c>
      <c r="J60" s="25" t="str">
        <f>IFERROR(__xludf.DUMMYFUNCTION("GOOGLETRANSLATE(B60, ""en"", ""zh"")"),"可以吃，或制作成更强的效果药水。")</f>
        <v>可以吃，或制作成更强的效果药水。</v>
      </c>
      <c r="K60" s="25" t="str">
        <f>IFERROR(__xludf.DUMMYFUNCTION("GOOGLETRANSLATE(B60, ""en"", ""vi"")"),"Có thể ăn, hoặc chế tác thành một potion cho một hiệu ứng mạnh mẽ.")</f>
        <v>Có thể ăn, hoặc chế tác thành một potion cho một hiệu ứng mạnh mẽ.</v>
      </c>
      <c r="L60" s="26" t="str">
        <f>IFERROR(__xludf.DUMMYFUNCTION("GOOGLETRANSLATE(B60, ""en"", ""hr"")"),"Može se jesti, ili izrađen u napitak za jači učinak.")</f>
        <v>Može se jesti, ili izrađen u napitak za jači učinak.</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""fr"")"),"Potion de vie")</f>
        <v>Potion de vie</v>
      </c>
      <c r="D61" s="23" t="str">
        <f>IFERROR(__xludf.DUMMYFUNCTION("GOOGLETRANSLATE(B61, ""en"", ""es"")"),"Poción de salud")</f>
        <v>Poción de salud</v>
      </c>
      <c r="E61" s="23" t="str">
        <f>IFERROR(__xludf.DUMMYFUNCTION("GOOGLETRANSLATE(B61, ""en"", ""ru"")"),"зелье здоровья")</f>
        <v>зелье здоровья</v>
      </c>
      <c r="F61" s="23" t="str">
        <f>IFERROR(__xludf.DUMMYFUNCTION("GOOGLETRANSLATE(B61, ""en"", ""tr"")"),"Can iksiri")</f>
        <v>Can iksiri</v>
      </c>
      <c r="G61" s="23" t="str">
        <f>IFERROR(__xludf.DUMMYFUNCTION("GOOGLETRANSLATE(B61, ""en"", ""pt"")"),"Poção de saúde")</f>
        <v>Poção de saúde</v>
      </c>
      <c r="H61" s="24" t="str">
        <f>IFERROR(__xludf.DUMMYFUNCTION("GOOGLETRANSLATE(B61, ""en"", ""de"")"),"Gesundheitstrank")</f>
        <v>Gesundheitstrank</v>
      </c>
      <c r="I61" s="23" t="str">
        <f>IFERROR(__xludf.DUMMYFUNCTION("GOOGLETRANSLATE(B61, ""en"", ""pl"")"),"Mikstura zdrowia")</f>
        <v>Mikstura zdrowia</v>
      </c>
      <c r="J61" s="25" t="str">
        <f>IFERROR(__xludf.DUMMYFUNCTION("GOOGLETRANSLATE(B61, ""en"", ""zh"")"),"健康药水")</f>
        <v>健康药水</v>
      </c>
      <c r="K61" s="25" t="str">
        <f>IFERROR(__xludf.DUMMYFUNCTION("GOOGLETRANSLATE(B61, ""en"", ""vi"")"),"Bình máu")</f>
        <v>Bình máu</v>
      </c>
      <c r="L61" s="26" t="str">
        <f>IFERROR(__xludf.DUMMYFUNCTION("GOOGLETRANSLATE(B61, ""en"", ""hr"")"),"Napitak za zdravlje")</f>
        <v>Napitak za zdravlje</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""fr"")"),"Restaure quelques points de vie au fil du temps quand il est utilisé.")</f>
        <v>Restaure quelques points de vie au fil du temps quand il est utilisé.</v>
      </c>
      <c r="D62" s="23" t="str">
        <f>IFERROR(__xludf.DUMMYFUNCTION("GOOGLETRANSLATE(B62, ""en"", ""es"")"),"Restaura algunos puntos de resistencia con el tiempo cuando se utiliza.")</f>
        <v>Restaura algunos puntos de resistencia con el tiempo cuando se utiliza.</v>
      </c>
      <c r="E62" s="23" t="str">
        <f>IFERROR(__xludf.DUMMYFUNCTION("GOOGLETRANSLATE(B62,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2" s="23" t="str">
        <f>IFERROR(__xludf.DUMMYFUNCTION("GOOGLETRANSLATE(B62, ""en"", ""tr"")"),"kullanıldığında zamanla bazı hitpoints geri yükler.")</f>
        <v>kullanıldığında zamanla bazı hitpoints geri yükler.</v>
      </c>
      <c r="G62" s="23" t="str">
        <f>IFERROR(__xludf.DUMMYFUNCTION("GOOGLETRANSLATE(B62, ""en"", ""pt"")"),"Restaura alguns pontos de vida ao longo do tempo, quando utilizado.")</f>
        <v>Restaura alguns pontos de vida ao longo do tempo, quando utilizado.</v>
      </c>
      <c r="H62" s="24" t="str">
        <f>IFERROR(__xludf.DUMMYFUNCTION("GOOGLETRANSLATE(B62, ""en"", ""de"")"),"Stellt einige Hitpoints im Laufe der Zeit, wenn verwendet.")</f>
        <v>Stellt einige Hitpoints im Laufe der Zeit, wenn verwendet.</v>
      </c>
      <c r="I62" s="23" t="str">
        <f>IFERROR(__xludf.DUMMYFUNCTION("GOOGLETRANSLATE(B62, ""en"", ""pl"")"),"Przywraca niektóre punkty życia w miarę upływu czasu, gdy stosowane.")</f>
        <v>Przywraca niektóre punkty życia w miarę upływu czasu, gdy stosowane.</v>
      </c>
      <c r="J62" s="25" t="str">
        <f>IFERROR(__xludf.DUMMYFUNCTION("GOOGLETRANSLATE(B62, ""en"", ""zh"")"),"使用时，随着时间的推移恢复生命值一些。")</f>
        <v>使用时，随着时间的推移恢复生命值一些。</v>
      </c>
      <c r="K62" s="25" t="str">
        <f>IFERROR(__xludf.DUMMYFUNCTION("GOOGLETRANSLATE(B62, ""en"", ""vi"")"),"Phục hồi một số hp theo thời gian khi sử dụng.")</f>
        <v>Phục hồi một số hp theo thời gian khi sử dụng.</v>
      </c>
      <c r="L62" s="26" t="str">
        <f>IFERROR(__xludf.DUMMYFUNCTION("GOOGLETRANSLATE(B62, ""en"", ""hr"")"),"Vraća neke udarpoena s vremenom kada se koristi.")</f>
        <v>Vraća neke udarpoena s vremenom kada se koristi.</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""fr"")"),"potion d'énergie")</f>
        <v>potion d'énergie</v>
      </c>
      <c r="D63" s="23" t="str">
        <f>IFERROR(__xludf.DUMMYFUNCTION("GOOGLETRANSLATE(B63, ""en"", ""es"")"),"poción de energía")</f>
        <v>poción de energía</v>
      </c>
      <c r="E63" s="23" t="str">
        <f>IFERROR(__xludf.DUMMYFUNCTION("GOOGLETRANSLATE(B63, ""en"", ""ru"")"),"микстура Energy")</f>
        <v>микстура Energy</v>
      </c>
      <c r="F63" s="23" t="str">
        <f>IFERROR(__xludf.DUMMYFUNCTION("GOOGLETRANSLATE(B63, ""en"", ""tr"")"),"Enerji iksir")</f>
        <v>Enerji iksir</v>
      </c>
      <c r="G63" s="23" t="str">
        <f>IFERROR(__xludf.DUMMYFUNCTION("GOOGLETRANSLATE(B63, ""en"", ""pt"")"),"poção da energia")</f>
        <v>poção da energia</v>
      </c>
      <c r="H63" s="24" t="str">
        <f>IFERROR(__xludf.DUMMYFUNCTION("GOOGLETRANSLATE(B63, ""en"", ""de"")"),"Energietrank")</f>
        <v>Energietrank</v>
      </c>
      <c r="I63" s="23" t="str">
        <f>IFERROR(__xludf.DUMMYFUNCTION("GOOGLETRANSLATE(B63, ""en"", ""pl"")"),"eliksir energii")</f>
        <v>eliksir energii</v>
      </c>
      <c r="J63" s="25" t="str">
        <f>IFERROR(__xludf.DUMMYFUNCTION("GOOGLETRANSLATE(B63, ""en"", ""zh"")"),"能量药水")</f>
        <v>能量药水</v>
      </c>
      <c r="K63" s="25" t="str">
        <f>IFERROR(__xludf.DUMMYFUNCTION("GOOGLETRANSLATE(B63, ""en"", ""vi"")"),"potion năng lượng")</f>
        <v>potion năng lượng</v>
      </c>
      <c r="L63" s="26" t="str">
        <f>IFERROR(__xludf.DUMMYFUNCTION("GOOGLETRANSLATE(B63, ""en"", ""hr"")"),"Energetski napitak")</f>
        <v>Energetski napitak</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""fr"")"),"Restaure un peu d'énergie au fil du temps en cas d'utilisation.")</f>
        <v>Restaure un peu d'énergie au fil du temps en cas d'utilisation.</v>
      </c>
      <c r="D64" s="23" t="str">
        <f>IFERROR(__xludf.DUMMYFUNCTION("GOOGLETRANSLATE(B64, ""en"", ""es"")"),"Restaura un poco de energía a través del tiempo cuando se usa.")</f>
        <v>Restaura un poco de energía a través del tiempo cuando se usa.</v>
      </c>
      <c r="E64" s="23" t="str">
        <f>IFERROR(__xludf.DUMMYFUNCTION("GOOGLETRANSLATE(B64, ""en"", ""ru"")"),"Восстанавливает немного энергии с течением времени при использовании.")</f>
        <v>Восстанавливает немного энергии с течением времени при использовании.</v>
      </c>
      <c r="F64" s="23" t="str">
        <f>IFERROR(__xludf.DUMMYFUNCTION("GOOGLETRANSLATE(B64, ""en"", ""tr"")"),"kullanıldığında zamanla bazı enerji geri yükler.")</f>
        <v>kullanıldığında zamanla bazı enerji geri yükler.</v>
      </c>
      <c r="G64" s="23" t="str">
        <f>IFERROR(__xludf.DUMMYFUNCTION("GOOGLETRANSLATE(B64, ""en"", ""pt"")"),"Restaura um pouco de energia ao longo do tempo, quando utilizado.")</f>
        <v>Restaura um pouco de energia ao longo do tempo, quando utilizado.</v>
      </c>
      <c r="H64" s="24" t="str">
        <f>IFERROR(__xludf.DUMMYFUNCTION("GOOGLETRANSLATE(B64, ""en"", ""de"")"),"Stellt einige Energie im Laufe der Zeit, wenn verwendet.")</f>
        <v>Stellt einige Energie im Laufe der Zeit, wenn verwendet.</v>
      </c>
      <c r="I64" s="23" t="str">
        <f>IFERROR(__xludf.DUMMYFUNCTION("GOOGLETRANSLATE(B64, ""en"", ""pl"")"),"Przywraca trochę energii w miarę upływu czasu, gdy stosowane.")</f>
        <v>Przywraca trochę energii w miarę upływu czasu, gdy stosowane.</v>
      </c>
      <c r="J64" s="25" t="str">
        <f>IFERROR(__xludf.DUMMYFUNCTION("GOOGLETRANSLATE(B64, ""en"", ""zh"")"),"使用时，随着时间的推移恢复一定的能量。")</f>
        <v>使用时，随着时间的推移恢复一定的能量。</v>
      </c>
      <c r="K64" s="25" t="str">
        <f>IFERROR(__xludf.DUMMYFUNCTION("GOOGLETRANSLATE(B64, ""en"", ""vi"")"),"Phục hồi một số năng lượng theo thời gian khi sử dụng.")</f>
        <v>Phục hồi một số năng lượng theo thời gian khi sử dụng.</v>
      </c>
      <c r="L64" s="26" t="str">
        <f>IFERROR(__xludf.DUMMYFUNCTION("GOOGLETRANSLATE(B64, ""en"", ""hr"")"),"Vraća neke energije tijekom vremena kada se koristi.")</f>
        <v>Vraća neke energije tijekom vremena kada se koristi.</v>
      </c>
      <c r="M64" s="28"/>
      <c r="N64" s="28"/>
      <c r="O64" s="28"/>
      <c r="P64" s="28"/>
      <c r="Q64" s="28"/>
      <c r="R64" s="28"/>
      <c r="S64" s="28"/>
      <c r="T64" s="28"/>
      <c r="U64" s="28"/>
      <c r="V64" s="28"/>
      <c r="W64" s="28"/>
      <c r="X64" s="28"/>
      <c r="Y64" s="28"/>
      <c r="Z64" s="28"/>
      <c r="AA64" s="28"/>
      <c r="AB64" s="28"/>
    </row>
    <row r="65">
      <c r="A65" s="40" t="s">
        <v>417</v>
      </c>
      <c r="B65" s="22" t="s">
        <v>418</v>
      </c>
      <c r="C65" s="23" t="str">
        <f>IFERROR(__xludf.DUMMYFUNCTION("GOOGLETRANSLATE(B65, ""en"", ""fr"")"),"potion Cure")</f>
        <v>potion Cure</v>
      </c>
      <c r="D65" s="23" t="str">
        <f>IFERROR(__xludf.DUMMYFUNCTION("GOOGLETRANSLATE(B65, ""en"", ""es"")"),"poción de curación")</f>
        <v>poción de curación</v>
      </c>
      <c r="E65" s="23" t="str">
        <f>IFERROR(__xludf.DUMMYFUNCTION("GOOGLETRANSLATE(B65, ""en"", ""ru"")"),"Лечение микстура")</f>
        <v>Лечение микстура</v>
      </c>
      <c r="F65" s="23" t="str">
        <f>IFERROR(__xludf.DUMMYFUNCTION("GOOGLETRANSLATE(B65, ""en"", ""tr"")"),"kür iksir")</f>
        <v>kür iksir</v>
      </c>
      <c r="G65" s="23" t="str">
        <f>IFERROR(__xludf.DUMMYFUNCTION("GOOGLETRANSLATE(B65, ""en"", ""pt"")"),"poção cura")</f>
        <v>poção cura</v>
      </c>
      <c r="H65" s="24" t="str">
        <f>IFERROR(__xludf.DUMMYFUNCTION("GOOGLETRANSLATE(B65, ""en"", ""de"")"),"Cure Trank")</f>
        <v>Cure Trank</v>
      </c>
      <c r="I65" s="23" t="str">
        <f>IFERROR(__xludf.DUMMYFUNCTION("GOOGLETRANSLATE(B65, ""en"", ""pl"")"),"Cure eliksir")</f>
        <v>Cure eliksir</v>
      </c>
      <c r="J65" s="25" t="str">
        <f>IFERROR(__xludf.DUMMYFUNCTION("GOOGLETRANSLATE(B65, ""en"", ""zh"")"),"治愈药水")</f>
        <v>治愈药水</v>
      </c>
      <c r="K65" s="25" t="str">
        <f>IFERROR(__xludf.DUMMYFUNCTION("GOOGLETRANSLATE(B65, ""en"", ""vi"")"),"chữa potion")</f>
        <v>chữa potion</v>
      </c>
      <c r="L65" s="26" t="str">
        <f>IFERROR(__xludf.DUMMYFUNCTION("GOOGLETRANSLATE(B65, ""en"", ""hr"")"),"Lijek napitak")</f>
        <v>Lijek napitak</v>
      </c>
      <c r="M65" s="28"/>
      <c r="N65" s="28"/>
      <c r="O65" s="28"/>
      <c r="P65" s="28"/>
      <c r="Q65" s="28"/>
      <c r="R65" s="28"/>
      <c r="S65" s="28"/>
      <c r="T65" s="28"/>
      <c r="U65" s="28"/>
      <c r="V65" s="28"/>
      <c r="W65" s="28"/>
      <c r="X65" s="28"/>
      <c r="Y65" s="28"/>
      <c r="Z65" s="28"/>
      <c r="AA65" s="28"/>
      <c r="AB65" s="28"/>
    </row>
    <row r="66">
      <c r="A66" s="40" t="s">
        <v>419</v>
      </c>
      <c r="B66" s="22" t="s">
        <v>420</v>
      </c>
      <c r="C66" s="23" t="str">
        <f>IFERROR(__xludf.DUMMYFUNCTION("GOOGLETRANSLATE(B66, ""en"", ""fr"")"),"Enlève le poison et la maladie et les vous immunise pendant un moment.")</f>
        <v>Enlève le poison et la maladie et les vous immunise pendant un moment.</v>
      </c>
      <c r="D66" s="23" t="str">
        <f>IFERROR(__xludf.DUMMYFUNCTION("GOOGLETRANSLATE(B66, ""en"", ""es"")"),"Elimina el veneno y la enfermedad y te hace inmune a ellos por un tiempo.")</f>
        <v>Elimina el veneno y la enfermedad y te hace inmune a ellos por un tiempo.</v>
      </c>
      <c r="E66" s="23" t="str">
        <f>IFERROR(__xludf.DUMMYFUNCTION("GOOGLETRANSLATE(B66,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66" s="23" t="str">
        <f>IFERROR(__xludf.DUMMYFUNCTION("GOOGLETRANSLATE(B66, ""en"", ""tr"")"),"Kaldırır zehir ve hastalık ve bir süre onlara bağışıklık yapar.")</f>
        <v>Kaldırır zehir ve hastalık ve bir süre onlara bağışıklık yapar.</v>
      </c>
      <c r="G66" s="23" t="str">
        <f>IFERROR(__xludf.DUMMYFUNCTION("GOOGLETRANSLATE(B66, ""en"", ""pt"")"),"Remove veneno e doenças e faz você imune a eles por um tempo.")</f>
        <v>Remove veneno e doenças e faz você imune a eles por um tempo.</v>
      </c>
      <c r="H66" s="24" t="str">
        <f>IFERROR(__xludf.DUMMYFUNCTION("GOOGLETRANSLATE(B66, ""en"", ""de"")"),"Beseitigt Gift und Krankheit und macht Sie für eine Weile, um sie immun.")</f>
        <v>Beseitigt Gift und Krankheit und macht Sie für eine Weile, um sie immun.</v>
      </c>
      <c r="I66" s="23" t="str">
        <f>IFERROR(__xludf.DUMMYFUNCTION("GOOGLETRANSLATE(B66, ""en"", ""pl"")"),"Usuwa trucizny i choroby i sprawia, że ​​jesteś odporny na nich przez chwilę.")</f>
        <v>Usuwa trucizny i choroby i sprawia, że ​​jesteś odporny na nich przez chwilę.</v>
      </c>
      <c r="J66" s="25" t="str">
        <f>IFERROR(__xludf.DUMMYFUNCTION("GOOGLETRANSLATE(B66, ""en"", ""zh"")"),"移除了毒物和疾病，让你不受他们一会儿。")</f>
        <v>移除了毒物和疾病，让你不受他们一会儿。</v>
      </c>
      <c r="K66" s="25" t="str">
        <f>IFERROR(__xludf.DUMMYFUNCTION("GOOGLETRANSLATE(B66, ""en"", ""vi"")"),"Loại bỏ chất độc và bệnh tật và làm cho bạn miễn dịch với họ một thời gian.")</f>
        <v>Loại bỏ chất độc và bệnh tật và làm cho bạn miễn dịch với họ một thời gian.</v>
      </c>
      <c r="L66" s="26" t="str">
        <f>IFERROR(__xludf.DUMMYFUNCTION("GOOGLETRANSLATE(B66, ""en"", ""hr"")"),"Uklanja otrov i bolesti i čini se imuni na njih za neko vrijeme.")</f>
        <v>Uklanja otrov i bolesti i čini se imuni na njih za neko vrijeme.</v>
      </c>
      <c r="M66" s="28"/>
      <c r="N66" s="28"/>
      <c r="O66" s="28"/>
      <c r="P66" s="28"/>
      <c r="Q66" s="28"/>
      <c r="R66" s="28"/>
      <c r="S66" s="28"/>
      <c r="T66" s="28"/>
      <c r="U66" s="28"/>
      <c r="V66" s="28"/>
      <c r="W66" s="28"/>
      <c r="X66" s="28"/>
      <c r="Y66" s="28"/>
      <c r="Z66" s="28"/>
      <c r="AA66" s="28"/>
      <c r="AB66" s="28"/>
    </row>
    <row r="67">
      <c r="A67" s="21" t="s">
        <v>421</v>
      </c>
      <c r="B67" s="22" t="s">
        <v>422</v>
      </c>
      <c r="C67" s="23" t="str">
        <f>IFERROR(__xludf.DUMMYFUNCTION("GOOGLETRANSLATE(B67, ""en"", ""fr"")"),"fer hache de guerre")</f>
        <v>fer hache de guerre</v>
      </c>
      <c r="D67" s="23" t="str">
        <f>IFERROR(__xludf.DUMMYFUNCTION("GOOGLETRANSLATE(B67, ""en"", ""es"")"),"hacha de hierro")</f>
        <v>hacha de hierro</v>
      </c>
      <c r="E67" s="23" t="str">
        <f>IFERROR(__xludf.DUMMYFUNCTION("GOOGLETRANSLATE(B67, ""en"", ""ru"")"),"Железный топор войны")</f>
        <v>Железный топор войны</v>
      </c>
      <c r="F67" s="23" t="str">
        <f>IFERROR(__xludf.DUMMYFUNCTION("GOOGLETRANSLATE(B67, ""en"", ""tr"")"),"Demir balta")</f>
        <v>Demir balta</v>
      </c>
      <c r="G67" s="23" t="str">
        <f>IFERROR(__xludf.DUMMYFUNCTION("GOOGLETRANSLATE(B67, ""en"", ""pt"")"),"machado de ferro")</f>
        <v>machado de ferro</v>
      </c>
      <c r="H67" s="24" t="str">
        <f>IFERROR(__xludf.DUMMYFUNCTION("GOOGLETRANSLATE(B67, ""en"", ""de"")"),"Eisen Beil")</f>
        <v>Eisen Beil</v>
      </c>
      <c r="I67" s="23" t="str">
        <f>IFERROR(__xludf.DUMMYFUNCTION("GOOGLETRANSLATE(B67, ""en"", ""pl"")"),"Żelazna siekierka")</f>
        <v>Żelazna siekierka</v>
      </c>
      <c r="J67" s="25" t="str">
        <f>IFERROR(__xludf.DUMMYFUNCTION("GOOGLETRANSLATE(B67, ""en"", ""zh"")"),"铁前嫌")</f>
        <v>铁前嫌</v>
      </c>
      <c r="K67" s="25" t="str">
        <f>IFERROR(__xludf.DUMMYFUNCTION("GOOGLETRANSLATE(B67, ""en"", ""vi"")"),"sắt rìu")</f>
        <v>sắt rìu</v>
      </c>
      <c r="L67" s="26" t="str">
        <f>IFERROR(__xludf.DUMMYFUNCTION("GOOGLETRANSLATE(B67, ""en"", ""hr"")"),"Željezo sjekirica")</f>
        <v>Željezo sjekirica</v>
      </c>
      <c r="M67" s="28"/>
      <c r="N67" s="28"/>
      <c r="O67" s="28"/>
      <c r="P67" s="28"/>
      <c r="Q67" s="28"/>
      <c r="R67" s="28"/>
      <c r="S67" s="28"/>
      <c r="T67" s="28"/>
      <c r="U67" s="28"/>
      <c r="V67" s="28"/>
      <c r="W67" s="28"/>
      <c r="X67" s="28"/>
      <c r="Y67" s="28"/>
      <c r="Z67" s="28"/>
      <c r="AA67" s="28"/>
      <c r="AB67" s="28"/>
    </row>
    <row r="68">
      <c r="A68" s="21" t="s">
        <v>423</v>
      </c>
      <c r="B68" s="22" t="s">
        <v>424</v>
      </c>
      <c r="C68" s="23" t="str">
        <f>IFERROR(__xludf.DUMMYFUNCTION("GOOGLETRANSLATE(B68, ""en"", ""fr"")"),"Utilisé pour abattre des arbres pour le bois.")</f>
        <v>Utilisé pour abattre des arbres pour le bois.</v>
      </c>
      <c r="D68" s="23" t="str">
        <f>IFERROR(__xludf.DUMMYFUNCTION("GOOGLETRANSLATE(B68, ""en"", ""es"")"),"Se utiliza para cortar árboles para madera.")</f>
        <v>Se utiliza para cortar árboles para madera.</v>
      </c>
      <c r="E68" s="23" t="str">
        <f>IFERROR(__xludf.DUMMYFUNCTION("GOOGLETRANSLATE(B68, ""en"", ""ru"")"),"Используется рубить деревья для дерева.")</f>
        <v>Используется рубить деревья для дерева.</v>
      </c>
      <c r="F68" s="23" t="str">
        <f>IFERROR(__xludf.DUMMYFUNCTION("GOOGLETRANSLATE(B68, ""en"", ""tr"")"),"buradaki ağaçları devirmek için kullanılır.")</f>
        <v>buradaki ağaçları devirmek için kullanılır.</v>
      </c>
      <c r="G68" s="23" t="str">
        <f>IFERROR(__xludf.DUMMYFUNCTION("GOOGLETRANSLATE(B68, ""en"", ""pt"")"),"Usado para derrubar árvores para madeira.")</f>
        <v>Usado para derrubar árvores para madeira.</v>
      </c>
      <c r="H68" s="24" t="str">
        <f>IFERROR(__xludf.DUMMYFUNCTION("GOOGLETRANSLATE(B68, ""en"", ""de"")"),"Gebrauchte Bäume zu fällen für Holz.")</f>
        <v>Gebrauchte Bäume zu fällen für Holz.</v>
      </c>
      <c r="I68" s="23" t="str">
        <f>IFERROR(__xludf.DUMMYFUNCTION("GOOGLETRANSLATE(B68, ""en"", ""pl"")"),"Służy do ścinać drzewa w lesie.")</f>
        <v>Służy do ścinać drzewa w lesie.</v>
      </c>
      <c r="J68" s="25" t="str">
        <f>IFERROR(__xludf.DUMMYFUNCTION("GOOGLETRANSLATE(B68, ""en"", ""zh"")"),"用来砍木材的树木。")</f>
        <v>用来砍木材的树木。</v>
      </c>
      <c r="K68" s="25" t="str">
        <f>IFERROR(__xludf.DUMMYFUNCTION("GOOGLETRANSLATE(B68, ""en"", ""vi"")"),"Dùng để đốn cây lấy gỗ.")</f>
        <v>Dùng để đốn cây lấy gỗ.</v>
      </c>
      <c r="L68" s="26" t="str">
        <f>IFERROR(__xludf.DUMMYFUNCTION("GOOGLETRANSLATE(B68, ""en"", ""hr"")"),"Koristi se za kotlet dolje stabala za drvo.")</f>
        <v>Koristi se za kotlet dolje stabala za drvo.</v>
      </c>
      <c r="M68" s="28"/>
      <c r="N68" s="28"/>
      <c r="O68" s="28"/>
      <c r="P68" s="28"/>
      <c r="Q68" s="28"/>
      <c r="R68" s="28"/>
      <c r="S68" s="28"/>
      <c r="T68" s="28"/>
      <c r="U68" s="28"/>
      <c r="V68" s="28"/>
      <c r="W68" s="28"/>
      <c r="X68" s="28"/>
      <c r="Y68" s="28"/>
      <c r="Z68" s="28"/>
      <c r="AA68" s="28"/>
      <c r="AB68" s="28"/>
    </row>
    <row r="69">
      <c r="A69" s="21" t="s">
        <v>425</v>
      </c>
      <c r="B69" s="22" t="s">
        <v>426</v>
      </c>
      <c r="C69" s="23" t="str">
        <f>IFERROR(__xludf.DUMMYFUNCTION("GOOGLETRANSLATE(B69, ""en"", ""fr"")"),"fer pickaxe")</f>
        <v>fer pickaxe</v>
      </c>
      <c r="D69" s="23" t="str">
        <f>IFERROR(__xludf.DUMMYFUNCTION("GOOGLETRANSLATE(B69, ""en"", ""es"")"),"piqueta de hierro")</f>
        <v>piqueta de hierro</v>
      </c>
      <c r="E69" s="23" t="str">
        <f>IFERROR(__xludf.DUMMYFUNCTION("GOOGLETRANSLATE(B69, ""en"", ""ru"")"),"Железо кирка")</f>
        <v>Железо кирка</v>
      </c>
      <c r="F69" s="23" t="str">
        <f>IFERROR(__xludf.DUMMYFUNCTION("GOOGLETRANSLATE(B69, ""en"", ""tr"")"),"Demir kazma")</f>
        <v>Demir kazma</v>
      </c>
      <c r="G69" s="23" t="str">
        <f>IFERROR(__xludf.DUMMYFUNCTION("GOOGLETRANSLATE(B69, ""en"", ""pt"")"),"picareta de ferro")</f>
        <v>picareta de ferro</v>
      </c>
      <c r="H69" s="24" t="str">
        <f>IFERROR(__xludf.DUMMYFUNCTION("GOOGLETRANSLATE(B69, ""en"", ""de"")"),"Eisen pickaxe")</f>
        <v>Eisen pickaxe</v>
      </c>
      <c r="I69" s="23" t="str">
        <f>IFERROR(__xludf.DUMMYFUNCTION("GOOGLETRANSLATE(B69, ""en"", ""pl"")"),"żelazo kilof")</f>
        <v>żelazo kilof</v>
      </c>
      <c r="J69" s="25" t="str">
        <f>IFERROR(__xludf.DUMMYFUNCTION("GOOGLETRANSLATE(B69, ""en"", ""zh"")"),"铁镐头")</f>
        <v>铁镐头</v>
      </c>
      <c r="K69" s="25" t="str">
        <f>IFERROR(__xludf.DUMMYFUNCTION("GOOGLETRANSLATE(B69, ""en"", ""vi"")"),"sắt cuốc")</f>
        <v>sắt cuốc</v>
      </c>
      <c r="L69" s="26" t="str">
        <f>IFERROR(__xludf.DUMMYFUNCTION("GOOGLETRANSLATE(B69, ""en"", ""hr"")"),"Željezo pijuk")</f>
        <v>Željezo pijuk</v>
      </c>
      <c r="M69" s="28"/>
      <c r="N69" s="28"/>
      <c r="O69" s="28"/>
      <c r="P69" s="28"/>
      <c r="Q69" s="28"/>
      <c r="R69" s="28"/>
      <c r="S69" s="28"/>
      <c r="T69" s="28"/>
      <c r="U69" s="28"/>
      <c r="V69" s="28"/>
      <c r="W69" s="28"/>
      <c r="X69" s="28"/>
      <c r="Y69" s="28"/>
      <c r="Z69" s="28"/>
      <c r="AA69" s="28"/>
      <c r="AB69" s="28"/>
    </row>
    <row r="70">
      <c r="A70" s="21" t="s">
        <v>427</v>
      </c>
      <c r="B70" s="22" t="s">
        <v>428</v>
      </c>
      <c r="C70" s="23" t="str">
        <f>IFERROR(__xludf.DUMMYFUNCTION("GOOGLETRANSLATE(B70, ""en"", ""fr"")"),"Utilisé pour les roches de la mine pour le minerai.")</f>
        <v>Utilisé pour les roches de la mine pour le minerai.</v>
      </c>
      <c r="D70" s="23" t="str">
        <f>IFERROR(__xludf.DUMMYFUNCTION("GOOGLETRANSLATE(B70, ""en"", ""es"")"),"Se utiliza para rocas de las minas de mineral.")</f>
        <v>Se utiliza para rocas de las minas de mineral.</v>
      </c>
      <c r="E70" s="23" t="str">
        <f>IFERROR(__xludf.DUMMYFUNCTION("GOOGLETRANSLATE(B70, ""en"", ""ru"")"),"Используется для горных пород для руды.")</f>
        <v>Используется для горных пород для руды.</v>
      </c>
      <c r="F70" s="23" t="str">
        <f>IFERROR(__xludf.DUMMYFUNCTION("GOOGLETRANSLATE(B70, ""en"", ""tr"")"),"cevher için maden kayalar için kullanılır.")</f>
        <v>cevher için maden kayalar için kullanılır.</v>
      </c>
      <c r="G70" s="23" t="str">
        <f>IFERROR(__xludf.DUMMYFUNCTION("GOOGLETRANSLATE(B70, ""en"", ""pt"")"),"Usado para meus rochas de minério.")</f>
        <v>Usado para meus rochas de minério.</v>
      </c>
      <c r="H70" s="24" t="str">
        <f>IFERROR(__xludf.DUMMYFUNCTION("GOOGLETRANSLATE(B70, ""en"", ""de"")"),"Wird verwendet, um mein Felsen für Erz.")</f>
        <v>Wird verwendet, um mein Felsen für Erz.</v>
      </c>
      <c r="I70" s="23" t="str">
        <f>IFERROR(__xludf.DUMMYFUNCTION("GOOGLETRANSLATE(B70, ""en"", ""pl"")"),"Służy do kopalń rudy.")</f>
        <v>Służy do kopalń rudy.</v>
      </c>
      <c r="J70" s="25" t="str">
        <f>IFERROR(__xludf.DUMMYFUNCTION("GOOGLETRANSLATE(B70, ""en"", ""zh"")"),"用于矿山岩石矿石。")</f>
        <v>用于矿山岩石矿石。</v>
      </c>
      <c r="K70" s="25" t="str">
        <f>IFERROR(__xludf.DUMMYFUNCTION("GOOGLETRANSLATE(B70, ""en"", ""vi"")"),"Được sử dụng để đá mỏ quặng.")</f>
        <v>Được sử dụng để đá mỏ quặng.</v>
      </c>
      <c r="L70" s="26" t="str">
        <f>IFERROR(__xludf.DUMMYFUNCTION("GOOGLETRANSLATE(B70, ""en"", ""hr"")"),"Koristi se mina stijena za rude.")</f>
        <v>Koristi se mina stijena za rude.</v>
      </c>
      <c r="M70" s="28"/>
      <c r="N70" s="28"/>
      <c r="O70" s="28"/>
      <c r="P70" s="28"/>
      <c r="Q70" s="28"/>
      <c r="R70" s="28"/>
      <c r="S70" s="28"/>
      <c r="T70" s="28"/>
      <c r="U70" s="28"/>
      <c r="V70" s="28"/>
      <c r="W70" s="28"/>
      <c r="X70" s="28"/>
      <c r="Y70" s="28"/>
      <c r="Z70" s="28"/>
      <c r="AA70" s="28"/>
      <c r="AB70" s="28"/>
    </row>
    <row r="71">
      <c r="A71" s="21" t="s">
        <v>429</v>
      </c>
      <c r="B71" s="22" t="s">
        <v>430</v>
      </c>
      <c r="C71" s="23" t="str">
        <f>IFERROR(__xludf.DUMMYFUNCTION("GOOGLETRANSLATE(B71, ""en"", ""fr"")"),"flèches fer")</f>
        <v>flèches fer</v>
      </c>
      <c r="D71" s="23" t="str">
        <f>IFERROR(__xludf.DUMMYFUNCTION("GOOGLETRANSLATE(B71, ""en"", ""es"")"),"flechas de hierro")</f>
        <v>flechas de hierro</v>
      </c>
      <c r="E71" s="23" t="str">
        <f>IFERROR(__xludf.DUMMYFUNCTION("GOOGLETRANSLATE(B71, ""en"", ""ru"")"),"Железные стрелки")</f>
        <v>Железные стрелки</v>
      </c>
      <c r="F71" s="23" t="str">
        <f>IFERROR(__xludf.DUMMYFUNCTION("GOOGLETRANSLATE(B71, ""en"", ""tr"")"),"Demir oklar")</f>
        <v>Demir oklar</v>
      </c>
      <c r="G71" s="23" t="str">
        <f>IFERROR(__xludf.DUMMYFUNCTION("GOOGLETRANSLATE(B71, ""en"", ""pt"")"),"flechas de ferro")</f>
        <v>flechas de ferro</v>
      </c>
      <c r="H71" s="24" t="str">
        <f>IFERROR(__xludf.DUMMYFUNCTION("GOOGLETRANSLATE(B71, ""en"", ""de"")"),"Eisenpfeile")</f>
        <v>Eisenpfeile</v>
      </c>
      <c r="I71" s="23" t="str">
        <f>IFERROR(__xludf.DUMMYFUNCTION("GOOGLETRANSLATE(B71, ""en"", ""pl"")"),"strzałki żelaza")</f>
        <v>strzałki żelaza</v>
      </c>
      <c r="J71" s="25" t="str">
        <f>IFERROR(__xludf.DUMMYFUNCTION("GOOGLETRANSLATE(B71, ""en"", ""zh"")"),"铁箭头")</f>
        <v>铁箭头</v>
      </c>
      <c r="K71" s="25" t="str">
        <f>IFERROR(__xludf.DUMMYFUNCTION("GOOGLETRANSLATE(B71, ""en"", ""vi"")"),"mũi tên sắt")</f>
        <v>mũi tên sắt</v>
      </c>
      <c r="L71" s="26" t="str">
        <f>IFERROR(__xludf.DUMMYFUNCTION("GOOGLETRANSLATE(B71, ""en"", ""hr"")"),"Iron strelice")</f>
        <v>Iron strelice</v>
      </c>
      <c r="M71" s="28"/>
      <c r="N71" s="28"/>
      <c r="O71" s="28"/>
      <c r="P71" s="28"/>
      <c r="Q71" s="28"/>
      <c r="R71" s="28"/>
      <c r="S71" s="28"/>
      <c r="T71" s="28"/>
      <c r="U71" s="28"/>
      <c r="V71" s="28"/>
      <c r="W71" s="28"/>
      <c r="X71" s="28"/>
      <c r="Y71" s="28"/>
      <c r="Z71" s="28"/>
      <c r="AA71" s="28"/>
      <c r="AB71" s="28"/>
    </row>
    <row r="72">
      <c r="A72" s="21" t="s">
        <v>431</v>
      </c>
      <c r="B72" s="22" t="s">
        <v>432</v>
      </c>
      <c r="C72" s="23" t="str">
        <f>IFERROR(__xludf.DUMMYFUNCTION("GOOGLETRANSLATE(B72, ""en"", ""fr"")"),"Utilisé comme munitions pour un arc.")</f>
        <v>Utilisé comme munitions pour un arc.</v>
      </c>
      <c r="D72" s="23" t="str">
        <f>IFERROR(__xludf.DUMMYFUNCTION("GOOGLETRANSLATE(B72, ""en"", ""es"")"),"Se utiliza como munición para un arco.")</f>
        <v>Se utiliza como munición para un arco.</v>
      </c>
      <c r="E72" s="23" t="str">
        <f>IFERROR(__xludf.DUMMYFUNCTION("GOOGLETRANSLATE(B72, ""en"", ""ru"")"),"Используется в качестве боеприпасов для лука.")</f>
        <v>Используется в качестве боеприпасов для лука.</v>
      </c>
      <c r="F72" s="23" t="str">
        <f>IFERROR(__xludf.DUMMYFUNCTION("GOOGLETRANSLATE(B72, ""en"", ""tr"")"),"Bir yay için mühimmat olarak kullanılır.")</f>
        <v>Bir yay için mühimmat olarak kullanılır.</v>
      </c>
      <c r="G72" s="23" t="str">
        <f>IFERROR(__xludf.DUMMYFUNCTION("GOOGLETRANSLATE(B72, ""en"", ""pt"")"),"Usado como munição para um arco.")</f>
        <v>Usado como munição para um arco.</v>
      </c>
      <c r="H72" s="24" t="str">
        <f>IFERROR(__xludf.DUMMYFUNCTION("GOOGLETRANSLATE(B72, ""en"", ""de"")"),"Wird als Munition für einen Bogen.")</f>
        <v>Wird als Munition für einen Bogen.</v>
      </c>
      <c r="I72" s="23" t="str">
        <f>IFERROR(__xludf.DUMMYFUNCTION("GOOGLETRANSLATE(B72, ""en"", ""pl"")"),"Używany jako amunicji do łuku.")</f>
        <v>Używany jako amunicji do łuku.</v>
      </c>
      <c r="J72" s="25" t="str">
        <f>IFERROR(__xludf.DUMMYFUNCTION("GOOGLETRANSLATE(B72, ""en"", ""zh"")"),"作为弹药弓。")</f>
        <v>作为弹药弓。</v>
      </c>
      <c r="K72" s="25" t="str">
        <f>IFERROR(__xludf.DUMMYFUNCTION("GOOGLETRANSLATE(B72, ""en"", ""vi"")"),"Sử dụng như đạn dược cho một cây cung.")</f>
        <v>Sử dụng như đạn dược cho một cây cung.</v>
      </c>
      <c r="L72" s="26" t="str">
        <f>IFERROR(__xludf.DUMMYFUNCTION("GOOGLETRANSLATE(B72, ""en"", ""hr"")"),"Koristi se kao streljivo za luk.")</f>
        <v>Koristi se kao streljivo za luk.</v>
      </c>
      <c r="M72" s="28"/>
      <c r="N72" s="28"/>
      <c r="O72" s="28"/>
      <c r="P72" s="28"/>
      <c r="Q72" s="28"/>
      <c r="R72" s="28"/>
      <c r="S72" s="28"/>
      <c r="T72" s="28"/>
      <c r="U72" s="28"/>
      <c r="V72" s="28"/>
      <c r="W72" s="28"/>
      <c r="X72" s="28"/>
      <c r="Y72" s="28"/>
      <c r="Z72" s="28"/>
      <c r="AA72" s="28"/>
      <c r="AB72" s="28"/>
    </row>
    <row r="73">
      <c r="A73" s="21" t="s">
        <v>433</v>
      </c>
      <c r="B73" s="22" t="s">
        <v>434</v>
      </c>
      <c r="C73" s="23" t="str">
        <f>IFERROR(__xludf.DUMMYFUNCTION("GOOGLETRANSLATE(B73, ""en"", ""fr"")"),"poignard de fer")</f>
        <v>poignard de fer</v>
      </c>
      <c r="D73" s="23" t="str">
        <f>IFERROR(__xludf.DUMMYFUNCTION("GOOGLETRANSLATE(B73, ""en"", ""es"")"),"daga de hierro")</f>
        <v>daga de hierro</v>
      </c>
      <c r="E73" s="23" t="str">
        <f>IFERROR(__xludf.DUMMYFUNCTION("GOOGLETRANSLATE(B73, ""en"", ""ru"")"),"Железный крестик")</f>
        <v>Железный крестик</v>
      </c>
      <c r="F73" s="23" t="str">
        <f>IFERROR(__xludf.DUMMYFUNCTION("GOOGLETRANSLATE(B73, ""en"", ""tr"")"),"Demir hançer")</f>
        <v>Demir hançer</v>
      </c>
      <c r="G73" s="23" t="str">
        <f>IFERROR(__xludf.DUMMYFUNCTION("GOOGLETRANSLATE(B73, ""en"", ""pt"")"),"punhal de ferro")</f>
        <v>punhal de ferro</v>
      </c>
      <c r="H73" s="24" t="str">
        <f>IFERROR(__xludf.DUMMYFUNCTION("GOOGLETRANSLATE(B73, ""en"", ""de"")"),"Eisendolch")</f>
        <v>Eisendolch</v>
      </c>
      <c r="I73" s="23" t="str">
        <f>IFERROR(__xludf.DUMMYFUNCTION("GOOGLETRANSLATE(B73, ""en"", ""pl"")"),"żelazo sztylet")</f>
        <v>żelazo sztylet</v>
      </c>
      <c r="J73" s="25" t="str">
        <f>IFERROR(__xludf.DUMMYFUNCTION("GOOGLETRANSLATE(B73, ""en"", ""zh"")"),"铁匕首")</f>
        <v>铁匕首</v>
      </c>
      <c r="K73" s="25" t="str">
        <f>IFERROR(__xludf.DUMMYFUNCTION("GOOGLETRANSLATE(B73, ""en"", ""vi"")"),"sắt dao găm")</f>
        <v>sắt dao găm</v>
      </c>
      <c r="L73" s="26" t="str">
        <f>IFERROR(__xludf.DUMMYFUNCTION("GOOGLETRANSLATE(B73, ""en"", ""hr"")"),"Željezo bodež")</f>
        <v>Željezo bodež</v>
      </c>
      <c r="M73" s="28"/>
      <c r="N73" s="28"/>
      <c r="O73" s="28"/>
      <c r="P73" s="28"/>
      <c r="Q73" s="28"/>
      <c r="R73" s="28"/>
      <c r="S73" s="28"/>
      <c r="T73" s="28"/>
      <c r="U73" s="28"/>
      <c r="V73" s="28"/>
      <c r="W73" s="28"/>
      <c r="X73" s="28"/>
      <c r="Y73" s="28"/>
      <c r="Z73" s="28"/>
      <c r="AA73" s="28"/>
      <c r="AB73" s="28"/>
    </row>
    <row r="74">
      <c r="A74" s="21" t="s">
        <v>435</v>
      </c>
      <c r="B74" s="22" t="s">
        <v>436</v>
      </c>
      <c r="C74" s="23" t="str">
        <f>IFERROR(__xludf.DUMMYFUNCTION("GOOGLETRANSLATE(B74,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74" s="23" t="str">
        <f>IFERROR(__xludf.DUMMYFUNCTION("GOOGLETRANSLATE(B74,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74" s="23" t="str">
        <f>IFERROR(__xludf.DUMMYFUNCTION("GOOGLETRANSLATE(B74,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74" s="23" t="str">
        <f>IFERROR(__xludf.DUMMYFUNCTION("GOOGLETRANSLATE(B74,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74" s="23" t="str">
        <f>IFERROR(__xludf.DUMMYFUNCTION("GOOGLETRANSLATE(B74,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74" s="24" t="str">
        <f>IFERROR(__xludf.DUMMYFUNCTION("GOOGLETRANSLATE(B74,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74" s="23" t="str">
        <f>IFERROR(__xludf.DUMMYFUNCTION("GOOGLETRANSLATE(B74,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74" s="25" t="str">
        <f>IFERROR(__xludf.DUMMYFUNCTION("GOOGLETRANSLATE(B74, ""en"", ""zh"")"),"近战武器。用于攻击一个空间远在你面对的方向。造成额外的伤害，当它从背后击中。")</f>
        <v>近战武器。用于攻击一个空间远在你面对的方向。造成额外的伤害，当它从背后击中。</v>
      </c>
      <c r="K74" s="25" t="str">
        <f>IFERROR(__xludf.DUMMYFUNCTION("GOOGLETRANSLATE(B74,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74" s="26" t="str">
        <f>IFERROR(__xludf.DUMMYFUNCTION("GOOGLETRANSLATE(B74,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74" s="28"/>
      <c r="N74" s="28"/>
      <c r="O74" s="28"/>
      <c r="P74" s="28"/>
      <c r="Q74" s="28"/>
      <c r="R74" s="28"/>
      <c r="S74" s="28"/>
      <c r="T74" s="28"/>
      <c r="U74" s="28"/>
      <c r="V74" s="28"/>
      <c r="W74" s="28"/>
      <c r="X74" s="28"/>
      <c r="Y74" s="28"/>
      <c r="Z74" s="28"/>
      <c r="AA74" s="28"/>
      <c r="AB74" s="28"/>
    </row>
    <row r="75">
      <c r="A75" s="21" t="s">
        <v>437</v>
      </c>
      <c r="B75" s="22" t="s">
        <v>438</v>
      </c>
      <c r="C75" s="23" t="str">
        <f>IFERROR(__xludf.DUMMYFUNCTION("GOOGLETRANSLATE(B75, ""en"", ""fr"")"),"Épée de fer")</f>
        <v>Épée de fer</v>
      </c>
      <c r="D75" s="23" t="str">
        <f>IFERROR(__xludf.DUMMYFUNCTION("GOOGLETRANSLATE(B75, ""en"", ""es"")"),"Espada de hierro")</f>
        <v>Espada de hierro</v>
      </c>
      <c r="E75" s="23" t="str">
        <f>IFERROR(__xludf.DUMMYFUNCTION("GOOGLETRANSLATE(B75, ""en"", ""ru"")"),"Железный меч")</f>
        <v>Железный меч</v>
      </c>
      <c r="F75" s="23" t="str">
        <f>IFERROR(__xludf.DUMMYFUNCTION("GOOGLETRANSLATE(B75, ""en"", ""tr"")"),"Demir kılıç")</f>
        <v>Demir kılıç</v>
      </c>
      <c r="G75" s="23" t="str">
        <f>IFERROR(__xludf.DUMMYFUNCTION("GOOGLETRANSLATE(B75, ""en"", ""pt"")"),"Espada de ferro")</f>
        <v>Espada de ferro</v>
      </c>
      <c r="H75" s="24" t="str">
        <f>IFERROR(__xludf.DUMMYFUNCTION("GOOGLETRANSLATE(B75, ""en"", ""de"")"),"Eisenschwert")</f>
        <v>Eisenschwert</v>
      </c>
      <c r="I75" s="23" t="str">
        <f>IFERROR(__xludf.DUMMYFUNCTION("GOOGLETRANSLATE(B75, ""en"", ""pl"")"),"Żelazny miecz")</f>
        <v>Żelazny miecz</v>
      </c>
      <c r="J75" s="25" t="str">
        <f>IFERROR(__xludf.DUMMYFUNCTION("GOOGLETRANSLATE(B75, ""en"", ""zh"")"),"铁剑")</f>
        <v>铁剑</v>
      </c>
      <c r="K75" s="25" t="str">
        <f>IFERROR(__xludf.DUMMYFUNCTION("GOOGLETRANSLATE(B75, ""en"", ""vi"")"),"Thanh kiếm sắt")</f>
        <v>Thanh kiếm sắt</v>
      </c>
      <c r="L75" s="26" t="str">
        <f>IFERROR(__xludf.DUMMYFUNCTION("GOOGLETRANSLATE(B75, ""en"", ""hr"")"),"Željezo mač")</f>
        <v>Željezo mač</v>
      </c>
      <c r="M75" s="28"/>
      <c r="N75" s="28"/>
      <c r="O75" s="28"/>
      <c r="P75" s="28"/>
      <c r="Q75" s="28"/>
      <c r="R75" s="28"/>
      <c r="S75" s="28"/>
      <c r="T75" s="28"/>
      <c r="U75" s="28"/>
      <c r="V75" s="28"/>
      <c r="W75" s="28"/>
      <c r="X75" s="28"/>
      <c r="Y75" s="28"/>
      <c r="Z75" s="28"/>
      <c r="AA75" s="28"/>
      <c r="AB75" s="28"/>
    </row>
    <row r="76">
      <c r="A76" s="21" t="s">
        <v>439</v>
      </c>
      <c r="B76" s="22" t="s">
        <v>440</v>
      </c>
      <c r="C76" s="23" t="str">
        <f>IFERROR(__xludf.DUMMYFUNCTION("GOOGLETRANSLATE(B76, ""en"", ""fr"")"),"Arme de mêlée. Utilisé pour attaquer une courte distance dans la direction que vous faites face.")</f>
        <v>Arme de mêlée. Utilisé pour attaquer une courte distance dans la direction que vous faites face.</v>
      </c>
      <c r="D76" s="23" t="str">
        <f>IFERROR(__xludf.DUMMYFUNCTION("GOOGLETRANSLATE(B76, ""en"", ""es"")"),"arma cuerpo a cuerpo. Se utiliza para atacar a corta distancia en la dirección que está enfrentando.")</f>
        <v>arma cuerpo a cuerpo. Se utiliza para atacar a corta distancia en la dirección que está enfrentando.</v>
      </c>
      <c r="E76" s="23" t="str">
        <f>IFERROR(__xludf.DUMMYFUNCTION("GOOGLETRANSLATE(B76,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76" s="23" t="str">
        <f>IFERROR(__xludf.DUMMYFUNCTION("GOOGLETRANSLATE(B76, ""en"", ""tr"")"),"Yakın dövüş silahı. Eğer karşı karşıya yönde kısa bir mesafe uzakta saldırmak için kullanılır.")</f>
        <v>Yakın dövüş silahı. Eğer karşı karşıya yönde kısa bir mesafe uzakta saldırmak için kullanılır.</v>
      </c>
      <c r="G76" s="23" t="str">
        <f>IFERROR(__xludf.DUMMYFUNCTION("GOOGLETRANSLATE(B76, ""en"", ""pt"")"),"Arma branca. Usado para atacar a uma curta distância na direção que você está enfrentando.")</f>
        <v>Arma branca. Usado para atacar a uma curta distância na direção que você está enfrentando.</v>
      </c>
      <c r="H76" s="24" t="str">
        <f>IFERROR(__xludf.DUMMYFUNCTION("GOOGLETRANSLATE(B76, ""en"", ""de"")"),"Nahkampfwaffe. Verwendet, um eine kurze Strecke zum Angriff in Richtung weg Sie konfrontiert sind.")</f>
        <v>Nahkampfwaffe. Verwendet, um eine kurze Strecke zum Angriff in Richtung weg Sie konfrontiert sind.</v>
      </c>
      <c r="I76" s="23" t="str">
        <f>IFERROR(__xludf.DUMMYFUNCTION("GOOGLETRANSLATE(B76, ""en"", ""pl"")"),"Broń biała. Wykorzystana do ataku na krótkie odległości w kierunku, w którym stoją.")</f>
        <v>Broń biała. Wykorzystana do ataku na krótkie odległości w kierunku, w którym stoją.</v>
      </c>
      <c r="J76" s="25" t="str">
        <f>IFERROR(__xludf.DUMMYFUNCTION("GOOGLETRANSLATE(B76, ""en"", ""zh"")"),"近战武器。适用于您所面对的方向攻击很短的距离。")</f>
        <v>近战武器。适用于您所面对的方向攻击很短的距离。</v>
      </c>
      <c r="K76" s="25" t="str">
        <f>IFERROR(__xludf.DUMMYFUNCTION("GOOGLETRANSLATE(B76,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76" s="26" t="str">
        <f>IFERROR(__xludf.DUMMYFUNCTION("GOOGLETRANSLATE(B76, ""en"", ""hr"")"),"Gužva oružje. Koristi se za napad nedaleko u smjeru u kojem se suočavaju.")</f>
        <v>Gužva oružje. Koristi se za napad nedaleko u smjeru u kojem se suočavaju.</v>
      </c>
      <c r="M76" s="28"/>
      <c r="N76" s="28"/>
      <c r="O76" s="28"/>
      <c r="P76" s="28"/>
      <c r="Q76" s="28"/>
      <c r="R76" s="28"/>
      <c r="S76" s="28"/>
      <c r="T76" s="28"/>
      <c r="U76" s="28"/>
      <c r="V76" s="28"/>
      <c r="W76" s="28"/>
      <c r="X76" s="28"/>
      <c r="Y76" s="28"/>
      <c r="Z76" s="28"/>
      <c r="AA76" s="28"/>
      <c r="AB76" s="28"/>
    </row>
    <row r="77">
      <c r="A77" s="21" t="s">
        <v>441</v>
      </c>
      <c r="B77" s="22" t="s">
        <v>442</v>
      </c>
      <c r="C77" s="23" t="str">
        <f>IFERROR(__xludf.DUMMYFUNCTION("GOOGLETRANSLATE(B77, ""en"", ""fr"")"),"marteau de fer")</f>
        <v>marteau de fer</v>
      </c>
      <c r="D77" s="23" t="str">
        <f>IFERROR(__xludf.DUMMYFUNCTION("GOOGLETRANSLATE(B77, ""en"", ""es"")"),"martillo de hierro")</f>
        <v>martillo de hierro</v>
      </c>
      <c r="E77" s="23" t="str">
        <f>IFERROR(__xludf.DUMMYFUNCTION("GOOGLETRANSLATE(B77, ""en"", ""ru"")"),"Железный молоток")</f>
        <v>Железный молоток</v>
      </c>
      <c r="F77" s="23" t="str">
        <f>IFERROR(__xludf.DUMMYFUNCTION("GOOGLETRANSLATE(B77, ""en"", ""tr"")"),"Demir çekiç")</f>
        <v>Demir çekiç</v>
      </c>
      <c r="G77" s="23" t="str">
        <f>IFERROR(__xludf.DUMMYFUNCTION("GOOGLETRANSLATE(B77, ""en"", ""pt"")"),"martelo de ferro")</f>
        <v>martelo de ferro</v>
      </c>
      <c r="H77" s="24" t="str">
        <f>IFERROR(__xludf.DUMMYFUNCTION("GOOGLETRANSLATE(B77, ""en"", ""de"")"),"Eisenhammer")</f>
        <v>Eisenhammer</v>
      </c>
      <c r="I77" s="23" t="str">
        <f>IFERROR(__xludf.DUMMYFUNCTION("GOOGLETRANSLATE(B77, ""en"", ""pl"")"),"żelazo młot")</f>
        <v>żelazo młot</v>
      </c>
      <c r="J77" s="25" t="str">
        <f>IFERROR(__xludf.DUMMYFUNCTION("GOOGLETRANSLATE(B77, ""en"", ""zh"")"),"铁榔头")</f>
        <v>铁榔头</v>
      </c>
      <c r="K77" s="25" t="str">
        <f>IFERROR(__xludf.DUMMYFUNCTION("GOOGLETRANSLATE(B77, ""en"", ""vi"")"),"sắt búa")</f>
        <v>sắt búa</v>
      </c>
      <c r="L77" s="26" t="str">
        <f>IFERROR(__xludf.DUMMYFUNCTION("GOOGLETRANSLATE(B77, ""en"", ""hr"")"),"Željezo čekić")</f>
        <v>Željezo čekić</v>
      </c>
      <c r="M77" s="28"/>
      <c r="N77" s="28"/>
      <c r="O77" s="28"/>
      <c r="P77" s="28"/>
      <c r="Q77" s="28"/>
      <c r="R77" s="28"/>
      <c r="S77" s="28"/>
      <c r="T77" s="28"/>
      <c r="U77" s="28"/>
      <c r="V77" s="28"/>
      <c r="W77" s="28"/>
      <c r="X77" s="28"/>
      <c r="Y77" s="28"/>
      <c r="Z77" s="28"/>
      <c r="AA77" s="28"/>
      <c r="AB77" s="28"/>
    </row>
    <row r="78">
      <c r="A78" s="21" t="s">
        <v>443</v>
      </c>
      <c r="B78" s="22" t="s">
        <v>444</v>
      </c>
      <c r="C78" s="23" t="str">
        <f>IFERROR(__xludf.DUMMYFUNCTION("GOOGLETRANSLATE(B78, ""en"", ""fr"")"),"Arme de mêlée. Pousse les choses un espace quand il frappe.")</f>
        <v>Arme de mêlée. Pousse les choses un espace quand il frappe.</v>
      </c>
      <c r="D78" s="23" t="str">
        <f>IFERROR(__xludf.DUMMYFUNCTION("GOOGLETRANSLATE(B78, ""en"", ""es"")"),"arma cuerpo a cuerpo. Lleva las cosas un espacio hacia atrás cuando se golpea.")</f>
        <v>arma cuerpo a cuerpo. Lleva las cosas un espacio hacia atrás cuando se golpea.</v>
      </c>
      <c r="E78" s="23" t="str">
        <f>IFERROR(__xludf.DUMMYFUNCTION("GOOGLETRANSLATE(B78,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78" s="23" t="str">
        <f>IFERROR(__xludf.DUMMYFUNCTION("GOOGLETRANSLATE(B78, ""en"", ""tr"")"),"Yakın dövüş silahı. çarptığında iter şeyler bir boşluk geri.")</f>
        <v>Yakın dövüş silahı. çarptığında iter şeyler bir boşluk geri.</v>
      </c>
      <c r="G78" s="23" t="str">
        <f>IFERROR(__xludf.DUMMYFUNCTION("GOOGLETRANSLATE(B78, ""en"", ""pt"")"),"Arma branca. Empurra as coisas de volta um espaço quando bate.")</f>
        <v>Arma branca. Empurra as coisas de volta um espaço quando bate.</v>
      </c>
      <c r="H78" s="24" t="str">
        <f>IFERROR(__xludf.DUMMYFUNCTION("GOOGLETRANSLATE(B78, ""en"", ""de"")"),"Nahkampfwaffe. Schiebt die Dinge wieder einen Raum, wenn er trifft.")</f>
        <v>Nahkampfwaffe. Schiebt die Dinge wieder einen Raum, wenn er trifft.</v>
      </c>
      <c r="I78" s="23" t="str">
        <f>IFERROR(__xludf.DUMMYFUNCTION("GOOGLETRANSLATE(B78, ""en"", ""pl"")"),"Broń biała. Popycha rzeczy z powrotem jedno miejsce, gdy natrafi.")</f>
        <v>Broń biała. Popycha rzeczy z powrotem jedno miejsce, gdy natrafi.</v>
      </c>
      <c r="J78" s="25" t="str">
        <f>IFERROR(__xludf.DUMMYFUNCTION("GOOGLETRANSLATE(B78, ""en"", ""zh"")"),"近战武器。推动东西回来一个空当它击中。")</f>
        <v>近战武器。推动东西回来一个空当它击中。</v>
      </c>
      <c r="K78" s="25" t="str">
        <f>IFERROR(__xludf.DUMMYFUNCTION("GOOGLETRANSLATE(B78, ""en"", ""vi"")"),"vũ khí cận chiến. Push thứ trở lại một không gian khi nó chạm.")</f>
        <v>vũ khí cận chiến. Push thứ trở lại một không gian khi nó chạm.</v>
      </c>
      <c r="L78" s="26" t="str">
        <f>IFERROR(__xludf.DUMMYFUNCTION("GOOGLETRANSLATE(B78, ""en"", ""hr"")"),"Gužva oružje. Gura stvari vratiti za jedno mjesto kad ga pogodi.")</f>
        <v>Gužva oružje. Gura stvari vratiti za jedno mjesto kad ga pogodi.</v>
      </c>
      <c r="M78" s="28"/>
      <c r="N78" s="28"/>
      <c r="O78" s="28"/>
      <c r="P78" s="28"/>
      <c r="Q78" s="28"/>
      <c r="R78" s="28"/>
      <c r="S78" s="28"/>
      <c r="T78" s="28"/>
      <c r="U78" s="28"/>
      <c r="V78" s="28"/>
      <c r="W78" s="28"/>
      <c r="X78" s="28"/>
      <c r="Y78" s="28"/>
      <c r="Z78" s="28"/>
      <c r="AA78" s="28"/>
      <c r="AB78" s="28"/>
    </row>
    <row r="79">
      <c r="A79" s="21" t="s">
        <v>445</v>
      </c>
      <c r="B79" s="22" t="s">
        <v>446</v>
      </c>
      <c r="C79" s="23" t="str">
        <f>IFERROR(__xludf.DUMMYFUNCTION("GOOGLETRANSLATE(B79, ""en"", ""fr"")"),"armure d'Iron")</f>
        <v>armure d'Iron</v>
      </c>
      <c r="D79" s="23" t="str">
        <f>IFERROR(__xludf.DUMMYFUNCTION("GOOGLETRANSLATE(B79, ""en"", ""es"")"),"armadura de hierro")</f>
        <v>armadura de hierro</v>
      </c>
      <c r="E79" s="23" t="str">
        <f>IFERROR(__xludf.DUMMYFUNCTION("GOOGLETRANSLATE(B79, ""en"", ""ru"")"),"Железный доспех")</f>
        <v>Железный доспех</v>
      </c>
      <c r="F79" s="23" t="str">
        <f>IFERROR(__xludf.DUMMYFUNCTION("GOOGLETRANSLATE(B79, ""en"", ""tr"")"),"Demir zırh")</f>
        <v>Demir zırh</v>
      </c>
      <c r="G79" s="23" t="str">
        <f>IFERROR(__xludf.DUMMYFUNCTION("GOOGLETRANSLATE(B79, ""en"", ""pt"")"),"armaduras de ferro")</f>
        <v>armaduras de ferro</v>
      </c>
      <c r="H79" s="24" t="str">
        <f>IFERROR(__xludf.DUMMYFUNCTION("GOOGLETRANSLATE(B79, ""en"", ""de"")"),"Eisenpanzer")</f>
        <v>Eisenpanzer</v>
      </c>
      <c r="I79" s="23" t="str">
        <f>IFERROR(__xludf.DUMMYFUNCTION("GOOGLETRANSLATE(B79, ""en"", ""pl"")"),"Żelazna zbroja")</f>
        <v>Żelazna zbroja</v>
      </c>
      <c r="J79" s="25" t="str">
        <f>IFERROR(__xludf.DUMMYFUNCTION("GOOGLETRANSLATE(B79, ""en"", ""zh"")"),"铁质铠甲")</f>
        <v>铁质铠甲</v>
      </c>
      <c r="K79" s="25" t="str">
        <f>IFERROR(__xludf.DUMMYFUNCTION("GOOGLETRANSLATE(B79, ""en"", ""vi"")"),"sắt giáp")</f>
        <v>sắt giáp</v>
      </c>
      <c r="L79" s="26" t="str">
        <f>IFERROR(__xludf.DUMMYFUNCTION("GOOGLETRANSLATE(B79, ""en"", ""hr"")"),"Željezo oklop")</f>
        <v>Željezo oklop</v>
      </c>
      <c r="M79" s="28"/>
      <c r="N79" s="28"/>
      <c r="O79" s="28"/>
      <c r="P79" s="28"/>
      <c r="Q79" s="28"/>
      <c r="R79" s="28"/>
      <c r="S79" s="28"/>
      <c r="T79" s="28"/>
      <c r="U79" s="28"/>
      <c r="V79" s="28"/>
      <c r="W79" s="28"/>
      <c r="X79" s="28"/>
      <c r="Y79" s="28"/>
      <c r="Z79" s="28"/>
      <c r="AA79" s="28"/>
      <c r="AB79" s="28"/>
    </row>
    <row r="80">
      <c r="A80" s="21" t="s">
        <v>447</v>
      </c>
      <c r="B80" s="22" t="s">
        <v>448</v>
      </c>
      <c r="C80" s="23" t="str">
        <f>IFERROR(__xludf.DUMMYFUNCTION("GOOGLETRANSLATE(B80, ""en"", ""fr"")"),"armure de base pour réduire les dégâts subis. Augmente votre stat Melee tout porté.")</f>
        <v>armure de base pour réduire les dégâts subis. Augmente votre stat Melee tout porté.</v>
      </c>
      <c r="D80" s="23" t="str">
        <f>IFERROR(__xludf.DUMMYFUNCTION("GOOGLETRANSLATE(B80, ""en"", ""es"")"),"armadura básica para reducir el daño recibido. Aumenta la estadística cuerpo a cuerpo mientras se usa.")</f>
        <v>armadura básica para reducir el daño recibido. Aumenta la estadística cuerpo a cuerpo mientras se usa.</v>
      </c>
      <c r="E80" s="23" t="str">
        <f>IFERROR(__xludf.DUMMYFUNCTION("GOOGLETRANSLATE(B80,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80" s="23" t="str">
        <f>IFERROR(__xludf.DUMMYFUNCTION("GOOGLETRANSLATE(B80, ""en"", ""tr"")"),"Temel zırh alınan zararı azaltmak için. yıpranmış ederken Melee, stat artırır.")</f>
        <v>Temel zırh alınan zararı azaltmak için. yıpranmış ederken Melee, stat artırır.</v>
      </c>
      <c r="G80" s="23" t="str">
        <f>IFERROR(__xludf.DUMMYFUNCTION("GOOGLETRANSLATE(B80, ""en"", ""pt"")"),"armadura básica para reduzir o dano tomado. Aumenta seu status de corpo a corpo, enquanto desgastado.")</f>
        <v>armadura básica para reduzir o dano tomado. Aumenta seu status de corpo a corpo, enquanto desgastado.</v>
      </c>
      <c r="H80" s="24" t="str">
        <f>IFERROR(__xludf.DUMMYFUNCTION("GOOGLETRANSLATE(B80, ""en"", ""de"")"),"Grund Rüstung Schaden genommen zu reduzieren. Erhöht den Nahkampf stat während des Tragens.")</f>
        <v>Grund Rüstung Schaden genommen zu reduzieren. Erhöht den Nahkampf stat während des Tragens.</v>
      </c>
      <c r="I80" s="23" t="str">
        <f>IFERROR(__xludf.DUMMYFUNCTION("GOOGLETRANSLATE(B80, ""en"", ""pl"")"),"Podstawowe pancerz zmniejszyć obrażenia. Zwiększa stat wręcz podczas noszenia.")</f>
        <v>Podstawowe pancerz zmniejszyć obrażenia. Zwiększa stat wręcz podczas noszenia.</v>
      </c>
      <c r="J80" s="25" t="str">
        <f>IFERROR(__xludf.DUMMYFUNCTION("GOOGLETRANSLATE(B80, ""en"", ""zh"")"),"基本装甲，以减少受到的伤害。使你的近战的统计，而磨损。")</f>
        <v>基本装甲，以减少受到的伤害。使你的近战的统计，而磨损。</v>
      </c>
      <c r="K80" s="25" t="str">
        <f>IFERROR(__xludf.DUMMYFUNCTION("GOOGLETRANSLATE(B80, ""en"", ""vi"")"),"áo giáp cơ bản để giảm thiệt hại thực hiện. Tăng Melee stat của bạn trong khi mặc.")</f>
        <v>áo giáp cơ bản để giảm thiệt hại thực hiện. Tăng Melee stat của bạn trong khi mặc.</v>
      </c>
      <c r="L80" s="26" t="str">
        <f>IFERROR(__xludf.DUMMYFUNCTION("GOOGLETRANSLATE(B80, ""en"", ""hr"")"),"Osnovni oklop kako bi se smanjila šteta poduzeti. Povećava gužva stat dok istrošena.")</f>
        <v>Osnovni oklop kako bi se smanjila šteta poduzeti. Povećava gužva stat dok istrošena.</v>
      </c>
      <c r="M80" s="28"/>
      <c r="N80" s="28"/>
      <c r="O80" s="28"/>
      <c r="P80" s="28"/>
      <c r="Q80" s="28"/>
      <c r="R80" s="28"/>
      <c r="S80" s="28"/>
      <c r="T80" s="28"/>
      <c r="U80" s="28"/>
      <c r="V80" s="28"/>
      <c r="W80" s="28"/>
      <c r="X80" s="28"/>
      <c r="Y80" s="28"/>
      <c r="Z80" s="28"/>
      <c r="AA80" s="28"/>
      <c r="AB80" s="28"/>
    </row>
    <row r="81">
      <c r="A81" s="21" t="s">
        <v>449</v>
      </c>
      <c r="B81" s="22" t="s">
        <v>450</v>
      </c>
      <c r="C81" s="23" t="str">
        <f>IFERROR(__xludf.DUMMYFUNCTION("GOOGLETRANSLATE(B81, ""en"", ""fr"")"),"Dungium hache de guerre")</f>
        <v>Dungium hache de guerre</v>
      </c>
      <c r="D81" s="23" t="str">
        <f>IFERROR(__xludf.DUMMYFUNCTION("GOOGLETRANSLATE(B81, ""en"", ""es"")"),"Dungium hacha")</f>
        <v>Dungium hacha</v>
      </c>
      <c r="E81" s="23" t="str">
        <f>IFERROR(__xludf.DUMMYFUNCTION("GOOGLETRANSLATE(B81, ""en"", ""ru"")"),"Dungium топорик")</f>
        <v>Dungium топорик</v>
      </c>
      <c r="F81" s="23" t="str">
        <f>IFERROR(__xludf.DUMMYFUNCTION("GOOGLETRANSLATE(B81, ""en"", ""tr"")"),"Dungium balta")</f>
        <v>Dungium balta</v>
      </c>
      <c r="G81" s="23" t="str">
        <f>IFERROR(__xludf.DUMMYFUNCTION("GOOGLETRANSLATE(B81, ""en"", ""pt"")"),"Dungium machado")</f>
        <v>Dungium machado</v>
      </c>
      <c r="H81" s="24" t="str">
        <f>IFERROR(__xludf.DUMMYFUNCTION("GOOGLETRANSLATE(B81, ""en"", ""de"")"),"Dungium Beil")</f>
        <v>Dungium Beil</v>
      </c>
      <c r="I81" s="23" t="str">
        <f>IFERROR(__xludf.DUMMYFUNCTION("GOOGLETRANSLATE(B81, ""en"", ""pl"")"),"Dungium siekierka")</f>
        <v>Dungium siekierka</v>
      </c>
      <c r="J81" s="25" t="str">
        <f>IFERROR(__xludf.DUMMYFUNCTION("GOOGLETRANSLATE(B81, ""en"", ""zh"")"),"Dungium前嫌")</f>
        <v>Dungium前嫌</v>
      </c>
      <c r="K81" s="25" t="str">
        <f>IFERROR(__xludf.DUMMYFUNCTION("GOOGLETRANSLATE(B81, ""en"", ""vi"")"),"Dungium rìu")</f>
        <v>Dungium rìu</v>
      </c>
      <c r="L81" s="26" t="str">
        <f>IFERROR(__xludf.DUMMYFUNCTION("GOOGLETRANSLATE(B81, ""en"", ""hr"")"),"Dungium sjekirica")</f>
        <v>Dungium sjekirica</v>
      </c>
      <c r="M81" s="28"/>
      <c r="N81" s="28"/>
      <c r="O81" s="28"/>
      <c r="P81" s="28"/>
      <c r="Q81" s="28"/>
      <c r="R81" s="28"/>
      <c r="S81" s="28"/>
      <c r="T81" s="28"/>
      <c r="U81" s="28"/>
      <c r="V81" s="28"/>
      <c r="W81" s="28"/>
      <c r="X81" s="28"/>
      <c r="Y81" s="28"/>
      <c r="Z81" s="28"/>
      <c r="AA81" s="28"/>
      <c r="AB81" s="28"/>
    </row>
    <row r="82">
      <c r="A82" s="21" t="s">
        <v>451</v>
      </c>
      <c r="B82" s="22" t="s">
        <v>424</v>
      </c>
      <c r="C82" s="23" t="str">
        <f>IFERROR(__xludf.DUMMYFUNCTION("GOOGLETRANSLATE(B82, ""en"", ""fr"")"),"Utilisé pour abattre des arbres pour le bois.")</f>
        <v>Utilisé pour abattre des arbres pour le bois.</v>
      </c>
      <c r="D82" s="23" t="str">
        <f>IFERROR(__xludf.DUMMYFUNCTION("GOOGLETRANSLATE(B82, ""en"", ""es"")"),"Se utiliza para cortar árboles para madera.")</f>
        <v>Se utiliza para cortar árboles para madera.</v>
      </c>
      <c r="E82" s="23" t="str">
        <f>IFERROR(__xludf.DUMMYFUNCTION("GOOGLETRANSLATE(B82, ""en"", ""ru"")"),"Используется рубить деревья для дерева.")</f>
        <v>Используется рубить деревья для дерева.</v>
      </c>
      <c r="F82" s="23" t="str">
        <f>IFERROR(__xludf.DUMMYFUNCTION("GOOGLETRANSLATE(B82, ""en"", ""tr"")"),"buradaki ağaçları devirmek için kullanılır.")</f>
        <v>buradaki ağaçları devirmek için kullanılır.</v>
      </c>
      <c r="G82" s="23" t="str">
        <f>IFERROR(__xludf.DUMMYFUNCTION("GOOGLETRANSLATE(B82, ""en"", ""pt"")"),"Usado para derrubar árvores para madeira.")</f>
        <v>Usado para derrubar árvores para madeira.</v>
      </c>
      <c r="H82" s="24" t="str">
        <f>IFERROR(__xludf.DUMMYFUNCTION("GOOGLETRANSLATE(B82, ""en"", ""de"")"),"Gebrauchte Bäume zu fällen für Holz.")</f>
        <v>Gebrauchte Bäume zu fällen für Holz.</v>
      </c>
      <c r="I82" s="23" t="str">
        <f>IFERROR(__xludf.DUMMYFUNCTION("GOOGLETRANSLATE(B82, ""en"", ""pl"")"),"Służy do ścinać drzewa w lesie.")</f>
        <v>Służy do ścinać drzewa w lesie.</v>
      </c>
      <c r="J82" s="25" t="str">
        <f>IFERROR(__xludf.DUMMYFUNCTION("GOOGLETRANSLATE(B82, ""en"", ""zh"")"),"用来砍木材的树木。")</f>
        <v>用来砍木材的树木。</v>
      </c>
      <c r="K82" s="25" t="str">
        <f>IFERROR(__xludf.DUMMYFUNCTION("GOOGLETRANSLATE(B82, ""en"", ""vi"")"),"Dùng để đốn cây lấy gỗ.")</f>
        <v>Dùng để đốn cây lấy gỗ.</v>
      </c>
      <c r="L82" s="26" t="str">
        <f>IFERROR(__xludf.DUMMYFUNCTION("GOOGLETRANSLATE(B82, ""en"", ""hr"")"),"Koristi se za kotlet dolje stabala za drvo.")</f>
        <v>Koristi se za kotlet dolje stabala za drvo.</v>
      </c>
      <c r="M82" s="28"/>
      <c r="N82" s="28"/>
      <c r="O82" s="28"/>
      <c r="P82" s="28"/>
      <c r="Q82" s="28"/>
      <c r="R82" s="28"/>
      <c r="S82" s="28"/>
      <c r="T82" s="28"/>
      <c r="U82" s="28"/>
      <c r="V82" s="28"/>
      <c r="W82" s="28"/>
      <c r="X82" s="28"/>
      <c r="Y82" s="28"/>
      <c r="Z82" s="28"/>
      <c r="AA82" s="28"/>
      <c r="AB82" s="28"/>
    </row>
    <row r="83">
      <c r="A83" s="21" t="s">
        <v>452</v>
      </c>
      <c r="B83" s="22" t="s">
        <v>453</v>
      </c>
      <c r="C83" s="23" t="str">
        <f>IFERROR(__xludf.DUMMYFUNCTION("GOOGLETRANSLATE(B83, ""en"", ""fr"")"),"Dungium pickaxe")</f>
        <v>Dungium pickaxe</v>
      </c>
      <c r="D83" s="23" t="str">
        <f>IFERROR(__xludf.DUMMYFUNCTION("GOOGLETRANSLATE(B83, ""en"", ""es"")"),"piqueta Dungium")</f>
        <v>piqueta Dungium</v>
      </c>
      <c r="E83" s="23" t="str">
        <f>IFERROR(__xludf.DUMMYFUNCTION("GOOGLETRANSLATE(B83, ""en"", ""ru"")"),"Dungium кирка")</f>
        <v>Dungium кирка</v>
      </c>
      <c r="F83" s="23" t="str">
        <f>IFERROR(__xludf.DUMMYFUNCTION("GOOGLETRANSLATE(B83, ""en"", ""tr"")"),"Dungium kazma")</f>
        <v>Dungium kazma</v>
      </c>
      <c r="G83" s="23" t="str">
        <f>IFERROR(__xludf.DUMMYFUNCTION("GOOGLETRANSLATE(B83, ""en"", ""pt"")"),"Dungium picareta")</f>
        <v>Dungium picareta</v>
      </c>
      <c r="H83" s="24" t="str">
        <f>IFERROR(__xludf.DUMMYFUNCTION("GOOGLETRANSLATE(B83, ""en"", ""de"")"),"Dungium pickaxe")</f>
        <v>Dungium pickaxe</v>
      </c>
      <c r="I83" s="23" t="str">
        <f>IFERROR(__xludf.DUMMYFUNCTION("GOOGLETRANSLATE(B83, ""en"", ""pl"")"),"Dungium kilof")</f>
        <v>Dungium kilof</v>
      </c>
      <c r="J83" s="25" t="str">
        <f>IFERROR(__xludf.DUMMYFUNCTION("GOOGLETRANSLATE(B83, ""en"", ""zh"")"),"Dungium镐头")</f>
        <v>Dungium镐头</v>
      </c>
      <c r="K83" s="25" t="str">
        <f>IFERROR(__xludf.DUMMYFUNCTION("GOOGLETRANSLATE(B83, ""en"", ""vi"")"),"Dungium cuốc")</f>
        <v>Dungium cuốc</v>
      </c>
      <c r="L83" s="26" t="str">
        <f>IFERROR(__xludf.DUMMYFUNCTION("GOOGLETRANSLATE(B83, ""en"", ""hr"")"),"Dungium pijuk")</f>
        <v>Dungium pijuk</v>
      </c>
      <c r="M83" s="28"/>
      <c r="N83" s="28"/>
      <c r="O83" s="28"/>
      <c r="P83" s="28"/>
      <c r="Q83" s="28"/>
      <c r="R83" s="28"/>
      <c r="S83" s="28"/>
      <c r="T83" s="28"/>
      <c r="U83" s="28"/>
      <c r="V83" s="28"/>
      <c r="W83" s="28"/>
      <c r="X83" s="28"/>
      <c r="Y83" s="28"/>
      <c r="Z83" s="28"/>
      <c r="AA83" s="28"/>
      <c r="AB83" s="28"/>
    </row>
    <row r="84">
      <c r="A84" s="21" t="s">
        <v>454</v>
      </c>
      <c r="B84" s="22" t="s">
        <v>428</v>
      </c>
      <c r="C84" s="23" t="str">
        <f>IFERROR(__xludf.DUMMYFUNCTION("GOOGLETRANSLATE(B84, ""en"", ""fr"")"),"Utilisé pour les roches de la mine pour le minerai.")</f>
        <v>Utilisé pour les roches de la mine pour le minerai.</v>
      </c>
      <c r="D84" s="23" t="str">
        <f>IFERROR(__xludf.DUMMYFUNCTION("GOOGLETRANSLATE(B84, ""en"", ""es"")"),"Se utiliza para rocas de las minas de mineral.")</f>
        <v>Se utiliza para rocas de las minas de mineral.</v>
      </c>
      <c r="E84" s="23" t="str">
        <f>IFERROR(__xludf.DUMMYFUNCTION("GOOGLETRANSLATE(B84, ""en"", ""ru"")"),"Используется для горных пород для руды.")</f>
        <v>Используется для горных пород для руды.</v>
      </c>
      <c r="F84" s="23" t="str">
        <f>IFERROR(__xludf.DUMMYFUNCTION("GOOGLETRANSLATE(B84, ""en"", ""tr"")"),"cevher için maden kayalar için kullanılır.")</f>
        <v>cevher için maden kayalar için kullanılır.</v>
      </c>
      <c r="G84" s="23" t="str">
        <f>IFERROR(__xludf.DUMMYFUNCTION("GOOGLETRANSLATE(B84, ""en"", ""pt"")"),"Usado para meus rochas de minério.")</f>
        <v>Usado para meus rochas de minério.</v>
      </c>
      <c r="H84" s="24" t="str">
        <f>IFERROR(__xludf.DUMMYFUNCTION("GOOGLETRANSLATE(B84, ""en"", ""de"")"),"Wird verwendet, um mein Felsen für Erz.")</f>
        <v>Wird verwendet, um mein Felsen für Erz.</v>
      </c>
      <c r="I84" s="23" t="str">
        <f>IFERROR(__xludf.DUMMYFUNCTION("GOOGLETRANSLATE(B84, ""en"", ""pl"")"),"Służy do kopalń rudy.")</f>
        <v>Służy do kopalń rudy.</v>
      </c>
      <c r="J84" s="25" t="str">
        <f>IFERROR(__xludf.DUMMYFUNCTION("GOOGLETRANSLATE(B84, ""en"", ""zh"")"),"用于矿山岩石矿石。")</f>
        <v>用于矿山岩石矿石。</v>
      </c>
      <c r="K84" s="25" t="str">
        <f>IFERROR(__xludf.DUMMYFUNCTION("GOOGLETRANSLATE(B84, ""en"", ""vi"")"),"Được sử dụng để đá mỏ quặng.")</f>
        <v>Được sử dụng để đá mỏ quặng.</v>
      </c>
      <c r="L84" s="26" t="str">
        <f>IFERROR(__xludf.DUMMYFUNCTION("GOOGLETRANSLATE(B84, ""en"", ""hr"")"),"Koristi se mina stijena za rude.")</f>
        <v>Koristi se mina stijena za rude.</v>
      </c>
      <c r="M84" s="28"/>
      <c r="N84" s="28"/>
      <c r="O84" s="28"/>
      <c r="P84" s="28"/>
      <c r="Q84" s="28"/>
      <c r="R84" s="28"/>
      <c r="S84" s="28"/>
      <c r="T84" s="28"/>
      <c r="U84" s="28"/>
      <c r="V84" s="28"/>
      <c r="W84" s="28"/>
      <c r="X84" s="28"/>
      <c r="Y84" s="28"/>
      <c r="Z84" s="28"/>
      <c r="AA84" s="28"/>
      <c r="AB84" s="28"/>
    </row>
    <row r="85">
      <c r="A85" s="21" t="s">
        <v>455</v>
      </c>
      <c r="B85" s="22" t="s">
        <v>456</v>
      </c>
      <c r="C85" s="23" t="str">
        <f>IFERROR(__xludf.DUMMYFUNCTION("GOOGLETRANSLATE(B85, ""en"", ""fr"")"),"flèches Dungium")</f>
        <v>flèches Dungium</v>
      </c>
      <c r="D85" s="23" t="str">
        <f>IFERROR(__xludf.DUMMYFUNCTION("GOOGLETRANSLATE(B85, ""en"", ""es"")"),"flechas Dungium")</f>
        <v>flechas Dungium</v>
      </c>
      <c r="E85" s="23" t="str">
        <f>IFERROR(__xludf.DUMMYFUNCTION("GOOGLETRANSLATE(B85, ""en"", ""ru"")"),"стрелки Dungium")</f>
        <v>стрелки Dungium</v>
      </c>
      <c r="F85" s="23" t="str">
        <f>IFERROR(__xludf.DUMMYFUNCTION("GOOGLETRANSLATE(B85, ""en"", ""tr"")"),"Dungium oklar")</f>
        <v>Dungium oklar</v>
      </c>
      <c r="G85" s="23" t="str">
        <f>IFERROR(__xludf.DUMMYFUNCTION("GOOGLETRANSLATE(B85, ""en"", ""pt"")"),"setas Dungium")</f>
        <v>setas Dungium</v>
      </c>
      <c r="H85" s="24" t="str">
        <f>IFERROR(__xludf.DUMMYFUNCTION("GOOGLETRANSLATE(B85, ""en"", ""de"")"),"Dungium Pfeile")</f>
        <v>Dungium Pfeile</v>
      </c>
      <c r="I85" s="23" t="str">
        <f>IFERROR(__xludf.DUMMYFUNCTION("GOOGLETRANSLATE(B85, ""en"", ""pl"")"),"strzałki Dungium")</f>
        <v>strzałki Dungium</v>
      </c>
      <c r="J85" s="25" t="str">
        <f>IFERROR(__xludf.DUMMYFUNCTION("GOOGLETRANSLATE(B85, ""en"", ""zh"")"),"Dungium箭头")</f>
        <v>Dungium箭头</v>
      </c>
      <c r="K85" s="25" t="str">
        <f>IFERROR(__xludf.DUMMYFUNCTION("GOOGLETRANSLATE(B85, ""en"", ""vi"")"),"mũi tên Dungium")</f>
        <v>mũi tên Dungium</v>
      </c>
      <c r="L85" s="26" t="str">
        <f>IFERROR(__xludf.DUMMYFUNCTION("GOOGLETRANSLATE(B85, ""en"", ""hr"")"),"Dungium strelice")</f>
        <v>Dungium strelice</v>
      </c>
      <c r="M85" s="28"/>
      <c r="N85" s="28"/>
      <c r="O85" s="28"/>
      <c r="P85" s="28"/>
      <c r="Q85" s="28"/>
      <c r="R85" s="28"/>
      <c r="S85" s="28"/>
      <c r="T85" s="28"/>
      <c r="U85" s="28"/>
      <c r="V85" s="28"/>
      <c r="W85" s="28"/>
      <c r="X85" s="28"/>
      <c r="Y85" s="28"/>
      <c r="Z85" s="28"/>
      <c r="AA85" s="28"/>
      <c r="AB85" s="28"/>
    </row>
    <row r="86">
      <c r="A86" s="21" t="s">
        <v>457</v>
      </c>
      <c r="B86" s="22" t="s">
        <v>432</v>
      </c>
      <c r="C86" s="23" t="str">
        <f>IFERROR(__xludf.DUMMYFUNCTION("GOOGLETRANSLATE(B86, ""en"", ""fr"")"),"Utilisé comme munitions pour un arc.")</f>
        <v>Utilisé comme munitions pour un arc.</v>
      </c>
      <c r="D86" s="23" t="str">
        <f>IFERROR(__xludf.DUMMYFUNCTION("GOOGLETRANSLATE(B86, ""en"", ""es"")"),"Se utiliza como munición para un arco.")</f>
        <v>Se utiliza como munición para un arco.</v>
      </c>
      <c r="E86" s="23" t="str">
        <f>IFERROR(__xludf.DUMMYFUNCTION("GOOGLETRANSLATE(B86, ""en"", ""ru"")"),"Используется в качестве боеприпасов для лука.")</f>
        <v>Используется в качестве боеприпасов для лука.</v>
      </c>
      <c r="F86" s="23" t="str">
        <f>IFERROR(__xludf.DUMMYFUNCTION("GOOGLETRANSLATE(B86, ""en"", ""tr"")"),"Bir yay için mühimmat olarak kullanılır.")</f>
        <v>Bir yay için mühimmat olarak kullanılır.</v>
      </c>
      <c r="G86" s="23" t="str">
        <f>IFERROR(__xludf.DUMMYFUNCTION("GOOGLETRANSLATE(B86, ""en"", ""pt"")"),"Usado como munição para um arco.")</f>
        <v>Usado como munição para um arco.</v>
      </c>
      <c r="H86" s="24" t="str">
        <f>IFERROR(__xludf.DUMMYFUNCTION("GOOGLETRANSLATE(B86, ""en"", ""de"")"),"Wird als Munition für einen Bogen.")</f>
        <v>Wird als Munition für einen Bogen.</v>
      </c>
      <c r="I86" s="23" t="str">
        <f>IFERROR(__xludf.DUMMYFUNCTION("GOOGLETRANSLATE(B86, ""en"", ""pl"")"),"Używany jako amunicji do łuku.")</f>
        <v>Używany jako amunicji do łuku.</v>
      </c>
      <c r="J86" s="25" t="str">
        <f>IFERROR(__xludf.DUMMYFUNCTION("GOOGLETRANSLATE(B86, ""en"", ""zh"")"),"作为弹药弓。")</f>
        <v>作为弹药弓。</v>
      </c>
      <c r="K86" s="25" t="str">
        <f>IFERROR(__xludf.DUMMYFUNCTION("GOOGLETRANSLATE(B86, ""en"", ""vi"")"),"Sử dụng như đạn dược cho một cây cung.")</f>
        <v>Sử dụng như đạn dược cho một cây cung.</v>
      </c>
      <c r="L86" s="26" t="str">
        <f>IFERROR(__xludf.DUMMYFUNCTION("GOOGLETRANSLATE(B86, ""en"", ""hr"")"),"Koristi se kao streljivo za luk.")</f>
        <v>Koristi se kao streljivo za luk.</v>
      </c>
      <c r="M86" s="28"/>
      <c r="N86" s="28"/>
      <c r="O86" s="28"/>
      <c r="P86" s="28"/>
      <c r="Q86" s="28"/>
      <c r="R86" s="28"/>
      <c r="S86" s="28"/>
      <c r="T86" s="28"/>
      <c r="U86" s="28"/>
      <c r="V86" s="28"/>
      <c r="W86" s="28"/>
      <c r="X86" s="28"/>
      <c r="Y86" s="28"/>
      <c r="Z86" s="28"/>
      <c r="AA86" s="28"/>
      <c r="AB86" s="28"/>
    </row>
    <row r="87">
      <c r="A87" s="21" t="s">
        <v>458</v>
      </c>
      <c r="B87" s="22" t="s">
        <v>459</v>
      </c>
      <c r="C87" s="23" t="str">
        <f>IFERROR(__xludf.DUMMYFUNCTION("GOOGLETRANSLATE(B87, ""en"", ""fr"")"),"poignard Dungium")</f>
        <v>poignard Dungium</v>
      </c>
      <c r="D87" s="23" t="str">
        <f>IFERROR(__xludf.DUMMYFUNCTION("GOOGLETRANSLATE(B87, ""en"", ""es"")"),"daga Dungium")</f>
        <v>daga Dungium</v>
      </c>
      <c r="E87" s="23" t="str">
        <f>IFERROR(__xludf.DUMMYFUNCTION("GOOGLETRANSLATE(B87, ""en"", ""ru"")"),"Dungium крестик")</f>
        <v>Dungium крестик</v>
      </c>
      <c r="F87" s="23" t="str">
        <f>IFERROR(__xludf.DUMMYFUNCTION("GOOGLETRANSLATE(B87, ""en"", ""tr"")"),"Dungium hançer")</f>
        <v>Dungium hançer</v>
      </c>
      <c r="G87" s="23" t="str">
        <f>IFERROR(__xludf.DUMMYFUNCTION("GOOGLETRANSLATE(B87, ""en"", ""pt"")"),"Dungium punhal")</f>
        <v>Dungium punhal</v>
      </c>
      <c r="H87" s="24" t="str">
        <f>IFERROR(__xludf.DUMMYFUNCTION("GOOGLETRANSLATE(B87, ""en"", ""de"")"),"Dungium Dolch")</f>
        <v>Dungium Dolch</v>
      </c>
      <c r="I87" s="23" t="str">
        <f>IFERROR(__xludf.DUMMYFUNCTION("GOOGLETRANSLATE(B87, ""en"", ""pl"")"),"Dungium sztylet")</f>
        <v>Dungium sztylet</v>
      </c>
      <c r="J87" s="25" t="str">
        <f>IFERROR(__xludf.DUMMYFUNCTION("GOOGLETRANSLATE(B87, ""en"", ""zh"")"),"Dungium匕首")</f>
        <v>Dungium匕首</v>
      </c>
      <c r="K87" s="25" t="str">
        <f>IFERROR(__xludf.DUMMYFUNCTION("GOOGLETRANSLATE(B87, ""en"", ""vi"")"),"Dungium dao găm")</f>
        <v>Dungium dao găm</v>
      </c>
      <c r="L87" s="26" t="str">
        <f>IFERROR(__xludf.DUMMYFUNCTION("GOOGLETRANSLATE(B87, ""en"", ""hr"")"),"Dungium bodež")</f>
        <v>Dungium bodež</v>
      </c>
      <c r="M87" s="28"/>
      <c r="N87" s="28"/>
      <c r="O87" s="28"/>
      <c r="P87" s="28"/>
      <c r="Q87" s="28"/>
      <c r="R87" s="28"/>
      <c r="S87" s="28"/>
      <c r="T87" s="28"/>
      <c r="U87" s="28"/>
      <c r="V87" s="28"/>
      <c r="W87" s="28"/>
      <c r="X87" s="28"/>
      <c r="Y87" s="28"/>
      <c r="Z87" s="28"/>
      <c r="AA87" s="28"/>
      <c r="AB87" s="28"/>
    </row>
    <row r="88">
      <c r="A88" s="21" t="s">
        <v>460</v>
      </c>
      <c r="B88" s="22" t="s">
        <v>436</v>
      </c>
      <c r="C88" s="23" t="str">
        <f>IFERROR(__xludf.DUMMYFUNCTION("GOOGLETRANSLATE(B88,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88" s="23" t="str">
        <f>IFERROR(__xludf.DUMMYFUNCTION("GOOGLETRANSLATE(B88,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88" s="23" t="str">
        <f>IFERROR(__xludf.DUMMYFUNCTION("GOOGLETRANSLATE(B88,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88" s="23" t="str">
        <f>IFERROR(__xludf.DUMMYFUNCTION("GOOGLETRANSLATE(B88,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88" s="23" t="str">
        <f>IFERROR(__xludf.DUMMYFUNCTION("GOOGLETRANSLATE(B88,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88" s="24" t="str">
        <f>IFERROR(__xludf.DUMMYFUNCTION("GOOGLETRANSLATE(B88,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88" s="23" t="str">
        <f>IFERROR(__xludf.DUMMYFUNCTION("GOOGLETRANSLATE(B88,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88" s="25" t="str">
        <f>IFERROR(__xludf.DUMMYFUNCTION("GOOGLETRANSLATE(B88, ""en"", ""zh"")"),"近战武器。用于攻击一个空间远在你面对的方向。造成额外的伤害，当它从背后击中。")</f>
        <v>近战武器。用于攻击一个空间远在你面对的方向。造成额外的伤害，当它从背后击中。</v>
      </c>
      <c r="K88" s="25" t="str">
        <f>IFERROR(__xludf.DUMMYFUNCTION("GOOGLETRANSLATE(B88,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88" s="26" t="str">
        <f>IFERROR(__xludf.DUMMYFUNCTION("GOOGLETRANSLATE(B88,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""fr"")"),"épée Dungium")</f>
        <v>épée Dungium</v>
      </c>
      <c r="D89" s="23" t="str">
        <f>IFERROR(__xludf.DUMMYFUNCTION("GOOGLETRANSLATE(B89, ""en"", ""es"")"),"espada Dungium")</f>
        <v>espada Dungium</v>
      </c>
      <c r="E89" s="23" t="str">
        <f>IFERROR(__xludf.DUMMYFUNCTION("GOOGLETRANSLATE(B89, ""en"", ""ru"")"),"Dungium меч")</f>
        <v>Dungium меч</v>
      </c>
      <c r="F89" s="23" t="str">
        <f>IFERROR(__xludf.DUMMYFUNCTION("GOOGLETRANSLATE(B89, ""en"", ""tr"")"),"Dungium kılıç")</f>
        <v>Dungium kılıç</v>
      </c>
      <c r="G89" s="23" t="str">
        <f>IFERROR(__xludf.DUMMYFUNCTION("GOOGLETRANSLATE(B89, ""en"", ""pt"")"),"espada Dungium")</f>
        <v>espada Dungium</v>
      </c>
      <c r="H89" s="24" t="str">
        <f>IFERROR(__xludf.DUMMYFUNCTION("GOOGLETRANSLATE(B89, ""en"", ""de"")"),"Dungium Schwert")</f>
        <v>Dungium Schwert</v>
      </c>
      <c r="I89" s="23" t="str">
        <f>IFERROR(__xludf.DUMMYFUNCTION("GOOGLETRANSLATE(B89, ""en"", ""pl"")"),"Dungium miecz")</f>
        <v>Dungium miecz</v>
      </c>
      <c r="J89" s="25" t="str">
        <f>IFERROR(__xludf.DUMMYFUNCTION("GOOGLETRANSLATE(B89, ""en"", ""zh"")"),"Dungium剑")</f>
        <v>Dungium剑</v>
      </c>
      <c r="K89" s="25" t="str">
        <f>IFERROR(__xludf.DUMMYFUNCTION("GOOGLETRANSLATE(B89, ""en"", ""vi"")"),"Dungium gươm")</f>
        <v>Dungium gươm</v>
      </c>
      <c r="L89" s="26" t="str">
        <f>IFERROR(__xludf.DUMMYFUNCTION("GOOGLETRANSLATE(B89, ""en"", ""hr"")"),"Dungium mač")</f>
        <v>Dungium mač</v>
      </c>
      <c r="M89" s="28"/>
      <c r="N89" s="28"/>
      <c r="O89" s="28"/>
      <c r="P89" s="28"/>
      <c r="Q89" s="28"/>
      <c r="R89" s="28"/>
      <c r="S89" s="28"/>
      <c r="T89" s="28"/>
      <c r="U89" s="28"/>
      <c r="V89" s="28"/>
      <c r="W89" s="28"/>
      <c r="X89" s="28"/>
      <c r="Y89" s="28"/>
      <c r="Z89" s="28"/>
      <c r="AA89" s="28"/>
      <c r="AB89" s="28"/>
    </row>
    <row r="90">
      <c r="A90" s="21" t="s">
        <v>463</v>
      </c>
      <c r="B90" s="22" t="s">
        <v>440</v>
      </c>
      <c r="C90" s="23" t="str">
        <f>IFERROR(__xludf.DUMMYFUNCTION("GOOGLETRANSLATE(B90, ""en"", ""fr"")"),"Arme de mêlée. Utilisé pour attaquer une courte distance dans la direction que vous faites face.")</f>
        <v>Arme de mêlée. Utilisé pour attaquer une courte distance dans la direction que vous faites face.</v>
      </c>
      <c r="D90" s="23" t="str">
        <f>IFERROR(__xludf.DUMMYFUNCTION("GOOGLETRANSLATE(B90, ""en"", ""es"")"),"arma cuerpo a cuerpo. Se utiliza para atacar a corta distancia en la dirección que está enfrentando.")</f>
        <v>arma cuerpo a cuerpo. Se utiliza para atacar a corta distancia en la dirección que está enfrentando.</v>
      </c>
      <c r="E90" s="23" t="str">
        <f>IFERROR(__xludf.DUMMYFUNCTION("GOOGLETRANSLATE(B90,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0" s="23" t="str">
        <f>IFERROR(__xludf.DUMMYFUNCTION("GOOGLETRANSLATE(B90, ""en"", ""tr"")"),"Yakın dövüş silahı. Eğer karşı karşıya yönde kısa bir mesafe uzakta saldırmak için kullanılır.")</f>
        <v>Yakın dövüş silahı. Eğer karşı karşıya yönde kısa bir mesafe uzakta saldırmak için kullanılır.</v>
      </c>
      <c r="G90" s="23" t="str">
        <f>IFERROR(__xludf.DUMMYFUNCTION("GOOGLETRANSLATE(B90, ""en"", ""pt"")"),"Arma branca. Usado para atacar a uma curta distância na direção que você está enfrentando.")</f>
        <v>Arma branca. Usado para atacar a uma curta distância na direção que você está enfrentando.</v>
      </c>
      <c r="H90" s="24" t="str">
        <f>IFERROR(__xludf.DUMMYFUNCTION("GOOGLETRANSLATE(B90, ""en"", ""de"")"),"Nahkampfwaffe. Verwendet, um eine kurze Strecke zum Angriff in Richtung weg Sie konfrontiert sind.")</f>
        <v>Nahkampfwaffe. Verwendet, um eine kurze Strecke zum Angriff in Richtung weg Sie konfrontiert sind.</v>
      </c>
      <c r="I90" s="23" t="str">
        <f>IFERROR(__xludf.DUMMYFUNCTION("GOOGLETRANSLATE(B90, ""en"", ""pl"")"),"Broń biała. Wykorzystana do ataku na krótkie odległości w kierunku, w którym stoją.")</f>
        <v>Broń biała. Wykorzystana do ataku na krótkie odległości w kierunku, w którym stoją.</v>
      </c>
      <c r="J90" s="25" t="str">
        <f>IFERROR(__xludf.DUMMYFUNCTION("GOOGLETRANSLATE(B90, ""en"", ""zh"")"),"近战武器。适用于您所面对的方向攻击很短的距离。")</f>
        <v>近战武器。适用于您所面对的方向攻击很短的距离。</v>
      </c>
      <c r="K90" s="25" t="str">
        <f>IFERROR(__xludf.DUMMYFUNCTION("GOOGLETRANSLATE(B90,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0" s="26" t="str">
        <f>IFERROR(__xludf.DUMMYFUNCTION("GOOGLETRANSLATE(B90, ""en"", ""hr"")"),"Gužva oružje. Koristi se za napad nedaleko u smjeru u kojem se suočavaju.")</f>
        <v>Gužva oružje. Koristi se za napad nedaleko u smjeru u kojem se suočavaju.</v>
      </c>
      <c r="M90" s="28"/>
      <c r="N90" s="28"/>
      <c r="O90" s="28"/>
      <c r="P90" s="28"/>
      <c r="Q90" s="28"/>
      <c r="R90" s="28"/>
      <c r="S90" s="28"/>
      <c r="T90" s="28"/>
      <c r="U90" s="28"/>
      <c r="V90" s="28"/>
      <c r="W90" s="28"/>
      <c r="X90" s="28"/>
      <c r="Y90" s="28"/>
      <c r="Z90" s="28"/>
      <c r="AA90" s="28"/>
      <c r="AB90" s="28"/>
    </row>
    <row r="91">
      <c r="A91" s="21" t="s">
        <v>464</v>
      </c>
      <c r="B91" s="22" t="s">
        <v>465</v>
      </c>
      <c r="C91" s="23" t="str">
        <f>IFERROR(__xludf.DUMMYFUNCTION("GOOGLETRANSLATE(B91, ""en"", ""fr"")"),"marteau Dungium")</f>
        <v>marteau Dungium</v>
      </c>
      <c r="D91" s="23" t="str">
        <f>IFERROR(__xludf.DUMMYFUNCTION("GOOGLETRANSLATE(B91, ""en"", ""es"")"),"martillo Dungium")</f>
        <v>martillo Dungium</v>
      </c>
      <c r="E91" s="23" t="str">
        <f>IFERROR(__xludf.DUMMYFUNCTION("GOOGLETRANSLATE(B91, ""en"", ""ru"")"),"Dungium молоток")</f>
        <v>Dungium молоток</v>
      </c>
      <c r="F91" s="23" t="str">
        <f>IFERROR(__xludf.DUMMYFUNCTION("GOOGLETRANSLATE(B91, ""en"", ""tr"")"),"Dungium çekiç")</f>
        <v>Dungium çekiç</v>
      </c>
      <c r="G91" s="23" t="str">
        <f>IFERROR(__xludf.DUMMYFUNCTION("GOOGLETRANSLATE(B91, ""en"", ""pt"")"),"Dungium martelo")</f>
        <v>Dungium martelo</v>
      </c>
      <c r="H91" s="24" t="str">
        <f>IFERROR(__xludf.DUMMYFUNCTION("GOOGLETRANSLATE(B91, ""en"", ""de"")"),"Dungium Hammer")</f>
        <v>Dungium Hammer</v>
      </c>
      <c r="I91" s="23" t="str">
        <f>IFERROR(__xludf.DUMMYFUNCTION("GOOGLETRANSLATE(B91, ""en"", ""pl"")"),"Dungium młotek")</f>
        <v>Dungium młotek</v>
      </c>
      <c r="J91" s="25" t="str">
        <f>IFERROR(__xludf.DUMMYFUNCTION("GOOGLETRANSLATE(B91, ""en"", ""zh"")"),"Dungium锤")</f>
        <v>Dungium锤</v>
      </c>
      <c r="K91" s="25" t="str">
        <f>IFERROR(__xludf.DUMMYFUNCTION("GOOGLETRANSLATE(B91, ""en"", ""vi"")"),"Dungium búa")</f>
        <v>Dungium búa</v>
      </c>
      <c r="L91" s="26" t="str">
        <f>IFERROR(__xludf.DUMMYFUNCTION("GOOGLETRANSLATE(B91, ""en"", ""hr"")"),"Dungium čekić")</f>
        <v>Dungium čekić</v>
      </c>
      <c r="M91" s="28"/>
      <c r="N91" s="28"/>
      <c r="O91" s="28"/>
      <c r="P91" s="28"/>
      <c r="Q91" s="28"/>
      <c r="R91" s="28"/>
      <c r="S91" s="28"/>
      <c r="T91" s="28"/>
      <c r="U91" s="28"/>
      <c r="V91" s="28"/>
      <c r="W91" s="28"/>
      <c r="X91" s="28"/>
      <c r="Y91" s="28"/>
      <c r="Z91" s="28"/>
      <c r="AA91" s="28"/>
      <c r="AB91" s="28"/>
    </row>
    <row r="92">
      <c r="A92" s="21" t="s">
        <v>466</v>
      </c>
      <c r="B92" s="22" t="s">
        <v>444</v>
      </c>
      <c r="C92" s="23" t="str">
        <f>IFERROR(__xludf.DUMMYFUNCTION("GOOGLETRANSLATE(B92, ""en"", ""fr"")"),"Arme de mêlée. Pousse les choses un espace quand il frappe.")</f>
        <v>Arme de mêlée. Pousse les choses un espace quand il frappe.</v>
      </c>
      <c r="D92" s="23" t="str">
        <f>IFERROR(__xludf.DUMMYFUNCTION("GOOGLETRANSLATE(B92, ""en"", ""es"")"),"arma cuerpo a cuerpo. Lleva las cosas un espacio hacia atrás cuando se golpea.")</f>
        <v>arma cuerpo a cuerpo. Lleva las cosas un espacio hacia atrás cuando se golpea.</v>
      </c>
      <c r="E92" s="23" t="str">
        <f>IFERROR(__xludf.DUMMYFUNCTION("GOOGLETRANSLATE(B92,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2" s="23" t="str">
        <f>IFERROR(__xludf.DUMMYFUNCTION("GOOGLETRANSLATE(B92, ""en"", ""tr"")"),"Yakın dövüş silahı. çarptığında iter şeyler bir boşluk geri.")</f>
        <v>Yakın dövüş silahı. çarptığında iter şeyler bir boşluk geri.</v>
      </c>
      <c r="G92" s="23" t="str">
        <f>IFERROR(__xludf.DUMMYFUNCTION("GOOGLETRANSLATE(B92, ""en"", ""pt"")"),"Arma branca. Empurra as coisas de volta um espaço quando bate.")</f>
        <v>Arma branca. Empurra as coisas de volta um espaço quando bate.</v>
      </c>
      <c r="H92" s="24" t="str">
        <f>IFERROR(__xludf.DUMMYFUNCTION("GOOGLETRANSLATE(B92, ""en"", ""de"")"),"Nahkampfwaffe. Schiebt die Dinge wieder einen Raum, wenn er trifft.")</f>
        <v>Nahkampfwaffe. Schiebt die Dinge wieder einen Raum, wenn er trifft.</v>
      </c>
      <c r="I92" s="23" t="str">
        <f>IFERROR(__xludf.DUMMYFUNCTION("GOOGLETRANSLATE(B92, ""en"", ""pl"")"),"Broń biała. Popycha rzeczy z powrotem jedno miejsce, gdy natrafi.")</f>
        <v>Broń biała. Popycha rzeczy z powrotem jedno miejsce, gdy natrafi.</v>
      </c>
      <c r="J92" s="25" t="str">
        <f>IFERROR(__xludf.DUMMYFUNCTION("GOOGLETRANSLATE(B92, ""en"", ""zh"")"),"近战武器。推动东西回来一个空当它击中。")</f>
        <v>近战武器。推动东西回来一个空当它击中。</v>
      </c>
      <c r="K92" s="25" t="str">
        <f>IFERROR(__xludf.DUMMYFUNCTION("GOOGLETRANSLATE(B92, ""en"", ""vi"")"),"vũ khí cận chiến. Push thứ trở lại một không gian khi nó chạm.")</f>
        <v>vũ khí cận chiến. Push thứ trở lại một không gian khi nó chạm.</v>
      </c>
      <c r="L92" s="26" t="str">
        <f>IFERROR(__xludf.DUMMYFUNCTION("GOOGLETRANSLATE(B92, ""en"", ""hr"")"),"Gužva oružje. Gura stvari vratiti za jedno mjesto kad ga pogodi.")</f>
        <v>Gužva oružje. Gura stvari vratiti za jedno mjesto kad ga pogodi.</v>
      </c>
      <c r="M92" s="28"/>
      <c r="N92" s="28"/>
      <c r="O92" s="28"/>
      <c r="P92" s="28"/>
      <c r="Q92" s="28"/>
      <c r="R92" s="28"/>
      <c r="S92" s="28"/>
      <c r="T92" s="28"/>
      <c r="U92" s="28"/>
      <c r="V92" s="28"/>
      <c r="W92" s="28"/>
      <c r="X92" s="28"/>
      <c r="Y92" s="28"/>
      <c r="Z92" s="28"/>
      <c r="AA92" s="28"/>
      <c r="AB92" s="28"/>
    </row>
    <row r="93">
      <c r="A93" s="21" t="s">
        <v>467</v>
      </c>
      <c r="B93" s="22" t="s">
        <v>468</v>
      </c>
      <c r="C93" s="23" t="str">
        <f>IFERROR(__xludf.DUMMYFUNCTION("GOOGLETRANSLATE(B93, ""en"", ""fr"")"),"armure Dungium")</f>
        <v>armure Dungium</v>
      </c>
      <c r="D93" s="23" t="str">
        <f>IFERROR(__xludf.DUMMYFUNCTION("GOOGLETRANSLATE(B93, ""en"", ""es"")"),"armadura Dungium")</f>
        <v>armadura Dungium</v>
      </c>
      <c r="E93" s="23" t="str">
        <f>IFERROR(__xludf.DUMMYFUNCTION("GOOGLETRANSLATE(B93, ""en"", ""ru"")"),"Dungium броня")</f>
        <v>Dungium броня</v>
      </c>
      <c r="F93" s="23" t="str">
        <f>IFERROR(__xludf.DUMMYFUNCTION("GOOGLETRANSLATE(B93, ""en"", ""tr"")"),"Dungium zırh")</f>
        <v>Dungium zırh</v>
      </c>
      <c r="G93" s="23" t="str">
        <f>IFERROR(__xludf.DUMMYFUNCTION("GOOGLETRANSLATE(B93, ""en"", ""pt"")"),"armadura Dungium")</f>
        <v>armadura Dungium</v>
      </c>
      <c r="H93" s="24" t="str">
        <f>IFERROR(__xludf.DUMMYFUNCTION("GOOGLETRANSLATE(B93, ""en"", ""de"")"),"Dungium Rüstung")</f>
        <v>Dungium Rüstung</v>
      </c>
      <c r="I93" s="23" t="str">
        <f>IFERROR(__xludf.DUMMYFUNCTION("GOOGLETRANSLATE(B93, ""en"", ""pl"")"),"Dungium pancerz")</f>
        <v>Dungium pancerz</v>
      </c>
      <c r="J93" s="25" t="str">
        <f>IFERROR(__xludf.DUMMYFUNCTION("GOOGLETRANSLATE(B93, ""en"", ""zh"")"),"Dungium装甲")</f>
        <v>Dungium装甲</v>
      </c>
      <c r="K93" s="25" t="str">
        <f>IFERROR(__xludf.DUMMYFUNCTION("GOOGLETRANSLATE(B93, ""en"", ""vi"")"),"Dungium giáp")</f>
        <v>Dungium giáp</v>
      </c>
      <c r="L93" s="26" t="str">
        <f>IFERROR(__xludf.DUMMYFUNCTION("GOOGLETRANSLATE(B93, ""en"", ""hr"")"),"Dungium oklop")</f>
        <v>Dungium oklop</v>
      </c>
      <c r="M93" s="28"/>
      <c r="N93" s="28"/>
      <c r="O93" s="28"/>
      <c r="P93" s="28"/>
      <c r="Q93" s="28"/>
      <c r="R93" s="28"/>
      <c r="S93" s="28"/>
      <c r="T93" s="28"/>
      <c r="U93" s="28"/>
      <c r="V93" s="28"/>
      <c r="W93" s="28"/>
      <c r="X93" s="28"/>
      <c r="Y93" s="28"/>
      <c r="Z93" s="28"/>
      <c r="AA93" s="28"/>
      <c r="AB93" s="28"/>
    </row>
    <row r="94">
      <c r="A94" s="21" t="s">
        <v>469</v>
      </c>
      <c r="B94" s="22" t="s">
        <v>470</v>
      </c>
      <c r="C94" s="23" t="str">
        <f>IFERROR(__xludf.DUMMYFUNCTION("GOOGLETRANSLATE(B94, ""en"", ""fr"")"),"blindage haute durabilité avec un bon bonus de défense. Augmente légèrement votre stat Melee tout porté.")</f>
        <v>blindage haute durabilité avec un bon bonus de défense. Augmente légèrement votre stat Melee tout porté.</v>
      </c>
      <c r="D94" s="23" t="str">
        <f>IFERROR(__xludf.DUMMYFUNCTION("GOOGLETRANSLATE(B94, ""en"", ""es"")"),"armadura de alta durabilidad con un buen bono de defensa. Aumenta ligeramente su stat cuerpo a cuerpo mientras se usa.")</f>
        <v>armadura de alta durabilidad con un buen bono de defensa. Aumenta ligeramente su stat cuerpo a cuerpo mientras se usa.</v>
      </c>
      <c r="E94" s="23" t="str">
        <f>IFERROR(__xludf.DUMMYFUNCTION("GOOGLETRANSLATE(B94,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94" s="23" t="str">
        <f>IFERROR(__xludf.DUMMYFUNCTION("GOOGLETRANSLATE(B94, ""en"", ""tr"")"),"Bir iyi bir savunma bonusu ile yüksek dayanıklılık zırh. aşınmış ise hafifçe Melee Statini arttırır.")</f>
        <v>Bir iyi bir savunma bonusu ile yüksek dayanıklılık zırh. aşınmış ise hafifçe Melee Statini arttırır.</v>
      </c>
      <c r="G94" s="23" t="str">
        <f>IFERROR(__xludf.DUMMYFUNCTION("GOOGLETRANSLATE(B94, ""en"", ""pt"")"),"armadura de alta durabilidade com um bom bônus de defesa. Ligeiramente aumenta seu status de corpo a corpo, enquanto desgastado.")</f>
        <v>armadura de alta durabilidade com um bom bônus de defesa. Ligeiramente aumenta seu status de corpo a corpo, enquanto desgastado.</v>
      </c>
      <c r="H94" s="24" t="str">
        <f>IFERROR(__xludf.DUMMYFUNCTION("GOOGLETRANSLATE(B94, ""en"", ""de"")"),"Hohe Haltbarkeit Rüstung mit einem guten Verteidigungsbonus. Erhöht leicht Melee stat während des Tragens.")</f>
        <v>Hohe Haltbarkeit Rüstung mit einem guten Verteidigungsbonus. Erhöht leicht Melee stat während des Tragens.</v>
      </c>
      <c r="I94" s="23" t="str">
        <f>IFERROR(__xludf.DUMMYFUNCTION("GOOGLETRANSLATE(B94, ""en"", ""pl"")"),"Wysoka wytrzymałość pancerza o dobrej premii obronnej. Nieznacznie zwiększa stat wręcz podczas noszenia.")</f>
        <v>Wysoka wytrzymałość pancerza o dobrej premii obronnej. Nieznacznie zwiększa stat wręcz podczas noszenia.</v>
      </c>
      <c r="J94" s="25" t="str">
        <f>IFERROR(__xludf.DUMMYFUNCTION("GOOGLETRANSLATE(B94, ""en"", ""zh"")"),"高耐用性的盔甲与出色的防守奖金。而戴略微提高你的近战统计。")</f>
        <v>高耐用性的盔甲与出色的防守奖金。而戴略微提高你的近战统计。</v>
      </c>
      <c r="K94" s="25" t="str">
        <f>IFERROR(__xludf.DUMMYFUNCTION("GOOGLETRANSLATE(B94, ""en"", ""vi"")"),"giáp Độ bền cao với nhiều lợi ích bảo vệ tốt. Hơi tăng Melee stat của bạn trong khi mặc.")</f>
        <v>giáp Độ bền cao với nhiều lợi ích bảo vệ tốt. Hơi tăng Melee stat của bạn trong khi mặc.</v>
      </c>
      <c r="L94" s="26" t="str">
        <f>IFERROR(__xludf.DUMMYFUNCTION("GOOGLETRANSLATE(B94, ""en"", ""hr"")"),"Visoka trajnost oklop s dobrom obrambenom bonus. Nešto povećava gužva stat dok istrošena.")</f>
        <v>Visoka trajnost oklop s dobrom obrambenom bonus. Nešto povećava gužva stat dok istrošena.</v>
      </c>
      <c r="M94" s="28"/>
      <c r="N94" s="28"/>
      <c r="O94" s="28"/>
      <c r="P94" s="28"/>
      <c r="Q94" s="28"/>
      <c r="R94" s="28"/>
      <c r="S94" s="28"/>
      <c r="T94" s="28"/>
      <c r="U94" s="28"/>
      <c r="V94" s="28"/>
      <c r="W94" s="28"/>
      <c r="X94" s="28"/>
      <c r="Y94" s="28"/>
      <c r="Z94" s="28"/>
      <c r="AA94" s="28"/>
      <c r="AB94" s="28"/>
    </row>
    <row r="95">
      <c r="A95" s="21" t="s">
        <v>471</v>
      </c>
      <c r="B95" s="22" t="s">
        <v>472</v>
      </c>
      <c r="C95" s="23" t="str">
        <f>IFERROR(__xludf.DUMMYFUNCTION("GOOGLETRANSLATE(B95, ""en"", ""fr"")"),"Noctis hache de guerre")</f>
        <v>Noctis hache de guerre</v>
      </c>
      <c r="D95" s="23" t="str">
        <f>IFERROR(__xludf.DUMMYFUNCTION("GOOGLETRANSLATE(B95, ""en"", ""es"")"),"Noctis hacha")</f>
        <v>Noctis hacha</v>
      </c>
      <c r="E95" s="23" t="str">
        <f>IFERROR(__xludf.DUMMYFUNCTION("GOOGLETRANSLATE(B95, ""en"", ""ru"")"),"Ноктис топорик")</f>
        <v>Ноктис топорик</v>
      </c>
      <c r="F95" s="23" t="str">
        <f>IFERROR(__xludf.DUMMYFUNCTION("GOOGLETRANSLATE(B95, ""en"", ""tr"")"),"Noctis balta")</f>
        <v>Noctis balta</v>
      </c>
      <c r="G95" s="23" t="str">
        <f>IFERROR(__xludf.DUMMYFUNCTION("GOOGLETRANSLATE(B95, ""en"", ""pt"")"),"Noctis machado")</f>
        <v>Noctis machado</v>
      </c>
      <c r="H95" s="24" t="str">
        <f>IFERROR(__xludf.DUMMYFUNCTION("GOOGLETRANSLATE(B95, ""en"", ""de"")"),"Noctis Beil")</f>
        <v>Noctis Beil</v>
      </c>
      <c r="I95" s="23" t="str">
        <f>IFERROR(__xludf.DUMMYFUNCTION("GOOGLETRANSLATE(B95, ""en"", ""pl"")"),"Noctis siekierka")</f>
        <v>Noctis siekierka</v>
      </c>
      <c r="J95" s="25" t="str">
        <f>IFERROR(__xludf.DUMMYFUNCTION("GOOGLETRANSLATE(B95, ""en"", ""zh"")"),"Noctis前嫌")</f>
        <v>Noctis前嫌</v>
      </c>
      <c r="K95" s="25" t="str">
        <f>IFERROR(__xludf.DUMMYFUNCTION("GOOGLETRANSLATE(B95, ""en"", ""vi"")"),"Noctis rìu")</f>
        <v>Noctis rìu</v>
      </c>
      <c r="L95" s="26" t="str">
        <f>IFERROR(__xludf.DUMMYFUNCTION("GOOGLETRANSLATE(B95, ""en"", ""hr"")"),"Noctis sjekirica")</f>
        <v>Noctis sjekirica</v>
      </c>
      <c r="M95" s="28"/>
      <c r="N95" s="28"/>
      <c r="O95" s="28"/>
      <c r="P95" s="28"/>
      <c r="Q95" s="28"/>
      <c r="R95" s="28"/>
      <c r="S95" s="28"/>
      <c r="T95" s="28"/>
      <c r="U95" s="28"/>
      <c r="V95" s="28"/>
      <c r="W95" s="28"/>
      <c r="X95" s="28"/>
      <c r="Y95" s="28"/>
      <c r="Z95" s="28"/>
      <c r="AA95" s="28"/>
      <c r="AB95" s="28"/>
    </row>
    <row r="96">
      <c r="A96" s="21" t="s">
        <v>473</v>
      </c>
      <c r="B96" s="22" t="s">
        <v>424</v>
      </c>
      <c r="C96" s="23" t="str">
        <f>IFERROR(__xludf.DUMMYFUNCTION("GOOGLETRANSLATE(B96, ""en"", ""fr"")"),"Utilisé pour abattre des arbres pour le bois.")</f>
        <v>Utilisé pour abattre des arbres pour le bois.</v>
      </c>
      <c r="D96" s="23" t="str">
        <f>IFERROR(__xludf.DUMMYFUNCTION("GOOGLETRANSLATE(B96, ""en"", ""es"")"),"Se utiliza para cortar árboles para madera.")</f>
        <v>Se utiliza para cortar árboles para madera.</v>
      </c>
      <c r="E96" s="23" t="str">
        <f>IFERROR(__xludf.DUMMYFUNCTION("GOOGLETRANSLATE(B96, ""en"", ""ru"")"),"Используется рубить деревья для дерева.")</f>
        <v>Используется рубить деревья для дерева.</v>
      </c>
      <c r="F96" s="23" t="str">
        <f>IFERROR(__xludf.DUMMYFUNCTION("GOOGLETRANSLATE(B96, ""en"", ""tr"")"),"buradaki ağaçları devirmek için kullanılır.")</f>
        <v>buradaki ağaçları devirmek için kullanılır.</v>
      </c>
      <c r="G96" s="23" t="str">
        <f>IFERROR(__xludf.DUMMYFUNCTION("GOOGLETRANSLATE(B96, ""en"", ""pt"")"),"Usado para derrubar árvores para madeira.")</f>
        <v>Usado para derrubar árvores para madeira.</v>
      </c>
      <c r="H96" s="24" t="str">
        <f>IFERROR(__xludf.DUMMYFUNCTION("GOOGLETRANSLATE(B96, ""en"", ""de"")"),"Gebrauchte Bäume zu fällen für Holz.")</f>
        <v>Gebrauchte Bäume zu fällen für Holz.</v>
      </c>
      <c r="I96" s="23" t="str">
        <f>IFERROR(__xludf.DUMMYFUNCTION("GOOGLETRANSLATE(B96, ""en"", ""pl"")"),"Służy do ścinać drzewa w lesie.")</f>
        <v>Służy do ścinać drzewa w lesie.</v>
      </c>
      <c r="J96" s="25" t="str">
        <f>IFERROR(__xludf.DUMMYFUNCTION("GOOGLETRANSLATE(B96, ""en"", ""zh"")"),"用来砍木材的树木。")</f>
        <v>用来砍木材的树木。</v>
      </c>
      <c r="K96" s="25" t="str">
        <f>IFERROR(__xludf.DUMMYFUNCTION("GOOGLETRANSLATE(B96, ""en"", ""vi"")"),"Dùng để đốn cây lấy gỗ.")</f>
        <v>Dùng để đốn cây lấy gỗ.</v>
      </c>
      <c r="L96" s="26" t="str">
        <f>IFERROR(__xludf.DUMMYFUNCTION("GOOGLETRANSLATE(B96, ""en"", ""hr"")"),"Koristi se za kotlet dolje stabala za drvo.")</f>
        <v>Koristi se za kotlet dolje stabala za drvo.</v>
      </c>
      <c r="M96" s="28"/>
      <c r="N96" s="28"/>
      <c r="O96" s="28"/>
      <c r="P96" s="28"/>
      <c r="Q96" s="28"/>
      <c r="R96" s="28"/>
      <c r="S96" s="28"/>
      <c r="T96" s="28"/>
      <c r="U96" s="28"/>
      <c r="V96" s="28"/>
      <c r="W96" s="28"/>
      <c r="X96" s="28"/>
      <c r="Y96" s="28"/>
      <c r="Z96" s="28"/>
      <c r="AA96" s="28"/>
      <c r="AB96" s="28"/>
    </row>
    <row r="97">
      <c r="A97" s="21" t="s">
        <v>474</v>
      </c>
      <c r="B97" s="22" t="s">
        <v>475</v>
      </c>
      <c r="C97" s="23" t="str">
        <f>IFERROR(__xludf.DUMMYFUNCTION("GOOGLETRANSLATE(B97, ""en"", ""fr"")"),"Noctis pickaxe")</f>
        <v>Noctis pickaxe</v>
      </c>
      <c r="D97" s="23" t="str">
        <f>IFERROR(__xludf.DUMMYFUNCTION("GOOGLETRANSLATE(B97, ""en"", ""es"")"),"piqueta noctis")</f>
        <v>piqueta noctis</v>
      </c>
      <c r="E97" s="23" t="str">
        <f>IFERROR(__xludf.DUMMYFUNCTION("GOOGLETRANSLATE(B97, ""en"", ""ru"")"),"Ноктис кирка")</f>
        <v>Ноктис кирка</v>
      </c>
      <c r="F97" s="23" t="str">
        <f>IFERROR(__xludf.DUMMYFUNCTION("GOOGLETRANSLATE(B97, ""en"", ""tr"")"),"Noctis kazma")</f>
        <v>Noctis kazma</v>
      </c>
      <c r="G97" s="23" t="str">
        <f>IFERROR(__xludf.DUMMYFUNCTION("GOOGLETRANSLATE(B97, ""en"", ""pt"")"),"Noctis picareta")</f>
        <v>Noctis picareta</v>
      </c>
      <c r="H97" s="24" t="str">
        <f>IFERROR(__xludf.DUMMYFUNCTION("GOOGLETRANSLATE(B97, ""en"", ""de"")"),"Noctis pickaxe")</f>
        <v>Noctis pickaxe</v>
      </c>
      <c r="I97" s="23" t="str">
        <f>IFERROR(__xludf.DUMMYFUNCTION("GOOGLETRANSLATE(B97, ""en"", ""pl"")"),"Noctis kilof")</f>
        <v>Noctis kilof</v>
      </c>
      <c r="J97" s="25" t="str">
        <f>IFERROR(__xludf.DUMMYFUNCTION("GOOGLETRANSLATE(B97, ""en"", ""zh"")"),"Noctis镐头")</f>
        <v>Noctis镐头</v>
      </c>
      <c r="K97" s="25" t="str">
        <f>IFERROR(__xludf.DUMMYFUNCTION("GOOGLETRANSLATE(B97, ""en"", ""vi"")"),"Noctis cuốc")</f>
        <v>Noctis cuốc</v>
      </c>
      <c r="L97" s="26" t="str">
        <f>IFERROR(__xludf.DUMMYFUNCTION("GOOGLETRANSLATE(B97, ""en"", ""hr"")"),"Noctis pijuk")</f>
        <v>Noctis pijuk</v>
      </c>
      <c r="M97" s="28"/>
      <c r="N97" s="28"/>
      <c r="O97" s="28"/>
      <c r="P97" s="28"/>
      <c r="Q97" s="28"/>
      <c r="R97" s="28"/>
      <c r="S97" s="28"/>
      <c r="T97" s="28"/>
      <c r="U97" s="28"/>
      <c r="V97" s="28"/>
      <c r="W97" s="28"/>
      <c r="X97" s="28"/>
      <c r="Y97" s="28"/>
      <c r="Z97" s="28"/>
      <c r="AA97" s="28"/>
      <c r="AB97" s="28"/>
    </row>
    <row r="98">
      <c r="A98" s="21" t="s">
        <v>476</v>
      </c>
      <c r="B98" s="22" t="s">
        <v>428</v>
      </c>
      <c r="C98" s="23" t="str">
        <f>IFERROR(__xludf.DUMMYFUNCTION("GOOGLETRANSLATE(B98, ""en"", ""fr"")"),"Utilisé pour les roches de la mine pour le minerai.")</f>
        <v>Utilisé pour les roches de la mine pour le minerai.</v>
      </c>
      <c r="D98" s="23" t="str">
        <f>IFERROR(__xludf.DUMMYFUNCTION("GOOGLETRANSLATE(B98, ""en"", ""es"")"),"Se utiliza para rocas de las minas de mineral.")</f>
        <v>Se utiliza para rocas de las minas de mineral.</v>
      </c>
      <c r="E98" s="23" t="str">
        <f>IFERROR(__xludf.DUMMYFUNCTION("GOOGLETRANSLATE(B98, ""en"", ""ru"")"),"Используется для горных пород для руды.")</f>
        <v>Используется для горных пород для руды.</v>
      </c>
      <c r="F98" s="23" t="str">
        <f>IFERROR(__xludf.DUMMYFUNCTION("GOOGLETRANSLATE(B98, ""en"", ""tr"")"),"cevher için maden kayalar için kullanılır.")</f>
        <v>cevher için maden kayalar için kullanılır.</v>
      </c>
      <c r="G98" s="23" t="str">
        <f>IFERROR(__xludf.DUMMYFUNCTION("GOOGLETRANSLATE(B98, ""en"", ""pt"")"),"Usado para meus rochas de minério.")</f>
        <v>Usado para meus rochas de minério.</v>
      </c>
      <c r="H98" s="24" t="str">
        <f>IFERROR(__xludf.DUMMYFUNCTION("GOOGLETRANSLATE(B98, ""en"", ""de"")"),"Wird verwendet, um mein Felsen für Erz.")</f>
        <v>Wird verwendet, um mein Felsen für Erz.</v>
      </c>
      <c r="I98" s="23" t="str">
        <f>IFERROR(__xludf.DUMMYFUNCTION("GOOGLETRANSLATE(B98, ""en"", ""pl"")"),"Służy do kopalń rudy.")</f>
        <v>Służy do kopalń rudy.</v>
      </c>
      <c r="J98" s="25" t="str">
        <f>IFERROR(__xludf.DUMMYFUNCTION("GOOGLETRANSLATE(B98, ""en"", ""zh"")"),"用于矿山岩石矿石。")</f>
        <v>用于矿山岩石矿石。</v>
      </c>
      <c r="K98" s="25" t="str">
        <f>IFERROR(__xludf.DUMMYFUNCTION("GOOGLETRANSLATE(B98, ""en"", ""vi"")"),"Được sử dụng để đá mỏ quặng.")</f>
        <v>Được sử dụng để đá mỏ quặng.</v>
      </c>
      <c r="L98" s="26" t="str">
        <f>IFERROR(__xludf.DUMMYFUNCTION("GOOGLETRANSLATE(B98, ""en"", ""hr"")"),"Koristi se mina stijena za rude.")</f>
        <v>Koristi se mina stijena za rude.</v>
      </c>
      <c r="M98" s="28"/>
      <c r="N98" s="28"/>
      <c r="O98" s="28"/>
      <c r="P98" s="28"/>
      <c r="Q98" s="28"/>
      <c r="R98" s="28"/>
      <c r="S98" s="28"/>
      <c r="T98" s="28"/>
      <c r="U98" s="28"/>
      <c r="V98" s="28"/>
      <c r="W98" s="28"/>
      <c r="X98" s="28"/>
      <c r="Y98" s="28"/>
      <c r="Z98" s="28"/>
      <c r="AA98" s="28"/>
      <c r="AB98" s="28"/>
    </row>
    <row r="99">
      <c r="A99" s="21" t="s">
        <v>477</v>
      </c>
      <c r="B99" s="22" t="s">
        <v>478</v>
      </c>
      <c r="C99" s="23" t="str">
        <f>IFERROR(__xludf.DUMMYFUNCTION("GOOGLETRANSLATE(B99, ""en"", ""fr"")"),"flèches noctis")</f>
        <v>flèches noctis</v>
      </c>
      <c r="D99" s="23" t="str">
        <f>IFERROR(__xludf.DUMMYFUNCTION("GOOGLETRANSLATE(B99, ""en"", ""es"")"),"Noctis flechas")</f>
        <v>Noctis flechas</v>
      </c>
      <c r="E99" s="23" t="str">
        <f>IFERROR(__xludf.DUMMYFUNCTION("GOOGLETRANSLATE(B99, ""en"", ""ru"")"),"стрелки NOCTIS")</f>
        <v>стрелки NOCTIS</v>
      </c>
      <c r="F99" s="23" t="str">
        <f>IFERROR(__xludf.DUMMYFUNCTION("GOOGLETRANSLATE(B99, ""en"", ""tr"")"),"Noctis oklar")</f>
        <v>Noctis oklar</v>
      </c>
      <c r="G99" s="23" t="str">
        <f>IFERROR(__xludf.DUMMYFUNCTION("GOOGLETRANSLATE(B99, ""en"", ""pt"")"),"setas Noctis")</f>
        <v>setas Noctis</v>
      </c>
      <c r="H99" s="24" t="str">
        <f>IFERROR(__xludf.DUMMYFUNCTION("GOOGLETRANSLATE(B99, ""en"", ""de"")"),"Noctis Pfeile")</f>
        <v>Noctis Pfeile</v>
      </c>
      <c r="I99" s="23" t="str">
        <f>IFERROR(__xludf.DUMMYFUNCTION("GOOGLETRANSLATE(B99, ""en"", ""pl"")"),"strzałki Noctis")</f>
        <v>strzałki Noctis</v>
      </c>
      <c r="J99" s="25" t="str">
        <f>IFERROR(__xludf.DUMMYFUNCTION("GOOGLETRANSLATE(B99, ""en"", ""zh"")"),"Noctis箭头")</f>
        <v>Noctis箭头</v>
      </c>
      <c r="K99" s="25" t="str">
        <f>IFERROR(__xludf.DUMMYFUNCTION("GOOGLETRANSLATE(B99, ""en"", ""vi"")"),"mũi tên Noctis")</f>
        <v>mũi tên Noctis</v>
      </c>
      <c r="L99" s="26" t="str">
        <f>IFERROR(__xludf.DUMMYFUNCTION("GOOGLETRANSLATE(B99, ""en"", ""hr"")"),"Noctis strelice")</f>
        <v>Noctis strelice</v>
      </c>
      <c r="M99" s="28"/>
      <c r="N99" s="28"/>
      <c r="O99" s="28"/>
      <c r="P99" s="28"/>
      <c r="Q99" s="28"/>
      <c r="R99" s="28"/>
      <c r="S99" s="28"/>
      <c r="T99" s="28"/>
      <c r="U99" s="28"/>
      <c r="V99" s="28"/>
      <c r="W99" s="28"/>
      <c r="X99" s="28"/>
      <c r="Y99" s="28"/>
      <c r="Z99" s="28"/>
      <c r="AA99" s="28"/>
      <c r="AB99" s="28"/>
    </row>
    <row r="100">
      <c r="A100" s="21" t="s">
        <v>479</v>
      </c>
      <c r="B100" s="22" t="s">
        <v>432</v>
      </c>
      <c r="C100" s="23" t="str">
        <f>IFERROR(__xludf.DUMMYFUNCTION("GOOGLETRANSLATE(B100, ""en"", ""fr"")"),"Utilisé comme munitions pour un arc.")</f>
        <v>Utilisé comme munitions pour un arc.</v>
      </c>
      <c r="D100" s="23" t="str">
        <f>IFERROR(__xludf.DUMMYFUNCTION("GOOGLETRANSLATE(B100, ""en"", ""es"")"),"Se utiliza como munición para un arco.")</f>
        <v>Se utiliza como munición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""de"")"),"Wird als Munition für einen Bogen.")</f>
        <v>Wird als Munition für einen Bogen.</v>
      </c>
      <c r="I100" s="23" t="str">
        <f>IFERROR(__xludf.DUMMYFUNCTION("GOOGLETRANSLATE(B100, ""en"", ""pl"")"),"Używany jako amunicji do łuku.")</f>
        <v>Używany jako amunicji do łuku.</v>
      </c>
      <c r="J100" s="25" t="str">
        <f>IFERROR(__xludf.DUMMYFUNCTION("GOOGLETRANSLATE(B100, ""en"", ""zh"")"),"作为弹药弓。")</f>
        <v>作为弹药弓。</v>
      </c>
      <c r="K100" s="25" t="str">
        <f>IFERROR(__xludf.DUMMYFUNCTION("GOOGLETRANSLATE(B100, ""en"", ""vi"")"),"Sử dụng như đạn dược cho một cây cung.")</f>
        <v>Sử dụng như đạn dược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480</v>
      </c>
      <c r="B101" s="22" t="s">
        <v>481</v>
      </c>
      <c r="C101" s="23" t="str">
        <f>IFERROR(__xludf.DUMMYFUNCTION("GOOGLETRANSLATE(B101, ""en"", ""fr"")"),"poignard Noctis")</f>
        <v>poignard Noctis</v>
      </c>
      <c r="D101" s="23" t="str">
        <f>IFERROR(__xludf.DUMMYFUNCTION("GOOGLETRANSLATE(B101, ""en"", ""es"")"),"daga noctis")</f>
        <v>daga noctis</v>
      </c>
      <c r="E101" s="23" t="str">
        <f>IFERROR(__xludf.DUMMYFUNCTION("GOOGLETRANSLATE(B101, ""en"", ""ru"")"),"Ноктис крестик")</f>
        <v>Ноктис крестик</v>
      </c>
      <c r="F101" s="23" t="str">
        <f>IFERROR(__xludf.DUMMYFUNCTION("GOOGLETRANSLATE(B101, ""en"", ""tr"")"),"Noctis hançer")</f>
        <v>Noctis hançer</v>
      </c>
      <c r="G101" s="23" t="str">
        <f>IFERROR(__xludf.DUMMYFUNCTION("GOOGLETRANSLATE(B101, ""en"", ""pt"")"),"Noctis punhal")</f>
        <v>Noctis punhal</v>
      </c>
      <c r="H101" s="24" t="str">
        <f>IFERROR(__xludf.DUMMYFUNCTION("GOOGLETRANSLATE(B101, ""en"", ""de"")"),"Noctis Dolch")</f>
        <v>Noctis Dolch</v>
      </c>
      <c r="I101" s="23" t="str">
        <f>IFERROR(__xludf.DUMMYFUNCTION("GOOGLETRANSLATE(B101, ""en"", ""pl"")"),"Noctis sztylet")</f>
        <v>Noctis sztylet</v>
      </c>
      <c r="J101" s="25" t="str">
        <f>IFERROR(__xludf.DUMMYFUNCTION("GOOGLETRANSLATE(B101, ""en"", ""zh"")"),"Noctis匕首")</f>
        <v>Noctis匕首</v>
      </c>
      <c r="K101" s="25" t="str">
        <f>IFERROR(__xludf.DUMMYFUNCTION("GOOGLETRANSLATE(B101, ""en"", ""vi"")"),"Noctis dao găm")</f>
        <v>Noctis dao găm</v>
      </c>
      <c r="L101" s="26" t="str">
        <f>IFERROR(__xludf.DUMMYFUNCTION("GOOGLETRANSLATE(B101, ""en"", ""hr"")"),"Noctis bodež")</f>
        <v>Noctis bodež</v>
      </c>
      <c r="M101" s="28"/>
      <c r="N101" s="28"/>
      <c r="O101" s="28"/>
      <c r="P101" s="28"/>
      <c r="Q101" s="28"/>
      <c r="R101" s="28"/>
      <c r="S101" s="28"/>
      <c r="T101" s="28"/>
      <c r="U101" s="28"/>
      <c r="V101" s="28"/>
      <c r="W101" s="28"/>
      <c r="X101" s="28"/>
      <c r="Y101" s="28"/>
      <c r="Z101" s="28"/>
      <c r="AA101" s="28"/>
      <c r="AB101" s="28"/>
    </row>
    <row r="102">
      <c r="A102" s="21" t="s">
        <v>482</v>
      </c>
      <c r="B102" s="22" t="s">
        <v>436</v>
      </c>
      <c r="C102" s="23" t="str">
        <f>IFERROR(__xludf.DUMMYFUNCTION("GOOGLETRANSLATE(B102,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2" s="23" t="str">
        <f>IFERROR(__xludf.DUMMYFUNCTION("GOOGLETRANSLATE(B102,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2" s="23" t="str">
        <f>IFERROR(__xludf.DUMMYFUNCTION("GOOGLETRANSLATE(B102,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2" s="23" t="str">
        <f>IFERROR(__xludf.DUMMYFUNCTION("GOOGLETRANSLATE(B102,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2" s="23" t="str">
        <f>IFERROR(__xludf.DUMMYFUNCTION("GOOGLETRANSLATE(B102,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2" s="24" t="str">
        <f>IFERROR(__xludf.DUMMYFUNCTION("GOOGLETRANSLATE(B102,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2" s="23" t="str">
        <f>IFERROR(__xludf.DUMMYFUNCTION("GOOGLETRANSLATE(B102,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2" s="25" t="str">
        <f>IFERROR(__xludf.DUMMYFUNCTION("GOOGLETRANSLATE(B102, ""en"", ""zh"")"),"近战武器。用于攻击一个空间远在你面对的方向。造成额外的伤害，当它从背后击中。")</f>
        <v>近战武器。用于攻击一个空间远在你面对的方向。造成额外的伤害，当它从背后击中。</v>
      </c>
      <c r="K102" s="25" t="str">
        <f>IFERROR(__xludf.DUMMYFUNCTION("GOOGLETRANSLATE(B102,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2" s="26" t="str">
        <f>IFERROR(__xludf.DUMMYFUNCTION("GOOGLETRANSLATE(B102,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2" s="28"/>
      <c r="N102" s="28"/>
      <c r="O102" s="28"/>
      <c r="P102" s="28"/>
      <c r="Q102" s="28"/>
      <c r="R102" s="28"/>
      <c r="S102" s="28"/>
      <c r="T102" s="28"/>
      <c r="U102" s="28"/>
      <c r="V102" s="28"/>
      <c r="W102" s="28"/>
      <c r="X102" s="28"/>
      <c r="Y102" s="28"/>
      <c r="Z102" s="28"/>
      <c r="AA102" s="28"/>
      <c r="AB102" s="28"/>
    </row>
    <row r="103">
      <c r="A103" s="21" t="s">
        <v>483</v>
      </c>
      <c r="B103" s="22" t="s">
        <v>484</v>
      </c>
      <c r="C103" s="23" t="str">
        <f>IFERROR(__xludf.DUMMYFUNCTION("GOOGLETRANSLATE(B103, ""en"", ""fr"")"),"épée Noctis")</f>
        <v>épée Noctis</v>
      </c>
      <c r="D103" s="23" t="str">
        <f>IFERROR(__xludf.DUMMYFUNCTION("GOOGLETRANSLATE(B103, ""en"", ""es"")"),"espada noctis")</f>
        <v>espada noctis</v>
      </c>
      <c r="E103" s="23" t="str">
        <f>IFERROR(__xludf.DUMMYFUNCTION("GOOGLETRANSLATE(B103, ""en"", ""ru"")"),"Ноктис меч")</f>
        <v>Ноктис меч</v>
      </c>
      <c r="F103" s="23" t="str">
        <f>IFERROR(__xludf.DUMMYFUNCTION("GOOGLETRANSLATE(B103, ""en"", ""tr"")"),"Noctis kılıç")</f>
        <v>Noctis kılıç</v>
      </c>
      <c r="G103" s="23" t="str">
        <f>IFERROR(__xludf.DUMMYFUNCTION("GOOGLETRANSLATE(B103, ""en"", ""pt"")"),"espada Noctis")</f>
        <v>espada Noctis</v>
      </c>
      <c r="H103" s="24" t="str">
        <f>IFERROR(__xludf.DUMMYFUNCTION("GOOGLETRANSLATE(B103, ""en"", ""de"")"),"Noctis Schwert")</f>
        <v>Noctis Schwert</v>
      </c>
      <c r="I103" s="23" t="str">
        <f>IFERROR(__xludf.DUMMYFUNCTION("GOOGLETRANSLATE(B103, ""en"", ""pl"")"),"Noctis miecz")</f>
        <v>Noctis miecz</v>
      </c>
      <c r="J103" s="25" t="str">
        <f>IFERROR(__xludf.DUMMYFUNCTION("GOOGLETRANSLATE(B103, ""en"", ""zh"")"),"Noctis剑")</f>
        <v>Noctis剑</v>
      </c>
      <c r="K103" s="25" t="str">
        <f>IFERROR(__xludf.DUMMYFUNCTION("GOOGLETRANSLATE(B103, ""en"", ""vi"")"),"Noctis gươm")</f>
        <v>Noctis gươm</v>
      </c>
      <c r="L103" s="26" t="str">
        <f>IFERROR(__xludf.DUMMYFUNCTION("GOOGLETRANSLATE(B103, ""en"", ""hr"")"),"Noctis mač")</f>
        <v>Noctis mač</v>
      </c>
      <c r="M103" s="28"/>
      <c r="N103" s="28"/>
      <c r="O103" s="28"/>
      <c r="P103" s="28"/>
      <c r="Q103" s="28"/>
      <c r="R103" s="28"/>
      <c r="S103" s="28"/>
      <c r="T103" s="28"/>
      <c r="U103" s="28"/>
      <c r="V103" s="28"/>
      <c r="W103" s="28"/>
      <c r="X103" s="28"/>
      <c r="Y103" s="28"/>
      <c r="Z103" s="28"/>
      <c r="AA103" s="28"/>
      <c r="AB103" s="28"/>
    </row>
    <row r="104">
      <c r="A104" s="21" t="s">
        <v>485</v>
      </c>
      <c r="B104" s="22" t="s">
        <v>440</v>
      </c>
      <c r="C104" s="23" t="str">
        <f>IFERROR(__xludf.DUMMYFUNCTION("GOOGLETRANSLATE(B104, ""en"", ""fr"")"),"Arme de mêlée. Utilisé pour attaquer une courte distance dans la direction que vous faites face.")</f>
        <v>Arme de mêlée. Utilisé pour attaquer une courte distance dans la direction que vous faites face.</v>
      </c>
      <c r="D104" s="23" t="str">
        <f>IFERROR(__xludf.DUMMYFUNCTION("GOOGLETRANSLATE(B104, ""en"", ""es"")"),"arma cuerpo a cuerpo. Se utiliza para atacar a corta distancia en la dirección que está enfrentando.")</f>
        <v>arma cuerpo a cuerpo. Se utiliza para atacar a corta distancia en la dirección que está enfrentando.</v>
      </c>
      <c r="E104" s="23" t="str">
        <f>IFERROR(__xludf.DUMMYFUNCTION("GOOGLETRANSLATE(B104,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4" s="23" t="str">
        <f>IFERROR(__xludf.DUMMYFUNCTION("GOOGLETRANSLATE(B104, ""en"", ""tr"")"),"Yakın dövüş silahı. Eğer karşı karşıya yönde kısa bir mesafe uzakta saldırmak için kullanılır.")</f>
        <v>Yakın dövüş silahı. Eğer karşı karşıya yönde kısa bir mesafe uzakta saldırmak için kullanılır.</v>
      </c>
      <c r="G104" s="23" t="str">
        <f>IFERROR(__xludf.DUMMYFUNCTION("GOOGLETRANSLATE(B104, ""en"", ""pt"")"),"Arma branca. Usado para atacar a uma curta distância na direção que você está enfrentando.")</f>
        <v>Arma branca. Usado para atacar a uma curta distância na direção que você está enfrentando.</v>
      </c>
      <c r="H104" s="24" t="str">
        <f>IFERROR(__xludf.DUMMYFUNCTION("GOOGLETRANSLATE(B104, ""en"", ""de"")"),"Nahkampfwaffe. Verwendet, um eine kurze Strecke zum Angriff in Richtung weg Sie konfrontiert sind.")</f>
        <v>Nahkampfwaffe. Verwendet, um eine kurze Strecke zum Angriff in Richtung weg Sie konfrontiert sind.</v>
      </c>
      <c r="I104" s="23" t="str">
        <f>IFERROR(__xludf.DUMMYFUNCTION("GOOGLETRANSLATE(B104, ""en"", ""pl"")"),"Broń biała. Wykorzystana do ataku na krótkie odległości w kierunku, w którym stoją.")</f>
        <v>Broń biała. Wykorzystana do ataku na krótkie odległości w kierunku, w którym stoją.</v>
      </c>
      <c r="J104" s="25" t="str">
        <f>IFERROR(__xludf.DUMMYFUNCTION("GOOGLETRANSLATE(B104, ""en"", ""zh"")"),"近战武器。适用于您所面对的方向攻击很短的距离。")</f>
        <v>近战武器。适用于您所面对的方向攻击很短的距离。</v>
      </c>
      <c r="K104" s="25" t="str">
        <f>IFERROR(__xludf.DUMMYFUNCTION("GOOGLETRANSLATE(B104,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4" s="26" t="str">
        <f>IFERROR(__xludf.DUMMYFUNCTION("GOOGLETRANSLATE(B104, ""en"", ""hr"")"),"Gužva oružje. Koristi se za napad nedaleko u smjeru u kojem se suočavaju.")</f>
        <v>Gužva oružje. Koristi se za napad nedaleko u smjeru u kojem se suočavaju.</v>
      </c>
      <c r="M104" s="28"/>
      <c r="N104" s="28"/>
      <c r="O104" s="28"/>
      <c r="P104" s="28"/>
      <c r="Q104" s="28"/>
      <c r="R104" s="28"/>
      <c r="S104" s="28"/>
      <c r="T104" s="28"/>
      <c r="U104" s="28"/>
      <c r="V104" s="28"/>
      <c r="W104" s="28"/>
      <c r="X104" s="28"/>
      <c r="Y104" s="28"/>
      <c r="Z104" s="28"/>
      <c r="AA104" s="28"/>
      <c r="AB104" s="28"/>
    </row>
    <row r="105">
      <c r="A105" s="21" t="s">
        <v>486</v>
      </c>
      <c r="B105" s="22" t="s">
        <v>487</v>
      </c>
      <c r="C105" s="23" t="str">
        <f>IFERROR(__xludf.DUMMYFUNCTION("GOOGLETRANSLATE(B105, ""en"", ""fr"")"),"marteau Noctis")</f>
        <v>marteau Noctis</v>
      </c>
      <c r="D105" s="23" t="str">
        <f>IFERROR(__xludf.DUMMYFUNCTION("GOOGLETRANSLATE(B105, ""en"", ""es"")"),"martillo noctis")</f>
        <v>martillo noctis</v>
      </c>
      <c r="E105" s="23" t="str">
        <f>IFERROR(__xludf.DUMMYFUNCTION("GOOGLETRANSLATE(B105, ""en"", ""ru"")"),"Ноктис молоток")</f>
        <v>Ноктис молоток</v>
      </c>
      <c r="F105" s="23" t="str">
        <f>IFERROR(__xludf.DUMMYFUNCTION("GOOGLETRANSLATE(B105, ""en"", ""tr"")"),"Noctis çekiç")</f>
        <v>Noctis çekiç</v>
      </c>
      <c r="G105" s="23" t="str">
        <f>IFERROR(__xludf.DUMMYFUNCTION("GOOGLETRANSLATE(B105, ""en"", ""pt"")"),"Noctis martelo")</f>
        <v>Noctis martelo</v>
      </c>
      <c r="H105" s="24" t="str">
        <f>IFERROR(__xludf.DUMMYFUNCTION("GOOGLETRANSLATE(B105, ""en"", ""de"")"),"Noctis Hammer")</f>
        <v>Noctis Hammer</v>
      </c>
      <c r="I105" s="23" t="str">
        <f>IFERROR(__xludf.DUMMYFUNCTION("GOOGLETRANSLATE(B105, ""en"", ""pl"")"),"Noctis młotek")</f>
        <v>Noctis młotek</v>
      </c>
      <c r="J105" s="25" t="str">
        <f>IFERROR(__xludf.DUMMYFUNCTION("GOOGLETRANSLATE(B105, ""en"", ""zh"")"),"Noctis锤")</f>
        <v>Noctis锤</v>
      </c>
      <c r="K105" s="25" t="str">
        <f>IFERROR(__xludf.DUMMYFUNCTION("GOOGLETRANSLATE(B105, ""en"", ""vi"")"),"Noctis búa")</f>
        <v>Noctis búa</v>
      </c>
      <c r="L105" s="26" t="str">
        <f>IFERROR(__xludf.DUMMYFUNCTION("GOOGLETRANSLATE(B105, ""en"", ""hr"")"),"Noctis čekić")</f>
        <v>Noctis čekić</v>
      </c>
      <c r="M105" s="28"/>
      <c r="N105" s="28"/>
      <c r="O105" s="28"/>
      <c r="P105" s="28"/>
      <c r="Q105" s="28"/>
      <c r="R105" s="28"/>
      <c r="S105" s="28"/>
      <c r="T105" s="28"/>
      <c r="U105" s="28"/>
      <c r="V105" s="28"/>
      <c r="W105" s="28"/>
      <c r="X105" s="28"/>
      <c r="Y105" s="28"/>
      <c r="Z105" s="28"/>
      <c r="AA105" s="28"/>
      <c r="AB105" s="28"/>
    </row>
    <row r="106">
      <c r="A106" s="21" t="s">
        <v>488</v>
      </c>
      <c r="B106" s="22" t="s">
        <v>444</v>
      </c>
      <c r="C106" s="23" t="str">
        <f>IFERROR(__xludf.DUMMYFUNCTION("GOOGLETRANSLATE(B106, ""en"", ""fr"")"),"Arme de mêlée. Pousse les choses un espace quand il frappe.")</f>
        <v>Arme de mêlée. Pousse les choses un espace quand il frappe.</v>
      </c>
      <c r="D106" s="23" t="str">
        <f>IFERROR(__xludf.DUMMYFUNCTION("GOOGLETRANSLATE(B106, ""en"", ""es"")"),"arma cuerpo a cuerpo. Lleva las cosas un espacio hacia atrás cuando se golpea.")</f>
        <v>arma cuerpo a cuerpo. Lleva las cosas un espacio hacia atrás cuando se golpea.</v>
      </c>
      <c r="E106" s="23" t="str">
        <f>IFERROR(__xludf.DUMMYFUNCTION("GOOGLETRANSLATE(B106,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6" s="23" t="str">
        <f>IFERROR(__xludf.DUMMYFUNCTION("GOOGLETRANSLATE(B106, ""en"", ""tr"")"),"Yakın dövüş silahı. çarptığında iter şeyler bir boşluk geri.")</f>
        <v>Yakın dövüş silahı. çarptığında iter şeyler bir boşluk geri.</v>
      </c>
      <c r="G106" s="23" t="str">
        <f>IFERROR(__xludf.DUMMYFUNCTION("GOOGLETRANSLATE(B106, ""en"", ""pt"")"),"Arma branca. Empurra as coisas de volta um espaço quando bate.")</f>
        <v>Arma branca. Empurra as coisas de volta um espaço quando bate.</v>
      </c>
      <c r="H106" s="24" t="str">
        <f>IFERROR(__xludf.DUMMYFUNCTION("GOOGLETRANSLATE(B106, ""en"", ""de"")"),"Nahkampfwaffe. Schiebt die Dinge wieder einen Raum, wenn er trifft.")</f>
        <v>Nahkampfwaffe. Schiebt die Dinge wieder einen Raum, wenn er trifft.</v>
      </c>
      <c r="I106" s="23" t="str">
        <f>IFERROR(__xludf.DUMMYFUNCTION("GOOGLETRANSLATE(B106, ""en"", ""pl"")"),"Broń biała. Popycha rzeczy z powrotem jedno miejsce, gdy natrafi.")</f>
        <v>Broń biała. Popycha rzeczy z powrotem jedno miejsce, gdy natrafi.</v>
      </c>
      <c r="J106" s="25" t="str">
        <f>IFERROR(__xludf.DUMMYFUNCTION("GOOGLETRANSLATE(B106, ""en"", ""zh"")"),"近战武器。推动东西回来一个空当它击中。")</f>
        <v>近战武器。推动东西回来一个空当它击中。</v>
      </c>
      <c r="K106" s="25" t="str">
        <f>IFERROR(__xludf.DUMMYFUNCTION("GOOGLETRANSLATE(B106, ""en"", ""vi"")"),"vũ khí cận chiến. Push thứ trở lại một không gian khi nó chạm.")</f>
        <v>vũ khí cận chiến. Push thứ trở lại một không gian khi nó chạm.</v>
      </c>
      <c r="L106" s="26" t="str">
        <f>IFERROR(__xludf.DUMMYFUNCTION("GOOGLETRANSLATE(B106, ""en"", ""hr"")"),"Gužva oružje. Gura stvari vratiti za jedno mjesto kad ga pogodi.")</f>
        <v>Gužva oružje. Gura stvari vratiti za jedno mjesto kad ga pogodi.</v>
      </c>
      <c r="M106" s="28"/>
      <c r="N106" s="28"/>
      <c r="O106" s="28"/>
      <c r="P106" s="28"/>
      <c r="Q106" s="28"/>
      <c r="R106" s="28"/>
      <c r="S106" s="28"/>
      <c r="T106" s="28"/>
      <c r="U106" s="28"/>
      <c r="V106" s="28"/>
      <c r="W106" s="28"/>
      <c r="X106" s="28"/>
      <c r="Y106" s="28"/>
      <c r="Z106" s="28"/>
      <c r="AA106" s="28"/>
      <c r="AB106" s="28"/>
    </row>
    <row r="107">
      <c r="A107" s="21" t="s">
        <v>489</v>
      </c>
      <c r="B107" s="22" t="s">
        <v>490</v>
      </c>
      <c r="C107" s="23" t="str">
        <f>IFERROR(__xludf.DUMMYFUNCTION("GOOGLETRANSLATE(B107, ""en"", ""fr"")"),"armure Noctis")</f>
        <v>armure Noctis</v>
      </c>
      <c r="D107" s="23" t="str">
        <f>IFERROR(__xludf.DUMMYFUNCTION("GOOGLETRANSLATE(B107, ""en"", ""es"")"),"armadura noctis")</f>
        <v>armadura noctis</v>
      </c>
      <c r="E107" s="23" t="str">
        <f>IFERROR(__xludf.DUMMYFUNCTION("GOOGLETRANSLATE(B107, ""en"", ""ru"")"),"Ноктис броня")</f>
        <v>Ноктис броня</v>
      </c>
      <c r="F107" s="23" t="str">
        <f>IFERROR(__xludf.DUMMYFUNCTION("GOOGLETRANSLATE(B107, ""en"", ""tr"")"),"Noctis zırh")</f>
        <v>Noctis zırh</v>
      </c>
      <c r="G107" s="23" t="str">
        <f>IFERROR(__xludf.DUMMYFUNCTION("GOOGLETRANSLATE(B107, ""en"", ""pt"")"),"armadura Noctis")</f>
        <v>armadura Noctis</v>
      </c>
      <c r="H107" s="24" t="str">
        <f>IFERROR(__xludf.DUMMYFUNCTION("GOOGLETRANSLATE(B107, ""en"", ""de"")"),"Noctis Rüstung")</f>
        <v>Noctis Rüstung</v>
      </c>
      <c r="I107" s="23" t="str">
        <f>IFERROR(__xludf.DUMMYFUNCTION("GOOGLETRANSLATE(B107, ""en"", ""pl"")"),"Noctis pancerz")</f>
        <v>Noctis pancerz</v>
      </c>
      <c r="J107" s="25" t="str">
        <f>IFERROR(__xludf.DUMMYFUNCTION("GOOGLETRANSLATE(B107, ""en"", ""zh"")"),"Noctis装甲")</f>
        <v>Noctis装甲</v>
      </c>
      <c r="K107" s="25" t="str">
        <f>IFERROR(__xludf.DUMMYFUNCTION("GOOGLETRANSLATE(B107, ""en"", ""vi"")"),"Noctis giáp")</f>
        <v>Noctis giáp</v>
      </c>
      <c r="L107" s="26" t="str">
        <f>IFERROR(__xludf.DUMMYFUNCTION("GOOGLETRANSLATE(B107, ""en"", ""hr"")"),"Noctis oklop")</f>
        <v>Noctis oklop</v>
      </c>
      <c r="M107" s="28"/>
      <c r="N107" s="28"/>
      <c r="O107" s="28"/>
      <c r="P107" s="28"/>
      <c r="Q107" s="28"/>
      <c r="R107" s="28"/>
      <c r="S107" s="28"/>
      <c r="T107" s="28"/>
      <c r="U107" s="28"/>
      <c r="V107" s="28"/>
      <c r="W107" s="28"/>
      <c r="X107" s="28"/>
      <c r="Y107" s="28"/>
      <c r="Z107" s="28"/>
      <c r="AA107" s="28"/>
      <c r="AB107" s="28"/>
    </row>
    <row r="108">
      <c r="A108" s="21" t="s">
        <v>491</v>
      </c>
      <c r="B108" s="22" t="s">
        <v>492</v>
      </c>
      <c r="C108" s="23" t="str">
        <f>IFERROR(__xludf.DUMMYFUNCTION("GOOGLETRANSLATE(B108, ""en"", ""fr"")"),"armure agressif avec un bon bonus de défense, mais une faible durabilité. Grandement augmente votre stat Melee tout porté.")</f>
        <v>armure agressif avec un bon bonus de défense, mais une faible durabilité. Grandement augmente votre stat Melee tout porté.</v>
      </c>
      <c r="D108" s="23" t="str">
        <f>IFERROR(__xludf.DUMMYFUNCTION("GOOGLETRANSLATE(B108, ""en"", ""es"")"),"armadura agresivo con un buen bono de defensa, pero baja durabilidad. Aumenta en gran medida su stat cuerpo a cuerpo mientras se usa.")</f>
        <v>armadura agresivo con un buen bono de defensa, pero baja durabilidad. Aumenta en gran medida su stat cuerpo a cuerpo mientras se usa.</v>
      </c>
      <c r="E108" s="23" t="str">
        <f>IFERROR(__xludf.DUMMYFUNCTION("GOOGLETRANSLATE(B108,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08" s="23" t="str">
        <f>IFERROR(__xludf.DUMMYFUNCTION("GOOGLETRANSLATE(B108, ""en"", ""tr"")"),"İyi bir savunma bonus Agresif zırh, ancak düşük dayanıklılık. aşınmış ise büyük ölçüde Melee Statini arttırır.")</f>
        <v>İyi bir savunma bonus Agresif zırh, ancak düşük dayanıklılık. aşınmış ise büyük ölçüde Melee Statini arttırır.</v>
      </c>
      <c r="G108" s="23" t="str">
        <f>IFERROR(__xludf.DUMMYFUNCTION("GOOGLETRANSLATE(B108,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08" s="24" t="str">
        <f>IFERROR(__xludf.DUMMYFUNCTION("GOOGLETRANSLATE(B108, ""en"", ""de"")"),"Aggressive Rüstung mit einem guten Verteidigung Bonus, aber geringe Haltbarkeit. Erhöht Ihre Melee stat während des Tragens.")</f>
        <v>Aggressive Rüstung mit einem guten Verteidigung Bonus, aber geringe Haltbarkeit. Erhöht Ihre Melee stat während des Tragens.</v>
      </c>
      <c r="I108" s="23" t="str">
        <f>IFERROR(__xludf.DUMMYFUNCTION("GOOGLETRANSLATE(B108, ""en"", ""pl"")"),"Agresywny pancerz z dobrą premię obrony, ale niska trwałość. Znacznie zwiększa stat wręcz podczas noszenia.")</f>
        <v>Agresywny pancerz z dobrą premię obrony, ale niska trwałość. Znacznie zwiększa stat wręcz podczas noszenia.</v>
      </c>
      <c r="J108" s="25" t="str">
        <f>IFERROR(__xludf.DUMMYFUNCTION("GOOGLETRANSLATE(B108, ""en"", ""zh"")"),"激进装甲具有良好的防御加成，但耐久性低。而戴大大增加你的近战统计。")</f>
        <v>激进装甲具有良好的防御加成，但耐久性低。而戴大大增加你的近战统计。</v>
      </c>
      <c r="K108" s="25" t="str">
        <f>IFERROR(__xludf.DUMMYFUNCTION("GOOGLETRANSLATE(B108,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08" s="26" t="str">
        <f>IFERROR(__xludf.DUMMYFUNCTION("GOOGLETRANSLATE(B108, ""en"", ""hr"")"),"Agresivni oklop s dobrom obrambenom bonus, ali niske trajnost. Uvelike povećava gužva stat dok istrošena.")</f>
        <v>Agresivni oklop s dobrom obrambenom bonus, ali niske trajnost. Uvelike povećava gužva stat dok istrošena.</v>
      </c>
      <c r="M108" s="28"/>
      <c r="N108" s="28"/>
      <c r="O108" s="28"/>
      <c r="P108" s="28"/>
      <c r="Q108" s="28"/>
      <c r="R108" s="28"/>
      <c r="S108" s="28"/>
      <c r="T108" s="28"/>
      <c r="U108" s="28"/>
      <c r="V108" s="28"/>
      <c r="W108" s="28"/>
      <c r="X108" s="28"/>
      <c r="Y108" s="28"/>
      <c r="Z108" s="28"/>
      <c r="AA108" s="28"/>
      <c r="AB108" s="28"/>
    </row>
    <row r="109">
      <c r="A109" s="21" t="s">
        <v>493</v>
      </c>
      <c r="B109" s="22" t="s">
        <v>494</v>
      </c>
      <c r="C109" s="23" t="str">
        <f>IFERROR(__xludf.DUMMYFUNCTION("GOOGLETRANSLATE(B109, ""en"", ""fr"")"),"vampire Croc")</f>
        <v>vampire Croc</v>
      </c>
      <c r="D109" s="23" t="str">
        <f>IFERROR(__xludf.DUMMYFUNCTION("GOOGLETRANSLATE(B109, ""en"", ""es"")"),"vampire fang")</f>
        <v>vampire fang</v>
      </c>
      <c r="E109" s="23" t="str">
        <f>IFERROR(__xludf.DUMMYFUNCTION("GOOGLETRANSLATE(B109, ""en"", ""ru"")"),"Вампир клыки")</f>
        <v>Вампир клыки</v>
      </c>
      <c r="F109" s="23" t="str">
        <f>IFERROR(__xludf.DUMMYFUNCTION("GOOGLETRANSLATE(B109, ""en"", ""tr"")"),"Vampir zehirli diş")</f>
        <v>Vampir zehirli diş</v>
      </c>
      <c r="G109" s="23" t="str">
        <f>IFERROR(__xludf.DUMMYFUNCTION("GOOGLETRANSLATE(B109, ""en"", ""pt"")"),"colmilho do vampiro")</f>
        <v>colmilho do vampiro</v>
      </c>
      <c r="H109" s="24" t="str">
        <f>IFERROR(__xludf.DUMMYFUNCTION("GOOGLETRANSLATE(B109, ""en"", ""de"")"),"Vampir Reißzahn")</f>
        <v>Vampir Reißzahn</v>
      </c>
      <c r="I109" s="23" t="str">
        <f>IFERROR(__xludf.DUMMYFUNCTION("GOOGLETRANSLATE(B109, ""en"", ""pl"")"),"Vampire Fang")</f>
        <v>Vampire Fang</v>
      </c>
      <c r="J109" s="25" t="str">
        <f>IFERROR(__xludf.DUMMYFUNCTION("GOOGLETRANSLATE(B109, ""en"", ""zh"")"),"吸血鬼芳")</f>
        <v>吸血鬼芳</v>
      </c>
      <c r="K109" s="25" t="str">
        <f>IFERROR(__xludf.DUMMYFUNCTION("GOOGLETRANSLATE(B109, ""en"", ""vi"")"),"Ma cà rồng fang")</f>
        <v>Ma cà rồng fang</v>
      </c>
      <c r="L109" s="26" t="str">
        <f>IFERROR(__xludf.DUMMYFUNCTION("GOOGLETRANSLATE(B109, ""en"", ""hr"")"),"Vampire fang")</f>
        <v>Vampire fang</v>
      </c>
      <c r="M109" s="28"/>
      <c r="N109" s="28"/>
      <c r="O109" s="28"/>
      <c r="P109" s="28"/>
      <c r="Q109" s="28"/>
      <c r="R109" s="28"/>
      <c r="S109" s="28"/>
      <c r="T109" s="28"/>
      <c r="U109" s="28"/>
      <c r="V109" s="28"/>
      <c r="W109" s="28"/>
      <c r="X109" s="28"/>
      <c r="Y109" s="28"/>
      <c r="Z109" s="28"/>
      <c r="AA109" s="28"/>
      <c r="AB109" s="28"/>
    </row>
    <row r="110">
      <c r="A110" s="21" t="s">
        <v>495</v>
      </c>
      <c r="B110" s="22" t="s">
        <v>496</v>
      </c>
      <c r="C110" s="23" t="str">
        <f>IFERROR(__xludf.DUMMYFUNCTION("GOOGLETRANSLATE(B110, ""en"", ""fr"")"),"Arme de mêlée. Ne peut endommager les créatures adjacentes, mais vous guérit quand il frappe.")</f>
        <v>Arme de mêlée. Ne peut endommager les créatures adjacentes, mais vous guérit quand il frappe.</v>
      </c>
      <c r="D110" s="23" t="str">
        <f>IFERROR(__xludf.DUMMYFUNCTION("GOOGLETRANSLATE(B110, ""en"", ""es"")"),"arma cuerpo a cuerpo. sólo puede dañar criaturas adyacentes, pero te cura cuando golpea.")</f>
        <v>arma cuerpo a cuerpo. sólo puede dañar criaturas adyacentes, pero te cura cuando golpea.</v>
      </c>
      <c r="E110" s="23" t="str">
        <f>IFERROR(__xludf.DUMMYFUNCTION("GOOGLETRANSLATE(B110,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10" s="23" t="str">
        <f>IFERROR(__xludf.DUMMYFUNCTION("GOOGLETRANSLATE(B110, ""en"", ""tr"")"),"Yakın dövüş silahı. çarptığında sadece iyileşir sizi bitişik yaratıklar zarar ama Can.")</f>
        <v>Yakın dövüş silahı. çarptığında sadece iyileşir sizi bitişik yaratıklar zarar ama Can.</v>
      </c>
      <c r="G110" s="23" t="str">
        <f>IFERROR(__xludf.DUMMYFUNCTION("GOOGLETRANSLATE(B110, ""en"", ""pt"")"),"Arma branca. só pode danificar criaturas adjacentes, mas cura-te quando bate.")</f>
        <v>Arma branca. só pode danificar criaturas adjacentes, mas cura-te quando bate.</v>
      </c>
      <c r="H110" s="24" t="str">
        <f>IFERROR(__xludf.DUMMYFUNCTION("GOOGLETRANSLATE(B110, ""en"", ""de"")"),"Nahkampfwaffe. Kann nur benachbarte Kreaturen, sondern heilt Sie beschädigen, wenn er trifft.")</f>
        <v>Nahkampfwaffe. Kann nur benachbarte Kreaturen, sondern heilt Sie beschädigen, wenn er trifft.</v>
      </c>
      <c r="I110" s="23" t="str">
        <f>IFERROR(__xludf.DUMMYFUNCTION("GOOGLETRANSLATE(B110, ""en"", ""pl"")"),"Broń biała. Może uszkodzić sąsiednie tylko stworzenia, ale cię uzdrawia gdy trafi.")</f>
        <v>Broń biała. Może uszkodzić sąsiednie tylko stworzenia, ale cię uzdrawia gdy trafi.</v>
      </c>
      <c r="J110" s="25" t="str">
        <f>IFERROR(__xludf.DUMMYFUNCTION("GOOGLETRANSLATE(B110, ""en"", ""zh"")"),"近战武器。当它击中只能损害相邻的生物，但医治你。")</f>
        <v>近战武器。当它击中只能损害相邻的生物，但医治你。</v>
      </c>
      <c r="K110" s="25" t="str">
        <f>IFERROR(__xludf.DUMMYFUNCTION("GOOGLETRANSLATE(B110, ""en"", ""vi"")"),"vũ khí cận chiến. Chỉ có thể làm tổn hại sinh vật lân cận, nhưng chữa lành cho bạn khi nó chạm.")</f>
        <v>vũ khí cận chiến. Chỉ có thể làm tổn hại sinh vật lân cận, nhưng chữa lành cho bạn khi nó chạm.</v>
      </c>
      <c r="L110" s="26" t="str">
        <f>IFERROR(__xludf.DUMMYFUNCTION("GOOGLETRANSLATE(B110, ""en"", ""hr"")"),"Gužva oružje. Mogu samo oštetiti susjedne stvorenja, ali iscjeljuje vas kad ga pogodi.")</f>
        <v>Gužva oružje. Mogu samo oštetiti susjedne stvorenja, ali iscjeljuje vas kad ga pogodi.</v>
      </c>
      <c r="M110" s="28"/>
      <c r="N110" s="28"/>
      <c r="O110" s="28"/>
      <c r="P110" s="28"/>
      <c r="Q110" s="28"/>
      <c r="R110" s="28"/>
      <c r="S110" s="28"/>
      <c r="T110" s="28"/>
      <c r="U110" s="28"/>
      <c r="V110" s="28"/>
      <c r="W110" s="28"/>
      <c r="X110" s="28"/>
      <c r="Y110" s="28"/>
      <c r="Z110" s="28"/>
      <c r="AA110" s="28"/>
      <c r="AB110" s="28"/>
    </row>
    <row r="111">
      <c r="A111" s="21" t="s">
        <v>497</v>
      </c>
      <c r="B111" s="22" t="s">
        <v>498</v>
      </c>
      <c r="C111" s="23" t="str">
        <f>IFERROR(__xludf.DUMMYFUNCTION("GOOGLETRANSLATE(B111, ""en"", ""fr"")"),"chêne arc")</f>
        <v>chêne arc</v>
      </c>
      <c r="D111" s="23" t="str">
        <f>IFERROR(__xludf.DUMMYFUNCTION("GOOGLETRANSLATE(B111, ""en"", ""es"")"),"arco de madera de roble")</f>
        <v>arco de madera de roble</v>
      </c>
      <c r="E111" s="23" t="str">
        <f>IFERROR(__xludf.DUMMYFUNCTION("GOOGLETRANSLATE(B111, ""en"", ""ru"")"),"Дуб лук")</f>
        <v>Дуб лук</v>
      </c>
      <c r="F111" s="23" t="str">
        <f>IFERROR(__xludf.DUMMYFUNCTION("GOOGLETRANSLATE(B111, ""en"", ""tr"")"),"Meşe yay")</f>
        <v>Meşe yay</v>
      </c>
      <c r="G111" s="23" t="str">
        <f>IFERROR(__xludf.DUMMYFUNCTION("GOOGLETRANSLATE(B111, ""en"", ""pt"")"),"arco Oak")</f>
        <v>arco Oak</v>
      </c>
      <c r="H111" s="24" t="str">
        <f>IFERROR(__xludf.DUMMYFUNCTION("GOOGLETRANSLATE(B111, ""en"", ""de"")"),"Oak Bogen")</f>
        <v>Oak Bogen</v>
      </c>
      <c r="I111" s="23" t="str">
        <f>IFERROR(__xludf.DUMMYFUNCTION("GOOGLETRANSLATE(B111, ""en"", ""pl"")"),"dąb łuk")</f>
        <v>dąb łuk</v>
      </c>
      <c r="J111" s="25" t="str">
        <f>IFERROR(__xludf.DUMMYFUNCTION("GOOGLETRANSLATE(B111, ""en"", ""zh"")"),"橡树弓")</f>
        <v>橡树弓</v>
      </c>
      <c r="K111" s="25" t="str">
        <f>IFERROR(__xludf.DUMMYFUNCTION("GOOGLETRANSLATE(B111, ""en"", ""vi"")"),"Oak nơ")</f>
        <v>Oak nơ</v>
      </c>
      <c r="L111" s="26" t="str">
        <f>IFERROR(__xludf.DUMMYFUNCTION("GOOGLETRANSLATE(B111, ""en"", ""hr"")"),"hrast luk")</f>
        <v>hrast luk</v>
      </c>
      <c r="M111" s="28"/>
      <c r="N111" s="28"/>
      <c r="O111" s="28"/>
      <c r="P111" s="28"/>
      <c r="Q111" s="28"/>
      <c r="R111" s="28"/>
      <c r="S111" s="28"/>
      <c r="T111" s="28"/>
      <c r="U111" s="28"/>
      <c r="V111" s="28"/>
      <c r="W111" s="28"/>
      <c r="X111" s="28"/>
      <c r="Y111" s="28"/>
      <c r="Z111" s="28"/>
      <c r="AA111" s="28"/>
      <c r="AB111" s="28"/>
    </row>
    <row r="112">
      <c r="A112" s="21" t="s">
        <v>499</v>
      </c>
      <c r="B112" s="22" t="s">
        <v>500</v>
      </c>
      <c r="C112" s="23" t="str">
        <f>IFERROR(__xludf.DUMMYFUNCTION("GOOGLETRANSLATE(B112, ""en"", ""fr"")"),"Une arme longue portée de base aux flèches de tirer.")</f>
        <v>Une arme longue portée de base aux flèches de tirer.</v>
      </c>
      <c r="D112" s="23" t="str">
        <f>IFERROR(__xludf.DUMMYFUNCTION("GOOGLETRANSLATE(B112, ""en"", ""es"")"),"Un arma de largo alcance básico para disparar flechas.")</f>
        <v>Un arma de largo alcance básico para disparar flechas.</v>
      </c>
      <c r="E112" s="23" t="str">
        <f>IFERROR(__xludf.DUMMYFUNCTION("GOOGLETRANSLATE(B112, ""en"", ""ru"")"),"Основное длинномасштабные оружие для метания стрел.")</f>
        <v>Основное длинномасштабные оружие для метания стрел.</v>
      </c>
      <c r="F112" s="23" t="str">
        <f>IFERROR(__xludf.DUMMYFUNCTION("GOOGLETRANSLATE(B112, ""en"", ""tr"")"),"ateş okları A temel uzun menzilli silah.")</f>
        <v>ateş okları A temel uzun menzilli silah.</v>
      </c>
      <c r="G112" s="23" t="str">
        <f>IFERROR(__xludf.DUMMYFUNCTION("GOOGLETRANSLATE(B112, ""en"", ""pt"")"),"Uma arma de longo variou básico para atirar flechas.")</f>
        <v>Uma arma de longo variou básico para atirar flechas.</v>
      </c>
      <c r="H112" s="24" t="str">
        <f>IFERROR(__xludf.DUMMYFUNCTION("GOOGLETRANSLATE(B112, ""en"", ""de"")"),"Eine grundlegende lange Distanzwaffen zu schießen Pfeile.")</f>
        <v>Eine grundlegende lange Distanzwaffen zu schießen Pfeile.</v>
      </c>
      <c r="I112" s="23" t="str">
        <f>IFERROR(__xludf.DUMMYFUNCTION("GOOGLETRANSLATE(B112, ""en"", ""pl"")"),"Podstawowym długo wahał broń strzelać strzałkami.")</f>
        <v>Podstawowym długo wahał broń strzelać strzałkami.</v>
      </c>
      <c r="J112" s="25" t="str">
        <f>IFERROR(__xludf.DUMMYFUNCTION("GOOGLETRANSLATE(B112, ""en"", ""zh"")"),"一个基本的长远程武器射箭。")</f>
        <v>一个基本的长远程武器射箭。</v>
      </c>
      <c r="K112" s="25" t="str">
        <f>IFERROR(__xludf.DUMMYFUNCTION("GOOGLETRANSLATE(B112, ""en"", ""vi"")"),"Một vũ khí tầm xa cơ bản để mũi tên bắn.")</f>
        <v>Một vũ khí tầm xa cơ bản để mũi tên bắn.</v>
      </c>
      <c r="L112" s="26" t="str">
        <f>IFERROR(__xludf.DUMMYFUNCTION("GOOGLETRANSLATE(B112, ""en"", ""hr"")"),"Osnovni dugo streljačko oružje za pucanje strelica.")</f>
        <v>Osnovni dugo streljačko oružje za pucanje strelica.</v>
      </c>
      <c r="M112" s="28"/>
      <c r="N112" s="28"/>
      <c r="O112" s="28"/>
      <c r="P112" s="28"/>
      <c r="Q112" s="28"/>
      <c r="R112" s="28"/>
      <c r="S112" s="28"/>
      <c r="T112" s="28"/>
      <c r="U112" s="28"/>
      <c r="V112" s="28"/>
      <c r="W112" s="28"/>
      <c r="X112" s="28"/>
      <c r="Y112" s="28"/>
      <c r="Z112" s="28"/>
      <c r="AA112" s="28"/>
      <c r="AB112" s="28"/>
    </row>
    <row r="113">
      <c r="A113" s="21" t="s">
        <v>501</v>
      </c>
      <c r="B113" s="22" t="s">
        <v>502</v>
      </c>
      <c r="C113" s="23" t="str">
        <f>IFERROR(__xludf.DUMMYFUNCTION("GOOGLETRANSLATE(B113, ""en"", ""fr"")"),"shuriken")</f>
        <v>shuriken</v>
      </c>
      <c r="D113" s="23" t="str">
        <f>IFERROR(__xludf.DUMMYFUNCTION("GOOGLETRANSLATE(B113, ""en"", ""es"")"),"Shuriken")</f>
        <v>Shuriken</v>
      </c>
      <c r="E113" s="23" t="str">
        <f>IFERROR(__xludf.DUMMYFUNCTION("GOOGLETRANSLATE(B113, ""en"", ""ru"")"),"Shuriken")</f>
        <v>Shuriken</v>
      </c>
      <c r="F113" s="23" t="str">
        <f>IFERROR(__xludf.DUMMYFUNCTION("GOOGLETRANSLATE(B113, ""en"", ""tr"")"),"Shuriken")</f>
        <v>Shuriken</v>
      </c>
      <c r="G113" s="23" t="str">
        <f>IFERROR(__xludf.DUMMYFUNCTION("GOOGLETRANSLATE(B113, ""en"", ""pt"")"),"Shuriken")</f>
        <v>Shuriken</v>
      </c>
      <c r="H113" s="24" t="str">
        <f>IFERROR(__xludf.DUMMYFUNCTION("GOOGLETRANSLATE(B113, ""en"", ""de"")"),"Shuriken")</f>
        <v>Shuriken</v>
      </c>
      <c r="I113" s="23" t="str">
        <f>IFERROR(__xludf.DUMMYFUNCTION("GOOGLETRANSLATE(B113, ""en"", ""pl"")"),"Shuriken")</f>
        <v>Shuriken</v>
      </c>
      <c r="J113" s="25" t="str">
        <f>IFERROR(__xludf.DUMMYFUNCTION("GOOGLETRANSLATE(B113, ""en"", ""zh"")"),"手里剑")</f>
        <v>手里剑</v>
      </c>
      <c r="K113" s="25" t="str">
        <f>IFERROR(__xludf.DUMMYFUNCTION("GOOGLETRANSLATE(B113, ""en"", ""vi"")"),"Shuriken")</f>
        <v>Shuriken</v>
      </c>
      <c r="L113" s="26" t="str">
        <f>IFERROR(__xludf.DUMMYFUNCTION("GOOGLETRANSLATE(B113, ""en"", ""hr"")"),"Shuriken")</f>
        <v>Shuriken</v>
      </c>
      <c r="M113" s="28"/>
      <c r="N113" s="28"/>
      <c r="O113" s="28"/>
      <c r="P113" s="28"/>
      <c r="Q113" s="28"/>
      <c r="R113" s="28"/>
      <c r="S113" s="28"/>
      <c r="T113" s="28"/>
      <c r="U113" s="28"/>
      <c r="V113" s="28"/>
      <c r="W113" s="28"/>
      <c r="X113" s="28"/>
      <c r="Y113" s="28"/>
      <c r="Z113" s="28"/>
      <c r="AA113" s="28"/>
      <c r="AB113" s="28"/>
    </row>
    <row r="114">
      <c r="A114" s="21" t="s">
        <v>503</v>
      </c>
      <c r="B114" s="22" t="s">
        <v>504</v>
      </c>
      <c r="C114" s="23" t="str">
        <f>IFERROR(__xludf.DUMMYFUNCTION("GOOGLETRANSLATE(B114, ""en"", ""fr"")"),"Un milieu en mouvement rapide arme à distance.")</f>
        <v>Un milieu en mouvement rapide arme à distance.</v>
      </c>
      <c r="D114" s="23" t="str">
        <f>IFERROR(__xludf.DUMMYFUNCTION("GOOGLETRANSLATE(B114, ""en"", ""es"")"),"Un medio rápido movimiento arma de largo alcance.")</f>
        <v>Un medio rápido movimiento arma de largo alcance.</v>
      </c>
      <c r="E114" s="23" t="str">
        <f>IFERROR(__xludf.DUMMYFUNCTION("GOOGLETRANSLATE(B114, ""en"", ""ru"")"),"Быстро движущаяся среда варьировались оружие.")</f>
        <v>Быстро движущаяся среда варьировались оружие.</v>
      </c>
      <c r="F114" s="23" t="str">
        <f>IFERROR(__xludf.DUMMYFUNCTION("GOOGLETRANSLATE(B114, ""en"", ""tr"")"),"Hızlı hareket eden orta silah değişmekteydi.")</f>
        <v>Hızlı hareket eden orta silah değişmekteydi.</v>
      </c>
      <c r="G114" s="23" t="str">
        <f>IFERROR(__xludf.DUMMYFUNCTION("GOOGLETRANSLATE(B114, ""en"", ""pt"")"),"Um meio rápido movimento variou arma.")</f>
        <v>Um meio rápido movimento variou arma.</v>
      </c>
      <c r="H114" s="24" t="str">
        <f>IFERROR(__xludf.DUMMYFUNCTION("GOOGLETRANSLATE(B114, ""en"", ""de"")"),"Ein sich schnell bewegenden Medium Distanzwaffe.")</f>
        <v>Ein sich schnell bewegenden Medium Distanzwaffe.</v>
      </c>
      <c r="I114" s="23" t="str">
        <f>IFERROR(__xludf.DUMMYFUNCTION("GOOGLETRANSLATE(B114, ""en"", ""pl"")"),"A szybko poruszaj średnie wahały się broń.")</f>
        <v>A szybko poruszaj średnie wahały się broń.</v>
      </c>
      <c r="J114" s="25" t="str">
        <f>IFERROR(__xludf.DUMMYFUNCTION("GOOGLETRANSLATE(B114, ""en"", ""zh"")"),"快速移动中的远程武器。")</f>
        <v>快速移动中的远程武器。</v>
      </c>
      <c r="K114" s="25" t="str">
        <f>IFERROR(__xludf.DUMMYFUNCTION("GOOGLETRANSLATE(B114, ""en"", ""vi"")"),"Một phương tiện di chuyển nhanh ranged vũ khí.")</f>
        <v>Một phương tiện di chuyển nhanh ranged vũ khí.</v>
      </c>
      <c r="L114" s="26" t="str">
        <f>IFERROR(__xludf.DUMMYFUNCTION("GOOGLETRANSLATE(B114, ""en"", ""hr"")"),"Brzo se kreće srednje streljačko oružje.")</f>
        <v>Brzo se kreće srednje streljačko oružje.</v>
      </c>
      <c r="M114" s="28"/>
      <c r="N114" s="28"/>
      <c r="O114" s="28"/>
      <c r="P114" s="28"/>
      <c r="Q114" s="28"/>
      <c r="R114" s="28"/>
      <c r="S114" s="28"/>
      <c r="T114" s="28"/>
      <c r="U114" s="28"/>
      <c r="V114" s="28"/>
      <c r="W114" s="28"/>
      <c r="X114" s="28"/>
      <c r="Y114" s="28"/>
      <c r="Z114" s="28"/>
      <c r="AA114" s="28"/>
      <c r="AB114" s="28"/>
    </row>
    <row r="115">
      <c r="A115" s="21" t="s">
        <v>505</v>
      </c>
      <c r="B115" s="22" t="s">
        <v>506</v>
      </c>
      <c r="C115" s="23" t="str">
        <f>IFERROR(__xludf.DUMMYFUNCTION("GOOGLETRANSLATE(B115, ""en"", ""fr"")"),"Gemme")</f>
        <v>Gemme</v>
      </c>
      <c r="D115" s="23" t="str">
        <f>IFERROR(__xludf.DUMMYFUNCTION("GOOGLETRANSLATE(B115, ""en"", ""es"")"),"Joya")</f>
        <v>Joya</v>
      </c>
      <c r="E115" s="23" t="str">
        <f>IFERROR(__xludf.DUMMYFUNCTION("GOOGLETRANSLATE(B115, ""en"", ""ru"")"),"драгоценный камень")</f>
        <v>драгоценный камень</v>
      </c>
      <c r="F115" s="23" t="str">
        <f>IFERROR(__xludf.DUMMYFUNCTION("GOOGLETRANSLATE(B115, ""en"", ""tr"")"),"mücevher")</f>
        <v>mücevher</v>
      </c>
      <c r="G115" s="23" t="str">
        <f>IFERROR(__xludf.DUMMYFUNCTION("GOOGLETRANSLATE(B115, ""en"", ""pt"")"),"Gema")</f>
        <v>Gema</v>
      </c>
      <c r="H115" s="24" t="str">
        <f>IFERROR(__xludf.DUMMYFUNCTION("GOOGLETRANSLATE(B115, ""en"", ""de"")"),"Juwel")</f>
        <v>Juwel</v>
      </c>
      <c r="I115" s="23" t="str">
        <f>IFERROR(__xludf.DUMMYFUNCTION("GOOGLETRANSLATE(B115, ""en"", ""pl"")"),"Klejnot")</f>
        <v>Klejnot</v>
      </c>
      <c r="J115" s="25" t="str">
        <f>IFERROR(__xludf.DUMMYFUNCTION("GOOGLETRANSLATE(B115, ""en"", ""zh"")"),"宝石")</f>
        <v>宝石</v>
      </c>
      <c r="K115" s="25" t="str">
        <f>IFERROR(__xludf.DUMMYFUNCTION("GOOGLETRANSLATE(B115, ""en"", ""vi"")"),"ngọc")</f>
        <v>ngọc</v>
      </c>
      <c r="L115" s="26" t="str">
        <f>IFERROR(__xludf.DUMMYFUNCTION("GOOGLETRANSLATE(B115, ""en"", ""hr"")"),"Dragulj")</f>
        <v>Dragulj</v>
      </c>
      <c r="M115" s="28"/>
      <c r="N115" s="28"/>
      <c r="O115" s="28"/>
      <c r="P115" s="28"/>
      <c r="Q115" s="28"/>
      <c r="R115" s="28"/>
      <c r="S115" s="28"/>
      <c r="T115" s="28"/>
      <c r="U115" s="28"/>
      <c r="V115" s="28"/>
      <c r="W115" s="28"/>
      <c r="X115" s="28"/>
      <c r="Y115" s="28"/>
      <c r="Z115" s="28"/>
      <c r="AA115" s="28"/>
      <c r="AB115" s="28"/>
    </row>
    <row r="116">
      <c r="A116" s="21" t="s">
        <v>507</v>
      </c>
      <c r="B116" s="22" t="s">
        <v>508</v>
      </c>
      <c r="C116" s="23" t="str">
        <f>IFERROR(__xludf.DUMMYFUNCTION("GOOGLETRANSLATE(B116, ""en"", ""fr"")"),"Peut être chargé à un autel magique en utilisant la gloire d'ajouter un effet élémentaire.")</f>
        <v>Peut être chargé à un autel magique en utilisant la gloire d'ajouter un effet élémentaire.</v>
      </c>
      <c r="D116" s="23" t="str">
        <f>IFERROR(__xludf.DUMMYFUNCTION("GOOGLETRANSLATE(B116, ""en"", ""es"")"),"Puede ser cargado en una magia altar usando gloria a añadir un efecto elemental.")</f>
        <v>Puede ser cargado en una magia altar usando gloria a añadir un efecto elemental.</v>
      </c>
      <c r="E116" s="23" t="str">
        <f>IFERROR(__xludf.DUMMYFUNCTION("GOOGLETRANSLATE(B116,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16" s="23" t="str">
        <f>IFERROR(__xludf.DUMMYFUNCTION("GOOGLETRANSLATE(B116, ""en"", ""tr"")"),"Bir element efekt eklemek için zafer kullanarak sunak bir büyü şarj edilebilir.")</f>
        <v>Bir element efekt eklemek için zafer kullanarak sunak bir büyü şarj edilebilir.</v>
      </c>
      <c r="G116" s="23" t="str">
        <f>IFERROR(__xludf.DUMMYFUNCTION("GOOGLETRANSLATE(B116, ""en"", ""pt"")"),"Pode ser carregada em uma magia altar usando glória para adicionar um efeito elementar.")</f>
        <v>Pode ser carregada em uma magia altar usando glória para adicionar um efeito elementar.</v>
      </c>
      <c r="H116" s="24" t="str">
        <f>IFERROR(__xludf.DUMMYFUNCTION("GOOGLETRANSLATE(B116, ""en"", ""de"")"),"Kann an einem magischen berechneten Altar Ruhm mit einer elementaren Wirkung hinzuzufügen.")</f>
        <v>Kann an einem magischen berechneten Altar Ruhm mit einer elementaren Wirkung hinzuzufügen.</v>
      </c>
      <c r="I116" s="23" t="str">
        <f>IFERROR(__xludf.DUMMYFUNCTION("GOOGLETRANSLATE(B116, ""en"", ""pl"")"),"Można ładować przy użyciu magii ołtarz chwałę dodać efekt elementarnej.")</f>
        <v>Można ładować przy użyciu magii ołtarz chwałę dodać efekt elementarnej.</v>
      </c>
      <c r="J116" s="25" t="str">
        <f>IFERROR(__xludf.DUMMYFUNCTION("GOOGLETRANSLATE(B116, ""en"", ""zh"")"),"可以在一个神奇的充电使用坛荣耀添加元素的效果。")</f>
        <v>可以在一个神奇的充电使用坛荣耀添加元素的效果。</v>
      </c>
      <c r="K116" s="25" t="str">
        <f>IFERROR(__xludf.DUMMYFUNCTION("GOOGLETRANSLATE(B116, ""en"", ""vi"")"),"Có thể được tính theo một ma thuật bàn thờ bằng vinh quang để thêm một hiệu ứng nguyên tố.")</f>
        <v>Có thể được tính theo một ma thuật bàn thờ bằng vinh quang để thêm một hiệu ứng nguyên tố.</v>
      </c>
      <c r="L116" s="26" t="str">
        <f>IFERROR(__xludf.DUMMYFUNCTION("GOOGLETRANSLATE(B116, ""en"", ""hr"")"),"Može se naplaćivati ​​po magije oltar pomoću slavu dodati elementarni učinak.")</f>
        <v>Može se naplaćivati ​​po magije oltar pomoću slavu dodati elementarni učinak.</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""fr"")"),"petit bijou d'incendie")</f>
        <v>petit bijou d'incendie</v>
      </c>
      <c r="D117" s="23" t="str">
        <f>IFERROR(__xludf.DUMMYFUNCTION("GOOGLETRANSLATE(B117, ""en"", ""es"")"),"Gema de fuego")</f>
        <v>Gema de fuego</v>
      </c>
      <c r="E117" s="23" t="str">
        <f>IFERROR(__xludf.DUMMYFUNCTION("GOOGLETRANSLATE(B117, ""en"", ""ru"")"),"Огонь камень")</f>
        <v>Огонь камень</v>
      </c>
      <c r="F117" s="23" t="str">
        <f>IFERROR(__xludf.DUMMYFUNCTION("GOOGLETRANSLATE(B117, ""en"", ""tr"")"),"Yangın taş")</f>
        <v>Yangın taş</v>
      </c>
      <c r="G117" s="23" t="str">
        <f>IFERROR(__xludf.DUMMYFUNCTION("GOOGLETRANSLATE(B117, ""en"", ""pt"")"),"gem fogo")</f>
        <v>gem fogo</v>
      </c>
      <c r="H117" s="24" t="str">
        <f>IFERROR(__xludf.DUMMYFUNCTION("GOOGLETRANSLATE(B117, ""en"", ""de"")"),"Feuer gem")</f>
        <v>Feuer gem</v>
      </c>
      <c r="I117" s="23" t="str">
        <f>IFERROR(__xludf.DUMMYFUNCTION("GOOGLETRANSLATE(B117, ""en"", ""pl"")"),"Gem ognia")</f>
        <v>Gem ognia</v>
      </c>
      <c r="J117" s="25" t="str">
        <f>IFERROR(__xludf.DUMMYFUNCTION("GOOGLETRANSLATE(B117, ""en"", ""zh"")"),"火宝石")</f>
        <v>火宝石</v>
      </c>
      <c r="K117" s="25" t="str">
        <f>IFERROR(__xludf.DUMMYFUNCTION("GOOGLETRANSLATE(B117, ""en"", ""vi"")"),"Ngọc lửa")</f>
        <v>Ngọc lửa</v>
      </c>
      <c r="L117" s="26" t="str">
        <f>IFERROR(__xludf.DUMMYFUNCTION("GOOGLETRANSLATE(B117, ""en"", ""hr"")"),"vatra dragulj")</f>
        <v>vatra dragulj</v>
      </c>
      <c r="M117" s="28"/>
      <c r="N117" s="28"/>
      <c r="O117" s="28"/>
      <c r="P117" s="28"/>
      <c r="Q117" s="28"/>
      <c r="R117" s="28"/>
      <c r="S117" s="28"/>
      <c r="T117" s="28"/>
      <c r="U117" s="28"/>
      <c r="V117" s="28"/>
      <c r="W117" s="28"/>
      <c r="X117" s="28"/>
      <c r="Y117" s="28"/>
      <c r="Z117" s="28"/>
      <c r="AA117" s="28"/>
      <c r="AB117" s="28"/>
    </row>
    <row r="118">
      <c r="A118" s="21" t="s">
        <v>511</v>
      </c>
      <c r="B118" s="22" t="s">
        <v>512</v>
      </c>
      <c r="C118" s="23" t="str">
        <f>IFERROR(__xludf.DUMMYFUNCTION("GOOGLETRANSLATE(B118, ""en"", ""fr"")"),"Utilisé pour des objets d'artisanat avec un effet de feu.")</f>
        <v>Utilisé pour des objets d'artisanat avec un effet de feu.</v>
      </c>
      <c r="D118" s="23" t="str">
        <f>IFERROR(__xludf.DUMMYFUNCTION("GOOGLETRANSLATE(B118, ""en"", ""es"")"),"Se utiliza para artículos de artesanía con un efecto de fuego.")</f>
        <v>Se utiliza para artículos de artesanía con un efecto de fuego.</v>
      </c>
      <c r="E118" s="23" t="str">
        <f>IFERROR(__xludf.DUMMYFUNCTION("GOOGLETRANSLATE(B118, ""en"", ""ru"")"),"Используется для ремесленных изделий с эффектом огня.")</f>
        <v>Используется для ремесленных изделий с эффектом огня.</v>
      </c>
      <c r="F118" s="23" t="str">
        <f>IFERROR(__xludf.DUMMYFUNCTION("GOOGLETRANSLATE(B118, ""en"", ""tr"")"),"Bir yangın etkisi ile zanaat öğeleri için kullanılır.")</f>
        <v>Bir yangın etkisi ile zanaat öğeleri için kullanılır.</v>
      </c>
      <c r="G118" s="23" t="str">
        <f>IFERROR(__xludf.DUMMYFUNCTION("GOOGLETRANSLATE(B118, ""en"", ""pt"")"),"Usado para peças de artesanato com um efeito de fogo.")</f>
        <v>Usado para peças de artesanato com um efeito de fogo.</v>
      </c>
      <c r="H118" s="24" t="str">
        <f>IFERROR(__xludf.DUMMYFUNCTION("GOOGLETRANSLATE(B118, ""en"", ""de"")"),"Wird verwendet, um Kunsthandwerk mit einem Feuereffekt.")</f>
        <v>Wird verwendet, um Kunsthandwerk mit einem Feuereffekt.</v>
      </c>
      <c r="I118" s="23" t="str">
        <f>IFERROR(__xludf.DUMMYFUNCTION("GOOGLETRANSLATE(B118, ""en"", ""pl"")"),"Służy do rzemieślniczych o działaniu ognia.")</f>
        <v>Służy do rzemieślniczych o działaniu ognia.</v>
      </c>
      <c r="J118" s="25" t="str">
        <f>IFERROR(__xludf.DUMMYFUNCTION("GOOGLETRANSLATE(B118, ""en"", ""zh"")"),"习惯用火效果手工艺品。")</f>
        <v>习惯用火效果手工艺品。</v>
      </c>
      <c r="K118" s="25" t="str">
        <f>IFERROR(__xludf.DUMMYFUNCTION("GOOGLETRANSLATE(B118, ""en"", ""vi"")"),"Được sử dụng để mục nghề với một hiệu ứng lửa.")</f>
        <v>Được sử dụng để mục nghề với một hiệu ứng lửa.</v>
      </c>
      <c r="L118" s="26" t="str">
        <f>IFERROR(__xludf.DUMMYFUNCTION("GOOGLETRANSLATE(B118, ""en"", ""hr"")"),"Koristi se za obrtničke stavke s vatre učinak.")</f>
        <v>Koristi se za obrtničke stavke s vatre učinak.</v>
      </c>
      <c r="M118" s="28"/>
      <c r="N118" s="28"/>
      <c r="O118" s="28"/>
      <c r="P118" s="28"/>
      <c r="Q118" s="28"/>
      <c r="R118" s="28"/>
      <c r="S118" s="28"/>
      <c r="T118" s="28"/>
      <c r="U118" s="28"/>
      <c r="V118" s="28"/>
      <c r="W118" s="28"/>
      <c r="X118" s="28"/>
      <c r="Y118" s="28"/>
      <c r="Z118" s="28"/>
      <c r="AA118" s="28"/>
      <c r="AB118" s="28"/>
    </row>
    <row r="119">
      <c r="A119" s="21" t="s">
        <v>513</v>
      </c>
      <c r="B119" s="22" t="s">
        <v>514</v>
      </c>
      <c r="C119" s="23" t="str">
        <f>IFERROR(__xludf.DUMMYFUNCTION("GOOGLETRANSLATE(B119, ""en"", ""fr"")"),"joyau du vent")</f>
        <v>joyau du vent</v>
      </c>
      <c r="D119" s="23" t="str">
        <f>IFERROR(__xludf.DUMMYFUNCTION("GOOGLETRANSLATE(B119, ""en"", ""es"")"),"la gema del viento")</f>
        <v>la gema del viento</v>
      </c>
      <c r="E119" s="23" t="str">
        <f>IFERROR(__xludf.DUMMYFUNCTION("GOOGLETRANSLATE(B119, ""en"", ""ru"")"),"Ветер камень")</f>
        <v>Ветер камень</v>
      </c>
      <c r="F119" s="23" t="str">
        <f>IFERROR(__xludf.DUMMYFUNCTION("GOOGLETRANSLATE(B119, ""en"", ""tr"")"),"Rüzgar mücevher")</f>
        <v>Rüzgar mücevher</v>
      </c>
      <c r="G119" s="23" t="str">
        <f>IFERROR(__xludf.DUMMYFUNCTION("GOOGLETRANSLATE(B119, ""en"", ""pt"")"),"gem vento")</f>
        <v>gem vento</v>
      </c>
      <c r="H119" s="24" t="str">
        <f>IFERROR(__xludf.DUMMYFUNCTION("GOOGLETRANSLATE(B119, ""en"", ""de"")"),"Wind gem")</f>
        <v>Wind gem</v>
      </c>
      <c r="I119" s="23" t="str">
        <f>IFERROR(__xludf.DUMMYFUNCTION("GOOGLETRANSLATE(B119, ""en"", ""pl"")"),"gem wiatr")</f>
        <v>gem wiatr</v>
      </c>
      <c r="J119" s="25" t="str">
        <f>IFERROR(__xludf.DUMMYFUNCTION("GOOGLETRANSLATE(B119, ""en"", ""zh"")"),"风宝石")</f>
        <v>风宝石</v>
      </c>
      <c r="K119" s="25" t="str">
        <f>IFERROR(__xludf.DUMMYFUNCTION("GOOGLETRANSLATE(B119, ""en"", ""vi"")"),"gió đá quý")</f>
        <v>gió đá quý</v>
      </c>
      <c r="L119" s="26" t="str">
        <f>IFERROR(__xludf.DUMMYFUNCTION("GOOGLETRANSLATE(B119, ""en"", ""hr"")"),"vjetar dragulj")</f>
        <v>vjetar dragulj</v>
      </c>
      <c r="M119" s="28"/>
      <c r="N119" s="28"/>
      <c r="O119" s="28"/>
      <c r="P119" s="28"/>
      <c r="Q119" s="28"/>
      <c r="R119" s="28"/>
      <c r="S119" s="28"/>
      <c r="T119" s="28"/>
      <c r="U119" s="28"/>
      <c r="V119" s="28"/>
      <c r="W119" s="28"/>
      <c r="X119" s="28"/>
      <c r="Y119" s="28"/>
      <c r="Z119" s="28"/>
      <c r="AA119" s="28"/>
      <c r="AB119" s="28"/>
    </row>
    <row r="120">
      <c r="A120" s="21" t="s">
        <v>515</v>
      </c>
      <c r="B120" s="22" t="s">
        <v>516</v>
      </c>
      <c r="C120" s="23" t="str">
        <f>IFERROR(__xludf.DUMMYFUNCTION("GOOGLETRANSLATE(B120, ""en"", ""fr"")"),"Utilisé pour des objets d'artisanat avec un effet du vent.")</f>
        <v>Utilisé pour des objets d'artisanat avec un effet du vent.</v>
      </c>
      <c r="D120" s="23" t="str">
        <f>IFERROR(__xludf.DUMMYFUNCTION("GOOGLETRANSLATE(B120, ""en"", ""es"")"),"Se utiliza para artículos de artesanía con un efecto de viento.")</f>
        <v>Se utiliza para artículos de artesanía con un efecto de viento.</v>
      </c>
      <c r="E120" s="23" t="str">
        <f>IFERROR(__xludf.DUMMYFUNCTION("GOOGLETRANSLATE(B120, ""en"", ""ru"")"),"Используется для ремесленных изделий с эффектом ветра.")</f>
        <v>Используется для ремесленных изделий с эффектом ветра.</v>
      </c>
      <c r="F120" s="23" t="str">
        <f>IFERROR(__xludf.DUMMYFUNCTION("GOOGLETRANSLATE(B120, ""en"", ""tr"")"),"Bir rüzgar etkisi ile zanaat öğeleri için kullanılır.")</f>
        <v>Bir rüzgar etkisi ile zanaat öğeleri için kullanılır.</v>
      </c>
      <c r="G120" s="23" t="str">
        <f>IFERROR(__xludf.DUMMYFUNCTION("GOOGLETRANSLATE(B120, ""en"", ""pt"")"),"Usado para peças de artesanato com um efeito de vento.")</f>
        <v>Usado para peças de artesanato com um efeito de vento.</v>
      </c>
      <c r="H120" s="24" t="str">
        <f>IFERROR(__xludf.DUMMYFUNCTION("GOOGLETRANSLATE(B120, ""en"", ""de"")"),"Wird verwendet, um Kunsthandwerk mit einer Windeffekt.")</f>
        <v>Wird verwendet, um Kunsthandwerk mit einer Windeffekt.</v>
      </c>
      <c r="I120" s="23" t="str">
        <f>IFERROR(__xludf.DUMMYFUNCTION("GOOGLETRANSLATE(B120, ""en"", ""pl"")"),"Służy do rzemieślniczych o działaniu wiatru.")</f>
        <v>Służy do rzemieślniczych o działaniu wiatru.</v>
      </c>
      <c r="J120" s="25" t="str">
        <f>IFERROR(__xludf.DUMMYFUNCTION("GOOGLETRANSLATE(B120, ""en"", ""zh"")"),"用于与风的影响手工艺品。")</f>
        <v>用于与风的影响手工艺品。</v>
      </c>
      <c r="K120" s="25" t="str">
        <f>IFERROR(__xludf.DUMMYFUNCTION("GOOGLETRANSLATE(B120, ""en"", ""vi"")"),"Được sử dụng để mục nghề với hiệu ứng gió.")</f>
        <v>Được sử dụng để mục nghề với hiệu ứng gió.</v>
      </c>
      <c r="L120" s="26" t="str">
        <f>IFERROR(__xludf.DUMMYFUNCTION("GOOGLETRANSLATE(B120, ""en"", ""hr"")"),"Koristi se za obrtničke stavke s efektom vjetra.")</f>
        <v>Koristi se za obrtničke stavke s efektom vjetra.</v>
      </c>
      <c r="M120" s="28"/>
      <c r="N120" s="28"/>
      <c r="O120" s="28"/>
      <c r="P120" s="28"/>
      <c r="Q120" s="28"/>
      <c r="R120" s="28"/>
      <c r="S120" s="28"/>
      <c r="T120" s="28"/>
      <c r="U120" s="28"/>
      <c r="V120" s="28"/>
      <c r="W120" s="28"/>
      <c r="X120" s="28"/>
      <c r="Y120" s="28"/>
      <c r="Z120" s="28"/>
      <c r="AA120" s="28"/>
      <c r="AB120" s="28"/>
    </row>
    <row r="121">
      <c r="A121" s="21" t="s">
        <v>517</v>
      </c>
      <c r="B121" s="22" t="s">
        <v>518</v>
      </c>
      <c r="C121" s="23" t="str">
        <f>IFERROR(__xludf.DUMMYFUNCTION("GOOGLETRANSLATE(B121, ""en"", ""fr"")"),"petit bijou de sang")</f>
        <v>petit bijou de sang</v>
      </c>
      <c r="D121" s="23" t="str">
        <f>IFERROR(__xludf.DUMMYFUNCTION("GOOGLETRANSLATE(B121, ""en"", ""es"")"),"gema de sangre")</f>
        <v>gema de sangre</v>
      </c>
      <c r="E121" s="23" t="str">
        <f>IFERROR(__xludf.DUMMYFUNCTION("GOOGLETRANSLATE(B121, ""en"", ""ru"")"),"Кровь камень")</f>
        <v>Кровь камень</v>
      </c>
      <c r="F121" s="23" t="str">
        <f>IFERROR(__xludf.DUMMYFUNCTION("GOOGLETRANSLATE(B121, ""en"", ""tr"")"),"Kan mücevher")</f>
        <v>Kan mücevher</v>
      </c>
      <c r="G121" s="23" t="str">
        <f>IFERROR(__xludf.DUMMYFUNCTION("GOOGLETRANSLATE(B121, ""en"", ""pt"")"),"gem de sangue")</f>
        <v>gem de sangue</v>
      </c>
      <c r="H121" s="24" t="str">
        <f>IFERROR(__xludf.DUMMYFUNCTION("GOOGLETRANSLATE(B121, ""en"", ""de"")"),"Blut gem")</f>
        <v>Blut gem</v>
      </c>
      <c r="I121" s="23" t="str">
        <f>IFERROR(__xludf.DUMMYFUNCTION("GOOGLETRANSLATE(B121, ""en"", ""pl"")"),"klejnot krwi")</f>
        <v>klejnot krwi</v>
      </c>
      <c r="J121" s="25" t="str">
        <f>IFERROR(__xludf.DUMMYFUNCTION("GOOGLETRANSLATE(B121, ""en"", ""zh"")"),"血宝石")</f>
        <v>血宝石</v>
      </c>
      <c r="K121" s="25" t="str">
        <f>IFERROR(__xludf.DUMMYFUNCTION("GOOGLETRANSLATE(B121, ""en"", ""vi"")"),"đá quý máu")</f>
        <v>đá quý máu</v>
      </c>
      <c r="L121" s="26" t="str">
        <f>IFERROR(__xludf.DUMMYFUNCTION("GOOGLETRANSLATE(B121, ""en"", ""hr"")"),"krv dragulj")</f>
        <v>krv dragulj</v>
      </c>
      <c r="M121" s="28"/>
      <c r="N121" s="28"/>
      <c r="O121" s="28"/>
      <c r="P121" s="28"/>
      <c r="Q121" s="28"/>
      <c r="R121" s="28"/>
      <c r="S121" s="28"/>
      <c r="T121" s="28"/>
      <c r="U121" s="28"/>
      <c r="V121" s="28"/>
      <c r="W121" s="28"/>
      <c r="X121" s="28"/>
      <c r="Y121" s="28"/>
      <c r="Z121" s="28"/>
      <c r="AA121" s="28"/>
      <c r="AB121" s="28"/>
    </row>
    <row r="122">
      <c r="A122" s="21" t="s">
        <v>519</v>
      </c>
      <c r="B122" s="22" t="s">
        <v>520</v>
      </c>
      <c r="C122" s="23" t="str">
        <f>IFERROR(__xludf.DUMMYFUNCTION("GOOGLETRANSLATE(B122, ""en"", ""fr"")"),"Utilisé pour des objets d'artisanat avec un effet lifesteal.")</f>
        <v>Utilisé pour des objets d'artisanat avec un effet lifesteal.</v>
      </c>
      <c r="D122" s="23" t="str">
        <f>IFERROR(__xludf.DUMMYFUNCTION("GOOGLETRANSLATE(B122, ""en"", ""es"")"),"Se utiliza para artículos de artesanía con un efecto de Robo de vida.")</f>
        <v>Se utiliza para artículos de artesanía con un efecto de Robo de vida.</v>
      </c>
      <c r="E122" s="23" t="str">
        <f>IFERROR(__xludf.DUMMYFUNCTION("GOOGLETRANSLATE(B122, ""en"", ""ru"")"),"Используется для ремесленных изделий с Вампиризм эффектом.")</f>
        <v>Используется для ремесленных изделий с Вампиризм эффектом.</v>
      </c>
      <c r="F122" s="23" t="str">
        <f>IFERROR(__xludf.DUMMYFUNCTION("GOOGLETRANSLATE(B122, ""en"", ""tr"")"),"Bir lifesteal etkisi ile zanaat öğeleri için kullanılır.")</f>
        <v>Bir lifesteal etkisi ile zanaat öğeleri için kullanılır.</v>
      </c>
      <c r="G122" s="23" t="str">
        <f>IFERROR(__xludf.DUMMYFUNCTION("GOOGLETRANSLATE(B122, ""en"", ""pt"")"),"Usado para peças de artesanato com um efeito lifesteal.")</f>
        <v>Usado para peças de artesanato com um efeito lifesteal.</v>
      </c>
      <c r="H122" s="24" t="str">
        <f>IFERROR(__xludf.DUMMYFUNCTION("GOOGLETRANSLATE(B122, ""en"", ""de"")"),"Wird verwendet, um Kunsthandwerk mit einem Lebensraub Wirkung.")</f>
        <v>Wird verwendet, um Kunsthandwerk mit einem Lebensraub Wirkung.</v>
      </c>
      <c r="I122" s="23" t="str">
        <f>IFERROR(__xludf.DUMMYFUNCTION("GOOGLETRANSLATE(B122, ""en"", ""pl"")"),"Służy do przedmiotów rzemiosła z efektem Kradzież życia.")</f>
        <v>Służy do przedmiotów rzemiosła z efektem Kradzież życia.</v>
      </c>
      <c r="J122" s="25" t="str">
        <f>IFERROR(__xludf.DUMMYFUNCTION("GOOGLETRANSLATE(B122, ""en"", ""zh"")"),"用于手工艺品带吸血效果。")</f>
        <v>用于手工艺品带吸血效果。</v>
      </c>
      <c r="K122" s="25" t="str">
        <f>IFERROR(__xludf.DUMMYFUNCTION("GOOGLETRANSLATE(B122, ""en"", ""vi"")"),"Được sử dụng để mục nghề với một hiệu ứng lifesteal.")</f>
        <v>Được sử dụng để mục nghề với một hiệu ứng lifesteal.</v>
      </c>
      <c r="L122" s="26" t="str">
        <f>IFERROR(__xludf.DUMMYFUNCTION("GOOGLETRANSLATE(B122, ""en"", ""hr"")"),"Koristi se za obrtničke stavke s lifesteal učinak.")</f>
        <v>Koristi se za obrtničke stavke s lifesteal učinak.</v>
      </c>
      <c r="M122" s="28"/>
      <c r="N122" s="28"/>
      <c r="O122" s="28"/>
      <c r="P122" s="28"/>
      <c r="Q122" s="28"/>
      <c r="R122" s="28"/>
      <c r="S122" s="28"/>
      <c r="T122" s="28"/>
      <c r="U122" s="28"/>
      <c r="V122" s="28"/>
      <c r="W122" s="28"/>
      <c r="X122" s="28"/>
      <c r="Y122" s="28"/>
      <c r="Z122" s="28"/>
      <c r="AA122" s="28"/>
      <c r="AB122" s="28"/>
    </row>
    <row r="123">
      <c r="A123" s="21" t="s">
        <v>521</v>
      </c>
      <c r="B123" s="22" t="s">
        <v>522</v>
      </c>
      <c r="C123" s="23" t="str">
        <f>IFERROR(__xludf.DUMMYFUNCTION("GOOGLETRANSLATE(B123, ""en"", ""fr"")"),"Le personnel d'incendie")</f>
        <v>Le personnel d'incendie</v>
      </c>
      <c r="D123" s="23" t="str">
        <f>IFERROR(__xludf.DUMMYFUNCTION("GOOGLETRANSLATE(B123, ""en"", ""es"")"),"personal del fuego")</f>
        <v>personal del fuego</v>
      </c>
      <c r="E123" s="23" t="str">
        <f>IFERROR(__xludf.DUMMYFUNCTION("GOOGLETRANSLATE(B123, ""en"", ""ru"")"),"сотрудники пожарной")</f>
        <v>сотрудники пожарной</v>
      </c>
      <c r="F123" s="23" t="str">
        <f>IFERROR(__xludf.DUMMYFUNCTION("GOOGLETRANSLATE(B123, ""en"", ""tr"")"),"Yangın personel")</f>
        <v>Yangın personel</v>
      </c>
      <c r="G123" s="23" t="str">
        <f>IFERROR(__xludf.DUMMYFUNCTION("GOOGLETRANSLATE(B123, ""en"", ""pt"")"),"pessoal fogo")</f>
        <v>pessoal fogo</v>
      </c>
      <c r="H123" s="24" t="str">
        <f>IFERROR(__xludf.DUMMYFUNCTION("GOOGLETRANSLATE(B123, ""en"", ""de"")"),"Feuerstab")</f>
        <v>Feuerstab</v>
      </c>
      <c r="I123" s="23" t="str">
        <f>IFERROR(__xludf.DUMMYFUNCTION("GOOGLETRANSLATE(B123, ""en"", ""pl"")"),"pracownicy ogień")</f>
        <v>pracownicy ogień</v>
      </c>
      <c r="J123" s="25" t="str">
        <f>IFERROR(__xludf.DUMMYFUNCTION("GOOGLETRANSLATE(B123, ""en"", ""zh"")"),"消防工作人员")</f>
        <v>消防工作人员</v>
      </c>
      <c r="K123" s="25" t="str">
        <f>IFERROR(__xludf.DUMMYFUNCTION("GOOGLETRANSLATE(B123, ""en"", ""vi"")"),"Nhân viên cứu hỏa")</f>
        <v>Nhân viên cứu hỏa</v>
      </c>
      <c r="L123" s="26" t="str">
        <f>IFERROR(__xludf.DUMMYFUNCTION("GOOGLETRANSLATE(B123, ""en"", ""hr"")"),"osoblje požara")</f>
        <v>osoblje požara</v>
      </c>
      <c r="M123" s="28"/>
      <c r="N123" s="28"/>
      <c r="O123" s="28"/>
      <c r="P123" s="28"/>
      <c r="Q123" s="28"/>
      <c r="R123" s="28"/>
      <c r="S123" s="28"/>
      <c r="T123" s="28"/>
      <c r="U123" s="28"/>
      <c r="V123" s="28"/>
      <c r="W123" s="28"/>
      <c r="X123" s="28"/>
      <c r="Y123" s="28"/>
      <c r="Z123" s="28"/>
      <c r="AA123" s="28"/>
      <c r="AB123" s="28"/>
    </row>
    <row r="124">
      <c r="A124" s="21" t="s">
        <v>523</v>
      </c>
      <c r="B124" s="22" t="s">
        <v>524</v>
      </c>
      <c r="C124" s="23" t="str">
        <f>IFERROR(__xludf.DUMMYFUNCTION("GOOGLETRANSLATE(B124, ""en"", ""fr"")"),"Shoots feu qui inflige des blessures.")</f>
        <v>Shoots feu qui inflige des blessures.</v>
      </c>
      <c r="D124" s="23" t="str">
        <f>IFERROR(__xludf.DUMMYFUNCTION("GOOGLETRANSLATE(B124, ""en"", ""es"")"),"Dispara fuego que inflige daño.")</f>
        <v>Dispara fuego que inflige daño.</v>
      </c>
      <c r="E124" s="23" t="str">
        <f>IFERROR(__xludf.DUMMYFUNCTION("GOOGLETRANSLATE(B124, ""en"", ""ru"")"),"Побеги огонь, что повреждение сделок.")</f>
        <v>Побеги огонь, что повреждение сделок.</v>
      </c>
      <c r="F124" s="23" t="str">
        <f>IFERROR(__xludf.DUMMYFUNCTION("GOOGLETRANSLATE(B124, ""en"", ""tr"")"),"Sürgünler bu fırsatlar hasarı ateş.")</f>
        <v>Sürgünler bu fırsatlar hasarı ateş.</v>
      </c>
      <c r="G124" s="23" t="str">
        <f>IFERROR(__xludf.DUMMYFUNCTION("GOOGLETRANSLATE(B124, ""en"", ""pt"")"),"Atira fogo que causa dano.")</f>
        <v>Atira fogo que causa dano.</v>
      </c>
      <c r="H124" s="24" t="str">
        <f>IFERROR(__xludf.DUMMYFUNCTION("GOOGLETRANSLATE(B124, ""en"", ""de"")"),"Shoots Feuer, das Schaden zufügt.")</f>
        <v>Shoots Feuer, das Schaden zufügt.</v>
      </c>
      <c r="I124" s="23" t="str">
        <f>IFERROR(__xludf.DUMMYFUNCTION("GOOGLETRANSLATE(B124, ""en"", ""pl"")"),"Pędy ognia, że ​​uszkodzenie oferty.")</f>
        <v>Pędy ognia, że ​​uszkodzenie oferty.</v>
      </c>
      <c r="J124" s="25" t="str">
        <f>IFERROR(__xludf.DUMMYFUNCTION("GOOGLETRANSLATE(B124, ""en"", ""zh"")"),"芽火灾造成伤害。")</f>
        <v>芽火灾造成伤害。</v>
      </c>
      <c r="K124" s="25" t="str">
        <f>IFERROR(__xludf.DUMMYFUNCTION("GOOGLETRANSLATE(B124, ""en"", ""vi"")"),"Chồi bắn mà giao dịch thiệt hại.")</f>
        <v>Chồi bắn mà giao dịch thiệt hại.</v>
      </c>
      <c r="L124" s="26" t="str">
        <f>IFERROR(__xludf.DUMMYFUNCTION("GOOGLETRANSLATE(B124, ""en"", ""hr"")"),"Snima vatru koja se bavi štetu.")</f>
        <v>Snima vatru koja se bavi štetu.</v>
      </c>
      <c r="M124" s="28"/>
      <c r="N124" s="28"/>
      <c r="O124" s="28"/>
      <c r="P124" s="28"/>
      <c r="Q124" s="28"/>
      <c r="R124" s="28"/>
      <c r="S124" s="28"/>
      <c r="T124" s="28"/>
      <c r="U124" s="28"/>
      <c r="V124" s="28"/>
      <c r="W124" s="28"/>
      <c r="X124" s="28"/>
      <c r="Y124" s="28"/>
      <c r="Z124" s="28"/>
      <c r="AA124" s="28"/>
      <c r="AB124" s="28"/>
    </row>
    <row r="125">
      <c r="A125" s="21" t="s">
        <v>525</v>
      </c>
      <c r="B125" s="22" t="s">
        <v>526</v>
      </c>
      <c r="C125" s="23" t="str">
        <f>IFERROR(__xludf.DUMMYFUNCTION("GOOGLETRANSLATE(B125, ""en"", ""fr"")"),"Super personnel d'incendie")</f>
        <v>Super personnel d'incendie</v>
      </c>
      <c r="D125" s="23" t="str">
        <f>IFERROR(__xludf.DUMMYFUNCTION("GOOGLETRANSLATE(B125, ""en"", ""es"")"),"El personal es súper fuego")</f>
        <v>El personal es súper fuego</v>
      </c>
      <c r="E125" s="23" t="str">
        <f>IFERROR(__xludf.DUMMYFUNCTION("GOOGLETRANSLATE(B125, ""en"", ""ru"")"),"Супер сотрудники пожарных")</f>
        <v>Супер сотрудники пожарных</v>
      </c>
      <c r="F125" s="23" t="str">
        <f>IFERROR(__xludf.DUMMYFUNCTION("GOOGLETRANSLATE(B125, ""en"", ""tr"")"),"Süper yangın personeli")</f>
        <v>Süper yangın personeli</v>
      </c>
      <c r="G125" s="23" t="str">
        <f>IFERROR(__xludf.DUMMYFUNCTION("GOOGLETRANSLATE(B125, ""en"", ""pt"")"),"Super equipe fogo")</f>
        <v>Super equipe fogo</v>
      </c>
      <c r="H125" s="24" t="str">
        <f>IFERROR(__xludf.DUMMYFUNCTION("GOOGLETRANSLATE(B125, ""en"", ""de"")"),"Super-Feuerstab")</f>
        <v>Super-Feuerstab</v>
      </c>
      <c r="I125" s="23" t="str">
        <f>IFERROR(__xludf.DUMMYFUNCTION("GOOGLETRANSLATE(B125, ""en"", ""pl"")"),"Super personel ogień")</f>
        <v>Super personel ogień</v>
      </c>
      <c r="J125" s="25" t="str">
        <f>IFERROR(__xludf.DUMMYFUNCTION("GOOGLETRANSLATE(B125, ""en"", ""zh"")"),"特级防火人员")</f>
        <v>特级防火人员</v>
      </c>
      <c r="K125" s="25" t="str">
        <f>IFERROR(__xludf.DUMMYFUNCTION("GOOGLETRANSLATE(B125, ""en"", ""vi"")"),"nhân viên siêu lửa")</f>
        <v>nhân viên siêu lửa</v>
      </c>
      <c r="L125" s="26" t="str">
        <f>IFERROR(__xludf.DUMMYFUNCTION("GOOGLETRANSLATE(B125, ""en"", ""hr"")"),"Super vatra osoblje")</f>
        <v>Super vatra osoblje</v>
      </c>
      <c r="M125" s="28"/>
      <c r="N125" s="28"/>
      <c r="O125" s="28"/>
      <c r="P125" s="28"/>
      <c r="Q125" s="28"/>
      <c r="R125" s="28"/>
      <c r="S125" s="28"/>
      <c r="T125" s="28"/>
      <c r="U125" s="28"/>
      <c r="V125" s="28"/>
      <c r="W125" s="28"/>
      <c r="X125" s="28"/>
      <c r="Y125" s="28"/>
      <c r="Z125" s="28"/>
      <c r="AA125" s="28"/>
      <c r="AB125" s="28"/>
    </row>
    <row r="126">
      <c r="A126" s="21" t="s">
        <v>527</v>
      </c>
      <c r="B126" s="22" t="s">
        <v>528</v>
      </c>
      <c r="C126" s="23" t="str">
        <f>IFERROR(__xludf.DUMMYFUNCTION("GOOGLETRANSLATE(B126, ""en"", ""fr"")"),"Shoots feu qui tire plus de feu.")</f>
        <v>Shoots feu qui tire plus de feu.</v>
      </c>
      <c r="D126" s="23" t="str">
        <f>IFERROR(__xludf.DUMMYFUNCTION("GOOGLETRANSLATE(B126, ""en"", ""es"")"),"Dispara fuego que los brotes más fuego.")</f>
        <v>Dispara fuego que los brotes más fuego.</v>
      </c>
      <c r="E126" s="23" t="str">
        <f>IFERROR(__xludf.DUMMYFUNCTION("GOOGLETRANSLATE(B126, ""en"", ""ru"")"),"Побеги огонь, который стреляет больше огня.")</f>
        <v>Побеги огонь, который стреляет больше огня.</v>
      </c>
      <c r="F126" s="23" t="str">
        <f>IFERROR(__xludf.DUMMYFUNCTION("GOOGLETRANSLATE(B126, ""en"", ""tr"")"),"Sürgünler bu sürgünler daha fazla ateş ateş.")</f>
        <v>Sürgünler bu sürgünler daha fazla ateş ateş.</v>
      </c>
      <c r="G126" s="23" t="str">
        <f>IFERROR(__xludf.DUMMYFUNCTION("GOOGLETRANSLATE(B126, ""en"", ""pt"")"),"Atira fogo que dispara mais fogo.")</f>
        <v>Atira fogo que dispara mais fogo.</v>
      </c>
      <c r="H126" s="24" t="str">
        <f>IFERROR(__xludf.DUMMYFUNCTION("GOOGLETRANSLATE(B126, ""en"", ""de"")"),"Shoots Feuer, das mehr Feuer schießt.")</f>
        <v>Shoots Feuer, das mehr Feuer schießt.</v>
      </c>
      <c r="I126" s="23" t="str">
        <f>IFERROR(__xludf.DUMMYFUNCTION("GOOGLETRANSLATE(B126, ""en"", ""pl"")"),"Pędy ognia która strzela więcej ognia.")</f>
        <v>Pędy ognia która strzela więcej ognia.</v>
      </c>
      <c r="J126" s="25" t="str">
        <f>IFERROR(__xludf.DUMMYFUNCTION("GOOGLETRANSLATE(B126, ""en"", ""zh"")"),"芽火射击更火。")</f>
        <v>芽火射击更火。</v>
      </c>
      <c r="K126" s="25" t="str">
        <f>IFERROR(__xludf.DUMMYFUNCTION("GOOGLETRANSLATE(B126, ""en"", ""vi"")"),"Chồi bắn mà chồi hơn lửa.")</f>
        <v>Chồi bắn mà chồi hơn lửa.</v>
      </c>
      <c r="L126" s="26" t="str">
        <f>IFERROR(__xludf.DUMMYFUNCTION("GOOGLETRANSLATE(B126, ""en"", ""hr"")"),"Snima vatru koja puca više požara.")</f>
        <v>Snima vatru koja puca više požara.</v>
      </c>
      <c r="M126" s="28"/>
      <c r="N126" s="28"/>
      <c r="O126" s="28"/>
      <c r="P126" s="28"/>
      <c r="Q126" s="28"/>
      <c r="R126" s="28"/>
      <c r="S126" s="28"/>
      <c r="T126" s="28"/>
      <c r="U126" s="28"/>
      <c r="V126" s="28"/>
      <c r="W126" s="28"/>
      <c r="X126" s="28"/>
      <c r="Y126" s="28"/>
      <c r="Z126" s="28"/>
      <c r="AA126" s="28"/>
      <c r="AB126" s="28"/>
    </row>
    <row r="127">
      <c r="A127" s="21" t="s">
        <v>529</v>
      </c>
      <c r="B127" s="22" t="s">
        <v>530</v>
      </c>
      <c r="C127" s="23" t="str">
        <f>IFERROR(__xludf.DUMMYFUNCTION("GOOGLETRANSLATE(B127, ""en"", ""fr"")"),"Le personnel du vent")</f>
        <v>Le personnel du vent</v>
      </c>
      <c r="D127" s="23" t="str">
        <f>IFERROR(__xludf.DUMMYFUNCTION("GOOGLETRANSLATE(B127, ""en"", ""es"")"),"El personal del viento")</f>
        <v>El personal del viento</v>
      </c>
      <c r="E127" s="23" t="str">
        <f>IFERROR(__xludf.DUMMYFUNCTION("GOOGLETRANSLATE(B127, ""en"", ""ru"")"),"сотрудники Wind")</f>
        <v>сотрудники Wind</v>
      </c>
      <c r="F127" s="23" t="str">
        <f>IFERROR(__xludf.DUMMYFUNCTION("GOOGLETRANSLATE(B127, ""en"", ""tr"")"),"Rüzgar personel")</f>
        <v>Rüzgar personel</v>
      </c>
      <c r="G127" s="23" t="str">
        <f>IFERROR(__xludf.DUMMYFUNCTION("GOOGLETRANSLATE(B127, ""en"", ""pt"")"),"funcionários vento")</f>
        <v>funcionários vento</v>
      </c>
      <c r="H127" s="24" t="str">
        <f>IFERROR(__xludf.DUMMYFUNCTION("GOOGLETRANSLATE(B127, ""en"", ""de"")"),"Wind Personal")</f>
        <v>Wind Personal</v>
      </c>
      <c r="I127" s="23" t="str">
        <f>IFERROR(__xludf.DUMMYFUNCTION("GOOGLETRANSLATE(B127, ""en"", ""pl"")"),"pracownicy wiatr")</f>
        <v>pracownicy wiatr</v>
      </c>
      <c r="J127" s="25" t="str">
        <f>IFERROR(__xludf.DUMMYFUNCTION("GOOGLETRANSLATE(B127, ""en"", ""zh"")"),"风人员")</f>
        <v>风人员</v>
      </c>
      <c r="K127" s="25" t="str">
        <f>IFERROR(__xludf.DUMMYFUNCTION("GOOGLETRANSLATE(B127, ""en"", ""vi"")"),"nhân viên gió")</f>
        <v>nhân viên gió</v>
      </c>
      <c r="L127" s="26" t="str">
        <f>IFERROR(__xludf.DUMMYFUNCTION("GOOGLETRANSLATE(B127, ""en"", ""hr"")"),"osoblje vjetra")</f>
        <v>osoblje vjetra</v>
      </c>
      <c r="M127" s="28"/>
      <c r="N127" s="28"/>
      <c r="O127" s="28"/>
      <c r="P127" s="28"/>
      <c r="Q127" s="28"/>
      <c r="R127" s="28"/>
      <c r="S127" s="28"/>
      <c r="T127" s="28"/>
      <c r="U127" s="28"/>
      <c r="V127" s="28"/>
      <c r="W127" s="28"/>
      <c r="X127" s="28"/>
      <c r="Y127" s="28"/>
      <c r="Z127" s="28"/>
      <c r="AA127" s="28"/>
      <c r="AB127" s="28"/>
    </row>
    <row r="128">
      <c r="A128" s="21" t="s">
        <v>531</v>
      </c>
      <c r="B128" s="22" t="s">
        <v>532</v>
      </c>
      <c r="C128" s="23" t="str">
        <f>IFERROR(__xludf.DUMMYFUNCTION("GOOGLETRANSLATE(B128, ""en"", ""fr"")"),"Shoots vent qui frappe les choses.")</f>
        <v>Shoots vent qui frappe les choses.</v>
      </c>
      <c r="D128" s="23" t="str">
        <f>IFERROR(__xludf.DUMMYFUNCTION("GOOGLETRANSLATE(B128, ""en"", ""es"")"),"Los brotes viento que golpea las cosas de nuevo.")</f>
        <v>Los brotes viento que golpea las cosas de nuevo.</v>
      </c>
      <c r="E128" s="23" t="str">
        <f>IFERROR(__xludf.DUMMYFUNCTION("GOOGLETRANSLATE(B128, ""en"", ""ru"")"),"Побеги ветер, который стучит вещи обратно.")</f>
        <v>Побеги ветер, который стучит вещи обратно.</v>
      </c>
      <c r="F128" s="23" t="str">
        <f>IFERROR(__xludf.DUMMYFUNCTION("GOOGLETRANSLATE(B128, ""en"", ""tr"")"),"Sürgünler darbelere şeyler arkasında olduğunu öne rüzgar.")</f>
        <v>Sürgünler darbelere şeyler arkasında olduğunu öne rüzgar.</v>
      </c>
      <c r="G128" s="23" t="str">
        <f>IFERROR(__xludf.DUMMYFUNCTION("GOOGLETRANSLATE(B128, ""en"", ""pt"")"),"Shoots vento que derruba as coisas de volta.")</f>
        <v>Shoots vento que derruba as coisas de volta.</v>
      </c>
      <c r="H128" s="24" t="str">
        <f>IFERROR(__xludf.DUMMYFUNCTION("GOOGLETRANSLATE(B128, ""en"", ""de"")"),"Shoots Wind, der klopft Dinge zurück.")</f>
        <v>Shoots Wind, der klopft Dinge zurück.</v>
      </c>
      <c r="I128" s="23" t="str">
        <f>IFERROR(__xludf.DUMMYFUNCTION("GOOGLETRANSLATE(B128, ""en"", ""pl"")"),"Pędy wiatr, który puka rzeczy z powrotem.")</f>
        <v>Pędy wiatr, który puka rzeczy z powrotem.</v>
      </c>
      <c r="J128" s="25" t="str">
        <f>IFERROR(__xludf.DUMMYFUNCTION("GOOGLETRANSLATE(B128, ""en"", ""zh"")"),"芽风敲东西回来。")</f>
        <v>芽风敲东西回来。</v>
      </c>
      <c r="K128" s="25" t="str">
        <f>IFERROR(__xludf.DUMMYFUNCTION("GOOGLETRANSLATE(B128, ""en"", ""vi"")"),"Chồi gió rằng tiếng gõ thứ sao.")</f>
        <v>Chồi gió rằng tiếng gõ thứ sao.</v>
      </c>
      <c r="L128" s="26" t="str">
        <f>IFERROR(__xludf.DUMMYFUNCTION("GOOGLETRANSLATE(B128, ""en"", ""hr"")"),"Snima se vjetar koji kuca stvari natrag.")</f>
        <v>Snima se vjetar koji kuca stvari natrag.</v>
      </c>
      <c r="M128" s="28"/>
      <c r="N128" s="28"/>
      <c r="O128" s="28"/>
      <c r="P128" s="28"/>
      <c r="Q128" s="28"/>
      <c r="R128" s="28"/>
      <c r="S128" s="28"/>
      <c r="T128" s="28"/>
      <c r="U128" s="28"/>
      <c r="V128" s="28"/>
      <c r="W128" s="28"/>
      <c r="X128" s="28"/>
      <c r="Y128" s="28"/>
      <c r="Z128" s="28"/>
      <c r="AA128" s="28"/>
      <c r="AB128" s="28"/>
    </row>
    <row r="129">
      <c r="A129" s="21" t="s">
        <v>533</v>
      </c>
      <c r="B129" s="22" t="s">
        <v>534</v>
      </c>
      <c r="C129" s="23" t="str">
        <f>IFERROR(__xludf.DUMMYFUNCTION("GOOGLETRANSLATE(B129, ""en"", ""fr"")"),"Super personnel du vent")</f>
        <v>Super personnel du vent</v>
      </c>
      <c r="D129" s="23" t="str">
        <f>IFERROR(__xludf.DUMMYFUNCTION("GOOGLETRANSLATE(B129, ""en"", ""es"")"),"El personal es súper viento")</f>
        <v>El personal es súper viento</v>
      </c>
      <c r="E129" s="23" t="str">
        <f>IFERROR(__xludf.DUMMYFUNCTION("GOOGLETRANSLATE(B129, ""en"", ""ru"")"),"Супер персонал ветер")</f>
        <v>Супер персонал ветер</v>
      </c>
      <c r="F129" s="23" t="str">
        <f>IFERROR(__xludf.DUMMYFUNCTION("GOOGLETRANSLATE(B129, ""en"", ""tr"")"),"Süper rüzgar personel")</f>
        <v>Süper rüzgar personel</v>
      </c>
      <c r="G129" s="23" t="str">
        <f>IFERROR(__xludf.DUMMYFUNCTION("GOOGLETRANSLATE(B129, ""en"", ""pt"")"),"equipe Super vento")</f>
        <v>equipe Super vento</v>
      </c>
      <c r="H129" s="24" t="str">
        <f>IFERROR(__xludf.DUMMYFUNCTION("GOOGLETRANSLATE(B129, ""en"", ""de"")"),"Super Wind Personal")</f>
        <v>Super Wind Personal</v>
      </c>
      <c r="I129" s="23" t="str">
        <f>IFERROR(__xludf.DUMMYFUNCTION("GOOGLETRANSLATE(B129, ""en"", ""pl"")"),"Super personel wiatr")</f>
        <v>Super personel wiatr</v>
      </c>
      <c r="J129" s="25" t="str">
        <f>IFERROR(__xludf.DUMMYFUNCTION("GOOGLETRANSLATE(B129, ""en"", ""zh"")"),"超级风人员")</f>
        <v>超级风人员</v>
      </c>
      <c r="K129" s="25" t="str">
        <f>IFERROR(__xludf.DUMMYFUNCTION("GOOGLETRANSLATE(B129, ""en"", ""vi"")"),"nhân viên siêu gió")</f>
        <v>nhân viên siêu gió</v>
      </c>
      <c r="L129" s="26" t="str">
        <f>IFERROR(__xludf.DUMMYFUNCTION("GOOGLETRANSLATE(B129, ""en"", ""hr"")"),"Super vjetar osoblje")</f>
        <v>Super vjetar osoblje</v>
      </c>
      <c r="M129" s="28"/>
      <c r="N129" s="28"/>
      <c r="O129" s="28"/>
      <c r="P129" s="28"/>
      <c r="Q129" s="28"/>
      <c r="R129" s="28"/>
      <c r="S129" s="28"/>
      <c r="T129" s="28"/>
      <c r="U129" s="28"/>
      <c r="V129" s="28"/>
      <c r="W129" s="28"/>
      <c r="X129" s="28"/>
      <c r="Y129" s="28"/>
      <c r="Z129" s="28"/>
      <c r="AA129" s="28"/>
      <c r="AB129" s="28"/>
    </row>
    <row r="130">
      <c r="A130" s="21" t="s">
        <v>535</v>
      </c>
      <c r="B130" s="22" t="s">
        <v>536</v>
      </c>
      <c r="C130" s="23" t="str">
        <f>IFERROR(__xludf.DUMMYFUNCTION("GOOGLETRANSLATE(B130, ""en"", ""fr"")"),"Shoots vent qui tire plus de vent.")</f>
        <v>Shoots vent qui tire plus de vent.</v>
      </c>
      <c r="D130" s="23" t="str">
        <f>IFERROR(__xludf.DUMMYFUNCTION("GOOGLETRANSLATE(B130, ""en"", ""es"")"),"Los brotes de viento que los brotes más viento.")</f>
        <v>Los brotes de viento que los brotes más viento.</v>
      </c>
      <c r="E130" s="23" t="str">
        <f>IFERROR(__xludf.DUMMYFUNCTION("GOOGLETRANSLATE(B130, ""en"", ""ru"")"),"Побеги ветра, который стреляет больше ветров.")</f>
        <v>Побеги ветра, который стреляет больше ветров.</v>
      </c>
      <c r="F130" s="23" t="str">
        <f>IFERROR(__xludf.DUMMYFUNCTION("GOOGLETRANSLATE(B130, ""en"", ""tr"")"),"Sürgünler bu sürgünler daha fazla rüzgar rüzgar.")</f>
        <v>Sürgünler bu sürgünler daha fazla rüzgar rüzgar.</v>
      </c>
      <c r="G130" s="23" t="str">
        <f>IFERROR(__xludf.DUMMYFUNCTION("GOOGLETRANSLATE(B130, ""en"", ""pt"")"),"Shoots vento que brotos mais vento.")</f>
        <v>Shoots vento que brotos mais vento.</v>
      </c>
      <c r="H130" s="24" t="str">
        <f>IFERROR(__xludf.DUMMYFUNCTION("GOOGLETRANSLATE(B130, ""en"", ""de"")"),"Shoots Wind, den Trieb mehr Wind.")</f>
        <v>Shoots Wind, den Trieb mehr Wind.</v>
      </c>
      <c r="I130" s="23" t="str">
        <f>IFERROR(__xludf.DUMMYFUNCTION("GOOGLETRANSLATE(B130, ""en"", ""pl"")"),"Pędy wiatr, który pędy więcej wiatr.")</f>
        <v>Pędy wiatr, który pędy więcej wiatr.</v>
      </c>
      <c r="J130" s="25" t="str">
        <f>IFERROR(__xludf.DUMMYFUNCTION("GOOGLETRANSLATE(B130, ""en"", ""zh"")"),"芽风射击更多的风。")</f>
        <v>芽风射击更多的风。</v>
      </c>
      <c r="K130" s="25" t="str">
        <f>IFERROR(__xludf.DUMMYFUNCTION("GOOGLETRANSLATE(B130, ""en"", ""vi"")"),"Chồi gió mà gió chồi hơn.")</f>
        <v>Chồi gió mà gió chồi hơn.</v>
      </c>
      <c r="L130" s="26" t="str">
        <f>IFERROR(__xludf.DUMMYFUNCTION("GOOGLETRANSLATE(B130, ""en"", ""hr"")"),"Snima vjetar koji puca više vjetra.")</f>
        <v>Snima vjetar koji puca više vjetra.</v>
      </c>
      <c r="M130" s="28"/>
      <c r="N130" s="28"/>
      <c r="O130" s="28"/>
      <c r="P130" s="28"/>
      <c r="Q130" s="28"/>
      <c r="R130" s="28"/>
      <c r="S130" s="28"/>
      <c r="T130" s="28"/>
      <c r="U130" s="28"/>
      <c r="V130" s="28"/>
      <c r="W130" s="28"/>
      <c r="X130" s="28"/>
      <c r="Y130" s="28"/>
      <c r="Z130" s="28"/>
      <c r="AA130" s="28"/>
      <c r="AB130" s="28"/>
    </row>
    <row r="131">
      <c r="A131" s="21" t="s">
        <v>537</v>
      </c>
      <c r="B131" s="22" t="s">
        <v>538</v>
      </c>
      <c r="C131" s="23" t="str">
        <f>IFERROR(__xludf.DUMMYFUNCTION("GOOGLETRANSLATE(B131, ""en"", ""fr"")"),"Le personnel de sang")</f>
        <v>Le personnel de sang</v>
      </c>
      <c r="D131" s="23" t="str">
        <f>IFERROR(__xludf.DUMMYFUNCTION("GOOGLETRANSLATE(B131, ""en"", ""es"")"),"el personal de la sangre")</f>
        <v>el personal de la sangre</v>
      </c>
      <c r="E131" s="23" t="str">
        <f>IFERROR(__xludf.DUMMYFUNCTION("GOOGLETRANSLATE(B131, ""en"", ""ru"")"),"сотрудники крови")</f>
        <v>сотрудники крови</v>
      </c>
      <c r="F131" s="23" t="str">
        <f>IFERROR(__xludf.DUMMYFUNCTION("GOOGLETRANSLATE(B131, ""en"", ""tr"")"),"Kan personel")</f>
        <v>Kan personel</v>
      </c>
      <c r="G131" s="23" t="str">
        <f>IFERROR(__xludf.DUMMYFUNCTION("GOOGLETRANSLATE(B131, ""en"", ""pt"")"),"equipe de sangue")</f>
        <v>equipe de sangue</v>
      </c>
      <c r="H131" s="24" t="str">
        <f>IFERROR(__xludf.DUMMYFUNCTION("GOOGLETRANSLATE(B131, ""en"", ""de"")"),"Blut Personal")</f>
        <v>Blut Personal</v>
      </c>
      <c r="I131" s="23" t="str">
        <f>IFERROR(__xludf.DUMMYFUNCTION("GOOGLETRANSLATE(B131, ""en"", ""pl"")"),"pracownicy krwi")</f>
        <v>pracownicy krwi</v>
      </c>
      <c r="J131" s="25" t="str">
        <f>IFERROR(__xludf.DUMMYFUNCTION("GOOGLETRANSLATE(B131, ""en"", ""zh"")"),"血液的工作人员")</f>
        <v>血液的工作人员</v>
      </c>
      <c r="K131" s="25" t="str">
        <f>IFERROR(__xludf.DUMMYFUNCTION("GOOGLETRANSLATE(B131, ""en"", ""vi"")"),"nhân viên máu")</f>
        <v>nhân viên máu</v>
      </c>
      <c r="L131" s="26" t="str">
        <f>IFERROR(__xludf.DUMMYFUNCTION("GOOGLETRANSLATE(B131, ""en"", ""hr"")"),"krv osoblje")</f>
        <v>krv osoblje</v>
      </c>
      <c r="M131" s="28"/>
      <c r="N131" s="28"/>
      <c r="O131" s="28"/>
      <c r="P131" s="28"/>
      <c r="Q131" s="28"/>
      <c r="R131" s="28"/>
      <c r="S131" s="28"/>
      <c r="T131" s="28"/>
      <c r="U131" s="28"/>
      <c r="V131" s="28"/>
      <c r="W131" s="28"/>
      <c r="X131" s="28"/>
      <c r="Y131" s="28"/>
      <c r="Z131" s="28"/>
      <c r="AA131" s="28"/>
      <c r="AB131" s="28"/>
    </row>
    <row r="132">
      <c r="A132" s="21" t="s">
        <v>539</v>
      </c>
      <c r="B132" s="22" t="s">
        <v>540</v>
      </c>
      <c r="C132" s="23" t="str">
        <f>IFERROR(__xludf.DUMMYFUNCTION("GOOGLETRANSLATE(B132, ""en"", ""fr"")"),"Shoots un projectile qui vole hitpoints. Consomme hitpoints lorsqu'il est utilisé.")</f>
        <v>Shoots un projectile qui vole hitpoints. Consomme hitpoints lorsqu'il est utilisé.</v>
      </c>
      <c r="D132" s="23" t="str">
        <f>IFERROR(__xludf.DUMMYFUNCTION("GOOGLETRANSLATE(B132, ""en"", ""es"")"),"Brotes un proyectil que roba puntos de golpe. Consume puntos de golpe cuando se utiliza.")</f>
        <v>Brotes un proyectil que roba puntos de golpe. Consume puntos de golpe cuando se utiliza.</v>
      </c>
      <c r="E132" s="23" t="str">
        <f>IFERROR(__xludf.DUMMYFUNCTION("GOOGLETRANSLATE(B132,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32" s="23" t="str">
        <f>IFERROR(__xludf.DUMMYFUNCTION("GOOGLETRANSLATE(B132, ""en"", ""tr"")"),"Sürgünler hitpoints çalan bir mermi. Tüketir hitpoints kullanıldığında.")</f>
        <v>Sürgünler hitpoints çalan bir mermi. Tüketir hitpoints kullanıldığında.</v>
      </c>
      <c r="G132" s="23" t="str">
        <f>IFERROR(__xludf.DUMMYFUNCTION("GOOGLETRANSLATE(B132, ""en"", ""pt"")"),"Dispara um projétil que rouba pontos de vida. Consome pontos de vida quando usado.")</f>
        <v>Dispara um projétil que rouba pontos de vida. Consome pontos de vida quando usado.</v>
      </c>
      <c r="H132" s="24" t="str">
        <f>IFERROR(__xludf.DUMMYFUNCTION("GOOGLETRANSLATE(B132, ""en"", ""de"")"),"Shoots ein Projektil, das Hitpoints stiehlt. Verbraucht Hitpoints, wenn verwendet.")</f>
        <v>Shoots ein Projektil, das Hitpoints stiehlt. Verbraucht Hitpoints, wenn verwendet.</v>
      </c>
      <c r="I132" s="23" t="str">
        <f>IFERROR(__xludf.DUMMYFUNCTION("GOOGLETRANSLATE(B132, ""en"", ""pl"")"),"Wystrzeliwuje pocisk, który kradnie punkty życia. gdy stosowane zużywa PW.")</f>
        <v>Wystrzeliwuje pocisk, który kradnie punkty życia. gdy stosowane zużywa PW.</v>
      </c>
      <c r="J132" s="25" t="str">
        <f>IFERROR(__xludf.DUMMYFUNCTION("GOOGLETRANSLATE(B132, ""en"", ""zh"")"),"芽窃取生命值弹丸。使用时消耗生命值。")</f>
        <v>芽窃取生命值弹丸。使用时消耗生命值。</v>
      </c>
      <c r="K132" s="25" t="str">
        <f>IFERROR(__xludf.DUMMYFUNCTION("GOOGLETRANSLATE(B132, ""en"", ""vi"")"),"Chồi một viên đạn mà đánh cắp hp. Tốn một hp khi được sử dụng.")</f>
        <v>Chồi một viên đạn mà đánh cắp hp. Tốn một hp khi được sử dụng.</v>
      </c>
      <c r="L132" s="26" t="str">
        <f>IFERROR(__xludf.DUMMYFUNCTION("GOOGLETRANSLATE(B132, ""en"", ""hr"")"),"Snima projektil koji krade udarpoena. Troši udarpoena kada se koristi.")</f>
        <v>Snima projektil koji krade udarpoena. Troši udarpoena kada se koristi.</v>
      </c>
      <c r="M132" s="28"/>
      <c r="N132" s="28"/>
      <c r="O132" s="28"/>
      <c r="P132" s="28"/>
      <c r="Q132" s="28"/>
      <c r="R132" s="28"/>
      <c r="S132" s="28"/>
      <c r="T132" s="28"/>
      <c r="U132" s="28"/>
      <c r="V132" s="28"/>
      <c r="W132" s="28"/>
      <c r="X132" s="28"/>
      <c r="Y132" s="28"/>
      <c r="Z132" s="28"/>
      <c r="AA132" s="28"/>
      <c r="AB132" s="28"/>
    </row>
    <row r="133">
      <c r="A133" s="21" t="s">
        <v>541</v>
      </c>
      <c r="B133" s="22" t="s">
        <v>542</v>
      </c>
      <c r="C133" s="23" t="str">
        <f>IFERROR(__xludf.DUMMYFUNCTION("GOOGLETRANSLATE(B133, ""en"", ""fr"")"),"Super personnel de sang")</f>
        <v>Super personnel de sang</v>
      </c>
      <c r="D133" s="23" t="str">
        <f>IFERROR(__xludf.DUMMYFUNCTION("GOOGLETRANSLATE(B133, ""en"", ""es"")"),"el personal de la sangre súper")</f>
        <v>el personal de la sangre súper</v>
      </c>
      <c r="E133" s="23" t="str">
        <f>IFERROR(__xludf.DUMMYFUNCTION("GOOGLETRANSLATE(B133, ""en"", ""ru"")"),"Супер персонал крови")</f>
        <v>Супер персонал крови</v>
      </c>
      <c r="F133" s="23" t="str">
        <f>IFERROR(__xludf.DUMMYFUNCTION("GOOGLETRANSLATE(B133, ""en"", ""tr"")"),"Süper kan personel")</f>
        <v>Süper kan personel</v>
      </c>
      <c r="G133" s="23" t="str">
        <f>IFERROR(__xludf.DUMMYFUNCTION("GOOGLETRANSLATE(B133, ""en"", ""pt"")"),"funcionários sangue Super")</f>
        <v>funcionários sangue Super</v>
      </c>
      <c r="H133" s="24" t="str">
        <f>IFERROR(__xludf.DUMMYFUNCTION("GOOGLETRANSLATE(B133, ""en"", ""de"")"),"Super Blut Personal")</f>
        <v>Super Blut Personal</v>
      </c>
      <c r="I133" s="23" t="str">
        <f>IFERROR(__xludf.DUMMYFUNCTION("GOOGLETRANSLATE(B133, ""en"", ""pl"")"),"Super personel krwi")</f>
        <v>Super personel krwi</v>
      </c>
      <c r="J133" s="25" t="str">
        <f>IFERROR(__xludf.DUMMYFUNCTION("GOOGLETRANSLATE(B133, ""en"", ""zh"")"),"超级血员工")</f>
        <v>超级血员工</v>
      </c>
      <c r="K133" s="25" t="str">
        <f>IFERROR(__xludf.DUMMYFUNCTION("GOOGLETRANSLATE(B133, ""en"", ""vi"")"),"nhân viên máu siêu")</f>
        <v>nhân viên máu siêu</v>
      </c>
      <c r="L133" s="26" t="str">
        <f>IFERROR(__xludf.DUMMYFUNCTION("GOOGLETRANSLATE(B133, ""en"", ""hr"")"),"Super krvi osoblje")</f>
        <v>Super krvi osoblje</v>
      </c>
      <c r="M133" s="28"/>
      <c r="N133" s="28"/>
      <c r="O133" s="28"/>
      <c r="P133" s="28"/>
      <c r="Q133" s="28"/>
      <c r="R133" s="28"/>
      <c r="S133" s="28"/>
      <c r="T133" s="28"/>
      <c r="U133" s="28"/>
      <c r="V133" s="28"/>
      <c r="W133" s="28"/>
      <c r="X133" s="28"/>
      <c r="Y133" s="28"/>
      <c r="Z133" s="28"/>
      <c r="AA133" s="28"/>
      <c r="AB133" s="28"/>
    </row>
    <row r="134">
      <c r="A134" s="21" t="s">
        <v>543</v>
      </c>
      <c r="B134" s="22" t="s">
        <v>544</v>
      </c>
      <c r="C134" s="23" t="str">
        <f>IFERROR(__xludf.DUMMYFUNCTION("GOOGLETRANSLATE(B134, ""en"", ""fr"")"),"Shoots un projectile qui tire des projectiles lifesteal plus lifesteal.")</f>
        <v>Shoots un projectile qui tire des projectiles lifesteal plus lifesteal.</v>
      </c>
      <c r="D134" s="23" t="str">
        <f>IFERROR(__xludf.DUMMYFUNCTION("GOOGLETRANSLATE(B134, ""en"", ""es"")"),"Brotes un proyectil que dispara proyectiles de Robo de vida más Robo de vida.")</f>
        <v>Brotes un proyectil que dispara proyectiles de Robo de vida más Robo de vida.</v>
      </c>
      <c r="E134" s="23" t="str">
        <f>IFERROR(__xludf.DUMMYFUNCTION("GOOGLETRANSLATE(B134, ""en"", ""ru"")"),"Стреляю лайфстил снаряд, который стреляет более Вампиризм снаряды.")</f>
        <v>Стреляю лайфстил снаряд, который стреляет более Вампиризм снаряды.</v>
      </c>
      <c r="F134" s="23" t="str">
        <f>IFERROR(__xludf.DUMMYFUNCTION("GOOGLETRANSLATE(B134, ""en"", ""tr"")"),"Sürgünler bir lifesteal mermi sürgünler daha lifesteal mermiler söyledi.")</f>
        <v>Sürgünler bir lifesteal mermi sürgünler daha lifesteal mermiler söyledi.</v>
      </c>
      <c r="G134" s="23" t="str">
        <f>IFERROR(__xludf.DUMMYFUNCTION("GOOGLETRANSLATE(B134, ""en"", ""pt"")"),"Dispara um projétil lifesteal que atira projéteis mais Lifesteal.")</f>
        <v>Dispara um projétil lifesteal que atira projéteis mais Lifesteal.</v>
      </c>
      <c r="H134" s="24" t="str">
        <f>IFERROR(__xludf.DUMMYFUNCTION("GOOGLETRANSLATE(B134, ""en"", ""de"")"),"Shoots ein Projektil Lebensraub, dass Triebe mehr Lebensraub Geschosse.")</f>
        <v>Shoots ein Projektil Lebensraub, dass Triebe mehr Lebensraub Geschosse.</v>
      </c>
      <c r="I134" s="23" t="str">
        <f>IFERROR(__xludf.DUMMYFUNCTION("GOOGLETRANSLATE(B134, ""en"", ""pl"")"),"Pędy Kradzież życia pocisk że pędy więcej Kradzież życia pociski.")</f>
        <v>Pędy Kradzież życia pocisk że pędy więcej Kradzież życia pociski.</v>
      </c>
      <c r="J134" s="25" t="str">
        <f>IFERROR(__xludf.DUMMYFUNCTION("GOOGLETRANSLATE(B134, ""en"", ""zh"")"),"芽一个吸血弹射击更多的生命偷取抛射。")</f>
        <v>芽一个吸血弹射击更多的生命偷取抛射。</v>
      </c>
      <c r="K134" s="25" t="str">
        <f>IFERROR(__xludf.DUMMYFUNCTION("GOOGLETRANSLATE(B134, ""en"", ""vi"")"),"Chồi một viên đạn lifesteal mà chồi projectiles lifesteal hơn.")</f>
        <v>Chồi một viên đạn lifesteal mà chồi projectiles lifesteal hơn.</v>
      </c>
      <c r="L134" s="26" t="str">
        <f>IFERROR(__xludf.DUMMYFUNCTION("GOOGLETRANSLATE(B134, ""en"", ""hr"")"),"Snima lifesteal projektil koji ispaljuje više lifesteal projektili.")</f>
        <v>Snima lifesteal projektil koji ispaljuje više lifesteal projektili.</v>
      </c>
      <c r="M134" s="28"/>
      <c r="N134" s="28"/>
      <c r="O134" s="28"/>
      <c r="P134" s="28"/>
      <c r="Q134" s="28"/>
      <c r="R134" s="28"/>
      <c r="S134" s="28"/>
      <c r="T134" s="28"/>
      <c r="U134" s="28"/>
      <c r="V134" s="28"/>
      <c r="W134" s="28"/>
      <c r="X134" s="28"/>
      <c r="Y134" s="28"/>
      <c r="Z134" s="28"/>
      <c r="AA134" s="28"/>
      <c r="AB134" s="28"/>
    </row>
    <row r="135">
      <c r="A135" s="21" t="s">
        <v>545</v>
      </c>
      <c r="B135" s="22" t="s">
        <v>546</v>
      </c>
      <c r="C135" s="23" t="str">
        <f>IFERROR(__xludf.DUMMYFUNCTION("GOOGLETRANSLATE(B135, ""en"", ""fr"")"),"Livre de lumière")</f>
        <v>Livre de lumière</v>
      </c>
      <c r="D135" s="23" t="str">
        <f>IFERROR(__xludf.DUMMYFUNCTION("GOOGLETRANSLATE(B135, ""en"", ""es"")"),"Libro de la luz")</f>
        <v>Libro de la luz</v>
      </c>
      <c r="E135" s="23" t="str">
        <f>IFERROR(__xludf.DUMMYFUNCTION("GOOGLETRANSLATE(B135, ""en"", ""ru"")"),"Книга света")</f>
        <v>Книга света</v>
      </c>
      <c r="F135" s="23" t="str">
        <f>IFERROR(__xludf.DUMMYFUNCTION("GOOGLETRANSLATE(B135, ""en"", ""tr"")"),"Işık Kitabı")</f>
        <v>Işık Kitabı</v>
      </c>
      <c r="G135" s="23" t="str">
        <f>IFERROR(__xludf.DUMMYFUNCTION("GOOGLETRANSLATE(B135, ""en"", ""pt"")"),"Livro de luz")</f>
        <v>Livro de luz</v>
      </c>
      <c r="H135" s="24" t="str">
        <f>IFERROR(__xludf.DUMMYFUNCTION("GOOGLETRANSLATE(B135, ""en"", ""de"")"),"Buch des Lichts")</f>
        <v>Buch des Lichts</v>
      </c>
      <c r="I135" s="23" t="str">
        <f>IFERROR(__xludf.DUMMYFUNCTION("GOOGLETRANSLATE(B135, ""en"", ""pl"")"),"Book of light")</f>
        <v>Book of light</v>
      </c>
      <c r="J135" s="25" t="str">
        <f>IFERROR(__xludf.DUMMYFUNCTION("GOOGLETRANSLATE(B135, ""en"", ""zh"")"),"光书")</f>
        <v>光书</v>
      </c>
      <c r="K135" s="25" t="str">
        <f>IFERROR(__xludf.DUMMYFUNCTION("GOOGLETRANSLATE(B135, ""en"", ""vi"")"),"Sách của ánh sáng")</f>
        <v>Sách của ánh sáng</v>
      </c>
      <c r="L135" s="26" t="str">
        <f>IFERROR(__xludf.DUMMYFUNCTION("GOOGLETRANSLATE(B135, ""en"", ""hr"")"),"Knjiga svjetlo")</f>
        <v>Knjiga svjetlo</v>
      </c>
      <c r="M135" s="28"/>
      <c r="N135" s="28"/>
      <c r="O135" s="28"/>
      <c r="P135" s="28"/>
      <c r="Q135" s="28"/>
      <c r="R135" s="28"/>
      <c r="S135" s="28"/>
      <c r="T135" s="28"/>
      <c r="U135" s="28"/>
      <c r="V135" s="28"/>
      <c r="W135" s="28"/>
      <c r="X135" s="28"/>
      <c r="Y135" s="28"/>
      <c r="Z135" s="28"/>
      <c r="AA135" s="28"/>
      <c r="AB135" s="28"/>
    </row>
    <row r="136">
      <c r="A136" s="21" t="s">
        <v>547</v>
      </c>
      <c r="B136" s="22" t="s">
        <v>548</v>
      </c>
      <c r="C136" s="23" t="str">
        <f>IFERROR(__xludf.DUMMYFUNCTION("GOOGLETRANSLATE(B136, ""en"", ""fr"")"),"Un livre de sorts de soutien.")</f>
        <v>Un livre de sorts de soutien.</v>
      </c>
      <c r="D136" s="23" t="str">
        <f>IFERROR(__xludf.DUMMYFUNCTION("GOOGLETRANSLATE(B136, ""en"", ""es"")"),"Un libro de hechizos de apoyo.")</f>
        <v>Un libro de hechizos de apoyo.</v>
      </c>
      <c r="E136" s="23" t="str">
        <f>IFERROR(__xludf.DUMMYFUNCTION("GOOGLETRANSLATE(B136, ""en"", ""ru"")"),"Книга поддержки заклинаний.")</f>
        <v>Книга поддержки заклинаний.</v>
      </c>
      <c r="F136" s="23" t="str">
        <f>IFERROR(__xludf.DUMMYFUNCTION("GOOGLETRANSLATE(B136, ""en"", ""tr"")"),"destek büyü bir kitap.")</f>
        <v>destek büyü bir kitap.</v>
      </c>
      <c r="G136" s="23" t="str">
        <f>IFERROR(__xludf.DUMMYFUNCTION("GOOGLETRANSLATE(B136, ""en"", ""pt"")"),"Um livro de feitiços de apoio.")</f>
        <v>Um livro de feitiços de apoio.</v>
      </c>
      <c r="H136" s="24" t="str">
        <f>IFERROR(__xludf.DUMMYFUNCTION("GOOGLETRANSLATE(B136, ""en"", ""de"")"),"Ein Buch der Unterstützung Zauber.")</f>
        <v>Ein Buch der Unterstützung Zauber.</v>
      </c>
      <c r="I136" s="23" t="str">
        <f>IFERROR(__xludf.DUMMYFUNCTION("GOOGLETRANSLATE(B136, ""en"", ""pl"")"),"Księga zaklęć wsparcia.")</f>
        <v>Księga zaklęć wsparcia.</v>
      </c>
      <c r="J136" s="25" t="str">
        <f>IFERROR(__xludf.DUMMYFUNCTION("GOOGLETRANSLATE(B136, ""en"", ""zh"")"),"书支持法术。")</f>
        <v>书支持法术。</v>
      </c>
      <c r="K136" s="25" t="str">
        <f>IFERROR(__xludf.DUMMYFUNCTION("GOOGLETRANSLATE(B136, ""en"", ""vi"")"),"Một cuốn sách của phép thuật hỗ trợ.")</f>
        <v>Một cuốn sách của phép thuật hỗ trợ.</v>
      </c>
      <c r="L136" s="26" t="str">
        <f>IFERROR(__xludf.DUMMYFUNCTION("GOOGLETRANSLATE(B136, ""en"", ""hr"")"),"Knjiga podrške uroka.")</f>
        <v>Knjiga podrške uroka.</v>
      </c>
      <c r="M136" s="28"/>
      <c r="N136" s="28"/>
      <c r="O136" s="28"/>
      <c r="P136" s="28"/>
      <c r="Q136" s="28"/>
      <c r="R136" s="28"/>
      <c r="S136" s="28"/>
      <c r="T136" s="28"/>
      <c r="U136" s="28"/>
      <c r="V136" s="28"/>
      <c r="W136" s="28"/>
      <c r="X136" s="28"/>
      <c r="Y136" s="28"/>
      <c r="Z136" s="28"/>
      <c r="AA136" s="28"/>
      <c r="AB136" s="28"/>
    </row>
    <row r="137">
      <c r="A137" s="21" t="s">
        <v>549</v>
      </c>
      <c r="B137" s="22" t="s">
        <v>550</v>
      </c>
      <c r="C137" s="23" t="str">
        <f>IFERROR(__xludf.DUMMYFUNCTION("GOOGLETRANSLATE(B137, ""en"", ""fr"")"),"Livre des âmes")</f>
        <v>Livre des âmes</v>
      </c>
      <c r="D137" s="23" t="str">
        <f>IFERROR(__xludf.DUMMYFUNCTION("GOOGLETRANSLATE(B137, ""en"", ""es"")"),"Libro de las almas")</f>
        <v>Libro de las almas</v>
      </c>
      <c r="E137" s="23" t="str">
        <f>IFERROR(__xludf.DUMMYFUNCTION("GOOGLETRANSLATE(B137, ""en"", ""ru"")"),"Книга душ")</f>
        <v>Книга душ</v>
      </c>
      <c r="F137" s="23" t="str">
        <f>IFERROR(__xludf.DUMMYFUNCTION("GOOGLETRANSLATE(B137, ""en"", ""tr"")"),"Ruhların Kitabı")</f>
        <v>Ruhların Kitabı</v>
      </c>
      <c r="G137" s="23" t="str">
        <f>IFERROR(__xludf.DUMMYFUNCTION("GOOGLETRANSLATE(B137, ""en"", ""pt"")"),"Livro de almas")</f>
        <v>Livro de almas</v>
      </c>
      <c r="H137" s="24" t="str">
        <f>IFERROR(__xludf.DUMMYFUNCTION("GOOGLETRANSLATE(B137, ""en"", ""de"")"),"Buch der Seelen")</f>
        <v>Buch der Seelen</v>
      </c>
      <c r="I137" s="23" t="str">
        <f>IFERROR(__xludf.DUMMYFUNCTION("GOOGLETRANSLATE(B137, ""en"", ""pl"")"),"Księga dusz")</f>
        <v>Księga dusz</v>
      </c>
      <c r="J137" s="25" t="str">
        <f>IFERROR(__xludf.DUMMYFUNCTION("GOOGLETRANSLATE(B137, ""en"", ""zh"")"),"灵魂之书")</f>
        <v>灵魂之书</v>
      </c>
      <c r="K137" s="25" t="str">
        <f>IFERROR(__xludf.DUMMYFUNCTION("GOOGLETRANSLATE(B137, ""en"", ""vi"")"),"Sách linh hồn")</f>
        <v>Sách linh hồn</v>
      </c>
      <c r="L137" s="26" t="str">
        <f>IFERROR(__xludf.DUMMYFUNCTION("GOOGLETRANSLATE(B137, ""en"", ""hr"")"),"Knjiga duše")</f>
        <v>Knjiga duše</v>
      </c>
      <c r="M137" s="28"/>
      <c r="N137" s="28"/>
      <c r="O137" s="28"/>
      <c r="P137" s="28"/>
      <c r="Q137" s="28"/>
      <c r="R137" s="28"/>
      <c r="S137" s="28"/>
      <c r="T137" s="28"/>
      <c r="U137" s="28"/>
      <c r="V137" s="28"/>
      <c r="W137" s="28"/>
      <c r="X137" s="28"/>
      <c r="Y137" s="28"/>
      <c r="Z137" s="28"/>
      <c r="AA137" s="28"/>
      <c r="AB137" s="28"/>
    </row>
    <row r="138">
      <c r="A138" s="21" t="s">
        <v>551</v>
      </c>
      <c r="B138" s="22" t="s">
        <v>552</v>
      </c>
      <c r="C138" s="23" t="str">
        <f>IFERROR(__xludf.DUMMYFUNCTION("GOOGLETRANSLATE(B138, ""en"", ""fr"")"),"Un livre de sorts d'invocation.")</f>
        <v>Un livre de sorts d'invocation.</v>
      </c>
      <c r="D138" s="23" t="str">
        <f>IFERROR(__xludf.DUMMYFUNCTION("GOOGLETRANSLATE(B138, ""en"", ""es"")"),"Un libro de invocar hechizos.")</f>
        <v>Un libro de invocar hechizos.</v>
      </c>
      <c r="E138" s="23" t="str">
        <f>IFERROR(__xludf.DUMMYFUNCTION("GOOGLETRANSLATE(B138, ""en"", ""ru"")"),"Книга вызова заклинаний.")</f>
        <v>Книга вызова заклинаний.</v>
      </c>
      <c r="F138" s="23" t="str">
        <f>IFERROR(__xludf.DUMMYFUNCTION("GOOGLETRANSLATE(B138, ""en"", ""tr"")"),"çağırma büyü bir kitap.")</f>
        <v>çağırma büyü bir kitap.</v>
      </c>
      <c r="G138" s="23" t="str">
        <f>IFERROR(__xludf.DUMMYFUNCTION("GOOGLETRANSLATE(B138, ""en"", ""pt"")"),"Um livro de magias de invocação.")</f>
        <v>Um livro de magias de invocação.</v>
      </c>
      <c r="H138" s="24" t="str">
        <f>IFERROR(__xludf.DUMMYFUNCTION("GOOGLETRANSLATE(B138, ""en"", ""de"")"),"Ein Buch Zauber der Einberufung.")</f>
        <v>Ein Buch Zauber der Einberufung.</v>
      </c>
      <c r="I138" s="23" t="str">
        <f>IFERROR(__xludf.DUMMYFUNCTION("GOOGLETRANSLATE(B138, ""en"", ""pl"")"),"Księga czarów przywołania.")</f>
        <v>Księga czarów przywołania.</v>
      </c>
      <c r="J138" s="25" t="str">
        <f>IFERROR(__xludf.DUMMYFUNCTION("GOOGLETRANSLATE(B138, ""en"", ""zh"")"),"书召唤法术。")</f>
        <v>书召唤法术。</v>
      </c>
      <c r="K138" s="25" t="str">
        <f>IFERROR(__xludf.DUMMYFUNCTION("GOOGLETRANSLATE(B138, ""en"", ""vi"")"),"Một cuốn sách triệu hồi phép thuật.")</f>
        <v>Một cuốn sách triệu hồi phép thuật.</v>
      </c>
      <c r="L138" s="26" t="str">
        <f>IFERROR(__xludf.DUMMYFUNCTION("GOOGLETRANSLATE(B138, ""en"", ""hr"")"),"Knjiga pozivanja uroka.")</f>
        <v>Knjiga pozivanja uroka.</v>
      </c>
      <c r="M138" s="28"/>
      <c r="N138" s="28"/>
      <c r="O138" s="28"/>
      <c r="P138" s="28"/>
      <c r="Q138" s="28"/>
      <c r="R138" s="28"/>
      <c r="S138" s="28"/>
      <c r="T138" s="28"/>
      <c r="U138" s="28"/>
      <c r="V138" s="28"/>
      <c r="W138" s="28"/>
      <c r="X138" s="28"/>
      <c r="Y138" s="28"/>
      <c r="Z138" s="28"/>
      <c r="AA138" s="28"/>
      <c r="AB138" s="28"/>
    </row>
    <row r="139">
      <c r="A139" s="21" t="s">
        <v>553</v>
      </c>
      <c r="B139" s="22" t="s">
        <v>554</v>
      </c>
      <c r="C139" s="23" t="str">
        <f>IFERROR(__xludf.DUMMYFUNCTION("GOOGLETRANSLATE(B139, ""en"", ""fr"")"),"flèches d'os")</f>
        <v>flèches d'os</v>
      </c>
      <c r="D139" s="23" t="str">
        <f>IFERROR(__xludf.DUMMYFUNCTION("GOOGLETRANSLATE(B139, ""en"", ""es"")"),"flechas de hueso")</f>
        <v>flechas de hueso</v>
      </c>
      <c r="E139" s="23" t="str">
        <f>IFERROR(__xludf.DUMMYFUNCTION("GOOGLETRANSLATE(B139, ""en"", ""ru"")"),"Костные стрелки")</f>
        <v>Костные стрелки</v>
      </c>
      <c r="F139" s="23" t="str">
        <f>IFERROR(__xludf.DUMMYFUNCTION("GOOGLETRANSLATE(B139, ""en"", ""tr"")"),"Kemik oklar")</f>
        <v>Kemik oklar</v>
      </c>
      <c r="G139" s="23" t="str">
        <f>IFERROR(__xludf.DUMMYFUNCTION("GOOGLETRANSLATE(B139, ""en"", ""pt"")"),"setas ósseas")</f>
        <v>setas ósseas</v>
      </c>
      <c r="H139" s="24" t="str">
        <f>IFERROR(__xludf.DUMMYFUNCTION("GOOGLETRANSLATE(B139, ""en"", ""de"")"),"Knochenpfeile")</f>
        <v>Knochenpfeile</v>
      </c>
      <c r="I139" s="23" t="str">
        <f>IFERROR(__xludf.DUMMYFUNCTION("GOOGLETRANSLATE(B139, ""en"", ""pl"")"),"strzałki kości")</f>
        <v>strzałki kości</v>
      </c>
      <c r="J139" s="25" t="str">
        <f>IFERROR(__xludf.DUMMYFUNCTION("GOOGLETRANSLATE(B139, ""en"", ""zh"")"),"骨箭")</f>
        <v>骨箭</v>
      </c>
      <c r="K139" s="25" t="str">
        <f>IFERROR(__xludf.DUMMYFUNCTION("GOOGLETRANSLATE(B139, ""en"", ""vi"")"),"mũi tên xương")</f>
        <v>mũi tên xương</v>
      </c>
      <c r="L139" s="26" t="str">
        <f>IFERROR(__xludf.DUMMYFUNCTION("GOOGLETRANSLATE(B139, ""en"", ""hr"")"),"Bone strelice")</f>
        <v>Bone strelice</v>
      </c>
      <c r="M139" s="28"/>
      <c r="N139" s="28"/>
      <c r="O139" s="28"/>
      <c r="P139" s="28"/>
      <c r="Q139" s="28"/>
      <c r="R139" s="28"/>
      <c r="S139" s="28"/>
      <c r="T139" s="28"/>
      <c r="U139" s="28"/>
      <c r="V139" s="28"/>
      <c r="W139" s="28"/>
      <c r="X139" s="28"/>
      <c r="Y139" s="28"/>
      <c r="Z139" s="28"/>
      <c r="AA139" s="28"/>
      <c r="AB139" s="28"/>
    </row>
    <row r="140">
      <c r="A140" s="21" t="s">
        <v>555</v>
      </c>
      <c r="B140" s="22" t="s">
        <v>432</v>
      </c>
      <c r="C140" s="23" t="str">
        <f>IFERROR(__xludf.DUMMYFUNCTION("GOOGLETRANSLATE(B140, ""en"", ""fr"")"),"Utilisé comme munitions pour un arc.")</f>
        <v>Utilisé comme munitions pour un arc.</v>
      </c>
      <c r="D140" s="23" t="str">
        <f>IFERROR(__xludf.DUMMYFUNCTION("GOOGLETRANSLATE(B140, ""en"", ""es"")"),"Se utiliza como munición para un arco.")</f>
        <v>Se utiliza como munición para un arco.</v>
      </c>
      <c r="E140" s="23" t="str">
        <f>IFERROR(__xludf.DUMMYFUNCTION("GOOGLETRANSLATE(B140, ""en"", ""ru"")"),"Используется в качестве боеприпасов для лука.")</f>
        <v>Используется в качестве боеприпасов для лука.</v>
      </c>
      <c r="F140" s="23" t="str">
        <f>IFERROR(__xludf.DUMMYFUNCTION("GOOGLETRANSLATE(B140, ""en"", ""tr"")"),"Bir yay için mühimmat olarak kullanılır.")</f>
        <v>Bir yay için mühimmat olarak kullanılır.</v>
      </c>
      <c r="G140" s="23" t="str">
        <f>IFERROR(__xludf.DUMMYFUNCTION("GOOGLETRANSLATE(B140, ""en"", ""pt"")"),"Usado como munição para um arco.")</f>
        <v>Usado como munição para um arco.</v>
      </c>
      <c r="H140" s="24" t="str">
        <f>IFERROR(__xludf.DUMMYFUNCTION("GOOGLETRANSLATE(B140, ""en"", ""de"")"),"Wird als Munition für einen Bogen.")</f>
        <v>Wird als Munition für einen Bogen.</v>
      </c>
      <c r="I140" s="23" t="str">
        <f>IFERROR(__xludf.DUMMYFUNCTION("GOOGLETRANSLATE(B140, ""en"", ""pl"")"),"Używany jako amunicji do łuku.")</f>
        <v>Używany jako amunicji do łuku.</v>
      </c>
      <c r="J140" s="25" t="str">
        <f>IFERROR(__xludf.DUMMYFUNCTION("GOOGLETRANSLATE(B140, ""en"", ""zh"")"),"作为弹药弓。")</f>
        <v>作为弹药弓。</v>
      </c>
      <c r="K140" s="25" t="str">
        <f>IFERROR(__xludf.DUMMYFUNCTION("GOOGLETRANSLATE(B140, ""en"", ""vi"")"),"Sử dụng như đạn dược cho một cây cung.")</f>
        <v>Sử dụng như đạn dược cho một cây cung.</v>
      </c>
      <c r="L140" s="26" t="str">
        <f>IFERROR(__xludf.DUMMYFUNCTION("GOOGLETRANSLATE(B140, ""en"", ""hr"")"),"Koristi se kao streljivo za luk.")</f>
        <v>Koristi se kao streljivo za luk.</v>
      </c>
      <c r="M140" s="28"/>
      <c r="N140" s="28"/>
      <c r="O140" s="28"/>
      <c r="P140" s="28"/>
      <c r="Q140" s="28"/>
      <c r="R140" s="28"/>
      <c r="S140" s="28"/>
      <c r="T140" s="28"/>
      <c r="U140" s="28"/>
      <c r="V140" s="28"/>
      <c r="W140" s="28"/>
      <c r="X140" s="28"/>
      <c r="Y140" s="28"/>
      <c r="Z140" s="28"/>
      <c r="AA140" s="28"/>
      <c r="AB140" s="28"/>
    </row>
    <row r="141">
      <c r="A141" s="21" t="s">
        <v>556</v>
      </c>
      <c r="B141" s="22" t="s">
        <v>557</v>
      </c>
      <c r="C141" s="23" t="str">
        <f>IFERROR(__xludf.DUMMYFUNCTION("GOOGLETRANSLATE(B141, ""en"", ""fr"")"),"Peignoir")</f>
        <v>Peignoir</v>
      </c>
      <c r="D141" s="23" t="str">
        <f>IFERROR(__xludf.DUMMYFUNCTION("GOOGLETRANSLATE(B141, ""en"", ""es"")"),"Túnica")</f>
        <v>Túnica</v>
      </c>
      <c r="E141" s="23" t="str">
        <f>IFERROR(__xludf.DUMMYFUNCTION("GOOGLETRANSLATE(B141, ""en"", ""ru"")"),"Халат")</f>
        <v>Халат</v>
      </c>
      <c r="F141" s="23" t="str">
        <f>IFERROR(__xludf.DUMMYFUNCTION("GOOGLETRANSLATE(B141, ""en"", ""tr"")"),"Elbise")</f>
        <v>Elbise</v>
      </c>
      <c r="G141" s="23" t="str">
        <f>IFERROR(__xludf.DUMMYFUNCTION("GOOGLETRANSLATE(B141, ""en"", ""pt"")"),"robe")</f>
        <v>robe</v>
      </c>
      <c r="H141" s="24" t="str">
        <f>IFERROR(__xludf.DUMMYFUNCTION("GOOGLETRANSLATE(B141, ""en"", ""de"")"),"Kleid")</f>
        <v>Kleid</v>
      </c>
      <c r="I141" s="23" t="str">
        <f>IFERROR(__xludf.DUMMYFUNCTION("GOOGLETRANSLATE(B141, ""en"", ""pl"")"),"Szata")</f>
        <v>Szata</v>
      </c>
      <c r="J141" s="25" t="str">
        <f>IFERROR(__xludf.DUMMYFUNCTION("GOOGLETRANSLATE(B141, ""en"", ""zh"")"),"长袍")</f>
        <v>长袍</v>
      </c>
      <c r="K141" s="25" t="str">
        <f>IFERROR(__xludf.DUMMYFUNCTION("GOOGLETRANSLATE(B141, ""en"", ""vi"")"),"quần áo")</f>
        <v>quần áo</v>
      </c>
      <c r="L141" s="26" t="str">
        <f>IFERROR(__xludf.DUMMYFUNCTION("GOOGLETRANSLATE(B141, ""en"", ""hr"")"),"haljina")</f>
        <v>haljina</v>
      </c>
      <c r="M141" s="28"/>
      <c r="N141" s="28"/>
      <c r="O141" s="28"/>
      <c r="P141" s="28"/>
      <c r="Q141" s="28"/>
      <c r="R141" s="28"/>
      <c r="S141" s="28"/>
      <c r="T141" s="28"/>
      <c r="U141" s="28"/>
      <c r="V141" s="28"/>
      <c r="W141" s="28"/>
      <c r="X141" s="28"/>
      <c r="Y141" s="28"/>
      <c r="Z141" s="28"/>
      <c r="AA141" s="28"/>
      <c r="AB141" s="28"/>
    </row>
    <row r="142">
      <c r="A142" s="21" t="s">
        <v>558</v>
      </c>
      <c r="B142" s="22" t="s">
        <v>559</v>
      </c>
      <c r="C142" s="23" t="str">
        <f>IFERROR(__xludf.DUMMYFUNCTION("GOOGLETRANSLATE(B142, ""en"", ""fr"")"),"Une robe simple. Augmente votre Potionry stat alors porté.")</f>
        <v>Une robe simple. Augmente votre Potionry stat alors porté.</v>
      </c>
      <c r="D142" s="23" t="str">
        <f>IFERROR(__xludf.DUMMYFUNCTION("GOOGLETRANSLATE(B142, ""en"", ""es"")"),"Un manto liso. Aumenta la estadística Potionry mientras se usa.")</f>
        <v>Un manto liso. Aumenta la estadística Potionry mientras se usa.</v>
      </c>
      <c r="E142" s="23" t="str">
        <f>IFERROR(__xludf.DUMMYFUNCTION("GOOGLETRANSLATE(B142, ""en"", ""ru"")"),"Простой халат. Повышает Potionry стат во время ношения.")</f>
        <v>Простой халат. Повышает Potionry стат во время ношения.</v>
      </c>
      <c r="F142" s="23" t="str">
        <f>IFERROR(__xludf.DUMMYFUNCTION("GOOGLETRANSLATE(B142, ""en"", ""tr"")"),"Düz cübbesi. yıpranmış ederken Potionry, stat artırır.")</f>
        <v>Düz cübbesi. yıpranmış ederken Potionry, stat artırır.</v>
      </c>
      <c r="G142" s="23" t="str">
        <f>IFERROR(__xludf.DUMMYFUNCTION("GOOGLETRANSLATE(B142, ""en"", ""pt"")"),"Um manto simples. Aumenta seu status Potionry enquanto desgastado.")</f>
        <v>Um manto simples. Aumenta seu status Potionry enquanto desgastado.</v>
      </c>
      <c r="H142" s="24" t="str">
        <f>IFERROR(__xludf.DUMMYFUNCTION("GOOGLETRANSLATE(B142, ""en"", ""de"")"),"Ein einfaches Gewand. Erhöht Eure Potionry stat während des Tragens.")</f>
        <v>Ein einfaches Gewand. Erhöht Eure Potionry stat während des Tragens.</v>
      </c>
      <c r="I142" s="23" t="str">
        <f>IFERROR(__xludf.DUMMYFUNCTION("GOOGLETRANSLATE(B142, ""en"", ""pl"")"),"Zwykły szatę. Zwiększa stat Potionry podczas noszenia.")</f>
        <v>Zwykły szatę. Zwiększa stat Potionry podczas noszenia.</v>
      </c>
      <c r="J142" s="25" t="str">
        <f>IFERROR(__xludf.DUMMYFUNCTION("GOOGLETRANSLATE(B142, ""en"", ""zh"")"),"一个普通的长袍。使你的Potionry统计而磨损。")</f>
        <v>一个普通的长袍。使你的Potionry统计而磨损。</v>
      </c>
      <c r="K142" s="25" t="str">
        <f>IFERROR(__xludf.DUMMYFUNCTION("GOOGLETRANSLATE(B142, ""en"", ""vi"")"),"Một chiếc áo choàng đơn giản. Tăng Potionry stat của bạn trong khi mặc.")</f>
        <v>Một chiếc áo choàng đơn giản. Tăng Potionry stat của bạn trong khi mặc.</v>
      </c>
      <c r="L142" s="26" t="str">
        <f>IFERROR(__xludf.DUMMYFUNCTION("GOOGLETRANSLATE(B142, ""en"", ""hr"")"),"Običan ogrtač. Povećava Potionry stat dok istrošena.")</f>
        <v>Običan ogrtač. Povećava Potionry stat dok istrošena.</v>
      </c>
      <c r="M142" s="28"/>
      <c r="N142" s="28"/>
      <c r="O142" s="28"/>
      <c r="P142" s="28"/>
      <c r="Q142" s="28"/>
      <c r="R142" s="28"/>
      <c r="S142" s="28"/>
      <c r="T142" s="28"/>
      <c r="U142" s="28"/>
      <c r="V142" s="28"/>
      <c r="W142" s="28"/>
      <c r="X142" s="28"/>
      <c r="Y142" s="28"/>
      <c r="Z142" s="28"/>
      <c r="AA142" s="28"/>
      <c r="AB142" s="28"/>
    </row>
    <row r="143">
      <c r="A143" s="21" t="s">
        <v>560</v>
      </c>
      <c r="B143" s="22" t="s">
        <v>561</v>
      </c>
      <c r="C143" s="23" t="str">
        <f>IFERROR(__xludf.DUMMYFUNCTION("GOOGLETRANSLATE(B143, ""en"", ""fr"")"),"robe Mage")</f>
        <v>robe Mage</v>
      </c>
      <c r="D143" s="23" t="str">
        <f>IFERROR(__xludf.DUMMYFUNCTION("GOOGLETRANSLATE(B143, ""en"", ""es"")"),"túnica de mago")</f>
        <v>túnica de mago</v>
      </c>
      <c r="E143" s="23" t="str">
        <f>IFERROR(__xludf.DUMMYFUNCTION("GOOGLETRANSLATE(B143, ""en"", ""ru"")"),"Mage халат")</f>
        <v>Mage халат</v>
      </c>
      <c r="F143" s="23" t="str">
        <f>IFERROR(__xludf.DUMMYFUNCTION("GOOGLETRANSLATE(B143, ""en"", ""tr"")"),"Mage elbise")</f>
        <v>Mage elbise</v>
      </c>
      <c r="G143" s="23" t="str">
        <f>IFERROR(__xludf.DUMMYFUNCTION("GOOGLETRANSLATE(B143, ""en"", ""pt"")"),"mago robe")</f>
        <v>mago robe</v>
      </c>
      <c r="H143" s="24" t="str">
        <f>IFERROR(__xludf.DUMMYFUNCTION("GOOGLETRANSLATE(B143, ""en"", ""de"")"),"Mage Robe")</f>
        <v>Mage Robe</v>
      </c>
      <c r="I143" s="23" t="str">
        <f>IFERROR(__xludf.DUMMYFUNCTION("GOOGLETRANSLATE(B143, ""en"", ""pl"")"),"Mage szata")</f>
        <v>Mage szata</v>
      </c>
      <c r="J143" s="25" t="str">
        <f>IFERROR(__xludf.DUMMYFUNCTION("GOOGLETRANSLATE(B143, ""en"", ""zh"")"),"法师长袍")</f>
        <v>法师长袍</v>
      </c>
      <c r="K143" s="25" t="str">
        <f>IFERROR(__xludf.DUMMYFUNCTION("GOOGLETRANSLATE(B143, ""en"", ""vi"")"),"Mage robe")</f>
        <v>Mage robe</v>
      </c>
      <c r="L143" s="26" t="str">
        <f>IFERROR(__xludf.DUMMYFUNCTION("GOOGLETRANSLATE(B143, ""en"", ""hr"")"),"Mage ogrtač")</f>
        <v>Mage ogrtač</v>
      </c>
      <c r="M143" s="28"/>
      <c r="N143" s="28"/>
      <c r="O143" s="28"/>
      <c r="P143" s="28"/>
      <c r="Q143" s="28"/>
      <c r="R143" s="28"/>
      <c r="S143" s="28"/>
      <c r="T143" s="28"/>
      <c r="U143" s="28"/>
      <c r="V143" s="28"/>
      <c r="W143" s="28"/>
      <c r="X143" s="28"/>
      <c r="Y143" s="28"/>
      <c r="Z143" s="28"/>
      <c r="AA143" s="28"/>
      <c r="AB143" s="28"/>
    </row>
    <row r="144">
      <c r="A144" s="21" t="s">
        <v>562</v>
      </c>
      <c r="B144" s="22" t="s">
        <v>563</v>
      </c>
      <c r="C144" s="23" t="str">
        <f>IFERROR(__xludf.DUMMYFUNCTION("GOOGLETRANSLATE(B144, ""en"", ""fr"")"),"Une robe de base pour faire de la magie en. Augmente votre stat magique tout porté.")</f>
        <v>Une robe de base pour faire de la magie en. Augmente votre stat magique tout porté.</v>
      </c>
      <c r="D144" s="23" t="str">
        <f>IFERROR(__xludf.DUMMYFUNCTION("GOOGLETRANSLATE(B144, ""en"", ""es"")"),"Una bata básico para hacer magia en. Aumenta la estadística magia mientras se usa.")</f>
        <v>Una bata básico para hacer magia en. Aumenta la estadística magia mientras se usa.</v>
      </c>
      <c r="E144" s="23" t="str">
        <f>IFERROR(__xludf.DUMMYFUNCTION("GOOGLETRANSLATE(B144, ""en"", ""ru"")"),"Основной халат для Поколдуем. Повышает Волшебный стат во время ношения.")</f>
        <v>Основной халат для Поколдуем. Повышает Волшебный стат во время ношения.</v>
      </c>
      <c r="F144" s="23" t="str">
        <f>IFERROR(__xludf.DUMMYFUNCTION("GOOGLETRANSLATE(B144, ""en"", ""tr"")"),"yıpranmış ise büyü yapmak için temel bir cübbesi. Magic, stat artırır.")</f>
        <v>yıpranmış ise büyü yapmak için temel bir cübbesi. Magic, stat artırır.</v>
      </c>
      <c r="G144" s="23" t="str">
        <f>IFERROR(__xludf.DUMMYFUNCTION("GOOGLETRANSLATE(B144, ""en"", ""pt"")"),"Um manto básico para fazer magia no. Aumenta seu status de Magia enquanto desgastado.")</f>
        <v>Um manto básico para fazer magia no. Aumenta seu status de Magia enquanto desgastado.</v>
      </c>
      <c r="H144" s="24" t="str">
        <f>IFERROR(__xludf.DUMMYFUNCTION("GOOGLETRANSLATE(B144, ""en"", ""de"")"),"Ein grundlegendes Gewand zu tun Magie. Erhöht den Zauber stat während des Tragens.")</f>
        <v>Ein grundlegendes Gewand zu tun Magie. Erhöht den Zauber stat während des Tragens.</v>
      </c>
      <c r="I144" s="23" t="str">
        <f>IFERROR(__xludf.DUMMYFUNCTION("GOOGLETRANSLATE(B144, ""en"", ""pl"")"),"Podstawowym szata dla prowadzenia magii. Zwiększa Magiczny stat podczas noszenia.")</f>
        <v>Podstawowym szata dla prowadzenia magii. Zwiększa Magiczny stat podczas noszenia.</v>
      </c>
      <c r="J144" s="25" t="str">
        <f>IFERROR(__xludf.DUMMYFUNCTION("GOOGLETRANSLATE(B144, ""en"", ""zh"")"),"在做魔术的基本长袍。使你的魔统计而磨损。")</f>
        <v>在做魔术的基本长袍。使你的魔统计而磨损。</v>
      </c>
      <c r="K144" s="25" t="str">
        <f>IFERROR(__xludf.DUMMYFUNCTION("GOOGLETRANSLATE(B144,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44" s="26" t="str">
        <f>IFERROR(__xludf.DUMMYFUNCTION("GOOGLETRANSLATE(B144, ""en"", ""hr"")"),"Osnovni ogrtač za obavljanje magijom. Povećava Magic stat dok istrošena.")</f>
        <v>Osnovni ogrtač za obavljanje magijom. Povećava Magic stat dok istrošena.</v>
      </c>
      <c r="M144" s="28"/>
      <c r="N144" s="28"/>
      <c r="O144" s="28"/>
      <c r="P144" s="28"/>
      <c r="Q144" s="28"/>
      <c r="R144" s="28"/>
      <c r="S144" s="28"/>
      <c r="T144" s="28"/>
      <c r="U144" s="28"/>
      <c r="V144" s="28"/>
      <c r="W144" s="28"/>
      <c r="X144" s="28"/>
      <c r="Y144" s="28"/>
      <c r="Z144" s="28"/>
      <c r="AA144" s="28"/>
      <c r="AB144" s="28"/>
    </row>
    <row r="145">
      <c r="A145" s="21" t="s">
        <v>564</v>
      </c>
      <c r="B145" s="22" t="s">
        <v>565</v>
      </c>
      <c r="C145" s="23" t="str">
        <f>IFERROR(__xludf.DUMMYFUNCTION("GOOGLETRANSLATE(B145, ""en"", ""fr"")"),"robe nécromancien")</f>
        <v>robe nécromancien</v>
      </c>
      <c r="D145" s="23" t="str">
        <f>IFERROR(__xludf.DUMMYFUNCTION("GOOGLETRANSLATE(B145, ""en"", ""es"")"),"bata Nigromante")</f>
        <v>bata Nigromante</v>
      </c>
      <c r="E145" s="23" t="str">
        <f>IFERROR(__xludf.DUMMYFUNCTION("GOOGLETRANSLATE(B145, ""en"", ""ru"")"),"Некромант халат")</f>
        <v>Некромант халат</v>
      </c>
      <c r="F145" s="23" t="str">
        <f>IFERROR(__xludf.DUMMYFUNCTION("GOOGLETRANSLATE(B145, ""en"", ""tr"")"),"Necromancer elbise")</f>
        <v>Necromancer elbise</v>
      </c>
      <c r="G145" s="23" t="str">
        <f>IFERROR(__xludf.DUMMYFUNCTION("GOOGLETRANSLATE(B145, ""en"", ""pt"")"),"Necromancer robe")</f>
        <v>Necromancer robe</v>
      </c>
      <c r="H145" s="24" t="str">
        <f>IFERROR(__xludf.DUMMYFUNCTION("GOOGLETRANSLATE(B145, ""en"", ""de"")"),"Necromancer Gewand")</f>
        <v>Necromancer Gewand</v>
      </c>
      <c r="I145" s="23" t="str">
        <f>IFERROR(__xludf.DUMMYFUNCTION("GOOGLETRANSLATE(B145, ""en"", ""pl"")"),"Nekromanta szata")</f>
        <v>Nekromanta szata</v>
      </c>
      <c r="J145" s="25" t="str">
        <f>IFERROR(__xludf.DUMMYFUNCTION("GOOGLETRANSLATE(B145, ""en"", ""zh"")"),"亡灵巫师长袍")</f>
        <v>亡灵巫师长袍</v>
      </c>
      <c r="K145" s="25" t="str">
        <f>IFERROR(__xludf.DUMMYFUNCTION("GOOGLETRANSLATE(B145, ""en"", ""vi"")"),"Necromancer robe")</f>
        <v>Necromancer robe</v>
      </c>
      <c r="L145" s="26" t="str">
        <f>IFERROR(__xludf.DUMMYFUNCTION("GOOGLETRANSLATE(B145, ""en"", ""hr"")"),"Necromancer ogrtač")</f>
        <v>Necromancer ogrtač</v>
      </c>
      <c r="M145" s="28"/>
      <c r="N145" s="28"/>
      <c r="O145" s="28"/>
      <c r="P145" s="28"/>
      <c r="Q145" s="28"/>
      <c r="R145" s="28"/>
      <c r="S145" s="28"/>
      <c r="T145" s="28"/>
      <c r="U145" s="28"/>
      <c r="V145" s="28"/>
      <c r="W145" s="28"/>
      <c r="X145" s="28"/>
      <c r="Y145" s="28"/>
      <c r="Z145" s="28"/>
      <c r="AA145" s="28"/>
      <c r="AB145" s="28"/>
    </row>
    <row r="146">
      <c r="A146" s="21" t="s">
        <v>566</v>
      </c>
      <c r="B146" s="22" t="s">
        <v>563</v>
      </c>
      <c r="C146" s="23" t="str">
        <f>IFERROR(__xludf.DUMMYFUNCTION("GOOGLETRANSLATE(B146, ""en"", ""fr"")"),"Une robe de base pour faire de la magie en. Augmente votre stat magique tout porté.")</f>
        <v>Une robe de base pour faire de la magie en. Augmente votre stat magique tout porté.</v>
      </c>
      <c r="D146" s="23" t="str">
        <f>IFERROR(__xludf.DUMMYFUNCTION("GOOGLETRANSLATE(B146, ""en"", ""es"")"),"Una bata básico para hacer magia en. Aumenta la estadística magia mientras se usa.")</f>
        <v>Una bata básico para hacer magia en. Aumenta la estadística magia mientras se usa.</v>
      </c>
      <c r="E146" s="23" t="str">
        <f>IFERROR(__xludf.DUMMYFUNCTION("GOOGLETRANSLATE(B146, ""en"", ""ru"")"),"Основной халат для Поколдуем. Повышает Волшебный стат во время ношения.")</f>
        <v>Основной халат для Поколдуем. Повышает Волшебный стат во время ношения.</v>
      </c>
      <c r="F146" s="23" t="str">
        <f>IFERROR(__xludf.DUMMYFUNCTION("GOOGLETRANSLATE(B146, ""en"", ""tr"")"),"yıpranmış ise büyü yapmak için temel bir cübbesi. Magic, stat artırır.")</f>
        <v>yıpranmış ise büyü yapmak için temel bir cübbesi. Magic, stat artırır.</v>
      </c>
      <c r="G146" s="23" t="str">
        <f>IFERROR(__xludf.DUMMYFUNCTION("GOOGLETRANSLATE(B146, ""en"", ""pt"")"),"Um manto básico para fazer magia no. Aumenta seu status de Magia enquanto desgastado.")</f>
        <v>Um manto básico para fazer magia no. Aumenta seu status de Magia enquanto desgastado.</v>
      </c>
      <c r="H146" s="24" t="str">
        <f>IFERROR(__xludf.DUMMYFUNCTION("GOOGLETRANSLATE(B146, ""en"", ""de"")"),"Ein grundlegendes Gewand zu tun Magie. Erhöht den Zauber stat während des Tragens.")</f>
        <v>Ein grundlegendes Gewand zu tun Magie. Erhöht den Zauber stat während des Tragens.</v>
      </c>
      <c r="I146" s="23" t="str">
        <f>IFERROR(__xludf.DUMMYFUNCTION("GOOGLETRANSLATE(B146, ""en"", ""pl"")"),"Podstawowym szata dla prowadzenia magii. Zwiększa Magiczny stat podczas noszenia.")</f>
        <v>Podstawowym szata dla prowadzenia magii. Zwiększa Magiczny stat podczas noszenia.</v>
      </c>
      <c r="J146" s="25" t="str">
        <f>IFERROR(__xludf.DUMMYFUNCTION("GOOGLETRANSLATE(B146, ""en"", ""zh"")"),"在做魔术的基本长袍。使你的魔统计而磨损。")</f>
        <v>在做魔术的基本长袍。使你的魔统计而磨损。</v>
      </c>
      <c r="K146" s="25" t="str">
        <f>IFERROR(__xludf.DUMMYFUNCTION("GOOGLETRANSLATE(B146,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46" s="26" t="str">
        <f>IFERROR(__xludf.DUMMYFUNCTION("GOOGLETRANSLATE(B146, ""en"", ""hr"")"),"Osnovni ogrtač za obavljanje magijom. Povećava Magic stat dok istrošena.")</f>
        <v>Osnovni ogrtač za obavljanje magijom. Povećava Magic stat dok istrošena.</v>
      </c>
      <c r="M146" s="28"/>
      <c r="N146" s="28"/>
      <c r="O146" s="28"/>
      <c r="P146" s="28"/>
      <c r="Q146" s="28"/>
      <c r="R146" s="28"/>
      <c r="S146" s="28"/>
      <c r="T146" s="28"/>
      <c r="U146" s="28"/>
      <c r="V146" s="28"/>
      <c r="W146" s="28"/>
      <c r="X146" s="28"/>
      <c r="Y146" s="28"/>
      <c r="Z146" s="28"/>
      <c r="AA146" s="28"/>
      <c r="AB146" s="28"/>
    </row>
    <row r="147">
      <c r="A147" s="21" t="s">
        <v>567</v>
      </c>
      <c r="B147" s="22" t="s">
        <v>568</v>
      </c>
      <c r="C147" s="23" t="str">
        <f>IFERROR(__xludf.DUMMYFUNCTION("GOOGLETRANSLATE(B147, ""en"", ""fr"")"),"Manteau")</f>
        <v>Manteau</v>
      </c>
      <c r="D147" s="23" t="str">
        <f>IFERROR(__xludf.DUMMYFUNCTION("GOOGLETRANSLATE(B147, ""en"", ""es"")"),"Capa")</f>
        <v>Capa</v>
      </c>
      <c r="E147" s="23" t="str">
        <f>IFERROR(__xludf.DUMMYFUNCTION("GOOGLETRANSLATE(B147, ""en"", ""ru"")"),"плащ")</f>
        <v>плащ</v>
      </c>
      <c r="F147" s="23" t="str">
        <f>IFERROR(__xludf.DUMMYFUNCTION("GOOGLETRANSLATE(B147, ""en"", ""tr"")"),"Pelerin")</f>
        <v>Pelerin</v>
      </c>
      <c r="G147" s="23" t="str">
        <f>IFERROR(__xludf.DUMMYFUNCTION("GOOGLETRANSLATE(B147, ""en"", ""pt"")"),"Capa")</f>
        <v>Capa</v>
      </c>
      <c r="H147" s="24" t="str">
        <f>IFERROR(__xludf.DUMMYFUNCTION("GOOGLETRANSLATE(B147, ""en"", ""de"")"),"Mantel")</f>
        <v>Mantel</v>
      </c>
      <c r="I147" s="23" t="str">
        <f>IFERROR(__xludf.DUMMYFUNCTION("GOOGLETRANSLATE(B147, ""en"", ""pl"")"),"Płaszcz")</f>
        <v>Płaszcz</v>
      </c>
      <c r="J147" s="25" t="str">
        <f>IFERROR(__xludf.DUMMYFUNCTION("GOOGLETRANSLATE(B147, ""en"", ""zh"")"),"披风")</f>
        <v>披风</v>
      </c>
      <c r="K147" s="25" t="str">
        <f>IFERROR(__xludf.DUMMYFUNCTION("GOOGLETRANSLATE(B147, ""en"", ""vi"")"),"áo choàng")</f>
        <v>áo choàng</v>
      </c>
      <c r="L147" s="26" t="str">
        <f>IFERROR(__xludf.DUMMYFUNCTION("GOOGLETRANSLATE(B147, ""en"", ""hr"")"),"Plašt")</f>
        <v>Plašt</v>
      </c>
      <c r="M147" s="28"/>
      <c r="N147" s="28"/>
      <c r="O147" s="28"/>
      <c r="P147" s="28"/>
      <c r="Q147" s="28"/>
      <c r="R147" s="28"/>
      <c r="S147" s="28"/>
      <c r="T147" s="28"/>
      <c r="U147" s="28"/>
      <c r="V147" s="28"/>
      <c r="W147" s="28"/>
      <c r="X147" s="28"/>
      <c r="Y147" s="28"/>
      <c r="Z147" s="28"/>
      <c r="AA147" s="28"/>
      <c r="AB147" s="28"/>
    </row>
    <row r="148">
      <c r="A148" s="21" t="s">
        <v>569</v>
      </c>
      <c r="B148" s="22" t="s">
        <v>570</v>
      </c>
      <c r="C148" s="23" t="str">
        <f>IFERROR(__xludf.DUMMYFUNCTION("GOOGLETRANSLATE(B148, ""en"", ""fr"")"),"Un manteau de base pour le faire à distance. Les augmentations de votre stat tout porté à distance.")</f>
        <v>Un manteau de base pour le faire à distance. Les augmentations de votre stat tout porté à distance.</v>
      </c>
      <c r="D148" s="23" t="str">
        <f>IFERROR(__xludf.DUMMYFUNCTION("GOOGLETRANSLATE(B148, ""en"", ""es"")"),"Una capa básica para hacer oscilado en. Aumenta la estadística a distancia mientras se usa.")</f>
        <v>Una capa básica para hacer oscilado en. Aumenta la estadística a distancia mientras se usa.</v>
      </c>
      <c r="E148" s="23" t="str">
        <f>IFERROR(__xludf.DUMMYFUNCTION("GOOGLETRANSLATE(B148,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48" s="23" t="str">
        <f>IFERROR(__xludf.DUMMYFUNCTION("GOOGLETRANSLATE(B148, ""en"", ""tr"")"),"yıpranmış ederken değişmekteydi yapmak için bir temel pelerin. sizin Menzilli, stat artırır.")</f>
        <v>yıpranmış ederken değişmekteydi yapmak için bir temel pelerin. sizin Menzilli, stat artırır.</v>
      </c>
      <c r="G148" s="23" t="str">
        <f>IFERROR(__xludf.DUMMYFUNCTION("GOOGLETRANSLATE(B148, ""en"", ""pt"")"),"Um manto básica para fazer variou dentro. Aumenta seu status de Combate à distância enquanto desgastado.")</f>
        <v>Um manto básica para fazer variou dentro. Aumenta seu status de Combate à distância enquanto desgastado.</v>
      </c>
      <c r="H148" s="24" t="str">
        <f>IFERROR(__xludf.DUMMYFUNCTION("GOOGLETRANSLATE(B148, ""en"", ""de"")"),"Ein Grund Mantel für in reichte zu tun. Erhöht Eure Distanz stat während des Tragens.")</f>
        <v>Ein Grund Mantel für in reichte zu tun. Erhöht Eure Distanz stat während des Tragens.</v>
      </c>
      <c r="I148" s="23" t="str">
        <f>IFERROR(__xludf.DUMMYFUNCTION("GOOGLETRANSLATE(B148, ""en"", ""pl"")"),"Podstawowym płaszcz do prowadzenia wahał się. Zwiększa Ranged stat podczas noszenia.")</f>
        <v>Podstawowym płaszcz do prowadzenia wahał się. Zwiększa Ranged stat podczas noszenia.</v>
      </c>
      <c r="J148" s="25" t="str">
        <f>IFERROR(__xludf.DUMMYFUNCTION("GOOGLETRANSLATE(B148, ""en"", ""zh"")"),"在做着范围基本斗篷。使你的远程统计，而磨损。")</f>
        <v>在做着范围基本斗篷。使你的远程统计，而磨损。</v>
      </c>
      <c r="K148" s="25" t="str">
        <f>IFERROR(__xludf.DUMMYFUNCTION("GOOGLETRANSLATE(B148, ""en"", ""vi"")"),"Một chiếc áo choàng cơ bản để thực hiện dao động trong. Tăng stat Ranged của bạn trong khi mặc.")</f>
        <v>Một chiếc áo choàng cơ bản để thực hiện dao động trong. Tăng stat Ranged của bạn trong khi mặc.</v>
      </c>
      <c r="L148" s="26" t="str">
        <f>IFERROR(__xludf.DUMMYFUNCTION("GOOGLETRANSLATE(B148, ""en"", ""hr"")"),"Osnovni plašt za događaj u rasponu. Povećava kretala stat dok istrošena.")</f>
        <v>Osnovni plašt za događaj u rasponu. Povećava kretala stat dok istrošena.</v>
      </c>
      <c r="M148" s="28"/>
      <c r="N148" s="28"/>
      <c r="O148" s="28"/>
      <c r="P148" s="28"/>
      <c r="Q148" s="28"/>
      <c r="R148" s="28"/>
      <c r="S148" s="28"/>
      <c r="T148" s="28"/>
      <c r="U148" s="28"/>
      <c r="V148" s="28"/>
      <c r="W148" s="28"/>
      <c r="X148" s="28"/>
      <c r="Y148" s="28"/>
      <c r="Z148" s="28"/>
      <c r="AA148" s="28"/>
      <c r="AB148" s="28"/>
    </row>
    <row r="149">
      <c r="A149" s="21" t="s">
        <v>571</v>
      </c>
      <c r="B149" s="22" t="s">
        <v>572</v>
      </c>
      <c r="C149" s="23" t="str">
        <f>IFERROR(__xludf.DUMMYFUNCTION("GOOGLETRANSLATE(B149, ""en"", ""fr"")"),"tenue Ninja")</f>
        <v>tenue Ninja</v>
      </c>
      <c r="D149" s="23" t="str">
        <f>IFERROR(__xludf.DUMMYFUNCTION("GOOGLETRANSLATE(B149, ""en"", ""es"")"),"atuendo Ninja")</f>
        <v>atuendo Ninja</v>
      </c>
      <c r="E149" s="23" t="str">
        <f>IFERROR(__xludf.DUMMYFUNCTION("GOOGLETRANSLATE(B149, ""en"", ""ru"")"),"Ninja одеяние")</f>
        <v>Ninja одеяние</v>
      </c>
      <c r="F149" s="23" t="str">
        <f>IFERROR(__xludf.DUMMYFUNCTION("GOOGLETRANSLATE(B149, ""en"", ""tr"")"),"Ninja garb")</f>
        <v>Ninja garb</v>
      </c>
      <c r="G149" s="23" t="str">
        <f>IFERROR(__xludf.DUMMYFUNCTION("GOOGLETRANSLATE(B149, ""en"", ""pt"")"),"traje Ninja")</f>
        <v>traje Ninja</v>
      </c>
      <c r="H149" s="24" t="str">
        <f>IFERROR(__xludf.DUMMYFUNCTION("GOOGLETRANSLATE(B149, ""en"", ""de"")"),"Ninja Gewand")</f>
        <v>Ninja Gewand</v>
      </c>
      <c r="I149" s="23" t="str">
        <f>IFERROR(__xludf.DUMMYFUNCTION("GOOGLETRANSLATE(B149, ""en"", ""pl"")"),"strój ninja")</f>
        <v>strój ninja</v>
      </c>
      <c r="J149" s="25" t="str">
        <f>IFERROR(__xludf.DUMMYFUNCTION("GOOGLETRANSLATE(B149, ""en"", ""zh"")"),"忍者装束")</f>
        <v>忍者装束</v>
      </c>
      <c r="K149" s="25" t="str">
        <f>IFERROR(__xludf.DUMMYFUNCTION("GOOGLETRANSLATE(B149, ""en"", ""vi"")"),"Ninja trang phục")</f>
        <v>Ninja trang phục</v>
      </c>
      <c r="L149" s="26" t="str">
        <f>IFERROR(__xludf.DUMMYFUNCTION("GOOGLETRANSLATE(B149, ""en"", ""hr"")"),"ninja odjeća")</f>
        <v>ninja odjeća</v>
      </c>
      <c r="M149" s="28"/>
      <c r="N149" s="28"/>
      <c r="O149" s="28"/>
      <c r="P149" s="28"/>
      <c r="Q149" s="28"/>
      <c r="R149" s="28"/>
      <c r="S149" s="28"/>
      <c r="T149" s="28"/>
      <c r="U149" s="28"/>
      <c r="V149" s="28"/>
      <c r="W149" s="28"/>
      <c r="X149" s="28"/>
      <c r="Y149" s="28"/>
      <c r="Z149" s="28"/>
      <c r="AA149" s="28"/>
      <c r="AB149" s="28"/>
    </row>
    <row r="150">
      <c r="A150" s="21" t="s">
        <v>573</v>
      </c>
      <c r="B150" s="22" t="s">
        <v>574</v>
      </c>
      <c r="C150" s="23" t="str">
        <f>IFERROR(__xludf.DUMMYFUNCTION("GOOGLETRANSLATE(B150, ""en"", ""fr"")"),"Augmente vos stats mêlée et à distance et cache votre nom tout porté.")</f>
        <v>Augmente vos stats mêlée et à distance et cache votre nom tout porté.</v>
      </c>
      <c r="D150" s="23" t="str">
        <f>IFERROR(__xludf.DUMMYFUNCTION("GOOGLETRANSLATE(B150, ""en"", ""es"")"),"Aumenta tus estadísticas cuerpo a cuerpo ya distancia y oculta su nombre mientras se usa.")</f>
        <v>Aumenta tus estadísticas cuerpo a cuerpo ya distancia y oculta su nombre mientras se usa.</v>
      </c>
      <c r="E150" s="23" t="str">
        <f>IFERROR(__xludf.DUMMYFUNCTION("GOOGLETRANSLATE(B150,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50" s="23" t="str">
        <f>IFERROR(__xludf.DUMMYFUNCTION("GOOGLETRANSLATE(B150, ""en"", ""tr"")"),"sizin Melee ve Menzilli istatistikleri artırır ve yıpranmış da sizin adınızı gizler.")</f>
        <v>sizin Melee ve Menzilli istatistikleri artırır ve yıpranmış da sizin adınızı gizler.</v>
      </c>
      <c r="G150" s="23" t="str">
        <f>IFERROR(__xludf.DUMMYFUNCTION("GOOGLETRANSLATE(B150, ""en"", ""pt"")"),"Aumenta suas estatísticas corpo a corpo e de longo alcance e esconde seu nome enquanto desgastado.")</f>
        <v>Aumenta suas estatísticas corpo a corpo e de longo alcance e esconde seu nome enquanto desgastado.</v>
      </c>
      <c r="H150" s="24" t="str">
        <f>IFERROR(__xludf.DUMMYFUNCTION("GOOGLETRANSLATE(B150, ""en"", ""de"")"),"Erhöht Eure Nahkampf- und Distanz Statistiken und versteckt Ihren Namen während des Tragens.")</f>
        <v>Erhöht Eure Nahkampf- und Distanz Statistiken und versteckt Ihren Namen während des Tragens.</v>
      </c>
      <c r="I150" s="23" t="str">
        <f>IFERROR(__xludf.DUMMYFUNCTION("GOOGLETRANSLATE(B150, ""en"", ""pl"")"),"Zwiększa walce wręcz oraz dystansowych statystyk i ukrywa swoje nazwisko podczas noszenia.")</f>
        <v>Zwiększa walce wręcz oraz dystansowych statystyk i ukrywa swoje nazwisko podczas noszenia.</v>
      </c>
      <c r="J150" s="25" t="str">
        <f>IFERROR(__xludf.DUMMYFUNCTION("GOOGLETRANSLATE(B150, ""en"", ""zh"")"),"使你的近战和远程统计信息和隐藏你的名字，而磨损。")</f>
        <v>使你的近战和远程统计信息和隐藏你的名字，而磨损。</v>
      </c>
      <c r="K150" s="25" t="str">
        <f>IFERROR(__xludf.DUMMYFUNCTION("GOOGLETRANSLATE(B150, ""en"", ""vi"")"),"Tăng số liệu thống kê Melee và Ranged của bạn và giấu tên của bạn trong khi mặc.")</f>
        <v>Tăng số liệu thống kê Melee và Ranged của bạn và giấu tên của bạn trong khi mặc.</v>
      </c>
      <c r="L150" s="26" t="str">
        <f>IFERROR(__xludf.DUMMYFUNCTION("GOOGLETRANSLATE(B150, ""en"", ""hr"")"),"Povećava gužva i kretao se statistika i skriva svoje ime, a nosio.")</f>
        <v>Povećava gužva i kretao se statistika i skriva svoje ime, a nosio.</v>
      </c>
      <c r="M150" s="28"/>
      <c r="N150" s="28"/>
      <c r="O150" s="28"/>
      <c r="P150" s="28"/>
      <c r="Q150" s="28"/>
      <c r="R150" s="28"/>
      <c r="S150" s="28"/>
      <c r="T150" s="28"/>
      <c r="U150" s="28"/>
      <c r="V150" s="28"/>
      <c r="W150" s="28"/>
      <c r="X150" s="28"/>
      <c r="Y150" s="28"/>
      <c r="Z150" s="28"/>
      <c r="AA150" s="28"/>
      <c r="AB150" s="28"/>
    </row>
    <row r="151">
      <c r="A151" s="21" t="s">
        <v>575</v>
      </c>
      <c r="B151" s="22" t="s">
        <v>576</v>
      </c>
      <c r="C151" s="23" t="str">
        <f>IFERROR(__xludf.DUMMYFUNCTION("GOOGLETRANSLATE(B151, ""en"", ""fr"")"),"Charte")</f>
        <v>Charte</v>
      </c>
      <c r="D151" s="23" t="str">
        <f>IFERROR(__xludf.DUMMYFUNCTION("GOOGLETRANSLATE(B151, ""en"", ""es"")"),"Carta")</f>
        <v>Carta</v>
      </c>
      <c r="E151" s="23" t="str">
        <f>IFERROR(__xludf.DUMMYFUNCTION("GOOGLETRANSLATE(B151, ""en"", ""ru"")"),"чартер")</f>
        <v>чартер</v>
      </c>
      <c r="F151" s="23" t="str">
        <f>IFERROR(__xludf.DUMMYFUNCTION("GOOGLETRANSLATE(B151, ""en"", ""tr"")"),"tüzük")</f>
        <v>tüzük</v>
      </c>
      <c r="G151" s="23" t="str">
        <f>IFERROR(__xludf.DUMMYFUNCTION("GOOGLETRANSLATE(B151, ""en"", ""pt"")"),"fretar")</f>
        <v>fretar</v>
      </c>
      <c r="H151" s="24" t="str">
        <f>IFERROR(__xludf.DUMMYFUNCTION("GOOGLETRANSLATE(B151, ""en"", ""de"")"),"Charta")</f>
        <v>Charta</v>
      </c>
      <c r="I151" s="23" t="str">
        <f>IFERROR(__xludf.DUMMYFUNCTION("GOOGLETRANSLATE(B151, ""en"", ""pl"")"),"Czarter")</f>
        <v>Czarter</v>
      </c>
      <c r="J151" s="25" t="str">
        <f>IFERROR(__xludf.DUMMYFUNCTION("GOOGLETRANSLATE(B151, ""en"", ""zh"")"),"宪章")</f>
        <v>宪章</v>
      </c>
      <c r="K151" s="25" t="str">
        <f>IFERROR(__xludf.DUMMYFUNCTION("GOOGLETRANSLATE(B151, ""en"", ""vi"")"),"hiến chương")</f>
        <v>hiến chương</v>
      </c>
      <c r="L151" s="26" t="str">
        <f>IFERROR(__xludf.DUMMYFUNCTION("GOOGLETRANSLATE(B151, ""en"", ""hr"")"),"Čarter")</f>
        <v>Čarter</v>
      </c>
      <c r="M151" s="28"/>
      <c r="N151" s="28"/>
      <c r="O151" s="28"/>
      <c r="P151" s="28"/>
      <c r="Q151" s="28"/>
      <c r="R151" s="28"/>
      <c r="S151" s="28"/>
      <c r="T151" s="28"/>
      <c r="U151" s="28"/>
      <c r="V151" s="28"/>
      <c r="W151" s="28"/>
      <c r="X151" s="28"/>
      <c r="Y151" s="28"/>
      <c r="Z151" s="28"/>
      <c r="AA151" s="28"/>
      <c r="AB151" s="28"/>
    </row>
    <row r="152">
      <c r="A152" s="21" t="s">
        <v>577</v>
      </c>
      <c r="B152" s="22" t="s">
        <v>578</v>
      </c>
      <c r="C152" s="23" t="str">
        <f>IFERROR(__xludf.DUMMYFUNCTION("GOOGLETRANSLATE(B152,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52" s="23" t="str">
        <f>IFERROR(__xludf.DUMMYFUNCTION("GOOGLETRANSLATE(B152,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52" s="23" t="str">
        <f>IFERROR(__xludf.DUMMYFUNCTION("GOOGLETRANSLATE(B152,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52" s="23" t="str">
        <f>IFERROR(__xludf.DUMMYFUNCTION("GOOGLETRANSLATE(B152,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52" s="23" t="str">
        <f>IFERROR(__xludf.DUMMYFUNCTION("GOOGLETRANSLATE(B152,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52" s="24" t="str">
        <f>IFERROR(__xludf.DUMMYFUNCTION("GOOGLETRANSLATE(B152,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52" s="23" t="str">
        <f>IFERROR(__xludf.DUMMYFUNCTION("GOOGLETRANSLATE(B152,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52" s="25" t="str">
        <f>IFERROR(__xludf.DUMMYFUNCTION("GOOGLETRANSLATE(B152, ""en"", ""zh"")"),"部族结构。开始的地方氏族。用于手艺其他氏族的结构。如果被破坏，氏族和所有的结构也被破坏了。")</f>
        <v>部族结构。开始的地方氏族。用于手艺其他氏族的结构。如果被破坏，氏族和所有的结构也被破坏了。</v>
      </c>
      <c r="K152" s="25" t="str">
        <f>IFERROR(__xludf.DUMMYFUNCTION("GOOGLETRANSLATE(B152,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52" s="26" t="str">
        <f>IFERROR(__xludf.DUMMYFUNCTION("GOOGLETRANSLATE(B152,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52" s="28"/>
      <c r="N152" s="28"/>
      <c r="O152" s="28"/>
      <c r="P152" s="28"/>
      <c r="Q152" s="28"/>
      <c r="R152" s="28"/>
      <c r="S152" s="28"/>
      <c r="T152" s="28"/>
      <c r="U152" s="28"/>
      <c r="V152" s="28"/>
      <c r="W152" s="28"/>
      <c r="X152" s="28"/>
      <c r="Y152" s="28"/>
      <c r="Z152" s="28"/>
      <c r="AA152" s="28"/>
      <c r="AB152" s="28"/>
    </row>
    <row r="153">
      <c r="A153" s="21" t="s">
        <v>579</v>
      </c>
      <c r="B153" s="22" t="s">
        <v>580</v>
      </c>
      <c r="C153" s="23" t="str">
        <f>IFERROR(__xludf.DUMMYFUNCTION("GOOGLETRANSLATE(B153, ""en"", ""fr"")"),"Mur de bois")</f>
        <v>Mur de bois</v>
      </c>
      <c r="D153" s="23" t="str">
        <f>IFERROR(__xludf.DUMMYFUNCTION("GOOGLETRANSLATE(B153, ""en"", ""es"")"),"pared de madera")</f>
        <v>pared de madera</v>
      </c>
      <c r="E153" s="23" t="str">
        <f>IFERROR(__xludf.DUMMYFUNCTION("GOOGLETRANSLATE(B153, ""en"", ""ru"")"),"Дерево стены")</f>
        <v>Дерево стены</v>
      </c>
      <c r="F153" s="23" t="str">
        <f>IFERROR(__xludf.DUMMYFUNCTION("GOOGLETRANSLATE(B153, ""en"", ""tr"")"),"Tahta duvar")</f>
        <v>Tahta duvar</v>
      </c>
      <c r="G153" s="23" t="str">
        <f>IFERROR(__xludf.DUMMYFUNCTION("GOOGLETRANSLATE(B153, ""en"", ""pt"")"),"Parede de madeira")</f>
        <v>Parede de madeira</v>
      </c>
      <c r="H153" s="24" t="str">
        <f>IFERROR(__xludf.DUMMYFUNCTION("GOOGLETRANSLATE(B153, ""en"", ""de"")"),"Holzwand")</f>
        <v>Holzwand</v>
      </c>
      <c r="I153" s="23" t="str">
        <f>IFERROR(__xludf.DUMMYFUNCTION("GOOGLETRANSLATE(B153, ""en"", ""pl"")"),"Drewniana ściana")</f>
        <v>Drewniana ściana</v>
      </c>
      <c r="J153" s="25" t="str">
        <f>IFERROR(__xludf.DUMMYFUNCTION("GOOGLETRANSLATE(B153, ""en"", ""zh"")"),"木墙上")</f>
        <v>木墙上</v>
      </c>
      <c r="K153" s="25" t="str">
        <f>IFERROR(__xludf.DUMMYFUNCTION("GOOGLETRANSLATE(B153, ""en"", ""vi"")"),"tường gỗ")</f>
        <v>tường gỗ</v>
      </c>
      <c r="L153" s="26" t="str">
        <f>IFERROR(__xludf.DUMMYFUNCTION("GOOGLETRANSLATE(B153, ""en"", ""hr"")"),"drvo zid")</f>
        <v>drvo zid</v>
      </c>
      <c r="M153" s="28"/>
      <c r="N153" s="28"/>
      <c r="O153" s="28"/>
      <c r="P153" s="28"/>
      <c r="Q153" s="28"/>
      <c r="R153" s="28"/>
      <c r="S153" s="28"/>
      <c r="T153" s="28"/>
      <c r="U153" s="28"/>
      <c r="V153" s="28"/>
      <c r="W153" s="28"/>
      <c r="X153" s="28"/>
      <c r="Y153" s="28"/>
      <c r="Z153" s="28"/>
      <c r="AA153" s="28"/>
      <c r="AB153" s="28"/>
    </row>
    <row r="154">
      <c r="A154" s="21" t="s">
        <v>581</v>
      </c>
      <c r="B154" s="22" t="s">
        <v>582</v>
      </c>
      <c r="C154" s="23" t="str">
        <f>IFERROR(__xludf.DUMMYFUNCTION("GOOGLETRANSLATE(B154, ""en"", ""fr"")"),"Structure du clan. A faible profondeur d'une base.")</f>
        <v>Structure du clan. A faible profondeur d'une base.</v>
      </c>
      <c r="D154" s="23" t="str">
        <f>IFERROR(__xludf.DUMMYFUNCTION("GOOGLETRANSLATE(B154, ""en"", ""es"")"),"estructura del clan. Una defensa débil para una base.")</f>
        <v>estructura del clan. Una defensa débil para una base.</v>
      </c>
      <c r="E154" s="23" t="str">
        <f>IFERROR(__xludf.DUMMYFUNCTION("GOOGLETRANSLATE(B154, ""en"", ""ru"")"),"Структура клана. Слабая защита для основы.")</f>
        <v>Структура клана. Слабая защита для основы.</v>
      </c>
      <c r="F154" s="23" t="str">
        <f>IFERROR(__xludf.DUMMYFUNCTION("GOOGLETRANSLATE(B154, ""en"", ""tr"")"),"Klan yapısı. Bir üs için zayıf bir savunma.")</f>
        <v>Klan yapısı. Bir üs için zayıf bir savunma.</v>
      </c>
      <c r="G154" s="23" t="str">
        <f>IFERROR(__xludf.DUMMYFUNCTION("GOOGLETRANSLATE(B154, ""en"", ""pt"")"),"estrutura clã. Uma fraca defesa para uma base.")</f>
        <v>estrutura clã. Uma fraca defesa para uma base.</v>
      </c>
      <c r="H154" s="24" t="str">
        <f>IFERROR(__xludf.DUMMYFUNCTION("GOOGLETRANSLATE(B154, ""en"", ""de"")"),"Clan-Struktur. Eine schwache Verteidigung für eine Basis.")</f>
        <v>Clan-Struktur. Eine schwache Verteidigung für eine Basis.</v>
      </c>
      <c r="I154" s="23" t="str">
        <f>IFERROR(__xludf.DUMMYFUNCTION("GOOGLETRANSLATE(B154, ""en"", ""pl"")"),"Struktura klanu. Słaba obrona dla zasady.")</f>
        <v>Struktura klanu. Słaba obrona dla zasady.</v>
      </c>
      <c r="J154" s="25" t="str">
        <f>IFERROR(__xludf.DUMMYFUNCTION("GOOGLETRANSLATE(B154, ""en"", ""zh"")"),"部族结构。弱防御基地。")</f>
        <v>部族结构。弱防御基地。</v>
      </c>
      <c r="K154" s="25" t="str">
        <f>IFERROR(__xludf.DUMMYFUNCTION("GOOGLETRANSLATE(B154, ""en"", ""vi"")"),"Clan cấu trúc. Một vệ yếu cho cơ sở.")</f>
        <v>Clan cấu trúc. Một vệ yếu cho cơ sở.</v>
      </c>
      <c r="L154" s="26" t="str">
        <f>IFERROR(__xludf.DUMMYFUNCTION("GOOGLETRANSLATE(B154, ""en"", ""hr"")"),"Clan struktura. Slaba obrana bazu.")</f>
        <v>Clan struktura. Slaba obrana bazu.</v>
      </c>
      <c r="M154" s="28"/>
      <c r="N154" s="28"/>
      <c r="O154" s="28"/>
      <c r="P154" s="28"/>
      <c r="Q154" s="28"/>
      <c r="R154" s="28"/>
      <c r="S154" s="28"/>
      <c r="T154" s="28"/>
      <c r="U154" s="28"/>
      <c r="V154" s="28"/>
      <c r="W154" s="28"/>
      <c r="X154" s="28"/>
      <c r="Y154" s="28"/>
      <c r="Z154" s="28"/>
      <c r="AA154" s="28"/>
      <c r="AB154" s="28"/>
    </row>
    <row r="155">
      <c r="A155" s="21" t="s">
        <v>583</v>
      </c>
      <c r="B155" s="22" t="s">
        <v>584</v>
      </c>
      <c r="C155" s="23" t="str">
        <f>IFERROR(__xludf.DUMMYFUNCTION("GOOGLETRANSLATE(B155, ""en"", ""fr"")"),"porte en bois")</f>
        <v>porte en bois</v>
      </c>
      <c r="D155" s="23" t="str">
        <f>IFERROR(__xludf.DUMMYFUNCTION("GOOGLETRANSLATE(B155, ""en"", ""es"")"),"Puerta de madera")</f>
        <v>Puerta de madera</v>
      </c>
      <c r="E155" s="23" t="str">
        <f>IFERROR(__xludf.DUMMYFUNCTION("GOOGLETRANSLATE(B155, ""en"", ""ru"")"),"Вуд двери")</f>
        <v>Вуд двери</v>
      </c>
      <c r="F155" s="23" t="str">
        <f>IFERROR(__xludf.DUMMYFUNCTION("GOOGLETRANSLATE(B155, ""en"", ""tr"")"),"Tahta kapı")</f>
        <v>Tahta kapı</v>
      </c>
      <c r="G155" s="23" t="str">
        <f>IFERROR(__xludf.DUMMYFUNCTION("GOOGLETRANSLATE(B155, ""en"", ""pt"")"),"porta de madeira")</f>
        <v>porta de madeira</v>
      </c>
      <c r="H155" s="24" t="str">
        <f>IFERROR(__xludf.DUMMYFUNCTION("GOOGLETRANSLATE(B155, ""en"", ""de"")"),"Holztür")</f>
        <v>Holztür</v>
      </c>
      <c r="I155" s="23" t="str">
        <f>IFERROR(__xludf.DUMMYFUNCTION("GOOGLETRANSLATE(B155, ""en"", ""pl"")"),"Drewniane drzwi")</f>
        <v>Drewniane drzwi</v>
      </c>
      <c r="J155" s="25" t="str">
        <f>IFERROR(__xludf.DUMMYFUNCTION("GOOGLETRANSLATE(B155, ""en"", ""zh"")"),"木门")</f>
        <v>木门</v>
      </c>
      <c r="K155" s="25" t="str">
        <f>IFERROR(__xludf.DUMMYFUNCTION("GOOGLETRANSLATE(B155, ""en"", ""vi"")"),"Cửa gô")</f>
        <v>Cửa gô</v>
      </c>
      <c r="L155" s="26" t="str">
        <f>IFERROR(__xludf.DUMMYFUNCTION("GOOGLETRANSLATE(B155, ""en"", ""hr"")"),"vrata drvo")</f>
        <v>vrata drvo</v>
      </c>
      <c r="M155" s="28"/>
      <c r="N155" s="28"/>
      <c r="O155" s="28"/>
      <c r="P155" s="28"/>
      <c r="Q155" s="28"/>
      <c r="R155" s="28"/>
      <c r="S155" s="28"/>
      <c r="T155" s="28"/>
      <c r="U155" s="28"/>
      <c r="V155" s="28"/>
      <c r="W155" s="28"/>
      <c r="X155" s="28"/>
      <c r="Y155" s="28"/>
      <c r="Z155" s="28"/>
      <c r="AA155" s="28"/>
      <c r="AB155" s="28"/>
    </row>
    <row r="156">
      <c r="A156" s="21" t="s">
        <v>585</v>
      </c>
      <c r="B156" s="22" t="s">
        <v>586</v>
      </c>
      <c r="C156" s="23" t="str">
        <f>IFERROR(__xludf.DUMMYFUNCTION("GOOGLETRANSLATE(B156, ""en"", ""fr"")"),"Structure du clan. Ne peut être ouvert par les membres du clan.")</f>
        <v>Structure du clan. Ne peut être ouvert par les membres du clan.</v>
      </c>
      <c r="D156" s="23" t="str">
        <f>IFERROR(__xludf.DUMMYFUNCTION("GOOGLETRANSLATE(B156, ""en"", ""es"")"),"estructura del clan. sólo puede ser abierto por los miembros del clan.")</f>
        <v>estructura del clan. sólo puede ser abierto por los miembros del clan.</v>
      </c>
      <c r="E156" s="23" t="str">
        <f>IFERROR(__xludf.DUMMYFUNCTION("GOOGLETRANSLATE(B156, ""en"", ""ru"")"),"Структура клана. Может быть открыт только членами клана.")</f>
        <v>Структура клана. Может быть открыт только членами клана.</v>
      </c>
      <c r="F156" s="23" t="str">
        <f>IFERROR(__xludf.DUMMYFUNCTION("GOOGLETRANSLATE(B156, ""en"", ""tr"")"),"Klan yapısı. Sadece klan üyeleri tarafından açılabilir.")</f>
        <v>Klan yapısı. Sadece klan üyeleri tarafından açılabilir.</v>
      </c>
      <c r="G156" s="23" t="str">
        <f>IFERROR(__xludf.DUMMYFUNCTION("GOOGLETRANSLATE(B156, ""en"", ""pt"")"),"estrutura clã. só pode ser aberto por membros do clã.")</f>
        <v>estrutura clã. só pode ser aberto por membros do clã.</v>
      </c>
      <c r="H156" s="24" t="str">
        <f>IFERROR(__xludf.DUMMYFUNCTION("GOOGLETRANSLATE(B156, ""en"", ""de"")"),"Clan-Struktur. Kann nur von Clan-Mitglieder geöffnet werden.")</f>
        <v>Clan-Struktur. Kann nur von Clan-Mitglieder geöffnet werden.</v>
      </c>
      <c r="I156" s="23" t="str">
        <f>IFERROR(__xludf.DUMMYFUNCTION("GOOGLETRANSLATE(B156, ""en"", ""pl"")"),"Struktura klanu. Mogą być otwierane tylko przez członków klanu.")</f>
        <v>Struktura klanu. Mogą być otwierane tylko przez członków klanu.</v>
      </c>
      <c r="J156" s="25" t="str">
        <f>IFERROR(__xludf.DUMMYFUNCTION("GOOGLETRANSLATE(B156, ""en"", ""zh"")"),"部族结构。只能由公会成员打开。")</f>
        <v>部族结构。只能由公会成员打开。</v>
      </c>
      <c r="K156" s="25" t="str">
        <f>IFERROR(__xludf.DUMMYFUNCTION("GOOGLETRANSLATE(B156, ""en"", ""vi"")"),"Clan cấu trúc. chỉ có thể được mở bởi các thành viên gia tộc.")</f>
        <v>Clan cấu trúc. chỉ có thể được mở bởi các thành viên gia tộc.</v>
      </c>
      <c r="L156" s="26" t="str">
        <f>IFERROR(__xludf.DUMMYFUNCTION("GOOGLETRANSLATE(B156, ""en"", ""hr"")"),"Clan struktura. Može se otvoriti samo članovima klana.")</f>
        <v>Clan struktura. Može se otvoriti samo članovima klana.</v>
      </c>
      <c r="M156" s="28"/>
      <c r="N156" s="28"/>
      <c r="O156" s="28"/>
      <c r="P156" s="28"/>
      <c r="Q156" s="28"/>
      <c r="R156" s="28"/>
      <c r="S156" s="28"/>
      <c r="T156" s="28"/>
      <c r="U156" s="28"/>
      <c r="V156" s="28"/>
      <c r="W156" s="28"/>
      <c r="X156" s="28"/>
      <c r="Y156" s="28"/>
      <c r="Z156" s="28"/>
      <c r="AA156" s="28"/>
      <c r="AB156" s="28"/>
    </row>
    <row r="157">
      <c r="A157" s="42" t="s">
        <v>587</v>
      </c>
      <c r="B157" s="22" t="s">
        <v>588</v>
      </c>
      <c r="C157" s="23" t="str">
        <f>IFERROR(__xludf.DUMMYFUNCTION("GOOGLETRANSLATE(B157, ""en"", ""fr"")"),"Mur de briques")</f>
        <v>Mur de briques</v>
      </c>
      <c r="D157" s="23" t="str">
        <f>IFERROR(__xludf.DUMMYFUNCTION("GOOGLETRANSLATE(B157, ""en"", ""es"")"),"Pared de ladrillo")</f>
        <v>Pared de ladrillo</v>
      </c>
      <c r="E157" s="23" t="str">
        <f>IFERROR(__xludf.DUMMYFUNCTION("GOOGLETRANSLATE(B157, ""en"", ""ru"")"),"Кирпичная стена")</f>
        <v>Кирпичная стена</v>
      </c>
      <c r="F157" s="23" t="str">
        <f>IFERROR(__xludf.DUMMYFUNCTION("GOOGLETRANSLATE(B157, ""en"", ""tr"")"),"Tuğla duvar")</f>
        <v>Tuğla duvar</v>
      </c>
      <c r="G157" s="23" t="str">
        <f>IFERROR(__xludf.DUMMYFUNCTION("GOOGLETRANSLATE(B157, ""en"", ""pt"")"),"Parede de tijolos")</f>
        <v>Parede de tijolos</v>
      </c>
      <c r="H157" s="24" t="str">
        <f>IFERROR(__xludf.DUMMYFUNCTION("GOOGLETRANSLATE(B157, ""en"", ""de"")"),"Ziegelwand")</f>
        <v>Ziegelwand</v>
      </c>
      <c r="I157" s="23" t="str">
        <f>IFERROR(__xludf.DUMMYFUNCTION("GOOGLETRANSLATE(B157, ""en"", ""pl"")"),"Ceglana ściana")</f>
        <v>Ceglana ściana</v>
      </c>
      <c r="J157" s="25" t="str">
        <f>IFERROR(__xludf.DUMMYFUNCTION("GOOGLETRANSLATE(B157, ""en"", ""zh"")"),"砖墙")</f>
        <v>砖墙</v>
      </c>
      <c r="K157" s="25" t="str">
        <f>IFERROR(__xludf.DUMMYFUNCTION("GOOGLETRANSLATE(B157, ""en"", ""vi"")"),"Tường gạch")</f>
        <v>Tường gạch</v>
      </c>
      <c r="L157" s="26" t="str">
        <f>IFERROR(__xludf.DUMMYFUNCTION("GOOGLETRANSLATE(B157, ""en"", ""hr"")"),"Zid od cigli")</f>
        <v>Zid od cigli</v>
      </c>
      <c r="M157" s="28"/>
      <c r="N157" s="28"/>
      <c r="O157" s="28"/>
      <c r="P157" s="28"/>
      <c r="Q157" s="28"/>
      <c r="R157" s="28"/>
      <c r="S157" s="28"/>
      <c r="T157" s="28"/>
      <c r="U157" s="28"/>
      <c r="V157" s="28"/>
      <c r="W157" s="28"/>
      <c r="X157" s="28"/>
      <c r="Y157" s="28"/>
      <c r="Z157" s="28"/>
      <c r="AA157" s="28"/>
      <c r="AB157" s="28"/>
    </row>
    <row r="158">
      <c r="A158" s="42" t="s">
        <v>589</v>
      </c>
      <c r="B158" s="22" t="s">
        <v>590</v>
      </c>
      <c r="C158" s="23" t="str">
        <f>IFERROR(__xludf.DUMMYFUNCTION("GOOGLETRANSLATE(B158, ""en"", ""fr"")"),"Structure du clan. Une bonne défense pour une base.")</f>
        <v>Structure du clan. Une bonne défense pour une base.</v>
      </c>
      <c r="D158" s="23" t="str">
        <f>IFERROR(__xludf.DUMMYFUNCTION("GOOGLETRANSLATE(B158, ""en"", ""es"")"),"estructura del clan. Una buena defensa para una base.")</f>
        <v>estructura del clan. Una buena defensa para una base.</v>
      </c>
      <c r="E158" s="23" t="str">
        <f>IFERROR(__xludf.DUMMYFUNCTION("GOOGLETRANSLATE(B158, ""en"", ""ru"")"),"Структура клана. Хорошая защита для базы.")</f>
        <v>Структура клана. Хорошая защита для базы.</v>
      </c>
      <c r="F158" s="23" t="str">
        <f>IFERROR(__xludf.DUMMYFUNCTION("GOOGLETRANSLATE(B158, ""en"", ""tr"")"),"Klan yapısı. bir üs için iyi bir savunma.")</f>
        <v>Klan yapısı. bir üs için iyi bir savunma.</v>
      </c>
      <c r="G158" s="23" t="str">
        <f>IFERROR(__xludf.DUMMYFUNCTION("GOOGLETRANSLATE(B158, ""en"", ""pt"")"),"estrutura clã. Uma boa defesa para uma base.")</f>
        <v>estrutura clã. Uma boa defesa para uma base.</v>
      </c>
      <c r="H158" s="24" t="str">
        <f>IFERROR(__xludf.DUMMYFUNCTION("GOOGLETRANSLATE(B158, ""en"", ""de"")"),"Clan-Struktur. Eine gute Verteidigung für eine Basis.")</f>
        <v>Clan-Struktur. Eine gute Verteidigung für eine Basis.</v>
      </c>
      <c r="I158" s="23" t="str">
        <f>IFERROR(__xludf.DUMMYFUNCTION("GOOGLETRANSLATE(B158, ""en"", ""pl"")"),"Struktura klanu. Dobrym obrony dla zasady.")</f>
        <v>Struktura klanu. Dobrym obrony dla zasady.</v>
      </c>
      <c r="J158" s="25" t="str">
        <f>IFERROR(__xludf.DUMMYFUNCTION("GOOGLETRANSLATE(B158, ""en"", ""zh"")"),"部族结构。一个好的防御基地。")</f>
        <v>部族结构。一个好的防御基地。</v>
      </c>
      <c r="K158" s="25" t="str">
        <f>IFERROR(__xludf.DUMMYFUNCTION("GOOGLETRANSLATE(B158, ""en"", ""vi"")"),"Clan cấu trúc. Một bảo vệ tốt cho một cơ sở.")</f>
        <v>Clan cấu trúc. Một bảo vệ tốt cho một cơ sở.</v>
      </c>
      <c r="L158" s="26" t="str">
        <f>IFERROR(__xludf.DUMMYFUNCTION("GOOGLETRANSLATE(B158, ""en"", ""hr"")"),"Clan struktura. Dobra obrana bazu.")</f>
        <v>Clan struktura. Dobra obrana bazu.</v>
      </c>
      <c r="M158" s="28"/>
      <c r="N158" s="28"/>
      <c r="O158" s="28"/>
      <c r="P158" s="28"/>
      <c r="Q158" s="28"/>
      <c r="R158" s="28"/>
      <c r="S158" s="28"/>
      <c r="T158" s="28"/>
      <c r="U158" s="28"/>
      <c r="V158" s="28"/>
      <c r="W158" s="28"/>
      <c r="X158" s="28"/>
      <c r="Y158" s="28"/>
      <c r="Z158" s="28"/>
      <c r="AA158" s="28"/>
      <c r="AB158" s="28"/>
    </row>
    <row r="159">
      <c r="A159" s="42" t="s">
        <v>591</v>
      </c>
      <c r="B159" s="22" t="s">
        <v>592</v>
      </c>
      <c r="C159" s="23" t="str">
        <f>IFERROR(__xludf.DUMMYFUNCTION("GOOGLETRANSLATE(B159, ""en"", ""fr"")"),"porte brique")</f>
        <v>porte brique</v>
      </c>
      <c r="D159" s="23" t="str">
        <f>IFERROR(__xludf.DUMMYFUNCTION("GOOGLETRANSLATE(B159, ""en"", ""es"")"),"puerta de ladrillo")</f>
        <v>puerta de ladrillo</v>
      </c>
      <c r="E159" s="23" t="str">
        <f>IFERROR(__xludf.DUMMYFUNCTION("GOOGLETRANSLATE(B159, ""en"", ""ru"")"),"Кирпич двери")</f>
        <v>Кирпич двери</v>
      </c>
      <c r="F159" s="23" t="str">
        <f>IFERROR(__xludf.DUMMYFUNCTION("GOOGLETRANSLATE(B159, ""en"", ""tr"")"),"Tuğla kapı")</f>
        <v>Tuğla kapı</v>
      </c>
      <c r="G159" s="23" t="str">
        <f>IFERROR(__xludf.DUMMYFUNCTION("GOOGLETRANSLATE(B159, ""en"", ""pt"")"),"porta tijolo")</f>
        <v>porta tijolo</v>
      </c>
      <c r="H159" s="24" t="str">
        <f>IFERROR(__xludf.DUMMYFUNCTION("GOOGLETRANSLATE(B159, ""en"", ""de"")"),"Brick Tür")</f>
        <v>Brick Tür</v>
      </c>
      <c r="I159" s="23" t="str">
        <f>IFERROR(__xludf.DUMMYFUNCTION("GOOGLETRANSLATE(B159, ""en"", ""pl"")"),"cegła drzwi")</f>
        <v>cegła drzwi</v>
      </c>
      <c r="J159" s="25" t="str">
        <f>IFERROR(__xludf.DUMMYFUNCTION("GOOGLETRANSLATE(B159, ""en"", ""zh"")"),"砖门")</f>
        <v>砖门</v>
      </c>
      <c r="K159" s="25" t="str">
        <f>IFERROR(__xludf.DUMMYFUNCTION("GOOGLETRANSLATE(B159, ""en"", ""vi"")"),"cửa gạch")</f>
        <v>cửa gạch</v>
      </c>
      <c r="L159" s="26" t="str">
        <f>IFERROR(__xludf.DUMMYFUNCTION("GOOGLETRANSLATE(B159, ""en"", ""hr"")"),"vrata Brick")</f>
        <v>vrata Brick</v>
      </c>
      <c r="M159" s="28"/>
      <c r="N159" s="28"/>
      <c r="O159" s="28"/>
      <c r="P159" s="28"/>
      <c r="Q159" s="28"/>
      <c r="R159" s="28"/>
      <c r="S159" s="28"/>
      <c r="T159" s="28"/>
      <c r="U159" s="28"/>
      <c r="V159" s="28"/>
      <c r="W159" s="28"/>
      <c r="X159" s="28"/>
      <c r="Y159" s="28"/>
      <c r="Z159" s="28"/>
      <c r="AA159" s="28"/>
      <c r="AB159" s="28"/>
    </row>
    <row r="160">
      <c r="A160" s="42" t="s">
        <v>593</v>
      </c>
      <c r="B160" s="22" t="s">
        <v>594</v>
      </c>
      <c r="C160" s="23" t="str">
        <f>IFERROR(__xludf.DUMMYFUNCTION("GOOGLETRANSLATE(B160, ""en"", ""fr"")"),"Structure du clan. Ne peut être ouvert par les membres du clan. Plus fort que une porte en bois.")</f>
        <v>Structure du clan. Ne peut être ouvert par les membres du clan. Plus fort que une porte en bois.</v>
      </c>
      <c r="D160" s="23" t="str">
        <f>IFERROR(__xludf.DUMMYFUNCTION("GOOGLETRANSLATE(B160, ""en"", ""es"")"),"estructura del clan. sólo puede ser abierto por los miembros del clan. Más fuerte que una puerta de madera.")</f>
        <v>estructura del clan. sólo puede ser abierto por los miembros del clan. Más fuerte que una puerta de madera.</v>
      </c>
      <c r="E160" s="23" t="str">
        <f>IFERROR(__xludf.DUMMYFUNCTION("GOOGLETRANSLATE(B160,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60" s="23" t="str">
        <f>IFERROR(__xludf.DUMMYFUNCTION("GOOGLETRANSLATE(B160, ""en"", ""tr"")"),"Klan yapısı. Sadece klan üyeleri tarafından açılabilir. Bir ahşap kapı daha güçlü.")</f>
        <v>Klan yapısı. Sadece klan üyeleri tarafından açılabilir. Bir ahşap kapı daha güçlü.</v>
      </c>
      <c r="G160" s="23" t="str">
        <f>IFERROR(__xludf.DUMMYFUNCTION("GOOGLETRANSLATE(B160, ""en"", ""pt"")"),"estrutura clã. só pode ser aberto por membros do clã. Mais forte do que uma porta de madeira.")</f>
        <v>estrutura clã. só pode ser aberto por membros do clã. Mais forte do que uma porta de madeira.</v>
      </c>
      <c r="H160" s="24" t="str">
        <f>IFERROR(__xludf.DUMMYFUNCTION("GOOGLETRANSLATE(B160, ""en"", ""de"")"),"Clan-Struktur. Kann nur von Clan-Mitglieder geöffnet werden. Stärker als eine Holztür.")</f>
        <v>Clan-Struktur. Kann nur von Clan-Mitglieder geöffnet werden. Stärker als eine Holztür.</v>
      </c>
      <c r="I160" s="23" t="str">
        <f>IFERROR(__xludf.DUMMYFUNCTION("GOOGLETRANSLATE(B160, ""en"", ""pl"")"),"Struktura klanu. Mogą być otwierane tylko przez członków klanu. Silniejsze niż drzwi drewnianych.")</f>
        <v>Struktura klanu. Mogą być otwierane tylko przez członków klanu. Silniejsze niż drzwi drewnianych.</v>
      </c>
      <c r="J160" s="25" t="str">
        <f>IFERROR(__xludf.DUMMYFUNCTION("GOOGLETRANSLATE(B160, ""en"", ""zh"")"),"部族结构。只能由公会成员打开。比木门更强。")</f>
        <v>部族结构。只能由公会成员打开。比木门更强。</v>
      </c>
      <c r="K160" s="25" t="str">
        <f>IFERROR(__xludf.DUMMYFUNCTION("GOOGLETRANSLATE(B160, ""en"", ""vi"")"),"Clan cấu trúc. chỉ có thể được mở bởi các thành viên gia tộc. Mạnh hơn một cánh cửa gỗ.")</f>
        <v>Clan cấu trúc. chỉ có thể được mở bởi các thành viên gia tộc. Mạnh hơn một cánh cửa gỗ.</v>
      </c>
      <c r="L160" s="26" t="str">
        <f>IFERROR(__xludf.DUMMYFUNCTION("GOOGLETRANSLATE(B160, ""en"", ""hr"")"),"Clan struktura. Može se otvoriti samo članovima klana. Jači od vrata drva.")</f>
        <v>Clan struktura. Može se otvoriti samo članovima klana. Jači od vrata drva.</v>
      </c>
      <c r="M160" s="28"/>
      <c r="N160" s="28"/>
      <c r="O160" s="28"/>
      <c r="P160" s="28"/>
      <c r="Q160" s="28"/>
      <c r="R160" s="28"/>
      <c r="S160" s="28"/>
      <c r="T160" s="28"/>
      <c r="U160" s="28"/>
      <c r="V160" s="28"/>
      <c r="W160" s="28"/>
      <c r="X160" s="28"/>
      <c r="Y160" s="28"/>
      <c r="Z160" s="28"/>
      <c r="AA160" s="28"/>
      <c r="AB160" s="28"/>
    </row>
    <row r="161">
      <c r="A161" s="42" t="s">
        <v>595</v>
      </c>
      <c r="B161" s="22" t="s">
        <v>596</v>
      </c>
      <c r="C161" s="23" t="str">
        <f>IFERROR(__xludf.DUMMYFUNCTION("GOOGLETRANSLATE(B161, ""en"", ""fr"")"),"Mur de fer")</f>
        <v>Mur de fer</v>
      </c>
      <c r="D161" s="23" t="str">
        <f>IFERROR(__xludf.DUMMYFUNCTION("GOOGLETRANSLATE(B161, ""en"", ""es"")"),"Muro de hierro")</f>
        <v>Muro de hierro</v>
      </c>
      <c r="E161" s="23" t="str">
        <f>IFERROR(__xludf.DUMMYFUNCTION("GOOGLETRANSLATE(B161, ""en"", ""ru"")"),"Железная стена")</f>
        <v>Железная стена</v>
      </c>
      <c r="F161" s="23" t="str">
        <f>IFERROR(__xludf.DUMMYFUNCTION("GOOGLETRANSLATE(B161, ""en"", ""tr"")"),"Demir duvar")</f>
        <v>Demir duvar</v>
      </c>
      <c r="G161" s="23" t="str">
        <f>IFERROR(__xludf.DUMMYFUNCTION("GOOGLETRANSLATE(B161, ""en"", ""pt"")"),"Parede de ferro")</f>
        <v>Parede de ferro</v>
      </c>
      <c r="H161" s="24" t="str">
        <f>IFERROR(__xludf.DUMMYFUNCTION("GOOGLETRANSLATE(B161, ""en"", ""de"")"),"Eisenwand")</f>
        <v>Eisenwand</v>
      </c>
      <c r="I161" s="23" t="str">
        <f>IFERROR(__xludf.DUMMYFUNCTION("GOOGLETRANSLATE(B161, ""en"", ""pl"")"),"Żelazna ściana")</f>
        <v>Żelazna ściana</v>
      </c>
      <c r="J161" s="25" t="str">
        <f>IFERROR(__xludf.DUMMYFUNCTION("GOOGLETRANSLATE(B161, ""en"", ""zh"")"),"铁壁")</f>
        <v>铁壁</v>
      </c>
      <c r="K161" s="25" t="str">
        <f>IFERROR(__xludf.DUMMYFUNCTION("GOOGLETRANSLATE(B161, ""en"", ""vi"")"),"Bức tường sắt")</f>
        <v>Bức tường sắt</v>
      </c>
      <c r="L161" s="26" t="str">
        <f>IFERROR(__xludf.DUMMYFUNCTION("GOOGLETRANSLATE(B161, ""en"", ""hr"")"),"Željezo zid")</f>
        <v>Željezo zid</v>
      </c>
      <c r="M161" s="28"/>
      <c r="N161" s="28"/>
      <c r="O161" s="28"/>
      <c r="P161" s="28"/>
      <c r="Q161" s="28"/>
      <c r="R161" s="28"/>
      <c r="S161" s="28"/>
      <c r="T161" s="28"/>
      <c r="U161" s="28"/>
      <c r="V161" s="28"/>
      <c r="W161" s="28"/>
      <c r="X161" s="28"/>
      <c r="Y161" s="28"/>
      <c r="Z161" s="28"/>
      <c r="AA161" s="28"/>
      <c r="AB161" s="28"/>
    </row>
    <row r="162">
      <c r="A162" s="42" t="s">
        <v>597</v>
      </c>
      <c r="B162" s="22" t="s">
        <v>598</v>
      </c>
      <c r="C162" s="23" t="str">
        <f>IFERROR(__xludf.DUMMYFUNCTION("GOOGLETRANSLATE(B162, ""en"", ""fr"")"),"Structure du clan. Une grande défense pour une base.")</f>
        <v>Structure du clan. Une grande défense pour une base.</v>
      </c>
      <c r="D162" s="23" t="str">
        <f>IFERROR(__xludf.DUMMYFUNCTION("GOOGLETRANSLATE(B162, ""en"", ""es"")"),"estructura del clan. Una gran defensa para una base.")</f>
        <v>estructura del clan. Una gran defensa para una base.</v>
      </c>
      <c r="E162" s="23" t="str">
        <f>IFERROR(__xludf.DUMMYFUNCTION("GOOGLETRANSLATE(B162, ""en"", ""ru"")"),"Структура клана. Большая защита для базы.")</f>
        <v>Структура клана. Большая защита для базы.</v>
      </c>
      <c r="F162" s="23" t="str">
        <f>IFERROR(__xludf.DUMMYFUNCTION("GOOGLETRANSLATE(B162, ""en"", ""tr"")"),"Klan yapısı. bir üs için büyük bir savunma.")</f>
        <v>Klan yapısı. bir üs için büyük bir savunma.</v>
      </c>
      <c r="G162" s="23" t="str">
        <f>IFERROR(__xludf.DUMMYFUNCTION("GOOGLETRANSLATE(B162, ""en"", ""pt"")"),"estrutura clã. Uma grande defesa para uma base.")</f>
        <v>estrutura clã. Uma grande defesa para uma base.</v>
      </c>
      <c r="H162" s="24" t="str">
        <f>IFERROR(__xludf.DUMMYFUNCTION("GOOGLETRANSLATE(B162, ""en"", ""de"")"),"Clan-Struktur. Eine große Verteidigung für eine Basis.")</f>
        <v>Clan-Struktur. Eine große Verteidigung für eine Basis.</v>
      </c>
      <c r="I162" s="23" t="str">
        <f>IFERROR(__xludf.DUMMYFUNCTION("GOOGLETRANSLATE(B162, ""en"", ""pl"")"),"Struktura klanu. Wielki obrony dla zasady.")</f>
        <v>Struktura klanu. Wielki obrony dla zasady.</v>
      </c>
      <c r="J162" s="25" t="str">
        <f>IFERROR(__xludf.DUMMYFUNCTION("GOOGLETRANSLATE(B162, ""en"", ""zh"")"),"部族结构。基极用出色的防守。")</f>
        <v>部族结构。基极用出色的防守。</v>
      </c>
      <c r="K162" s="25" t="str">
        <f>IFERROR(__xludf.DUMMYFUNCTION("GOOGLETRANSLATE(B162, ""en"", ""vi"")"),"Clan cấu trúc. Một bảo vệ tuyệt vời cho một cơ sở.")</f>
        <v>Clan cấu trúc. Một bảo vệ tuyệt vời cho một cơ sở.</v>
      </c>
      <c r="L162" s="26" t="str">
        <f>IFERROR(__xludf.DUMMYFUNCTION("GOOGLETRANSLATE(B162, ""en"", ""hr"")"),"Clan struktura. Velika obrana bazu.")</f>
        <v>Clan struktura. Velika obrana bazu.</v>
      </c>
      <c r="M162" s="28"/>
      <c r="N162" s="28"/>
      <c r="O162" s="28"/>
      <c r="P162" s="28"/>
      <c r="Q162" s="28"/>
      <c r="R162" s="28"/>
      <c r="S162" s="28"/>
      <c r="T162" s="28"/>
      <c r="U162" s="28"/>
      <c r="V162" s="28"/>
      <c r="W162" s="28"/>
      <c r="X162" s="28"/>
      <c r="Y162" s="28"/>
      <c r="Z162" s="28"/>
      <c r="AA162" s="28"/>
      <c r="AB162" s="28"/>
    </row>
    <row r="163">
      <c r="A163" s="42" t="s">
        <v>599</v>
      </c>
      <c r="B163" s="22" t="s">
        <v>600</v>
      </c>
      <c r="C163" s="23" t="str">
        <f>IFERROR(__xludf.DUMMYFUNCTION("GOOGLETRANSLATE(B163, ""en"", ""fr"")"),"Porte en fer")</f>
        <v>Porte en fer</v>
      </c>
      <c r="D163" s="23" t="str">
        <f>IFERROR(__xludf.DUMMYFUNCTION("GOOGLETRANSLATE(B163, ""en"", ""es"")"),"Puerta de Hierro")</f>
        <v>Puerta de Hierro</v>
      </c>
      <c r="E163" s="23" t="str">
        <f>IFERROR(__xludf.DUMMYFUNCTION("GOOGLETRANSLATE(B163, ""en"", ""ru"")"),"Железные двери")</f>
        <v>Железные двери</v>
      </c>
      <c r="F163" s="23" t="str">
        <f>IFERROR(__xludf.DUMMYFUNCTION("GOOGLETRANSLATE(B163, ""en"", ""tr"")"),"Demir kapı")</f>
        <v>Demir kapı</v>
      </c>
      <c r="G163" s="23" t="str">
        <f>IFERROR(__xludf.DUMMYFUNCTION("GOOGLETRANSLATE(B163, ""en"", ""pt"")"),"Porta de ferro")</f>
        <v>Porta de ferro</v>
      </c>
      <c r="H163" s="24" t="str">
        <f>IFERROR(__xludf.DUMMYFUNCTION("GOOGLETRANSLATE(B163, ""en"", ""de"")"),"Eiserne Tür")</f>
        <v>Eiserne Tür</v>
      </c>
      <c r="I163" s="23" t="str">
        <f>IFERROR(__xludf.DUMMYFUNCTION("GOOGLETRANSLATE(B163, ""en"", ""pl"")"),"Żelazne drzwi")</f>
        <v>Żelazne drzwi</v>
      </c>
      <c r="J163" s="25" t="str">
        <f>IFERROR(__xludf.DUMMYFUNCTION("GOOGLETRANSLATE(B163, ""en"", ""zh"")"),"铁艺大门")</f>
        <v>铁艺大门</v>
      </c>
      <c r="K163" s="25" t="str">
        <f>IFERROR(__xludf.DUMMYFUNCTION("GOOGLETRANSLATE(B163, ""en"", ""vi"")"),"Cửa sắt")</f>
        <v>Cửa sắt</v>
      </c>
      <c r="L163" s="26" t="str">
        <f>IFERROR(__xludf.DUMMYFUNCTION("GOOGLETRANSLATE(B163, ""en"", ""hr"")"),"željezna vrata")</f>
        <v>željezna vrata</v>
      </c>
      <c r="M163" s="28"/>
      <c r="N163" s="28"/>
      <c r="O163" s="28"/>
      <c r="P163" s="28"/>
      <c r="Q163" s="28"/>
      <c r="R163" s="28"/>
      <c r="S163" s="28"/>
      <c r="T163" s="28"/>
      <c r="U163" s="28"/>
      <c r="V163" s="28"/>
      <c r="W163" s="28"/>
      <c r="X163" s="28"/>
      <c r="Y163" s="28"/>
      <c r="Z163" s="28"/>
      <c r="AA163" s="28"/>
      <c r="AB163" s="28"/>
    </row>
    <row r="164">
      <c r="A164" s="42" t="s">
        <v>601</v>
      </c>
      <c r="B164" s="22" t="s">
        <v>602</v>
      </c>
      <c r="C164" s="23" t="str">
        <f>IFERROR(__xludf.DUMMYFUNCTION("GOOGLETRANSLATE(B164, ""en"", ""fr"")"),"Structure du clan. Ne peut être ouvert par les membres du clan. Plus fort que la porte de briques.")</f>
        <v>Structure du clan. Ne peut être ouvert par les membres du clan. Plus fort que la porte de briques.</v>
      </c>
      <c r="D164" s="23" t="str">
        <f>IFERROR(__xludf.DUMMYFUNCTION("GOOGLETRANSLATE(B164, ""en"", ""es"")"),"estructura del clan. sólo puede ser abierto por los miembros del clan. Más fuerte que una puerta de ladrillo.")</f>
        <v>estructura del clan. sólo puede ser abierto por los miembros del clan. Más fuerte que una puerta de ladrillo.</v>
      </c>
      <c r="E164" s="23" t="str">
        <f>IFERROR(__xludf.DUMMYFUNCTION("GOOGLETRANSLATE(B164,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64" s="23" t="str">
        <f>IFERROR(__xludf.DUMMYFUNCTION("GOOGLETRANSLATE(B164, ""en"", ""tr"")"),"Klan yapısı. Sadece klan üyeleri tarafından açılabilir. Bir tuğla kapı daha güçlü.")</f>
        <v>Klan yapısı. Sadece klan üyeleri tarafından açılabilir. Bir tuğla kapı daha güçlü.</v>
      </c>
      <c r="G164" s="23" t="str">
        <f>IFERROR(__xludf.DUMMYFUNCTION("GOOGLETRANSLATE(B164, ""en"", ""pt"")"),"estrutura clã. só pode ser aberto por membros do clã. Mais forte do que uma porta de tijolo.")</f>
        <v>estrutura clã. só pode ser aberto por membros do clã. Mais forte do que uma porta de tijolo.</v>
      </c>
      <c r="H164" s="24" t="str">
        <f>IFERROR(__xludf.DUMMYFUNCTION("GOOGLETRANSLATE(B164, ""en"", ""de"")"),"Clan-Struktur. Kann nur von Clan-Mitglieder geöffnet werden. Stärker als ein Ziegel Tür.")</f>
        <v>Clan-Struktur. Kann nur von Clan-Mitglieder geöffnet werden. Stärker als ein Ziegel Tür.</v>
      </c>
      <c r="I164" s="23" t="str">
        <f>IFERROR(__xludf.DUMMYFUNCTION("GOOGLETRANSLATE(B164, ""en"", ""pl"")"),"Struktura klanu. Mogą być otwierane tylko przez członków klanu. Silniejsze niż drzwi cegły.")</f>
        <v>Struktura klanu. Mogą być otwierane tylko przez członków klanu. Silniejsze niż drzwi cegły.</v>
      </c>
      <c r="J164" s="25" t="str">
        <f>IFERROR(__xludf.DUMMYFUNCTION("GOOGLETRANSLATE(B164, ""en"", ""zh"")"),"部族结构。只能由公会成员打开。比砖门更强。")</f>
        <v>部族结构。只能由公会成员打开。比砖门更强。</v>
      </c>
      <c r="K164" s="25" t="str">
        <f>IFERROR(__xludf.DUMMYFUNCTION("GOOGLETRANSLATE(B164, ""en"", ""vi"")"),"Clan cấu trúc. chỉ có thể được mở bởi các thành viên gia tộc. Mạnh hơn một cánh cửa bằng gạch.")</f>
        <v>Clan cấu trúc. chỉ có thể được mở bởi các thành viên gia tộc. Mạnh hơn một cánh cửa bằng gạch.</v>
      </c>
      <c r="L164" s="26" t="str">
        <f>IFERROR(__xludf.DUMMYFUNCTION("GOOGLETRANSLATE(B164, ""en"", ""hr"")"),"Clan struktura. Može se otvoriti samo članovima klana. Jači od vrata opeke.")</f>
        <v>Clan struktura. Može se otvoriti samo članovima klana. Jači od vrata opeke.</v>
      </c>
      <c r="M164" s="28"/>
      <c r="N164" s="28"/>
      <c r="O164" s="28"/>
      <c r="P164" s="28"/>
      <c r="Q164" s="28"/>
      <c r="R164" s="28"/>
      <c r="S164" s="28"/>
      <c r="T164" s="28"/>
      <c r="U164" s="28"/>
      <c r="V164" s="28"/>
      <c r="W164" s="28"/>
      <c r="X164" s="28"/>
      <c r="Y164" s="28"/>
      <c r="Z164" s="28"/>
      <c r="AA164" s="28"/>
      <c r="AB164" s="28"/>
    </row>
    <row r="165">
      <c r="A165" s="21" t="s">
        <v>603</v>
      </c>
      <c r="B165" s="22" t="s">
        <v>604</v>
      </c>
      <c r="C165" s="23" t="str">
        <f>IFERROR(__xludf.DUMMYFUNCTION("GOOGLETRANSLATE(B165, ""en"", ""fr"")"),"Banque poitrine")</f>
        <v>Banque poitrine</v>
      </c>
      <c r="D165" s="23" t="str">
        <f>IFERROR(__xludf.DUMMYFUNCTION("GOOGLETRANSLATE(B165, ""en"", ""es"")"),"pecho bancaria")</f>
        <v>pecho bancaria</v>
      </c>
      <c r="E165" s="23" t="str">
        <f>IFERROR(__xludf.DUMMYFUNCTION("GOOGLETRANSLATE(B165, ""en"", ""ru"")"),"Банк груди")</f>
        <v>Банк груди</v>
      </c>
      <c r="F165" s="23" t="str">
        <f>IFERROR(__xludf.DUMMYFUNCTION("GOOGLETRANSLATE(B165, ""en"", ""tr"")"),"Banka göğüs")</f>
        <v>Banka göğüs</v>
      </c>
      <c r="G165" s="23" t="str">
        <f>IFERROR(__xludf.DUMMYFUNCTION("GOOGLETRANSLATE(B165, ""en"", ""pt"")"),"peito Banco")</f>
        <v>peito Banco</v>
      </c>
      <c r="H165" s="24" t="str">
        <f>IFERROR(__xludf.DUMMYFUNCTION("GOOGLETRANSLATE(B165, ""en"", ""de"")"),"Bank Brust")</f>
        <v>Bank Brust</v>
      </c>
      <c r="I165" s="23" t="str">
        <f>IFERROR(__xludf.DUMMYFUNCTION("GOOGLETRANSLATE(B165, ""en"", ""pl"")"),"Bank w klatce piersiowej")</f>
        <v>Bank w klatce piersiowej</v>
      </c>
      <c r="J165" s="25" t="str">
        <f>IFERROR(__xludf.DUMMYFUNCTION("GOOGLETRANSLATE(B165, ""en"", ""zh"")"),"银行胸部")</f>
        <v>银行胸部</v>
      </c>
      <c r="K165" s="25" t="str">
        <f>IFERROR(__xludf.DUMMYFUNCTION("GOOGLETRANSLATE(B165, ""en"", ""vi"")"),"Ngân hàng ngực")</f>
        <v>Ngân hàng ngực</v>
      </c>
      <c r="L165" s="26" t="str">
        <f>IFERROR(__xludf.DUMMYFUNCTION("GOOGLETRANSLATE(B165, ""en"", ""hr"")"),"banke u prsima")</f>
        <v>banke u prsima</v>
      </c>
      <c r="M165" s="28"/>
      <c r="N165" s="28"/>
      <c r="O165" s="28"/>
      <c r="P165" s="28"/>
      <c r="Q165" s="28"/>
      <c r="R165" s="28"/>
      <c r="S165" s="28"/>
      <c r="T165" s="28"/>
      <c r="U165" s="28"/>
      <c r="V165" s="28"/>
      <c r="W165" s="28"/>
      <c r="X165" s="28"/>
      <c r="Y165" s="28"/>
      <c r="Z165" s="28"/>
      <c r="AA165" s="28"/>
      <c r="AB165" s="28"/>
    </row>
    <row r="166">
      <c r="A166" s="21" t="s">
        <v>605</v>
      </c>
      <c r="B166" s="22" t="s">
        <v>606</v>
      </c>
      <c r="C166" s="23" t="str">
        <f>IFERROR(__xludf.DUMMYFUNCTION("GOOGLETRANSLATE(B166, ""en"", ""fr"")"),"Structure du clan. Permet d'accéder à votre stockage bancaire personnel.")</f>
        <v>Structure du clan. Permet d'accéder à votre stockage bancaire personnel.</v>
      </c>
      <c r="D166" s="23" t="str">
        <f>IFERROR(__xludf.DUMMYFUNCTION("GOOGLETRANSLATE(B166, ""en"", ""es"")"),"estructura del clan. Da acceso a su almacenamiento bancaria personal.")</f>
        <v>estructura del clan. Da acceso a su almacenamiento bancaria personal.</v>
      </c>
      <c r="E166" s="23" t="str">
        <f>IFERROR(__xludf.DUMMYFUNCTION("GOOGLETRANSLATE(B166, ""en"", ""ru"")"),"Структура клана. Дает доступ к вашим личным банковским хранения.")</f>
        <v>Структура клана. Дает доступ к вашим личным банковским хранения.</v>
      </c>
      <c r="F166" s="23" t="str">
        <f>IFERROR(__xludf.DUMMYFUNCTION("GOOGLETRANSLATE(B166, ""en"", ""tr"")"),"Klan yapısı. Kişisel banka depolama erişim sağlar.")</f>
        <v>Klan yapısı. Kişisel banka depolama erişim sağlar.</v>
      </c>
      <c r="G166" s="23" t="str">
        <f>IFERROR(__xludf.DUMMYFUNCTION("GOOGLETRANSLATE(B166, ""en"", ""pt"")"),"estrutura clã. Dá acesso ao seu armazenamento bancária pessoal.")</f>
        <v>estrutura clã. Dá acesso ao seu armazenamento bancária pessoal.</v>
      </c>
      <c r="H166" s="24" t="str">
        <f>IFERROR(__xludf.DUMMYFUNCTION("GOOGLETRANSLATE(B166, ""en"", ""de"")"),"Clan-Struktur. Ermöglicht den Zugriff auf Ihre persönlichen Bankspeicher.")</f>
        <v>Clan-Struktur. Ermöglicht den Zugriff auf Ihre persönlichen Bankspeicher.</v>
      </c>
      <c r="I166" s="23" t="str">
        <f>IFERROR(__xludf.DUMMYFUNCTION("GOOGLETRANSLATE(B166, ""en"", ""pl"")"),"Struktura klanu. Daje dostęp do osobistego przechowywania bankowego.")</f>
        <v>Struktura klanu. Daje dostęp do osobistego przechowywania bankowego.</v>
      </c>
      <c r="J166" s="25" t="str">
        <f>IFERROR(__xludf.DUMMYFUNCTION("GOOGLETRANSLATE(B166, ""en"", ""zh"")"),"部族结构。可以访问您的个人银行存储。")</f>
        <v>部族结构。可以访问您的个人银行存储。</v>
      </c>
      <c r="K166" s="25" t="str">
        <f>IFERROR(__xludf.DUMMYFUNCTION("GOOGLETRANSLATE(B166, ""en"", ""vi"")"),"Clan cấu trúc. Cho phép truy cập để lưu trữ ngân hàng cá nhân của bạn.")</f>
        <v>Clan cấu trúc. Cho phép truy cập để lưu trữ ngân hàng cá nhân của bạn.</v>
      </c>
      <c r="L166" s="26" t="str">
        <f>IFERROR(__xludf.DUMMYFUNCTION("GOOGLETRANSLATE(B166, ""en"", ""hr"")"),"Clan struktura. Daje pristup vašim osobnim pohranu banke.")</f>
        <v>Clan struktura. Daje pristup vašim osobnim pohranu banke.</v>
      </c>
      <c r="M166" s="28"/>
      <c r="N166" s="28"/>
      <c r="O166" s="28"/>
      <c r="P166" s="28"/>
      <c r="Q166" s="28"/>
      <c r="R166" s="28"/>
      <c r="S166" s="28"/>
      <c r="T166" s="28"/>
      <c r="U166" s="28"/>
      <c r="V166" s="28"/>
      <c r="W166" s="28"/>
      <c r="X166" s="28"/>
      <c r="Y166" s="28"/>
      <c r="Z166" s="28"/>
      <c r="AA166" s="28"/>
      <c r="AB166" s="28"/>
    </row>
    <row r="167">
      <c r="A167" s="21" t="s">
        <v>607</v>
      </c>
      <c r="B167" s="22" t="s">
        <v>302</v>
      </c>
      <c r="C167" s="23" t="str">
        <f>IFERROR(__xludf.DUMMYFUNCTION("GOOGLETRANSLATE(B167, ""en"", ""fr"")"),"Table de travail")</f>
        <v>Table de travail</v>
      </c>
      <c r="D167" s="23" t="str">
        <f>IFERROR(__xludf.DUMMYFUNCTION("GOOGLETRANSLATE(B167, ""en"", ""es"")"),"Workbench")</f>
        <v>Workbench</v>
      </c>
      <c r="E167" s="23" t="str">
        <f>IFERROR(__xludf.DUMMYFUNCTION("GOOGLETRANSLATE(B167, ""en"", ""ru"")"),"верстак")</f>
        <v>верстак</v>
      </c>
      <c r="F167" s="23" t="str">
        <f>IFERROR(__xludf.DUMMYFUNCTION("GOOGLETRANSLATE(B167, ""en"", ""tr"")"),"tezgâh")</f>
        <v>tezgâh</v>
      </c>
      <c r="G167" s="23" t="str">
        <f>IFERROR(__xludf.DUMMYFUNCTION("GOOGLETRANSLATE(B167, ""en"", ""pt"")"),"Workbench")</f>
        <v>Workbench</v>
      </c>
      <c r="H167" s="24" t="str">
        <f>IFERROR(__xludf.DUMMYFUNCTION("GOOGLETRANSLATE(B167, ""en"", ""de"")"),"Werkbank")</f>
        <v>Werkbank</v>
      </c>
      <c r="I167" s="23" t="str">
        <f>IFERROR(__xludf.DUMMYFUNCTION("GOOGLETRANSLATE(B167, ""en"", ""pl"")"),"stoł warsztatowy")</f>
        <v>stoł warsztatowy</v>
      </c>
      <c r="J167" s="25" t="str">
        <f>IFERROR(__xludf.DUMMYFUNCTION("GOOGLETRANSLATE(B167, ""en"", ""zh"")"),"工作台")</f>
        <v>工作台</v>
      </c>
      <c r="K167" s="25" t="str">
        <f>IFERROR(__xludf.DUMMYFUNCTION("GOOGLETRANSLATE(B167, ""en"", ""vi"")"),"Workbench")</f>
        <v>Workbench</v>
      </c>
      <c r="L167" s="26" t="str">
        <f>IFERROR(__xludf.DUMMYFUNCTION("GOOGLETRANSLATE(B167, ""en"", ""hr"")"),"radna tezga")</f>
        <v>radna tezga</v>
      </c>
      <c r="M167" s="28"/>
      <c r="N167" s="28"/>
      <c r="O167" s="28"/>
      <c r="P167" s="28"/>
      <c r="Q167" s="28"/>
      <c r="R167" s="28"/>
      <c r="S167" s="28"/>
      <c r="T167" s="28"/>
      <c r="U167" s="28"/>
      <c r="V167" s="28"/>
      <c r="W167" s="28"/>
      <c r="X167" s="28"/>
      <c r="Y167" s="28"/>
      <c r="Z167" s="28"/>
      <c r="AA167" s="28"/>
      <c r="AB167" s="28"/>
    </row>
    <row r="168">
      <c r="A168" s="21" t="s">
        <v>608</v>
      </c>
      <c r="B168" s="22" t="s">
        <v>609</v>
      </c>
      <c r="C168" s="23" t="str">
        <f>IFERROR(__xludf.DUMMYFUNCTION("GOOGLETRANSLATE(B168, ""en"", ""fr"")"),"Structure du clan. Utilisé pour fabriquer divers objets.")</f>
        <v>Structure du clan. Utilisé pour fabriquer divers objets.</v>
      </c>
      <c r="D168" s="23" t="str">
        <f>IFERROR(__xludf.DUMMYFUNCTION("GOOGLETRANSLATE(B168, ""en"", ""es"")"),"estructura del clan. Se utiliza para elaborar diversos artículos.")</f>
        <v>estructura del clan. Se utiliza para elaborar diversos artículos.</v>
      </c>
      <c r="E168" s="23" t="str">
        <f>IFERROR(__xludf.DUMMYFUNCTION("GOOGLETRANSLATE(B168, ""en"", ""ru"")"),"Структура клана. Используется для изготовления различных предметов.")</f>
        <v>Структура клана. Используется для изготовления различных предметов.</v>
      </c>
      <c r="F168" s="23" t="str">
        <f>IFERROR(__xludf.DUMMYFUNCTION("GOOGLETRANSLATE(B168, ""en"", ""tr"")"),"Klan yapısı. çeşitli öğeleri zanaat kullanılır.")</f>
        <v>Klan yapısı. çeşitli öğeleri zanaat kullanılır.</v>
      </c>
      <c r="G168" s="23" t="str">
        <f>IFERROR(__xludf.DUMMYFUNCTION("GOOGLETRANSLATE(B168, ""en"", ""pt"")"),"estrutura clã. Usado para criar vários itens.")</f>
        <v>estrutura clã. Usado para criar vários itens.</v>
      </c>
      <c r="H168" s="24" t="str">
        <f>IFERROR(__xludf.DUMMYFUNCTION("GOOGLETRANSLATE(B168, ""en"", ""de"")"),"Clan-Struktur. Verwendet, um verschiedene Gegenstände herzustellen.")</f>
        <v>Clan-Struktur. Verwendet, um verschiedene Gegenstände herzustellen.</v>
      </c>
      <c r="I168" s="23" t="str">
        <f>IFERROR(__xludf.DUMMYFUNCTION("GOOGLETRANSLATE(B168, ""en"", ""pl"")"),"Struktura klanu. Stosowane do jednostek różne przedmioty.")</f>
        <v>Struktura klanu. Stosowane do jednostek różne przedmioty.</v>
      </c>
      <c r="J168" s="25" t="str">
        <f>IFERROR(__xludf.DUMMYFUNCTION("GOOGLETRANSLATE(B168, ""en"", ""zh"")"),"部族结构。用于手艺的各种项目。")</f>
        <v>部族结构。用于手艺的各种项目。</v>
      </c>
      <c r="K168" s="25" t="str">
        <f>IFERROR(__xludf.DUMMYFUNCTION("GOOGLETRANSLATE(B168, ""en"", ""vi"")"),"Clan cấu trúc. Dùng để craft mục khác nhau.")</f>
        <v>Clan cấu trúc. Dùng để craft mục khác nhau.</v>
      </c>
      <c r="L168" s="26" t="str">
        <f>IFERROR(__xludf.DUMMYFUNCTION("GOOGLETRANSLATE(B168, ""en"", ""hr"")"),"Clan struktura. Koristi se za plovila razne predmete.")</f>
        <v>Clan struktura. Koristi se za plovila razne predmete.</v>
      </c>
      <c r="M168" s="28"/>
      <c r="N168" s="28"/>
      <c r="O168" s="28"/>
      <c r="P168" s="28"/>
      <c r="Q168" s="28"/>
      <c r="R168" s="28"/>
      <c r="S168" s="28"/>
      <c r="T168" s="28"/>
      <c r="U168" s="28"/>
      <c r="V168" s="28"/>
      <c r="W168" s="28"/>
      <c r="X168" s="28"/>
      <c r="Y168" s="28"/>
      <c r="Z168" s="28"/>
      <c r="AA168" s="28"/>
      <c r="AB168" s="28"/>
    </row>
    <row r="169">
      <c r="A169" s="21" t="s">
        <v>610</v>
      </c>
      <c r="B169" s="22" t="s">
        <v>300</v>
      </c>
      <c r="C169" s="23" t="str">
        <f>IFERROR(__xludf.DUMMYFUNCTION("GOOGLETRANSLATE(B169, ""en"", ""fr"")"),"fourneau")</f>
        <v>fourneau</v>
      </c>
      <c r="D169" s="23" t="str">
        <f>IFERROR(__xludf.DUMMYFUNCTION("GOOGLETRANSLATE(B169, ""en"", ""es"")"),"Horno")</f>
        <v>Horno</v>
      </c>
      <c r="E169" s="23" t="str">
        <f>IFERROR(__xludf.DUMMYFUNCTION("GOOGLETRANSLATE(B169, ""en"", ""ru"")"),"печь")</f>
        <v>печь</v>
      </c>
      <c r="F169" s="23" t="str">
        <f>IFERROR(__xludf.DUMMYFUNCTION("GOOGLETRANSLATE(B169, ""en"", ""tr"")"),"Fırın")</f>
        <v>Fırın</v>
      </c>
      <c r="G169" s="23" t="str">
        <f>IFERROR(__xludf.DUMMYFUNCTION("GOOGLETRANSLATE(B169, ""en"", ""pt"")"),"Forno")</f>
        <v>Forno</v>
      </c>
      <c r="H169" s="24" t="str">
        <f>IFERROR(__xludf.DUMMYFUNCTION("GOOGLETRANSLATE(B169, ""en"", ""de"")"),"Ofen")</f>
        <v>Ofen</v>
      </c>
      <c r="I169" s="23" t="str">
        <f>IFERROR(__xludf.DUMMYFUNCTION("GOOGLETRANSLATE(B169, ""en"", ""pl"")"),"Piec")</f>
        <v>Piec</v>
      </c>
      <c r="J169" s="25" t="str">
        <f>IFERROR(__xludf.DUMMYFUNCTION("GOOGLETRANSLATE(B169, ""en"", ""zh"")"),"炉")</f>
        <v>炉</v>
      </c>
      <c r="K169" s="25" t="str">
        <f>IFERROR(__xludf.DUMMYFUNCTION("GOOGLETRANSLATE(B169, ""en"", ""vi"")"),"Lò lửa")</f>
        <v>Lò lửa</v>
      </c>
      <c r="L169" s="26" t="str">
        <f>IFERROR(__xludf.DUMMYFUNCTION("GOOGLETRANSLATE(B169, ""en"", ""hr"")"),"Peć")</f>
        <v>Peć</v>
      </c>
      <c r="M169" s="28"/>
      <c r="N169" s="28"/>
      <c r="O169" s="28"/>
      <c r="P169" s="28"/>
      <c r="Q169" s="28"/>
      <c r="R169" s="28"/>
      <c r="S169" s="28"/>
      <c r="T169" s="28"/>
      <c r="U169" s="28"/>
      <c r="V169" s="28"/>
      <c r="W169" s="28"/>
      <c r="X169" s="28"/>
      <c r="Y169" s="28"/>
      <c r="Z169" s="28"/>
      <c r="AA169" s="28"/>
      <c r="AB169" s="28"/>
    </row>
    <row r="170">
      <c r="A170" s="21" t="s">
        <v>611</v>
      </c>
      <c r="B170" s="22" t="s">
        <v>612</v>
      </c>
      <c r="C170" s="23" t="str">
        <f>IFERROR(__xludf.DUMMYFUNCTION("GOOGLETRANSLATE(B170, ""en"", ""fr"")"),"Structure du clan. Utilisé pour transformer les minerais en barres métalliques.")</f>
        <v>Structure du clan. Utilisé pour transformer les minerais en barres métalliques.</v>
      </c>
      <c r="D170" s="23" t="str">
        <f>IFERROR(__xludf.DUMMYFUNCTION("GOOGLETRANSLATE(B170, ""en"", ""es"")"),"estructura del clan. Se utiliza para convertir los minerales en barras de metal.")</f>
        <v>estructura del clan. Se utiliza para convertir los minerales en barras de metal.</v>
      </c>
      <c r="E170" s="23" t="str">
        <f>IFERROR(__xludf.DUMMYFUNCTION("GOOGLETRANSLATE(B170,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70" s="23" t="str">
        <f>IFERROR(__xludf.DUMMYFUNCTION("GOOGLETRANSLATE(B170, ""en"", ""tr"")"),"Klan yapısı. Metal çubuklar içine cevherleri çevirmek için kullanılır.")</f>
        <v>Klan yapısı. Metal çubuklar içine cevherleri çevirmek için kullanılır.</v>
      </c>
      <c r="G170" s="23" t="str">
        <f>IFERROR(__xludf.DUMMYFUNCTION("GOOGLETRANSLATE(B170, ""en"", ""pt"")"),"estrutura clã. Usado para transformar minério em barras de metal.")</f>
        <v>estrutura clã. Usado para transformar minério em barras de metal.</v>
      </c>
      <c r="H170" s="24" t="str">
        <f>IFERROR(__xludf.DUMMYFUNCTION("GOOGLETRANSLATE(B170, ""en"", ""de"")"),"Clan-Struktur. Gebrauchte Erze in Metallstangen zu drehen.")</f>
        <v>Clan-Struktur. Gebrauchte Erze in Metallstangen zu drehen.</v>
      </c>
      <c r="I170" s="23" t="str">
        <f>IFERROR(__xludf.DUMMYFUNCTION("GOOGLETRANSLATE(B170, ""en"", ""pl"")"),"Struktura klanu. Służy do włączania rud do metalowych prętów.")</f>
        <v>Struktura klanu. Służy do włączania rud do metalowych prętów.</v>
      </c>
      <c r="J170" s="25" t="str">
        <f>IFERROR(__xludf.DUMMYFUNCTION("GOOGLETRANSLATE(B170, ""en"", ""zh"")"),"部族结构。用来把矿石到金属条。")</f>
        <v>部族结构。用来把矿石到金属条。</v>
      </c>
      <c r="K170" s="25" t="str">
        <f>IFERROR(__xludf.DUMMYFUNCTION("GOOGLETRANSLATE(B170, ""en"", ""vi"")"),"Clan cấu trúc. Sử dụng để biến quặng thành các thanh kim loại.")</f>
        <v>Clan cấu trúc. Sử dụng để biến quặng thành các thanh kim loại.</v>
      </c>
      <c r="L170" s="26" t="str">
        <f>IFERROR(__xludf.DUMMYFUNCTION("GOOGLETRANSLATE(B170, ""en"", ""hr"")"),"Clan struktura. Koristi se za uključivanje rude u metalnim šipkama.")</f>
        <v>Clan struktura. Koristi se za uključivanje rude u metalnim šipkama.</v>
      </c>
      <c r="M170" s="28"/>
      <c r="N170" s="28"/>
      <c r="O170" s="28"/>
      <c r="P170" s="28"/>
      <c r="Q170" s="28"/>
      <c r="R170" s="28"/>
      <c r="S170" s="28"/>
      <c r="T170" s="28"/>
      <c r="U170" s="28"/>
      <c r="V170" s="28"/>
      <c r="W170" s="28"/>
      <c r="X170" s="28"/>
      <c r="Y170" s="28"/>
      <c r="Z170" s="28"/>
      <c r="AA170" s="28"/>
      <c r="AB170" s="28"/>
    </row>
    <row r="171">
      <c r="A171" s="21" t="s">
        <v>613</v>
      </c>
      <c r="B171" s="22" t="s">
        <v>299</v>
      </c>
      <c r="C171" s="23" t="str">
        <f>IFERROR(__xludf.DUMMYFUNCTION("GOOGLETRANSLATE(B171, ""en"", ""fr"")"),"Enclume")</f>
        <v>Enclume</v>
      </c>
      <c r="D171" s="23" t="str">
        <f>IFERROR(__xludf.DUMMYFUNCTION("GOOGLETRANSLATE(B171, ""en"", ""es"")"),"Yunque")</f>
        <v>Yunque</v>
      </c>
      <c r="E171" s="23" t="str">
        <f>IFERROR(__xludf.DUMMYFUNCTION("GOOGLETRANSLATE(B171, ""en"", ""ru"")"),"наковальня")</f>
        <v>наковальня</v>
      </c>
      <c r="F171" s="23" t="str">
        <f>IFERROR(__xludf.DUMMYFUNCTION("GOOGLETRANSLATE(B171, ""en"", ""tr"")"),"Örs")</f>
        <v>Örs</v>
      </c>
      <c r="G171" s="23" t="str">
        <f>IFERROR(__xludf.DUMMYFUNCTION("GOOGLETRANSLATE(B171, ""en"", ""pt"")"),"Bigorna")</f>
        <v>Bigorna</v>
      </c>
      <c r="H171" s="24" t="str">
        <f>IFERROR(__xludf.DUMMYFUNCTION("GOOGLETRANSLATE(B171, ""en"", ""de"")"),"Amboss")</f>
        <v>Amboss</v>
      </c>
      <c r="I171" s="23" t="str">
        <f>IFERROR(__xludf.DUMMYFUNCTION("GOOGLETRANSLATE(B171, ""en"", ""pl"")"),"Kowadło")</f>
        <v>Kowadło</v>
      </c>
      <c r="J171" s="25" t="str">
        <f>IFERROR(__xludf.DUMMYFUNCTION("GOOGLETRANSLATE(B171, ""en"", ""zh"")"),"砧")</f>
        <v>砧</v>
      </c>
      <c r="K171" s="25" t="str">
        <f>IFERROR(__xludf.DUMMYFUNCTION("GOOGLETRANSLATE(B171, ""en"", ""vi"")"),"cái de")</f>
        <v>cái de</v>
      </c>
      <c r="L171" s="26" t="str">
        <f>IFERROR(__xludf.DUMMYFUNCTION("GOOGLETRANSLATE(B171, ""en"", ""hr"")"),"Nakovanj")</f>
        <v>Nakovanj</v>
      </c>
      <c r="M171" s="28"/>
      <c r="N171" s="28"/>
      <c r="O171" s="28"/>
      <c r="P171" s="28"/>
      <c r="Q171" s="28"/>
      <c r="R171" s="28"/>
      <c r="S171" s="28"/>
      <c r="T171" s="28"/>
      <c r="U171" s="28"/>
      <c r="V171" s="28"/>
      <c r="W171" s="28"/>
      <c r="X171" s="28"/>
      <c r="Y171" s="28"/>
      <c r="Z171" s="28"/>
      <c r="AA171" s="28"/>
      <c r="AB171" s="28"/>
    </row>
    <row r="172">
      <c r="A172" s="21" t="s">
        <v>614</v>
      </c>
      <c r="B172" s="22" t="s">
        <v>615</v>
      </c>
      <c r="C172" s="23" t="str">
        <f>IFERROR(__xludf.DUMMYFUNCTION("GOOGLETRANSLATE(B172, ""en"", ""fr"")"),"Structure du clan. Utilisé pour les objets métalliques d'artisanat.")</f>
        <v>Structure du clan. Utilisé pour les objets métalliques d'artisanat.</v>
      </c>
      <c r="D172" s="23" t="str">
        <f>IFERROR(__xludf.DUMMYFUNCTION("GOOGLETRANSLATE(B172, ""en"", ""es"")"),"estructura del clan. Se utiliza para artículos de artesanía de metal.")</f>
        <v>estructura del clan. Se utiliza para artículos de artesanía de metal.</v>
      </c>
      <c r="E172" s="23" t="str">
        <f>IFERROR(__xludf.DUMMYFUNCTION("GOOGLETRANSLATE(B172, ""en"", ""ru"")"),"Структура клана. Используется для судов металлических изделий.")</f>
        <v>Структура клана. Используется для судов металлических изделий.</v>
      </c>
      <c r="F172" s="23" t="str">
        <f>IFERROR(__xludf.DUMMYFUNCTION("GOOGLETRANSLATE(B172, ""en"", ""tr"")"),"Klan yapısı. zanaat metal öğeleri için kullanılır.")</f>
        <v>Klan yapısı. zanaat metal öğeleri için kullanılır.</v>
      </c>
      <c r="G172" s="23" t="str">
        <f>IFERROR(__xludf.DUMMYFUNCTION("GOOGLETRANSLATE(B172, ""en"", ""pt"")"),"estrutura clã. Usado para itens de artesanato de metal.")</f>
        <v>estrutura clã. Usado para itens de artesanato de metal.</v>
      </c>
      <c r="H172" s="24" t="str">
        <f>IFERROR(__xludf.DUMMYFUNCTION("GOOGLETRANSLATE(B172, ""en"", ""de"")"),"Clan-Struktur. Wird verwendet, um Handwerk Artikel aus Metall.")</f>
        <v>Clan-Struktur. Wird verwendet, um Handwerk Artikel aus Metall.</v>
      </c>
      <c r="I172" s="23" t="str">
        <f>IFERROR(__xludf.DUMMYFUNCTION("GOOGLETRANSLATE(B172, ""en"", ""pl"")"),"Struktura klanu. Służy do metalowych przedmiotów rzemiosła.")</f>
        <v>Struktura klanu. Służy do metalowych przedmiotów rzemiosła.</v>
      </c>
      <c r="J172" s="25" t="str">
        <f>IFERROR(__xludf.DUMMYFUNCTION("GOOGLETRANSLATE(B172, ""en"", ""zh"")"),"部族结构。用于工艺金属物品。")</f>
        <v>部族结构。用于工艺金属物品。</v>
      </c>
      <c r="K172" s="25" t="str">
        <f>IFERROR(__xludf.DUMMYFUNCTION("GOOGLETRANSLATE(B172, ""en"", ""vi"")"),"Clan cấu trúc. Được sử dụng để ghi thủ công kim loại.")</f>
        <v>Clan cấu trúc. Được sử dụng để ghi thủ công kim loại.</v>
      </c>
      <c r="L172" s="26" t="str">
        <f>IFERROR(__xludf.DUMMYFUNCTION("GOOGLETRANSLATE(B172, ""en"", ""hr"")"),"Clan struktura. Koristi se za obrt metalnih predmeta.")</f>
        <v>Clan struktura. Koristi se za obrt metalnih predmeta.</v>
      </c>
      <c r="M172" s="28"/>
      <c r="N172" s="28"/>
      <c r="O172" s="28"/>
      <c r="P172" s="28"/>
      <c r="Q172" s="28"/>
      <c r="R172" s="28"/>
      <c r="S172" s="28"/>
      <c r="T172" s="28"/>
      <c r="U172" s="28"/>
      <c r="V172" s="28"/>
      <c r="W172" s="28"/>
      <c r="X172" s="28"/>
      <c r="Y172" s="28"/>
      <c r="Z172" s="28"/>
      <c r="AA172" s="28"/>
      <c r="AB172" s="28"/>
    </row>
    <row r="173">
      <c r="A173" s="42" t="s">
        <v>616</v>
      </c>
      <c r="B173" s="22" t="s">
        <v>301</v>
      </c>
      <c r="C173" s="23" t="str">
        <f>IFERROR(__xludf.DUMMYFUNCTION("GOOGLETRANSLATE(B173, ""en"", ""fr"")"),"Laboratoire")</f>
        <v>Laboratoire</v>
      </c>
      <c r="D173" s="23" t="str">
        <f>IFERROR(__xludf.DUMMYFUNCTION("GOOGLETRANSLATE(B173, ""en"", ""es"")"),"Laboratorio")</f>
        <v>Laboratorio</v>
      </c>
      <c r="E173" s="23" t="str">
        <f>IFERROR(__xludf.DUMMYFUNCTION("GOOGLETRANSLATE(B173, ""en"", ""ru"")"),"лаборатория")</f>
        <v>лаборатория</v>
      </c>
      <c r="F173" s="23" t="str">
        <f>IFERROR(__xludf.DUMMYFUNCTION("GOOGLETRANSLATE(B173, ""en"", ""tr"")"),"laboratuvar")</f>
        <v>laboratuvar</v>
      </c>
      <c r="G173" s="23" t="str">
        <f>IFERROR(__xludf.DUMMYFUNCTION("GOOGLETRANSLATE(B173, ""en"", ""pt"")"),"Laboratório")</f>
        <v>Laboratório</v>
      </c>
      <c r="H173" s="24" t="str">
        <f>IFERROR(__xludf.DUMMYFUNCTION("GOOGLETRANSLATE(B173, ""en"", ""de"")"),"Labor")</f>
        <v>Labor</v>
      </c>
      <c r="I173" s="23" t="str">
        <f>IFERROR(__xludf.DUMMYFUNCTION("GOOGLETRANSLATE(B173, ""en"", ""pl"")"),"Laboratorium")</f>
        <v>Laboratorium</v>
      </c>
      <c r="J173" s="25" t="str">
        <f>IFERROR(__xludf.DUMMYFUNCTION("GOOGLETRANSLATE(B173, ""en"", ""zh"")"),"实验室")</f>
        <v>实验室</v>
      </c>
      <c r="K173" s="25" t="str">
        <f>IFERROR(__xludf.DUMMYFUNCTION("GOOGLETRANSLATE(B173, ""en"", ""vi"")"),"phòng thí nghiệm")</f>
        <v>phòng thí nghiệm</v>
      </c>
      <c r="L173" s="26" t="str">
        <f>IFERROR(__xludf.DUMMYFUNCTION("GOOGLETRANSLATE(B173, ""en"", ""hr"")"),"Laboratorija")</f>
        <v>Laboratorija</v>
      </c>
      <c r="M173" s="28"/>
      <c r="N173" s="28"/>
      <c r="O173" s="28"/>
      <c r="P173" s="28"/>
      <c r="Q173" s="28"/>
      <c r="R173" s="28"/>
      <c r="S173" s="28"/>
      <c r="T173" s="28"/>
      <c r="U173" s="28"/>
      <c r="V173" s="28"/>
      <c r="W173" s="28"/>
      <c r="X173" s="28"/>
      <c r="Y173" s="28"/>
      <c r="Z173" s="28"/>
      <c r="AA173" s="28"/>
      <c r="AB173" s="28"/>
    </row>
    <row r="174">
      <c r="A174" s="42" t="s">
        <v>617</v>
      </c>
      <c r="B174" s="22" t="s">
        <v>618</v>
      </c>
      <c r="C174" s="23" t="str">
        <f>IFERROR(__xludf.DUMMYFUNCTION("GOOGLETRANSLATE(B174, ""en"", ""fr"")"),"Structure du clan. Utilisé pour les potions d'artisanat.")</f>
        <v>Structure du clan. Utilisé pour les potions d'artisanat.</v>
      </c>
      <c r="D174" s="23" t="str">
        <f>IFERROR(__xludf.DUMMYFUNCTION("GOOGLETRANSLATE(B174, ""en"", ""es"")"),"estructura del clan. Se utiliza para pociones de artesanía.")</f>
        <v>estructura del clan. Se utiliza para pociones de artesanía.</v>
      </c>
      <c r="E174" s="23" t="str">
        <f>IFERROR(__xludf.DUMMYFUNCTION("GOOGLETRANSLATE(B174, ""en"", ""ru"")"),"Структура клана. Используется для ремесленных зелий.")</f>
        <v>Структура клана. Используется для ремесленных зелий.</v>
      </c>
      <c r="F174" s="23" t="str">
        <f>IFERROR(__xludf.DUMMYFUNCTION("GOOGLETRANSLATE(B174, ""en"", ""tr"")"),"Klan yapısı. zanaat iksirler için kullanılır.")</f>
        <v>Klan yapısı. zanaat iksirler için kullanılır.</v>
      </c>
      <c r="G174" s="23" t="str">
        <f>IFERROR(__xludf.DUMMYFUNCTION("GOOGLETRANSLATE(B174, ""en"", ""pt"")"),"estrutura clã. Usado para poções de artesanato.")</f>
        <v>estrutura clã. Usado para poções de artesanato.</v>
      </c>
      <c r="H174" s="24" t="str">
        <f>IFERROR(__xludf.DUMMYFUNCTION("GOOGLETRANSLATE(B174, ""en"", ""de"")"),"Clan-Struktur. Wird verwendet, um Handwerk Tränke.")</f>
        <v>Clan-Struktur. Wird verwendet, um Handwerk Tränke.</v>
      </c>
      <c r="I174" s="23" t="str">
        <f>IFERROR(__xludf.DUMMYFUNCTION("GOOGLETRANSLATE(B174, ""en"", ""pl"")"),"Struktura klanu. Służy do eliksirów rzemieślniczych.")</f>
        <v>Struktura klanu. Służy do eliksirów rzemieślniczych.</v>
      </c>
      <c r="J174" s="25" t="str">
        <f>IFERROR(__xludf.DUMMYFUNCTION("GOOGLETRANSLATE(B174, ""en"", ""zh"")"),"部族结构。用于工艺药水。")</f>
        <v>部族结构。用于工艺药水。</v>
      </c>
      <c r="K174" s="25" t="str">
        <f>IFERROR(__xludf.DUMMYFUNCTION("GOOGLETRANSLATE(B174, ""en"", ""vi"")"),"Clan cấu trúc. Được sử dụng để potions nghề.")</f>
        <v>Clan cấu trúc. Được sử dụng để potions nghề.</v>
      </c>
      <c r="L174" s="26" t="str">
        <f>IFERROR(__xludf.DUMMYFUNCTION("GOOGLETRANSLATE(B174, ""en"", ""hr"")"),"Clan struktura. Koristi se za obrtničke napitaka.")</f>
        <v>Clan struktura. Koristi se za obrtničke napitaka.</v>
      </c>
      <c r="M174" s="28"/>
      <c r="N174" s="28"/>
      <c r="O174" s="28"/>
      <c r="P174" s="28"/>
      <c r="Q174" s="28"/>
      <c r="R174" s="28"/>
      <c r="S174" s="28"/>
      <c r="T174" s="28"/>
      <c r="U174" s="28"/>
      <c r="V174" s="28"/>
      <c r="W174" s="28"/>
      <c r="X174" s="28"/>
      <c r="Y174" s="28"/>
      <c r="Z174" s="28"/>
      <c r="AA174" s="28"/>
      <c r="AB174" s="28"/>
    </row>
    <row r="175">
      <c r="A175" s="42" t="s">
        <v>619</v>
      </c>
      <c r="B175" s="22" t="s">
        <v>620</v>
      </c>
      <c r="C175" s="23" t="str">
        <f>IFERROR(__xludf.DUMMYFUNCTION("GOOGLETRANSLATE(B175, ""en"", ""fr"")"),"Générateur")</f>
        <v>Générateur</v>
      </c>
      <c r="D175" s="23" t="str">
        <f>IFERROR(__xludf.DUMMYFUNCTION("GOOGLETRANSLATE(B175, ""en"", ""es"")"),"Generador")</f>
        <v>Generador</v>
      </c>
      <c r="E175" s="23" t="str">
        <f>IFERROR(__xludf.DUMMYFUNCTION("GOOGLETRANSLATE(B175, ""en"", ""ru"")"),"Генератор")</f>
        <v>Генератор</v>
      </c>
      <c r="F175" s="23" t="str">
        <f>IFERROR(__xludf.DUMMYFUNCTION("GOOGLETRANSLATE(B175, ""en"", ""tr"")"),"Jeneratör")</f>
        <v>Jeneratör</v>
      </c>
      <c r="G175" s="23" t="str">
        <f>IFERROR(__xludf.DUMMYFUNCTION("GOOGLETRANSLATE(B175, ""en"", ""pt"")"),"Gerador")</f>
        <v>Gerador</v>
      </c>
      <c r="H175" s="24" t="str">
        <f>IFERROR(__xludf.DUMMYFUNCTION("GOOGLETRANSLATE(B175, ""en"", ""de"")"),"Generator")</f>
        <v>Generator</v>
      </c>
      <c r="I175" s="23" t="str">
        <f>IFERROR(__xludf.DUMMYFUNCTION("GOOGLETRANSLATE(B175, ""en"", ""pl"")"),"Generator")</f>
        <v>Generator</v>
      </c>
      <c r="J175" s="25" t="str">
        <f>IFERROR(__xludf.DUMMYFUNCTION("GOOGLETRANSLATE(B175, ""en"", ""zh"")"),"发电机")</f>
        <v>发电机</v>
      </c>
      <c r="K175" s="25" t="str">
        <f>IFERROR(__xludf.DUMMYFUNCTION("GOOGLETRANSLATE(B175, ""en"", ""vi"")"),"Máy phát điện")</f>
        <v>Máy phát điện</v>
      </c>
      <c r="L175" s="26" t="str">
        <f>IFERROR(__xludf.DUMMYFUNCTION("GOOGLETRANSLATE(B175, ""en"", ""hr"")"),"Generator")</f>
        <v>Generator</v>
      </c>
      <c r="M175" s="28"/>
      <c r="N175" s="28"/>
      <c r="O175" s="28"/>
      <c r="P175" s="28"/>
      <c r="Q175" s="28"/>
      <c r="R175" s="28"/>
      <c r="S175" s="28"/>
      <c r="T175" s="28"/>
      <c r="U175" s="28"/>
      <c r="V175" s="28"/>
      <c r="W175" s="28"/>
      <c r="X175" s="28"/>
      <c r="Y175" s="28"/>
      <c r="Z175" s="28"/>
      <c r="AA175" s="28"/>
      <c r="AB175" s="28"/>
    </row>
    <row r="176">
      <c r="A176" s="42" t="s">
        <v>621</v>
      </c>
      <c r="B176" s="22" t="s">
        <v>622</v>
      </c>
      <c r="C176" s="23" t="str">
        <f>IFERROR(__xludf.DUMMYFUNCTION("GOOGLETRANSLATE(B176,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76" s="23" t="str">
        <f>IFERROR(__xludf.DUMMYFUNCTION("GOOGLETRANSLATE(B176,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76" s="23" t="str">
        <f>IFERROR(__xludf.DUMMYFUNCTION("GOOGLETRANSLATE(B176,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76" s="23" t="str">
        <f>IFERROR(__xludf.DUMMYFUNCTION("GOOGLETRANSLATE(B176,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76" s="23" t="str">
        <f>IFERROR(__xludf.DUMMYFUNCTION("GOOGLETRANSLATE(B176,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76" s="24" t="str">
        <f>IFERROR(__xludf.DUMMYFUNCTION("GOOGLETRANSLATE(B176,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76" s="23" t="str">
        <f>IFERROR(__xludf.DUMMYFUNCTION("GOOGLETRANSLATE(B176,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76" s="25" t="str">
        <f>IFERROR(__xludf.DUMMYFUNCTION("GOOGLETRANSLATE(B176,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76" s="25" t="str">
        <f>IFERROR(__xludf.DUMMYFUNCTION("GOOGLETRANSLATE(B176,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76" s="26" t="str">
        <f>IFERROR(__xludf.DUMMYFUNCTION("GOOGLETRANSLATE(B176,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76" s="28"/>
      <c r="N176" s="28"/>
      <c r="O176" s="28"/>
      <c r="P176" s="28"/>
      <c r="Q176" s="28"/>
      <c r="R176" s="28"/>
      <c r="S176" s="28"/>
      <c r="T176" s="28"/>
      <c r="U176" s="28"/>
      <c r="V176" s="28"/>
      <c r="W176" s="28"/>
      <c r="X176" s="28"/>
      <c r="Y176" s="28"/>
      <c r="Z176" s="28"/>
      <c r="AA176" s="28"/>
      <c r="AB176" s="28"/>
    </row>
    <row r="177">
      <c r="A177" s="42" t="s">
        <v>623</v>
      </c>
      <c r="B177" s="22" t="s">
        <v>624</v>
      </c>
      <c r="C177" s="23" t="str">
        <f>IFERROR(__xludf.DUMMYFUNCTION("GOOGLETRANSLATE(B177, ""en"", ""fr"")"),"clé Fighter")</f>
        <v>clé Fighter</v>
      </c>
      <c r="D177" s="23" t="str">
        <f>IFERROR(__xludf.DUMMYFUNCTION("GOOGLETRANSLATE(B177, ""en"", ""es"")"),"clave de combate")</f>
        <v>clave de combate</v>
      </c>
      <c r="E177" s="23" t="str">
        <f>IFERROR(__xludf.DUMMYFUNCTION("GOOGLETRANSLATE(B177, ""en"", ""ru"")"),"ключ Fighter")</f>
        <v>ключ Fighter</v>
      </c>
      <c r="F177" s="23" t="str">
        <f>IFERROR(__xludf.DUMMYFUNCTION("GOOGLETRANSLATE(B177, ""en"", ""tr"")"),"dövüşçü anahtar")</f>
        <v>dövüşçü anahtar</v>
      </c>
      <c r="G177" s="23" t="str">
        <f>IFERROR(__xludf.DUMMYFUNCTION("GOOGLETRANSLATE(B177, ""en"", ""pt"")"),"chave de lutador")</f>
        <v>chave de lutador</v>
      </c>
      <c r="H177" s="24" t="str">
        <f>IFERROR(__xludf.DUMMYFUNCTION("GOOGLETRANSLATE(B177, ""en"", ""de"")"),"Kämpfer Schlüssel")</f>
        <v>Kämpfer Schlüssel</v>
      </c>
      <c r="I177" s="23" t="str">
        <f>IFERROR(__xludf.DUMMYFUNCTION("GOOGLETRANSLATE(B177, ""en"", ""pl"")"),"kluczem Fighter")</f>
        <v>kluczem Fighter</v>
      </c>
      <c r="J177" s="25" t="str">
        <f>IFERROR(__xludf.DUMMYFUNCTION("GOOGLETRANSLATE(B177, ""en"", ""zh"")"),"战斗机关键")</f>
        <v>战斗机关键</v>
      </c>
      <c r="K177" s="25" t="str">
        <f>IFERROR(__xludf.DUMMYFUNCTION("GOOGLETRANSLATE(B177, ""en"", ""vi"")"),"chìa khóa Fighter")</f>
        <v>chìa khóa Fighter</v>
      </c>
      <c r="L177" s="26" t="str">
        <f>IFERROR(__xludf.DUMMYFUNCTION("GOOGLETRANSLATE(B177, ""en"", ""hr"")"),"ključ borac")</f>
        <v>ključ borac</v>
      </c>
      <c r="M177" s="28"/>
      <c r="N177" s="28"/>
      <c r="O177" s="28"/>
      <c r="P177" s="28"/>
      <c r="Q177" s="28"/>
      <c r="R177" s="28"/>
      <c r="S177" s="28"/>
      <c r="T177" s="28"/>
      <c r="U177" s="28"/>
      <c r="V177" s="28"/>
      <c r="W177" s="28"/>
      <c r="X177" s="28"/>
      <c r="Y177" s="28"/>
      <c r="Z177" s="28"/>
      <c r="AA177" s="28"/>
      <c r="AB177" s="28"/>
    </row>
    <row r="178">
      <c r="A178" s="42" t="s">
        <v>625</v>
      </c>
      <c r="B178" s="22" t="s">
        <v>626</v>
      </c>
      <c r="C178" s="23" t="str">
        <f>IFERROR(__xludf.DUMMYFUNCTION("GOOGLETRANSLATE(B178,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78" s="23" t="str">
        <f>IFERROR(__xludf.DUMMYFUNCTION("GOOGLETRANSLATE(B178, ""en"", ""es"")"),"Se abre la puerta a la zona de preparación de arena PvP. ¡Advertencia! Otros jugadores que pueden atacar en el pozo de lucha!")</f>
        <v>Se abre la puerta a la zona de preparación de arena PvP. ¡Advertencia! Otros jugadores que pueden atacar en el pozo de lucha!</v>
      </c>
      <c r="E178" s="23" t="str">
        <f>IFERROR(__xludf.DUMMYFUNCTION("GOOGLETRANSLATE(B178,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78" s="23" t="str">
        <f>IFERROR(__xludf.DUMMYFUNCTION("GOOGLETRANSLATE(B178, ""en"", ""tr"")"),"PvP arenası hazırlama alanının kapısını açar. Uyarı! Diğer oyuncular kavga çukura size saldırabilir!")</f>
        <v>PvP arenası hazırlama alanının kapısını açar. Uyarı! Diğer oyuncular kavga çukura size saldırabilir!</v>
      </c>
      <c r="G178" s="23" t="str">
        <f>IFERROR(__xludf.DUMMYFUNCTION("GOOGLETRANSLATE(B178, ""en"", ""pt"")"),"Abre a porta para a área de preparação da arena PvP. Aviso! Outros jogadores podem atacá-lo no pit luta!")</f>
        <v>Abre a porta para a área de preparação da arena PvP. Aviso! Outros jogadores podem atacá-lo no pit luta!</v>
      </c>
      <c r="H178" s="24" t="str">
        <f>IFERROR(__xludf.DUMMYFUNCTION("GOOGLETRANSLATE(B178, ""en"", ""de"")"),"Öffnet die Tür zum PvP Arena Vorbereitungsbereich. Warnung! Andere Spieler können Sie im Kampf Grube angreifen!")</f>
        <v>Öffnet die Tür zum PvP Arena Vorbereitungsbereich. Warnung! Andere Spieler können Sie im Kampf Grube angreifen!</v>
      </c>
      <c r="I178" s="23" t="str">
        <f>IFERROR(__xludf.DUMMYFUNCTION("GOOGLETRANSLATE(B178, ""en"", ""pl"")"),"Otwiera drzwi do pola zabiegowego PvP areny. Ostrzeżenie! Inni gracze mogą atakować cię w boksie walki!")</f>
        <v>Otwiera drzwi do pola zabiegowego PvP areny. Ostrzeżenie! Inni gracze mogą atakować cię w boksie walki!</v>
      </c>
      <c r="J178" s="25" t="str">
        <f>IFERROR(__xludf.DUMMYFUNCTION("GOOGLETRANSLATE(B178, ""en"", ""zh"")"),"打开大门的PvP竞技场准备区。警告！其他玩家可以攻击你在打坑！")</f>
        <v>打开大门的PvP竞技场准备区。警告！其他玩家可以攻击你在打坑！</v>
      </c>
      <c r="K178" s="25" t="str">
        <f>IFERROR(__xludf.DUMMYFUNCTION("GOOGLETRANSLATE(B178,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78" s="26" t="str">
        <f>IFERROR(__xludf.DUMMYFUNCTION("GOOGLETRANSLATE(B178, ""en"", ""hr"")"),"Otvara vrata na području pripreme PvP arene. Upozorenje! Ostali igrači mogu vas napadati u borbi jamu!")</f>
        <v>Otvara vrata na području pripreme PvP arene. Upozorenje! Ostali igrači mogu vas napadati u borbi jamu!</v>
      </c>
      <c r="M178" s="28"/>
      <c r="N178" s="28"/>
      <c r="O178" s="28"/>
      <c r="P178" s="28"/>
      <c r="Q178" s="28"/>
      <c r="R178" s="28"/>
      <c r="S178" s="28"/>
      <c r="T178" s="28"/>
      <c r="U178" s="28"/>
      <c r="V178" s="28"/>
      <c r="W178" s="28"/>
      <c r="X178" s="28"/>
      <c r="Y178" s="28"/>
      <c r="Z178" s="28"/>
      <c r="AA178" s="28"/>
      <c r="AB178" s="28"/>
    </row>
    <row r="179">
      <c r="A179" s="42" t="s">
        <v>627</v>
      </c>
      <c r="B179" s="22" t="s">
        <v>628</v>
      </c>
      <c r="C179" s="23" t="str">
        <f>IFERROR(__xludf.DUMMYFUNCTION("GOOGLETRANSLATE(B179, ""en"", ""fr"")"),"clé Pit")</f>
        <v>clé Pit</v>
      </c>
      <c r="D179" s="23" t="str">
        <f>IFERROR(__xludf.DUMMYFUNCTION("GOOGLETRANSLATE(B179, ""en"", ""es"")"),"Pit clave")</f>
        <v>Pit clave</v>
      </c>
      <c r="E179" s="23" t="str">
        <f>IFERROR(__xludf.DUMMYFUNCTION("GOOGLETRANSLATE(B179, ""en"", ""ru"")"),"ключ Pit")</f>
        <v>ключ Pit</v>
      </c>
      <c r="F179" s="23" t="str">
        <f>IFERROR(__xludf.DUMMYFUNCTION("GOOGLETRANSLATE(B179, ""en"", ""tr"")"),"çukur anahtar")</f>
        <v>çukur anahtar</v>
      </c>
      <c r="G179" s="23" t="str">
        <f>IFERROR(__xludf.DUMMYFUNCTION("GOOGLETRANSLATE(B179, ""en"", ""pt"")"),"chave pit")</f>
        <v>chave pit</v>
      </c>
      <c r="H179" s="24" t="str">
        <f>IFERROR(__xludf.DUMMYFUNCTION("GOOGLETRANSLATE(B179, ""en"", ""de"")"),"Pit Schlüssel")</f>
        <v>Pit Schlüssel</v>
      </c>
      <c r="I179" s="23" t="str">
        <f>IFERROR(__xludf.DUMMYFUNCTION("GOOGLETRANSLATE(B179, ""en"", ""pl"")"),"kluczem Pit")</f>
        <v>kluczem Pit</v>
      </c>
      <c r="J179" s="25" t="str">
        <f>IFERROR(__xludf.DUMMYFUNCTION("GOOGLETRANSLATE(B179, ""en"", ""zh"")"),"坑关键")</f>
        <v>坑关键</v>
      </c>
      <c r="K179" s="25" t="str">
        <f>IFERROR(__xludf.DUMMYFUNCTION("GOOGLETRANSLATE(B179, ""en"", ""vi"")"),"chìa khóa pit")</f>
        <v>chìa khóa pit</v>
      </c>
      <c r="L179" s="26" t="str">
        <f>IFERROR(__xludf.DUMMYFUNCTION("GOOGLETRANSLATE(B179, ""en"", ""hr"")"),"ključ Pit")</f>
        <v>ključ Pit</v>
      </c>
      <c r="M179" s="28"/>
      <c r="N179" s="28"/>
      <c r="O179" s="28"/>
      <c r="P179" s="28"/>
      <c r="Q179" s="28"/>
      <c r="R179" s="28"/>
      <c r="S179" s="28"/>
      <c r="T179" s="28"/>
      <c r="U179" s="28"/>
      <c r="V179" s="28"/>
      <c r="W179" s="28"/>
      <c r="X179" s="28"/>
      <c r="Y179" s="28"/>
      <c r="Z179" s="28"/>
      <c r="AA179" s="28"/>
      <c r="AB179" s="28"/>
    </row>
    <row r="180">
      <c r="A180" s="42" t="s">
        <v>629</v>
      </c>
      <c r="B180" s="22" t="s">
        <v>630</v>
      </c>
      <c r="C180" s="23" t="str">
        <f>IFERROR(__xludf.DUMMYFUNCTION("GOOGLETRANSLATE(B180, ""en"", ""fr"")"),"Ouvre les portes pour sortir de la fosse de combat.")</f>
        <v>Ouvre les portes pour sortir de la fosse de combat.</v>
      </c>
      <c r="D180" s="23" t="str">
        <f>IFERROR(__xludf.DUMMYFUNCTION("GOOGLETRANSLATE(B180, ""en"", ""es"")"),"Abre las puertas para salir del pozo pelea.")</f>
        <v>Abre las puertas para salir del pozo pelea.</v>
      </c>
      <c r="E180" s="23" t="str">
        <f>IFERROR(__xludf.DUMMYFUNCTION("GOOGLETRANSLATE(B180, ""en"", ""ru"")"),"Открывает двери, чтобы выйти из боя ямы.")</f>
        <v>Открывает двери, чтобы выйти из боя ямы.</v>
      </c>
      <c r="F180" s="23" t="str">
        <f>IFERROR(__xludf.DUMMYFUNCTION("GOOGLETRANSLATE(B180, ""en"", ""tr"")"),"kavga çukurun çıkmak kapılarını açar.")</f>
        <v>kavga çukurun çıkmak kapılarını açar.</v>
      </c>
      <c r="G180" s="23" t="str">
        <f>IFERROR(__xludf.DUMMYFUNCTION("GOOGLETRANSLATE(B180, ""en"", ""pt"")"),"Abre as portas para sair do pit luta.")</f>
        <v>Abre as portas para sair do pit luta.</v>
      </c>
      <c r="H180" s="24" t="str">
        <f>IFERROR(__xludf.DUMMYFUNCTION("GOOGLETRANSLATE(B180, ""en"", ""de"")"),"Öffnet die Türen des Kampfes Grube raus.")</f>
        <v>Öffnet die Türen des Kampfes Grube raus.</v>
      </c>
      <c r="I180" s="23" t="str">
        <f>IFERROR(__xludf.DUMMYFUNCTION("GOOGLETRANSLATE(B180, ""en"", ""pl"")"),"Otwiera drzwi, aby wydostać się z dołu walki.")</f>
        <v>Otwiera drzwi, aby wydostać się z dołu walki.</v>
      </c>
      <c r="J180" s="25" t="str">
        <f>IFERROR(__xludf.DUMMYFUNCTION("GOOGLETRANSLATE(B180, ""en"", ""zh"")"),"打开大门，让打坑出来。")</f>
        <v>打开大门，让打坑出来。</v>
      </c>
      <c r="K180" s="25" t="str">
        <f>IFERROR(__xludf.DUMMYFUNCTION("GOOGLETRANSLATE(B180, ""en"", ""vi"")"),"Mở cửa thoát ra khỏi hố chiến đấu.")</f>
        <v>Mở cửa thoát ra khỏi hố chiến đấu.</v>
      </c>
      <c r="L180" s="26" t="str">
        <f>IFERROR(__xludf.DUMMYFUNCTION("GOOGLETRANSLATE(B180, ""en"", ""hr"")"),"Otvara vrata da se iz borbe jame.")</f>
        <v>Otvara vrata da se iz borbe jame.</v>
      </c>
      <c r="M180" s="28"/>
      <c r="N180" s="28"/>
      <c r="O180" s="28"/>
      <c r="P180" s="28"/>
      <c r="Q180" s="28"/>
      <c r="R180" s="28"/>
      <c r="S180" s="28"/>
      <c r="T180" s="28"/>
      <c r="U180" s="28"/>
      <c r="V180" s="28"/>
      <c r="W180" s="28"/>
      <c r="X180" s="28"/>
      <c r="Y180" s="28"/>
      <c r="Z180" s="28"/>
      <c r="AA180" s="28"/>
      <c r="AB180" s="28"/>
    </row>
    <row r="181">
      <c r="A181" s="21" t="s">
        <v>631</v>
      </c>
      <c r="B181" s="22" t="s">
        <v>632</v>
      </c>
      <c r="C181" s="23" t="str">
        <f>IFERROR(__xludf.DUMMYFUNCTION("GOOGLETRANSLATE(B181, ""en"", ""fr"")"),"Parchemin de zone de guérison")</f>
        <v>Parchemin de zone de guérison</v>
      </c>
      <c r="D181" s="23" t="str">
        <f>IFERROR(__xludf.DUMMYFUNCTION("GOOGLETRANSLATE(B181, ""en"", ""es"")"),"Pergamino de la zona cicatrice")</f>
        <v>Pergamino de la zona cicatrice</v>
      </c>
      <c r="E181" s="23" t="str">
        <f>IFERROR(__xludf.DUMMYFUNCTION("GOOGLETRANSLATE(B181, ""en"", ""ru"")"),"Свиток залечить области")</f>
        <v>Свиток залечить области</v>
      </c>
      <c r="F181" s="23" t="str">
        <f>IFERROR(__xludf.DUMMYFUNCTION("GOOGLETRANSLATE(B181, ""en"", ""tr"")"),"iyileşmek alanının Kaydırma")</f>
        <v>iyileşmek alanının Kaydırma</v>
      </c>
      <c r="G181" s="23" t="str">
        <f>IFERROR(__xludf.DUMMYFUNCTION("GOOGLETRANSLATE(B181, ""en"", ""pt"")"),"Scroll of área de curar")</f>
        <v>Scroll of área de curar</v>
      </c>
      <c r="H181" s="24" t="str">
        <f>IFERROR(__xludf.DUMMYFUNCTION("GOOGLETRANSLATE(B181, ""en"", ""de"")"),"Rolle der heilen Bereich")</f>
        <v>Rolle der heilen Bereich</v>
      </c>
      <c r="I181" s="23" t="str">
        <f>IFERROR(__xludf.DUMMYFUNCTION("GOOGLETRANSLATE(B181, ""en"", ""pl"")"),"Zwój leczyć okolicy")</f>
        <v>Zwój leczyć okolicy</v>
      </c>
      <c r="J181" s="25" t="str">
        <f>IFERROR(__xludf.DUMMYFUNCTION("GOOGLETRANSLATE(B181, ""en"", ""zh"")"),"治疗区域的滚动")</f>
        <v>治疗区域的滚动</v>
      </c>
      <c r="K181" s="25" t="str">
        <f>IFERROR(__xludf.DUMMYFUNCTION("GOOGLETRANSLATE(B181, ""en"", ""vi"")"),"Scroll diện tích chữa lành")</f>
        <v>Scroll diện tích chữa lành</v>
      </c>
      <c r="L181" s="26" t="str">
        <f>IFERROR(__xludf.DUMMYFUNCTION("GOOGLETRANSLATE(B181, ""en"", ""hr"")"),"Dođite od liječe područja")</f>
        <v>Dođite od liječe područja</v>
      </c>
      <c r="M181" s="28"/>
      <c r="N181" s="28"/>
      <c r="O181" s="28"/>
      <c r="P181" s="28"/>
      <c r="Q181" s="28"/>
      <c r="R181" s="28"/>
      <c r="S181" s="28"/>
      <c r="T181" s="28"/>
      <c r="U181" s="28"/>
      <c r="V181" s="28"/>
      <c r="W181" s="28"/>
      <c r="X181" s="28"/>
      <c r="Y181" s="28"/>
      <c r="Z181" s="28"/>
      <c r="AA181" s="28"/>
      <c r="AB181" s="28"/>
    </row>
    <row r="182">
      <c r="A182" s="21" t="s">
        <v>633</v>
      </c>
      <c r="B182" s="22" t="s">
        <v>634</v>
      </c>
      <c r="C182" s="23" t="str">
        <f>IFERROR(__xludf.DUMMYFUNCTION("GOOGLETRANSLATE(B182, ""en"", ""fr"")"),"Guérit toutes les créatures autour de vous.")</f>
        <v>Guérit toutes les créatures autour de vous.</v>
      </c>
      <c r="D182" s="23" t="str">
        <f>IFERROR(__xludf.DUMMYFUNCTION("GOOGLETRANSLATE(B182, ""en"", ""es"")"),"Cura todas las criaturas alrededor de sí mismo.")</f>
        <v>Cura todas las criaturas alrededor de sí mismo.</v>
      </c>
      <c r="E182" s="23" t="str">
        <f>IFERROR(__xludf.DUMMYFUNCTION("GOOGLETRANSLATE(B182, ""en"", ""ru"")"),"Лечит все существа вокруг себя.")</f>
        <v>Лечит все существа вокруг себя.</v>
      </c>
      <c r="F182" s="23" t="str">
        <f>IFERROR(__xludf.DUMMYFUNCTION("GOOGLETRANSLATE(B182, ""en"", ""tr"")"),"İyileşir kendine çevresindeki tüm yaratıklar.")</f>
        <v>İyileşir kendine çevresindeki tüm yaratıklar.</v>
      </c>
      <c r="G182" s="23" t="str">
        <f>IFERROR(__xludf.DUMMYFUNCTION("GOOGLETRANSLATE(B182, ""en"", ""pt"")"),"Cura todas as criaturas em torno de si mesmo.")</f>
        <v>Cura todas as criaturas em torno de si mesmo.</v>
      </c>
      <c r="H182" s="24" t="str">
        <f>IFERROR(__xludf.DUMMYFUNCTION("GOOGLETRANSLATE(B182, ""en"", ""de"")"),"Heilt alle Wesen um sich herum.")</f>
        <v>Heilt alle Wesen um sich herum.</v>
      </c>
      <c r="I182" s="23" t="str">
        <f>IFERROR(__xludf.DUMMYFUNCTION("GOOGLETRANSLATE(B182, ""en"", ""pl"")"),"Leczy wszystkie stworzenia wokół siebie.")</f>
        <v>Leczy wszystkie stworzenia wokół siebie.</v>
      </c>
      <c r="J182" s="25" t="str">
        <f>IFERROR(__xludf.DUMMYFUNCTION("GOOGLETRANSLATE(B182, ""en"", ""zh"")"),"医治自己周围的一切生物。")</f>
        <v>医治自己周围的一切生物。</v>
      </c>
      <c r="K182" s="25" t="str">
        <f>IFERROR(__xludf.DUMMYFUNCTION("GOOGLETRANSLATE(B182, ""en"", ""vi"")"),"Hồi tất cả các sinh vật xung quanh mình.")</f>
        <v>Hồi tất cả các sinh vật xung quanh mình.</v>
      </c>
      <c r="L182" s="26" t="str">
        <f>IFERROR(__xludf.DUMMYFUNCTION("GOOGLETRANSLATE(B182, ""en"", ""hr"")"),"Liječi sva bića oko sebe.")</f>
        <v>Liječi sva bića oko sebe.</v>
      </c>
      <c r="M182" s="28"/>
      <c r="N182" s="28"/>
      <c r="O182" s="28"/>
      <c r="P182" s="28"/>
      <c r="Q182" s="28"/>
      <c r="R182" s="28"/>
      <c r="S182" s="28"/>
      <c r="T182" s="28"/>
      <c r="U182" s="28"/>
      <c r="V182" s="28"/>
      <c r="W182" s="28"/>
      <c r="X182" s="28"/>
      <c r="Y182" s="28"/>
      <c r="Z182" s="28"/>
      <c r="AA182" s="28"/>
      <c r="AB182" s="28"/>
    </row>
    <row r="183">
      <c r="A183" s="21" t="s">
        <v>635</v>
      </c>
      <c r="B183" s="22" t="s">
        <v>636</v>
      </c>
      <c r="C183" s="23" t="str">
        <f>IFERROR(__xludf.DUMMYFUNCTION("GOOGLETRANSLATE(B183, ""en"", ""fr"")"),"Parchemin de Warding")</f>
        <v>Parchemin de Warding</v>
      </c>
      <c r="D183" s="23" t="str">
        <f>IFERROR(__xludf.DUMMYFUNCTION("GOOGLETRANSLATE(B183, ""en"", ""es"")"),"Desplazamiento de guardia")</f>
        <v>Desplazamiento de guardia</v>
      </c>
      <c r="E183" s="23" t="str">
        <f>IFERROR(__xludf.DUMMYFUNCTION("GOOGLETRANSLATE(B183, ""en"", ""ru"")"),"Свиток оберега")</f>
        <v>Свиток оберега</v>
      </c>
      <c r="F183" s="23" t="str">
        <f>IFERROR(__xludf.DUMMYFUNCTION("GOOGLETRANSLATE(B183, ""en"", ""tr"")"),"yapmaktan kaçınma Kaydırma")</f>
        <v>yapmaktan kaçınma Kaydırma</v>
      </c>
      <c r="G183" s="23" t="str">
        <f>IFERROR(__xludf.DUMMYFUNCTION("GOOGLETRANSLATE(B183, ""en"", ""pt"")"),"Scroll of Warding")</f>
        <v>Scroll of Warding</v>
      </c>
      <c r="H183" s="24" t="str">
        <f>IFERROR(__xludf.DUMMYFUNCTION("GOOGLETRANSLATE(B183, ""en"", ""de"")"),"Scroll of warding")</f>
        <v>Scroll of warding</v>
      </c>
      <c r="I183" s="23" t="str">
        <f>IFERROR(__xludf.DUMMYFUNCTION("GOOGLETRANSLATE(B183, ""en"", ""pl"")"),"Zwój Warding")</f>
        <v>Zwój Warding</v>
      </c>
      <c r="J183" s="25" t="str">
        <f>IFERROR(__xludf.DUMMYFUNCTION("GOOGLETRANSLATE(B183, ""en"", ""zh"")"),"守护卷轴")</f>
        <v>守护卷轴</v>
      </c>
      <c r="K183" s="25" t="str">
        <f>IFERROR(__xludf.DUMMYFUNCTION("GOOGLETRANSLATE(B183, ""en"", ""vi"")"),"Scroll of ward")</f>
        <v>Scroll of ward</v>
      </c>
      <c r="L183" s="26" t="str">
        <f>IFERROR(__xludf.DUMMYFUNCTION("GOOGLETRANSLATE(B183, ""en"", ""hr"")"),"Dođite od otpremničke")</f>
        <v>Dođite od otpremničke</v>
      </c>
      <c r="M183" s="28"/>
      <c r="N183" s="28"/>
      <c r="O183" s="28"/>
      <c r="P183" s="28"/>
      <c r="Q183" s="28"/>
      <c r="R183" s="28"/>
      <c r="S183" s="28"/>
      <c r="T183" s="28"/>
      <c r="U183" s="28"/>
      <c r="V183" s="28"/>
      <c r="W183" s="28"/>
      <c r="X183" s="28"/>
      <c r="Y183" s="28"/>
      <c r="Z183" s="28"/>
      <c r="AA183" s="28"/>
      <c r="AB183" s="28"/>
    </row>
    <row r="184">
      <c r="A184" s="21" t="s">
        <v>637</v>
      </c>
      <c r="B184" s="22" t="s">
        <v>638</v>
      </c>
      <c r="C184" s="23" t="str">
        <f>IFERROR(__xludf.DUMMYFUNCTION("GOOGLETRANSLATE(B184, ""en"", ""fr"")"),"Enchante toutes les créatures autour de vous. Ces créatures prennent aucun dommage la prochaine fois qu'ils seraient endommagés.")</f>
        <v>Enchante toutes les créatures autour de vous. Ces créatures prennent aucun dommage la prochaine fois qu'ils seraient endommagés.</v>
      </c>
      <c r="D184" s="23" t="str">
        <f>IFERROR(__xludf.DUMMYFUNCTION("GOOGLETRANSLATE(B184, ""en"", ""es"")"),"Encanta a todas las criaturas alrededor de sí mismo. Esas criaturas toman ningún daño la próxima vez que se vería perjudicada.")</f>
        <v>Encanta a todas las criaturas alrededor de sí mismo. Esas criaturas toman ningún daño la próxima vez que se vería perjudicada.</v>
      </c>
      <c r="E184" s="23" t="str">
        <f>IFERROR(__xludf.DUMMYFUNCTION("GOOGLETRANSLATE(B184,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184" s="23" t="str">
        <f>IFERROR(__xludf.DUMMYFUNCTION("GOOGLETRANSLATE(B184,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184" s="23" t="str">
        <f>IFERROR(__xludf.DUMMYFUNCTION("GOOGLETRANSLATE(B184, ""en"", ""pt"")"),"Encanta todas as criaturas em torno de si mesmo. Essas criaturas tomar nenhum dano na próxima vez que seria danificado.")</f>
        <v>Encanta todas as criaturas em torno de si mesmo. Essas criaturas tomar nenhum dano na próxima vez que seria danificado.</v>
      </c>
      <c r="H184" s="24" t="str">
        <f>IFERROR(__xludf.DUMMYFUNCTION("GOOGLETRANSLATE(B184, ""en"", ""de"")"),"Verzaubert alle Wesen um sich herum. Diese Kreaturen nehmen keinen Schaden beim nächsten Mal, wenn sie beschädigt würden.")</f>
        <v>Verzaubert alle Wesen um sich herum. Diese Kreaturen nehmen keinen Schaden beim nächsten Mal, wenn sie beschädigt würden.</v>
      </c>
      <c r="I184" s="23" t="str">
        <f>IFERROR(__xludf.DUMMYFUNCTION("GOOGLETRANSLATE(B184,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184" s="25" t="str">
        <f>IFERROR(__xludf.DUMMYFUNCTION("GOOGLETRANSLATE(B184, ""en"", ""zh"")"),"附魔自己周围的所有生物。这些生物采取无损伤，他们将被损坏的下一次。")</f>
        <v>附魔自己周围的所有生物。这些生物采取无损伤，他们将被损坏的下一次。</v>
      </c>
      <c r="K184" s="25" t="str">
        <f>IFERROR(__xludf.DUMMYFUNCTION("GOOGLETRANSLATE(B184,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184" s="26" t="str">
        <f>IFERROR(__xludf.DUMMYFUNCTION("GOOGLETRANSLATE(B184, ""en"", ""hr"")"),"Očarava sva stvorenja oko sebe. Ti stvorenja uzeti nikakvu štetu sljedeći put će biti oštećen.")</f>
        <v>Očarava sva stvorenja oko sebe. Ti stvorenja uzeti nikakvu štetu sljedeći put će biti oštećen.</v>
      </c>
      <c r="M184" s="28"/>
      <c r="N184" s="28"/>
      <c r="O184" s="28"/>
      <c r="P184" s="28"/>
      <c r="Q184" s="28"/>
      <c r="R184" s="28"/>
      <c r="S184" s="28"/>
      <c r="T184" s="28"/>
      <c r="U184" s="28"/>
      <c r="V184" s="28"/>
      <c r="W184" s="28"/>
      <c r="X184" s="28"/>
      <c r="Y184" s="28"/>
      <c r="Z184" s="28"/>
      <c r="AA184" s="28"/>
      <c r="AB184" s="28"/>
    </row>
    <row r="185">
      <c r="A185" s="21" t="s">
        <v>639</v>
      </c>
      <c r="B185" s="22" t="s">
        <v>640</v>
      </c>
      <c r="C185" s="23" t="str">
        <f>IFERROR(__xludf.DUMMYFUNCTION("GOOGLETRANSLATE(B185, ""en"", ""fr"")"),"Parchemin de nettoyage")</f>
        <v>Parchemin de nettoyage</v>
      </c>
      <c r="D185" s="23" t="str">
        <f>IFERROR(__xludf.DUMMYFUNCTION("GOOGLETRANSLATE(B185, ""en"", ""es"")"),"Pergamino de limpieza")</f>
        <v>Pergamino de limpieza</v>
      </c>
      <c r="E185" s="23" t="str">
        <f>IFERROR(__xludf.DUMMYFUNCTION("GOOGLETRANSLATE(B185, ""en"", ""ru"")"),"Свиток очищения")</f>
        <v>Свиток очищения</v>
      </c>
      <c r="F185" s="23" t="str">
        <f>IFERROR(__xludf.DUMMYFUNCTION("GOOGLETRANSLATE(B185, ""en"", ""tr"")"),"temizlik Kaydırma")</f>
        <v>temizlik Kaydırma</v>
      </c>
      <c r="G185" s="23" t="str">
        <f>IFERROR(__xludf.DUMMYFUNCTION("GOOGLETRANSLATE(B185, ""en"", ""pt"")"),"Pergaminho de limpeza")</f>
        <v>Pergaminho de limpeza</v>
      </c>
      <c r="H185" s="24" t="str">
        <f>IFERROR(__xludf.DUMMYFUNCTION("GOOGLETRANSLATE(B185, ""en"", ""de"")"),"Schriftrolle der Reinigung")</f>
        <v>Schriftrolle der Reinigung</v>
      </c>
      <c r="I185" s="23" t="str">
        <f>IFERROR(__xludf.DUMMYFUNCTION("GOOGLETRANSLATE(B185, ""en"", ""pl"")"),"Zwój czystek")</f>
        <v>Zwój czystek</v>
      </c>
      <c r="J185" s="25" t="str">
        <f>IFERROR(__xludf.DUMMYFUNCTION("GOOGLETRANSLATE(B185, ""en"", ""zh"")"),"清洗卷轴")</f>
        <v>清洗卷轴</v>
      </c>
      <c r="K185" s="25" t="str">
        <f>IFERROR(__xludf.DUMMYFUNCTION("GOOGLETRANSLATE(B185, ""en"", ""vi"")"),"Scroll làm sạch")</f>
        <v>Scroll làm sạch</v>
      </c>
      <c r="L185" s="26" t="str">
        <f>IFERROR(__xludf.DUMMYFUNCTION("GOOGLETRANSLATE(B185, ""en"", ""hr"")"),"Dođite čišćenja")</f>
        <v>Dođite čišćenja</v>
      </c>
      <c r="M185" s="28"/>
      <c r="N185" s="28"/>
      <c r="O185" s="28"/>
      <c r="P185" s="28"/>
      <c r="Q185" s="28"/>
      <c r="R185" s="28"/>
      <c r="S185" s="28"/>
      <c r="T185" s="28"/>
      <c r="U185" s="28"/>
      <c r="V185" s="28"/>
      <c r="W185" s="28"/>
      <c r="X185" s="28"/>
      <c r="Y185" s="28"/>
      <c r="Z185" s="28"/>
      <c r="AA185" s="28"/>
      <c r="AB185" s="28"/>
    </row>
    <row r="186">
      <c r="A186" s="21" t="s">
        <v>641</v>
      </c>
      <c r="B186" s="22" t="s">
        <v>642</v>
      </c>
      <c r="C186" s="23" t="str">
        <f>IFERROR(__xludf.DUMMYFUNCTION("GOOGLETRANSLATE(B186, ""en"", ""fr"")"),"Supprime malédictions sur toutes les créatures autour de vous.")</f>
        <v>Supprime malédictions sur toutes les créatures autour de vous.</v>
      </c>
      <c r="D186" s="23" t="str">
        <f>IFERROR(__xludf.DUMMYFUNCTION("GOOGLETRANSLATE(B186, ""en"", ""es"")"),"Elimina maldiciones sobre todas las criaturas alrededor de sí mismo.")</f>
        <v>Elimina maldiciones sobre todas las criaturas alrededor de sí mismo.</v>
      </c>
      <c r="E186" s="23" t="str">
        <f>IFERROR(__xludf.DUMMYFUNCTION("GOOGLETRANSLATE(B186, ""en"", ""ru"")"),"Удаляет проклятия на все существа вокруг себя.")</f>
        <v>Удаляет проклятия на все существа вокруг себя.</v>
      </c>
      <c r="F186" s="23" t="str">
        <f>IFERROR(__xludf.DUMMYFUNCTION("GOOGLETRANSLATE(B186, ""en"", ""tr"")"),"Kendine çevresindeki tüm canlılara lanetleri kaldırır.")</f>
        <v>Kendine çevresindeki tüm canlılara lanetleri kaldırır.</v>
      </c>
      <c r="G186" s="23" t="str">
        <f>IFERROR(__xludf.DUMMYFUNCTION("GOOGLETRANSLATE(B186, ""en"", ""pt"")"),"Remove maldições sobre todas as criaturas em torno de si mesmo.")</f>
        <v>Remove maldições sobre todas as criaturas em torno de si mesmo.</v>
      </c>
      <c r="H186" s="24" t="str">
        <f>IFERROR(__xludf.DUMMYFUNCTION("GOOGLETRANSLATE(B186, ""en"", ""de"")"),"Entfernt Flüche auf allen Kreaturen um sich selbst.")</f>
        <v>Entfernt Flüche auf allen Kreaturen um sich selbst.</v>
      </c>
      <c r="I186" s="23" t="str">
        <f>IFERROR(__xludf.DUMMYFUNCTION("GOOGLETRANSLATE(B186, ""en"", ""pl"")"),"Usuwa przekleństwa na wszystkich stworzeń wokół siebie.")</f>
        <v>Usuwa przekleństwa na wszystkich stworzeń wokół siebie.</v>
      </c>
      <c r="J186" s="25" t="str">
        <f>IFERROR(__xludf.DUMMYFUNCTION("GOOGLETRANSLATE(B186, ""en"", ""zh"")"),"消除了对自己周围所有生物的诅咒。")</f>
        <v>消除了对自己周围所有生物的诅咒。</v>
      </c>
      <c r="K186" s="25" t="str">
        <f>IFERROR(__xludf.DUMMYFUNCTION("GOOGLETRANSLATE(B186, ""en"", ""vi"")"),"Loại bỏ lời nguyền trên tất cả các sinh vật xung quanh mình.")</f>
        <v>Loại bỏ lời nguyền trên tất cả các sinh vật xung quanh mình.</v>
      </c>
      <c r="L186" s="26" t="str">
        <f>IFERROR(__xludf.DUMMYFUNCTION("GOOGLETRANSLATE(B186, ""en"", ""hr"")"),"Uklanja psovke na svim stvorenjima oko sebe.")</f>
        <v>Uklanja psovke na svim stvorenjima oko sebe.</v>
      </c>
      <c r="M186" s="28"/>
      <c r="N186" s="28"/>
      <c r="O186" s="28"/>
      <c r="P186" s="28"/>
      <c r="Q186" s="28"/>
      <c r="R186" s="28"/>
      <c r="S186" s="28"/>
      <c r="T186" s="28"/>
      <c r="U186" s="28"/>
      <c r="V186" s="28"/>
      <c r="W186" s="28"/>
      <c r="X186" s="28"/>
      <c r="Y186" s="28"/>
      <c r="Z186" s="28"/>
      <c r="AA186" s="28"/>
      <c r="AB186" s="28"/>
    </row>
    <row r="187">
      <c r="A187" s="21" t="s">
        <v>643</v>
      </c>
      <c r="B187" s="22" t="s">
        <v>644</v>
      </c>
      <c r="C187" s="23" t="str">
        <f>IFERROR(__xludf.DUMMYFUNCTION("GOOGLETRANSLATE(B187, ""en"", ""fr"")"),"Parchemin de Pacify")</f>
        <v>Parchemin de Pacify</v>
      </c>
      <c r="D187" s="23" t="str">
        <f>IFERROR(__xludf.DUMMYFUNCTION("GOOGLETRANSLATE(B187, ""en"", ""es"")"),"Pergamino de pacify")</f>
        <v>Pergamino de pacify</v>
      </c>
      <c r="E187" s="23" t="str">
        <f>IFERROR(__xludf.DUMMYFUNCTION("GOOGLETRANSLATE(B187, ""en"", ""ru"")"),"Свиток усмирять")</f>
        <v>Свиток усмирять</v>
      </c>
      <c r="F187" s="23" t="str">
        <f>IFERROR(__xludf.DUMMYFUNCTION("GOOGLETRANSLATE(B187, ""en"", ""tr"")"),"yatıştırmak Scroll of")</f>
        <v>yatıştırmak Scroll of</v>
      </c>
      <c r="G187" s="23" t="str">
        <f>IFERROR(__xludf.DUMMYFUNCTION("GOOGLETRANSLATE(B187, ""en"", ""pt"")"),"Scroll of pacificar")</f>
        <v>Scroll of pacificar</v>
      </c>
      <c r="H187" s="24" t="str">
        <f>IFERROR(__xludf.DUMMYFUNCTION("GOOGLETRANSLATE(B187, ""en"", ""de"")"),"Scroll of Pacify")</f>
        <v>Scroll of Pacify</v>
      </c>
      <c r="I187" s="23" t="str">
        <f>IFERROR(__xludf.DUMMYFUNCTION("GOOGLETRANSLATE(B187, ""en"", ""pl"")"),"Zwój spacyfikować")</f>
        <v>Zwój spacyfikować</v>
      </c>
      <c r="J187" s="25" t="str">
        <f>IFERROR(__xludf.DUMMYFUNCTION("GOOGLETRANSLATE(B187, ""en"", ""zh"")"),"靖州卷轴")</f>
        <v>靖州卷轴</v>
      </c>
      <c r="K187" s="25" t="str">
        <f>IFERROR(__xludf.DUMMYFUNCTION("GOOGLETRANSLATE(B187, ""en"", ""vi"")"),"Scroll của bình định")</f>
        <v>Scroll của bình định</v>
      </c>
      <c r="L187" s="26" t="str">
        <f>IFERROR(__xludf.DUMMYFUNCTION("GOOGLETRANSLATE(B187, ""en"", ""hr"")"),"Dođite od smiriti")</f>
        <v>Dođite od smiriti</v>
      </c>
      <c r="M187" s="28"/>
      <c r="N187" s="28"/>
      <c r="O187" s="28"/>
      <c r="P187" s="28"/>
      <c r="Q187" s="28"/>
      <c r="R187" s="28"/>
      <c r="S187" s="28"/>
      <c r="T187" s="28"/>
      <c r="U187" s="28"/>
      <c r="V187" s="28"/>
      <c r="W187" s="28"/>
      <c r="X187" s="28"/>
      <c r="Y187" s="28"/>
      <c r="Z187" s="28"/>
      <c r="AA187" s="28"/>
      <c r="AB187" s="28"/>
    </row>
    <row r="188">
      <c r="A188" s="21" t="s">
        <v>645</v>
      </c>
      <c r="B188" s="22" t="s">
        <v>646</v>
      </c>
      <c r="C188" s="23" t="str">
        <f>IFERROR(__xludf.DUMMYFUNCTION("GOOGLETRANSLATE(B188, ""en"", ""fr"")"),"Maudit la cible. Pour une courte durée, la cible ne peut pas utiliser leur élément en attente.")</f>
        <v>Maudit la cible. Pour une courte durée, la cible ne peut pas utiliser leur élément en attente.</v>
      </c>
      <c r="D188" s="23" t="str">
        <f>IFERROR(__xludf.DUMMYFUNCTION("GOOGLETRANSLATE(B188, ""en"", ""es"")"),"Maldice al objetivo. Para una corta duración, el objetivo no puede utilizar su artículo en espera.")</f>
        <v>Maldice al objetivo. Para una corta duración, el objetivo no puede utilizar su artículo en espera.</v>
      </c>
      <c r="E188" s="23" t="str">
        <f>IFERROR(__xludf.DUMMYFUNCTION("GOOGLETRANSLATE(B188,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188" s="23" t="str">
        <f>IFERROR(__xludf.DUMMYFUNCTION("GOOGLETRANSLATE(B188, ""en"", ""tr"")"),"Hedefi küfürler. Kısa bir süre için, hedef kendi bekletilen öğeyi kullanamaz.")</f>
        <v>Hedefi küfürler. Kısa bir süre için, hedef kendi bekletilen öğeyi kullanamaz.</v>
      </c>
      <c r="G188" s="23" t="str">
        <f>IFERROR(__xludf.DUMMYFUNCTION("GOOGLETRANSLATE(B188, ""en"", ""pt"")"),"Maldiz o alvo. Por um curto período, o alvo não pode usar seu artigo em espera.")</f>
        <v>Maldiz o alvo. Por um curto período, o alvo não pode usar seu artigo em espera.</v>
      </c>
      <c r="H188" s="24" t="str">
        <f>IFERROR(__xludf.DUMMYFUNCTION("GOOGLETRANSLATE(B188, ""en"", ""de"")"),"Verflucht das Ziel. Für eine kurze Zeit kann das Ziel nicht ihr gehaltenes Element verwenden.")</f>
        <v>Verflucht das Ziel. Für eine kurze Zeit kann das Ziel nicht ihr gehaltenes Element verwenden.</v>
      </c>
      <c r="I188" s="23" t="str">
        <f>IFERROR(__xludf.DUMMYFUNCTION("GOOGLETRANSLATE(B188, ""en"", ""pl"")"),"Przeklina cel. Przez krótki czas, cel nie można używać ich zawieszonego elementu.")</f>
        <v>Przeklina cel. Przez krótki czas, cel nie można używać ich zawieszonego elementu.</v>
      </c>
      <c r="J188" s="25" t="str">
        <f>IFERROR(__xludf.DUMMYFUNCTION("GOOGLETRANSLATE(B188, ""en"", ""zh"")"),"诅咒目标。对于持续时间短，目标不能使用他们的手持产品。")</f>
        <v>诅咒目标。对于持续时间短，目标不能使用他们的手持产品。</v>
      </c>
      <c r="K188" s="25" t="str">
        <f>IFERROR(__xludf.DUMMYFUNCTION("GOOGLETRANSLATE(B188,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188" s="26" t="str">
        <f>IFERROR(__xludf.DUMMYFUNCTION("GOOGLETRANSLATE(B188, ""en"", ""hr"")"),"Proklinje cilj. Za kratko vrijeme, cilj ne može koristiti svoje Held stavku.")</f>
        <v>Proklinje cilj. Za kratko vrijeme, cilj ne može koristiti svoje Held stavku.</v>
      </c>
      <c r="M188" s="28"/>
      <c r="N188" s="28"/>
      <c r="O188" s="28"/>
      <c r="P188" s="28"/>
      <c r="Q188" s="28"/>
      <c r="R188" s="28"/>
      <c r="S188" s="28"/>
      <c r="T188" s="28"/>
      <c r="U188" s="28"/>
      <c r="V188" s="28"/>
      <c r="W188" s="28"/>
      <c r="X188" s="28"/>
      <c r="Y188" s="28"/>
      <c r="Z188" s="28"/>
      <c r="AA188" s="28"/>
      <c r="AB188" s="28"/>
    </row>
    <row r="189">
      <c r="A189" s="21" t="s">
        <v>647</v>
      </c>
      <c r="B189" s="22" t="s">
        <v>648</v>
      </c>
      <c r="C189" s="23" t="str">
        <f>IFERROR(__xludf.DUMMYFUNCTION("GOOGLETRANSLATE(B189, ""en"", ""fr"")"),"Parchemin de Réanimation")</f>
        <v>Parchemin de Réanimation</v>
      </c>
      <c r="D189" s="23" t="str">
        <f>IFERROR(__xludf.DUMMYFUNCTION("GOOGLETRANSLATE(B189, ""en"", ""es"")"),"Pergamino de reanimación")</f>
        <v>Pergamino de reanimación</v>
      </c>
      <c r="E189" s="23" t="str">
        <f>IFERROR(__xludf.DUMMYFUNCTION("GOOGLETRANSLATE(B189, ""en"", ""ru"")"),"Свиток реанимации")</f>
        <v>Свиток реанимации</v>
      </c>
      <c r="F189" s="23" t="str">
        <f>IFERROR(__xludf.DUMMYFUNCTION("GOOGLETRANSLATE(B189, ""en"", ""tr"")"),"reanimasyon Kaydırma")</f>
        <v>reanimasyon Kaydırma</v>
      </c>
      <c r="G189" s="23" t="str">
        <f>IFERROR(__xludf.DUMMYFUNCTION("GOOGLETRANSLATE(B189, ""en"", ""pt"")"),"Pergaminho de reanimação")</f>
        <v>Pergaminho de reanimação</v>
      </c>
      <c r="H189" s="24" t="str">
        <f>IFERROR(__xludf.DUMMYFUNCTION("GOOGLETRANSLATE(B189, ""en"", ""de"")"),"Rolle der Reanimation")</f>
        <v>Rolle der Reanimation</v>
      </c>
      <c r="I189" s="23" t="str">
        <f>IFERROR(__xludf.DUMMYFUNCTION("GOOGLETRANSLATE(B189, ""en"", ""pl"")"),"Zwój reanimacji")</f>
        <v>Zwój reanimacji</v>
      </c>
      <c r="J189" s="25" t="str">
        <f>IFERROR(__xludf.DUMMYFUNCTION("GOOGLETRANSLATE(B189, ""en"", ""zh"")"),"复活卷轴")</f>
        <v>复活卷轴</v>
      </c>
      <c r="K189" s="25" t="str">
        <f>IFERROR(__xludf.DUMMYFUNCTION("GOOGLETRANSLATE(B189, ""en"", ""vi"")"),"Scroll của Reanimation")</f>
        <v>Scroll của Reanimation</v>
      </c>
      <c r="L189" s="26" t="str">
        <f>IFERROR(__xludf.DUMMYFUNCTION("GOOGLETRANSLATE(B189, ""en"", ""hr"")"),"Dođite na reanimaciju")</f>
        <v>Dođite na reanimaciju</v>
      </c>
      <c r="M189" s="28"/>
      <c r="N189" s="28"/>
      <c r="O189" s="28"/>
      <c r="P189" s="28"/>
      <c r="Q189" s="28"/>
      <c r="R189" s="28"/>
      <c r="S189" s="28"/>
      <c r="T189" s="28"/>
      <c r="U189" s="28"/>
      <c r="V189" s="28"/>
      <c r="W189" s="28"/>
      <c r="X189" s="28"/>
      <c r="Y189" s="28"/>
      <c r="Z189" s="28"/>
      <c r="AA189" s="28"/>
      <c r="AB189" s="28"/>
    </row>
    <row r="190">
      <c r="A190" s="21" t="s">
        <v>649</v>
      </c>
      <c r="B190" s="22" t="s">
        <v>650</v>
      </c>
      <c r="C190" s="23" t="str">
        <f>IFERROR(__xludf.DUMMYFUNCTION("GOOGLETRANSLATE(B190, ""en"", ""fr"")"),"Soulève tous les cadavres autour de vous comme sbires du type de créature qu'ils étaient avant leur mort qui vous servira.")</f>
        <v>Soulève tous les cadavres autour de vous comme sbires du type de créature qu'ils étaient avant leur mort qui vous servira.</v>
      </c>
      <c r="D190" s="23" t="str">
        <f>IFERROR(__xludf.DUMMYFUNCTION("GOOGLETRANSLATE(B190, ""en"", ""es"")"),"Eleva todos los cadáveres alrededor de sí mismo como secuaces del tipo de criatura que eran antes de morir que le servirá.")</f>
        <v>Eleva todos los cadáveres alrededor de sí mismo como secuaces del tipo de criatura que eran antes de morir que le servirá.</v>
      </c>
      <c r="E190" s="23" t="str">
        <f>IFERROR(__xludf.DUMMYFUNCTION("GOOGLETRANSLATE(B190,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190" s="23" t="str">
        <f>IFERROR(__xludf.DUMMYFUNCTION("GOOGLETRANSLATE(B190, ""en"", ""tr"")"),"onlar bu hizmet edecek ölmeden önce olduklarını yaratık türü minyonları kendine çevresindeki tüm cesetleri Artırdı.")</f>
        <v>onlar bu hizmet edecek ölmeden önce olduklarını yaratık türü minyonları kendine çevresindeki tüm cesetleri Artırdı.</v>
      </c>
      <c r="G190" s="23" t="str">
        <f>IFERROR(__xludf.DUMMYFUNCTION("GOOGLETRANSLATE(B190, ""en"", ""pt"")"),"Levanta todos os cadáveres em torno de si mesmo como asseclas do tipo de criatura que eles eram antes de morrer, que irá atendê-lo.")</f>
        <v>Levanta todos os cadáveres em torno de si mesmo como asseclas do tipo de criatura que eles eram antes de morrer, que irá atendê-lo.</v>
      </c>
      <c r="H190" s="24" t="str">
        <f>IFERROR(__xludf.DUMMYFUNCTION("GOOGLETRANSLATE(B190, ""en"", ""de"")"),"Löst alle Leichen um sich selbst als Lakaien von der Art der Kreatur, daß sie waren, bevor sie, dass servieren Ihnen gestorben.")</f>
        <v>Löst alle Leichen um sich selbst als Lakaien von der Art der Kreatur, daß sie waren, bevor sie, dass servieren Ihnen gestorben.</v>
      </c>
      <c r="I190" s="23" t="str">
        <f>IFERROR(__xludf.DUMMYFUNCTION("GOOGLETRANSLATE(B190, ""en"", ""pl"")"),"Podnosi wszystkie trupy wokół siebie jako sługusów rodzaju stworzenia, które były przed śmiercią, która będzie służyć.")</f>
        <v>Podnosi wszystkie trupy wokół siebie jako sługusów rodzaju stworzenia, które były przed śmiercią, która będzie służyć.</v>
      </c>
      <c r="J190" s="25" t="str">
        <f>IFERROR(__xludf.DUMMYFUNCTION("GOOGLETRANSLATE(B190, ""en"", ""zh"")"),"提高自己周围所有的尸体作为生物类型的爪牙，他们是他们死于将为你面前。")</f>
        <v>提高自己周围所有的尸体作为生物类型的爪牙，他们是他们死于将为你面前。</v>
      </c>
      <c r="K190" s="25" t="str">
        <f>IFERROR(__xludf.DUMMYFUNCTION("GOOGLETRANSLATE(B190,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190" s="26" t="str">
        <f>IFERROR(__xludf.DUMMYFUNCTION("GOOGLETRANSLATE(B190, ""en"", ""hr"")"),"Podiže sve leševe oko sebe kao sluge na vrstu stvorenja koja su bili prije nego što su umrli, koji će vam poslužiti.")</f>
        <v>Podiže sve leševe oko sebe kao sluge na vrstu stvorenja koja su bili prije nego što su umrli, koji će vam poslužiti.</v>
      </c>
      <c r="M190" s="28"/>
      <c r="N190" s="28"/>
      <c r="O190" s="28"/>
      <c r="P190" s="28"/>
      <c r="Q190" s="28"/>
      <c r="R190" s="28"/>
      <c r="S190" s="28"/>
      <c r="T190" s="28"/>
      <c r="U190" s="28"/>
      <c r="V190" s="28"/>
      <c r="W190" s="28"/>
      <c r="X190" s="28"/>
      <c r="Y190" s="28"/>
      <c r="Z190" s="28"/>
      <c r="AA190" s="28"/>
      <c r="AB190" s="28"/>
    </row>
    <row r="191">
      <c r="A191" s="21" t="s">
        <v>651</v>
      </c>
      <c r="B191" s="22" t="s">
        <v>652</v>
      </c>
      <c r="C191" s="23" t="str">
        <f>IFERROR(__xludf.DUMMYFUNCTION("GOOGLETRANSLATE(B191, ""en"", ""fr"")"),"Parchemin de consommer")</f>
        <v>Parchemin de consommer</v>
      </c>
      <c r="D191" s="23" t="str">
        <f>IFERROR(__xludf.DUMMYFUNCTION("GOOGLETRANSLATE(B191, ""en"", ""es"")"),"Pergamino de consumir")</f>
        <v>Pergamino de consumir</v>
      </c>
      <c r="E191" s="23" t="str">
        <f>IFERROR(__xludf.DUMMYFUNCTION("GOOGLETRANSLATE(B191, ""en"", ""ru"")"),"Свиток потреблять")</f>
        <v>Свиток потреблять</v>
      </c>
      <c r="F191" s="23" t="str">
        <f>IFERROR(__xludf.DUMMYFUNCTION("GOOGLETRANSLATE(B191, ""en"", ""tr"")"),"Kaydırma tüketmek")</f>
        <v>Kaydırma tüketmek</v>
      </c>
      <c r="G191" s="23" t="str">
        <f>IFERROR(__xludf.DUMMYFUNCTION("GOOGLETRANSLATE(B191, ""en"", ""pt"")"),"Scroll of consumir")</f>
        <v>Scroll of consumir</v>
      </c>
      <c r="H191" s="24" t="str">
        <f>IFERROR(__xludf.DUMMYFUNCTION("GOOGLETRANSLATE(B191, ""en"", ""de"")"),"Scroll of verbrauchen")</f>
        <v>Scroll of verbrauchen</v>
      </c>
      <c r="I191" s="23" t="str">
        <f>IFERROR(__xludf.DUMMYFUNCTION("GOOGLETRANSLATE(B191, ""en"", ""pl"")"),"Zwój zużywają")</f>
        <v>Zwój zużywają</v>
      </c>
      <c r="J191" s="25" t="str">
        <f>IFERROR(__xludf.DUMMYFUNCTION("GOOGLETRANSLATE(B191, ""en"", ""zh"")"),"滚动的消耗")</f>
        <v>滚动的消耗</v>
      </c>
      <c r="K191" s="25" t="str">
        <f>IFERROR(__xludf.DUMMYFUNCTION("GOOGLETRANSLATE(B191, ""en"", ""vi"")"),"Scroll của tiêu thụ")</f>
        <v>Scroll của tiêu thụ</v>
      </c>
      <c r="L191" s="26" t="str">
        <f>IFERROR(__xludf.DUMMYFUNCTION("GOOGLETRANSLATE(B191, ""en"", ""hr"")"),"Svitak konzumirati")</f>
        <v>Svitak konzumirati</v>
      </c>
      <c r="M191" s="28"/>
      <c r="N191" s="28"/>
      <c r="O191" s="28"/>
      <c r="P191" s="28"/>
      <c r="Q191" s="28"/>
      <c r="R191" s="28"/>
      <c r="S191" s="28"/>
      <c r="T191" s="28"/>
      <c r="U191" s="28"/>
      <c r="V191" s="28"/>
      <c r="W191" s="28"/>
      <c r="X191" s="28"/>
      <c r="Y191" s="28"/>
      <c r="Z191" s="28"/>
      <c r="AA191" s="28"/>
      <c r="AB191" s="28"/>
    </row>
    <row r="192">
      <c r="A192" s="21" t="s">
        <v>653</v>
      </c>
      <c r="B192" s="22" t="s">
        <v>654</v>
      </c>
      <c r="C192" s="23" t="str">
        <f>IFERROR(__xludf.DUMMYFUNCTION("GOOGLETRANSLATE(B192, ""en"", ""fr"")"),"Détruire un sbire que vous contrôlez dans la direction cible pour vous guérir.")</f>
        <v>Détruire un sbire que vous contrôlez dans la direction cible pour vous guérir.</v>
      </c>
      <c r="D192" s="23" t="str">
        <f>IFERROR(__xludf.DUMMYFUNCTION("GOOGLETRANSLATE(B192, ""en"", ""es"")"),"Destruir un subordinado que el control en la dirección de destino para curarse a sí mismo.")</f>
        <v>Destruir un subordinado que el control en la dirección de destino para curarse a sí mismo.</v>
      </c>
      <c r="E192" s="23" t="str">
        <f>IFERROR(__xludf.DUMMYFUNCTION("GOOGLETRANSLATE(B192,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192" s="23" t="str">
        <f>IFERROR(__xludf.DUMMYFUNCTION("GOOGLETRANSLATE(B192, ""en"", ""tr"")"),"Kendini iyileşmek için hedef doğrultusunda kontrol ettiğini bir minion yok edin.")</f>
        <v>Kendini iyileşmek için hedef doğrultusunda kontrol ettiğini bir minion yok edin.</v>
      </c>
      <c r="G192" s="23" t="str">
        <f>IFERROR(__xludf.DUMMYFUNCTION("GOOGLETRANSLATE(B192, ""en"", ""pt"")"),"Destruir um assecla que você controla na direção alvo para curar-se.")</f>
        <v>Destruir um assecla que você controla na direção alvo para curar-se.</v>
      </c>
      <c r="H192" s="24" t="str">
        <f>IFERROR(__xludf.DUMMYFUNCTION("GOOGLETRANSLATE(B192, ""en"", ""de"")"),"Zerstöre ein Günstling, dass Sie in der Zielrichtung steuern sich selbst zu heilen.")</f>
        <v>Zerstöre ein Günstling, dass Sie in der Zielrichtung steuern sich selbst zu heilen.</v>
      </c>
      <c r="I192" s="23" t="str">
        <f>IFERROR(__xludf.DUMMYFUNCTION("GOOGLETRANSLATE(B192, ""en"", ""pl"")"),"Zniszczyć miniona, że ​​sterowanie w kierunku docelowym aby się uzdrowić.")</f>
        <v>Zniszczyć miniona, że ​​sterowanie w kierunku docelowym aby się uzdrowić.</v>
      </c>
      <c r="J192" s="25" t="str">
        <f>IFERROR(__xludf.DUMMYFUNCTION("GOOGLETRANSLATE(B192, ""en"", ""zh"")"),"销毁奴才，你的目标方向，以治愈自己控制。")</f>
        <v>销毁奴才，你的目标方向，以治愈自己控制。</v>
      </c>
      <c r="K192" s="25" t="str">
        <f>IFERROR(__xludf.DUMMYFUNCTION("GOOGLETRANSLATE(B192, ""en"", ""vi"")"),"Phá hủy một khẩu thần công mà bạn kiểm soát theo hướng mục tiêu để chữa bệnh cho mình.")</f>
        <v>Phá hủy một khẩu thần công mà bạn kiểm soát theo hướng mục tiêu để chữa bệnh cho mình.</v>
      </c>
      <c r="L192" s="26" t="str">
        <f>IFERROR(__xludf.DUMMYFUNCTION("GOOGLETRANSLATE(B192, ""en"", ""hr"")"),"Uništiti Minione koju kontrolira u ciljnom pravcu da se izliječi.")</f>
        <v>Uništiti Minione koju kontrolira u ciljnom pravcu da se izliječi.</v>
      </c>
      <c r="M192" s="28"/>
      <c r="N192" s="28"/>
      <c r="O192" s="28"/>
      <c r="P192" s="28"/>
      <c r="Q192" s="28"/>
      <c r="R192" s="28"/>
      <c r="S192" s="28"/>
      <c r="T192" s="28"/>
      <c r="U192" s="28"/>
      <c r="V192" s="28"/>
      <c r="W192" s="28"/>
      <c r="X192" s="28"/>
      <c r="Y192" s="28"/>
      <c r="Z192" s="28"/>
      <c r="AA192" s="28"/>
      <c r="AB192" s="28"/>
    </row>
    <row r="193">
      <c r="A193" s="21" t="s">
        <v>655</v>
      </c>
      <c r="B193" s="22" t="s">
        <v>656</v>
      </c>
      <c r="C193" s="23" t="str">
        <f>IFERROR(__xludf.DUMMYFUNCTION("GOOGLETRANSLATE(B193, ""en"", ""fr"")"),"Parchemin de deathbind")</f>
        <v>Parchemin de deathbind</v>
      </c>
      <c r="D193" s="23" t="str">
        <f>IFERROR(__xludf.DUMMYFUNCTION("GOOGLETRANSLATE(B193, ""en"", ""es"")"),"Pergamino de deathbind")</f>
        <v>Pergamino de deathbind</v>
      </c>
      <c r="E193" s="23" t="str">
        <f>IFERROR(__xludf.DUMMYFUNCTION("GOOGLETRANSLATE(B193, ""en"", ""ru"")"),"Свиток deathbind")</f>
        <v>Свиток deathbind</v>
      </c>
      <c r="F193" s="23" t="str">
        <f>IFERROR(__xludf.DUMMYFUNCTION("GOOGLETRANSLATE(B193, ""en"", ""tr"")"),"deathbind Scroll of")</f>
        <v>deathbind Scroll of</v>
      </c>
      <c r="G193" s="23" t="str">
        <f>IFERROR(__xludf.DUMMYFUNCTION("GOOGLETRANSLATE(B193, ""en"", ""pt"")"),"Scroll of deathbind")</f>
        <v>Scroll of deathbind</v>
      </c>
      <c r="H193" s="24" t="str">
        <f>IFERROR(__xludf.DUMMYFUNCTION("GOOGLETRANSLATE(B193, ""en"", ""de"")"),"Scroll of deathbind")</f>
        <v>Scroll of deathbind</v>
      </c>
      <c r="I193" s="23" t="str">
        <f>IFERROR(__xludf.DUMMYFUNCTION("GOOGLETRANSLATE(B193, ""en"", ""pl"")"),"Zwój deathbind")</f>
        <v>Zwój deathbind</v>
      </c>
      <c r="J193" s="25" t="str">
        <f>IFERROR(__xludf.DUMMYFUNCTION("GOOGLETRANSLATE(B193, ""en"", ""zh"")"),"deathbind卷轴")</f>
        <v>deathbind卷轴</v>
      </c>
      <c r="K193" s="25" t="str">
        <f>IFERROR(__xludf.DUMMYFUNCTION("GOOGLETRANSLATE(B193, ""en"", ""vi"")"),"Scroll của deathbind")</f>
        <v>Scroll của deathbind</v>
      </c>
      <c r="L193" s="26" t="str">
        <f>IFERROR(__xludf.DUMMYFUNCTION("GOOGLETRANSLATE(B193, ""en"", ""hr"")"),"Dođite od deathbind")</f>
        <v>Dođite od deathbind</v>
      </c>
      <c r="M193" s="28"/>
      <c r="N193" s="28"/>
      <c r="O193" s="28"/>
      <c r="P193" s="28"/>
      <c r="Q193" s="28"/>
      <c r="R193" s="28"/>
      <c r="S193" s="28"/>
      <c r="T193" s="28"/>
      <c r="U193" s="28"/>
      <c r="V193" s="28"/>
      <c r="W193" s="28"/>
      <c r="X193" s="28"/>
      <c r="Y193" s="28"/>
      <c r="Z193" s="28"/>
      <c r="AA193" s="28"/>
      <c r="AB193" s="28"/>
    </row>
    <row r="194">
      <c r="A194" s="21" t="s">
        <v>657</v>
      </c>
      <c r="B194" s="22" t="s">
        <v>658</v>
      </c>
      <c r="C194" s="23" t="str">
        <f>IFERROR(__xludf.DUMMYFUNCTION("GOOGLETRANSLATE(B194, ""en"", ""fr"")"),"Malédiction la cible. Quand ils meurent, ils se transforment en un sbire de morts-vivants non réclamés automatiquement.")</f>
        <v>Malédiction la cible. Quand ils meurent, ils se transforment en un sbire de morts-vivants non réclamés automatiquement.</v>
      </c>
      <c r="D194" s="23" t="str">
        <f>IFERROR(__xludf.DUMMYFUNCTION("GOOGLETRANSLATE(B194, ""en"", ""es"")"),"Maldecir al destino. Cuando mueren, se convierten en un servidor muerto viviente no reclamada automáticamente.")</f>
        <v>Maldecir al destino. Cuando mueren, se convierten en un servidor muerto viviente no reclamada automáticamente.</v>
      </c>
      <c r="E194" s="23" t="str">
        <f>IFERROR(__xludf.DUMMYFUNCTION("GOOGLETRANSLATE(B194,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194" s="23" t="str">
        <f>IFERROR(__xludf.DUMMYFUNCTION("GOOGLETRANSLATE(B194, ""en"", ""tr"")"),"Hedefi lanetliyorum. Öldüklerinde bunlar otomatik bir sahipsiz ölümsüz kölesine dönüşür.")</f>
        <v>Hedefi lanetliyorum. Öldüklerinde bunlar otomatik bir sahipsiz ölümsüz kölesine dönüşür.</v>
      </c>
      <c r="G194" s="23" t="str">
        <f>IFERROR(__xludf.DUMMYFUNCTION("GOOGLETRANSLATE(B194, ""en"", ""pt"")"),"Maldiga o alvo. Quando eles morrem, eles se transformam em um assecla mortos-vivos não reclamados automaticamente.")</f>
        <v>Maldiga o alvo. Quando eles morrem, eles se transformam em um assecla mortos-vivos não reclamados automaticamente.</v>
      </c>
      <c r="H194" s="24" t="str">
        <f>IFERROR(__xludf.DUMMYFUNCTION("GOOGLETRANSLATE(B194, ""en"", ""de"")"),"Verflucht das Ziel. Wenn sie sterben, verwandeln sie sich in einem nicht beanspruchten untoten Schergen automatisch.")</f>
        <v>Verflucht das Ziel. Wenn sie sterben, verwandeln sie sich in einem nicht beanspruchten untoten Schergen automatisch.</v>
      </c>
      <c r="I194" s="23" t="str">
        <f>IFERROR(__xludf.DUMMYFUNCTION("GOOGLETRANSLATE(B194, ""en"", ""pl"")"),"Przeklinać cel. Kiedy umrą, zostaną one automatycznie zamieni się nieodebrane nieumarłych minion.")</f>
        <v>Przeklinać cel. Kiedy umrą, zostaną one automatycznie zamieni się nieodebrane nieumarłych minion.</v>
      </c>
      <c r="J194" s="25" t="str">
        <f>IFERROR(__xludf.DUMMYFUNCTION("GOOGLETRANSLATE(B194, ""en"", ""zh"")"),"诅咒目标。当他们死了，他们变成一个无人认领的亡灵仆从自动。")</f>
        <v>诅咒目标。当他们死了，他们变成一个无人认领的亡灵仆从自动。</v>
      </c>
      <c r="K194" s="25" t="str">
        <f>IFERROR(__xludf.DUMMYFUNCTION("GOOGLETRANSLATE(B194, ""en"", ""vi"")"),"Nguyền rủa mục tiêu. Khi họ chết, họ biến thành một minion Undead không có người nhận tự động.")</f>
        <v>Nguyền rủa mục tiêu. Khi họ chết, họ biến thành một minion Undead không có người nhận tự động.</v>
      </c>
      <c r="L194" s="26" t="str">
        <f>IFERROR(__xludf.DUMMYFUNCTION("GOOGLETRANSLATE(B194, ""en"", ""hr"")"),"Proklinjati cilj. Kada umru, oni se automatski pretvoriti u zatražen undead mezimac.")</f>
        <v>Proklinjati cilj. Kada umru, oni se automatski pretvoriti u zatražen undead mezimac.</v>
      </c>
      <c r="M194" s="28"/>
      <c r="N194" s="28"/>
      <c r="O194" s="28"/>
      <c r="P194" s="28"/>
      <c r="Q194" s="28"/>
      <c r="R194" s="28"/>
      <c r="S194" s="28"/>
      <c r="T194" s="28"/>
      <c r="U194" s="28"/>
      <c r="V194" s="28"/>
      <c r="W194" s="28"/>
      <c r="X194" s="28"/>
      <c r="Y194" s="28"/>
      <c r="Z194" s="28"/>
      <c r="AA194" s="28"/>
      <c r="AB194" s="28"/>
    </row>
    <row r="195">
      <c r="A195" s="21" t="s">
        <v>659</v>
      </c>
      <c r="B195" s="22" t="s">
        <v>660</v>
      </c>
      <c r="C195" s="23" t="str">
        <f>IFERROR(__xludf.DUMMYFUNCTION("GOOGLETRANSLATE(B195, ""en"", ""fr"")"),"Parchemin de Enthrall")</f>
        <v>Parchemin de Enthrall</v>
      </c>
      <c r="D195" s="23" t="str">
        <f>IFERROR(__xludf.DUMMYFUNCTION("GOOGLETRANSLATE(B195, ""en"", ""es"")"),"Pergamino de enthral")</f>
        <v>Pergamino de enthral</v>
      </c>
      <c r="E195" s="23" t="str">
        <f>IFERROR(__xludf.DUMMYFUNCTION("GOOGLETRANSLATE(B195, ""en"", ""ru"")"),"Свиток увлекать")</f>
        <v>Свиток увлекать</v>
      </c>
      <c r="F195" s="23" t="str">
        <f>IFERROR(__xludf.DUMMYFUNCTION("GOOGLETRANSLATE(B195, ""en"", ""tr"")"),"esir etmek Scroll of")</f>
        <v>esir etmek Scroll of</v>
      </c>
      <c r="G195" s="23" t="str">
        <f>IFERROR(__xludf.DUMMYFUNCTION("GOOGLETRANSLATE(B195, ""en"", ""pt"")"),"Scroll of Enthral")</f>
        <v>Scroll of Enthral</v>
      </c>
      <c r="H195" s="24" t="str">
        <f>IFERROR(__xludf.DUMMYFUNCTION("GOOGLETRANSLATE(B195, ""en"", ""de"")"),"Scroll of enthral")</f>
        <v>Scroll of enthral</v>
      </c>
      <c r="I195" s="23" t="str">
        <f>IFERROR(__xludf.DUMMYFUNCTION("GOOGLETRANSLATE(B195, ""en"", ""pl"")"),"Zwój Enthrall")</f>
        <v>Zwój Enthrall</v>
      </c>
      <c r="J195" s="25" t="str">
        <f>IFERROR(__xludf.DUMMYFUNCTION("GOOGLETRANSLATE(B195, ""en"", ""zh"")"),"迷住卷轴")</f>
        <v>迷住卷轴</v>
      </c>
      <c r="K195" s="25" t="str">
        <f>IFERROR(__xludf.DUMMYFUNCTION("GOOGLETRANSLATE(B195, ""en"", ""vi"")"),"Scroll of say mê")</f>
        <v>Scroll of say mê</v>
      </c>
      <c r="L195" s="26" t="str">
        <f>IFERROR(__xludf.DUMMYFUNCTION("GOOGLETRANSLATE(B195, ""en"", ""hr"")"),"Dođite od očarati")</f>
        <v>Dođite od očarati</v>
      </c>
      <c r="M195" s="28"/>
      <c r="N195" s="28"/>
      <c r="O195" s="28"/>
      <c r="P195" s="28"/>
      <c r="Q195" s="28"/>
      <c r="R195" s="28"/>
      <c r="S195" s="28"/>
      <c r="T195" s="28"/>
      <c r="U195" s="28"/>
      <c r="V195" s="28"/>
      <c r="W195" s="28"/>
      <c r="X195" s="28"/>
      <c r="Y195" s="28"/>
      <c r="Z195" s="28"/>
      <c r="AA195" s="28"/>
      <c r="AB195" s="28"/>
    </row>
    <row r="196">
      <c r="A196" s="21" t="s">
        <v>661</v>
      </c>
      <c r="B196" s="22" t="s">
        <v>662</v>
      </c>
      <c r="C196" s="23" t="str">
        <f>IFERROR(__xludf.DUMMYFUNCTION("GOOGLETRANSLATE(B196, ""en"", ""fr"")"),"Faire toutes les créatures de morts-vivants non réclamés autour de vous devenez vos sbires.")</f>
        <v>Faire toutes les créatures de morts-vivants non réclamés autour de vous devenez vos sbires.</v>
      </c>
      <c r="D196" s="23" t="str">
        <f>IFERROR(__xludf.DUMMYFUNCTION("GOOGLETRANSLATE(B196, ""en"", ""es"")"),"Hacer todas las criaturas no-muertos no reclamados en torno a convertirse en sus subordinados.")</f>
        <v>Hacer todas las criaturas no-muertos no reclamados en torno a convertirse en sus subordinados.</v>
      </c>
      <c r="E196" s="23" t="str">
        <f>IFERROR(__xludf.DUMMYFUNCTION("GOOGLETRANSLATE(B196,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196" s="23" t="str">
        <f>IFERROR(__xludf.DUMMYFUNCTION("GOOGLETRANSLATE(B196, ""en"", ""tr"")"),"Eğer köleleri haline çevresindeki tüm sahipsiz ölümsüz yaratıklar olun.")</f>
        <v>Eğer köleleri haline çevresindeki tüm sahipsiz ölümsüz yaratıklar olun.</v>
      </c>
      <c r="G196" s="23" t="str">
        <f>IFERROR(__xludf.DUMMYFUNCTION("GOOGLETRANSLATE(B196, ""en"", ""pt"")"),"Faça todas as criaturas mortas-vivas não reclamados em torno de você se tornar seus asseclas.")</f>
        <v>Faça todas as criaturas mortas-vivas não reclamados em torno de você se tornar seus asseclas.</v>
      </c>
      <c r="H196" s="24" t="str">
        <f>IFERROR(__xludf.DUMMYFUNCTION("GOOGLETRANSLATE(B196, ""en"", ""de"")"),"Machen Sie alle nicht beanspruchten untote Kreaturen um Sie Ihre Schergen werden.")</f>
        <v>Machen Sie alle nicht beanspruchten untote Kreaturen um Sie Ihre Schergen werden.</v>
      </c>
      <c r="I196" s="23" t="str">
        <f>IFERROR(__xludf.DUMMYFUNCTION("GOOGLETRANSLATE(B196, ""en"", ""pl"")"),"Uczynić wszystkie nieodebrane istoty nieumarłe wokół stajesz twoi słudzy.")</f>
        <v>Uczynić wszystkie nieodebrane istoty nieumarłe wokół stajesz twoi słudzy.</v>
      </c>
      <c r="J196" s="25" t="str">
        <f>IFERROR(__xludf.DUMMYFUNCTION("GOOGLETRANSLATE(B196, ""en"", ""zh"")"),"使所有无人认领的亡灵生物围绕你成为你的爪牙。")</f>
        <v>使所有无人认领的亡灵生物围绕你成为你的爪牙。</v>
      </c>
      <c r="K196" s="25" t="str">
        <f>IFERROR(__xludf.DUMMYFUNCTION("GOOGLETRANSLATE(B196, ""en"", ""vi"")"),"Làm cho tất cả các sinh vật Undead không có người nhận xung quanh bạn trở thành tay sai của bạn.")</f>
        <v>Làm cho tất cả các sinh vật Undead không có người nhận xung quanh bạn trở thành tay sai của bạn.</v>
      </c>
      <c r="L196" s="26" t="str">
        <f>IFERROR(__xludf.DUMMYFUNCTION("GOOGLETRANSLATE(B196, ""en"", ""hr"")"),"Provjerite sve zatražen undead stvorenja oko vas postanu vaši ruke.")</f>
        <v>Provjerite sve zatražen undead stvorenja oko vas postanu vaši ruke.</v>
      </c>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663</v>
      </c>
      <c r="B9" s="22" t="s">
        <v>664</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665</v>
      </c>
      <c r="B10" s="22" t="s">
        <v>666</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667</v>
      </c>
      <c r="B11" s="22" t="s">
        <v>668</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669</v>
      </c>
      <c r="B12" s="22" t="s">
        <v>670</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671</v>
      </c>
      <c r="B13" s="22" t="s">
        <v>672</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673</v>
      </c>
      <c r="B14" s="22" t="s">
        <v>674</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675</v>
      </c>
      <c r="B15" s="22" t="s">
        <v>676</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677</v>
      </c>
      <c r="B16" s="22" t="s">
        <v>678</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679</v>
      </c>
      <c r="B17" s="22" t="s">
        <v>680</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681</v>
      </c>
      <c r="B18" s="22" t="s">
        <v>682</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683</v>
      </c>
      <c r="B19" s="22" t="s">
        <v>684</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685</v>
      </c>
      <c r="B20" s="22" t="s">
        <v>686</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687</v>
      </c>
      <c r="B21" s="22" t="s">
        <v>688</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689</v>
      </c>
      <c r="B22" s="22" t="s">
        <v>690</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691</v>
      </c>
      <c r="B23" s="22" t="s">
        <v>692</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693</v>
      </c>
      <c r="B24" s="22" t="s">
        <v>694</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695</v>
      </c>
      <c r="B25" s="22" t="s">
        <v>696</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697</v>
      </c>
      <c r="B26" s="22" t="s">
        <v>698</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699</v>
      </c>
      <c r="B27" s="22" t="s">
        <v>700</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701</v>
      </c>
      <c r="B28" s="22" t="s">
        <v>702</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703</v>
      </c>
      <c r="B29" s="22" t="s">
        <v>704</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705</v>
      </c>
      <c r="B30" s="22" t="s">
        <v>706</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707</v>
      </c>
      <c r="B31" s="22" t="s">
        <v>708</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709</v>
      </c>
      <c r="B32" s="22" t="s">
        <v>710</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711</v>
      </c>
      <c r="B33" s="22" t="s">
        <v>712</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713</v>
      </c>
      <c r="B34" s="22" t="s">
        <v>714</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715</v>
      </c>
      <c r="B35" s="22" t="s">
        <v>716</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717</v>
      </c>
      <c r="B36" s="22" t="s">
        <v>718</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719</v>
      </c>
      <c r="B37" s="22" t="s">
        <v>720</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721</v>
      </c>
      <c r="B38" s="22" t="s">
        <v>722</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723</v>
      </c>
      <c r="B39" s="22" t="s">
        <v>724</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725</v>
      </c>
      <c r="B40" s="22" t="s">
        <v>726</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727</v>
      </c>
      <c r="B41" s="22" t="s">
        <v>728</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729</v>
      </c>
      <c r="B42" s="22" t="s">
        <v>730</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731</v>
      </c>
      <c r="B43" s="22" t="s">
        <v>732</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733</v>
      </c>
      <c r="B44" s="22" t="s">
        <v>734</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735</v>
      </c>
      <c r="B45" s="22" t="s">
        <v>736</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737</v>
      </c>
      <c r="B46" s="22" t="s">
        <v>738</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739</v>
      </c>
      <c r="B47" s="22" t="s">
        <v>740</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741</v>
      </c>
      <c r="B48" s="22" t="s">
        <v>742</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743</v>
      </c>
      <c r="B49" s="22" t="s">
        <v>744</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745</v>
      </c>
      <c r="B50" s="22" t="s">
        <v>746</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747</v>
      </c>
      <c r="B51" s="22" t="s">
        <v>748</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749</v>
      </c>
      <c r="B9" s="22" t="s">
        <v>750</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751</v>
      </c>
      <c r="B10" s="22" t="s">
        <v>752</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753</v>
      </c>
      <c r="B11" s="22" t="s">
        <v>754</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755</v>
      </c>
      <c r="B12" s="22" t="s">
        <v>756</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757</v>
      </c>
      <c r="B13" s="22" t="s">
        <v>758</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759</v>
      </c>
      <c r="B14" s="22" t="s">
        <v>760</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761</v>
      </c>
      <c r="B15" s="22" t="s">
        <v>762</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763</v>
      </c>
      <c r="B16" s="22" t="s">
        <v>764</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765</v>
      </c>
      <c r="B17" s="22" t="s">
        <v>766</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767</v>
      </c>
      <c r="B18" s="22" t="s">
        <v>768</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769</v>
      </c>
      <c r="B19" s="22" t="s">
        <v>770</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771</v>
      </c>
      <c r="B20" s="22" t="s">
        <v>164</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772</v>
      </c>
      <c r="B21" s="22" t="s">
        <v>773</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774</v>
      </c>
      <c r="B22" s="22" t="s">
        <v>775</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776</v>
      </c>
      <c r="B23" s="22" t="s">
        <v>777</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778</v>
      </c>
      <c r="B24" s="22" t="s">
        <v>779</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780</v>
      </c>
      <c r="B25" s="22" t="s">
        <v>781</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782</v>
      </c>
      <c r="B26" s="22" t="s">
        <v>783</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784</v>
      </c>
      <c r="B27" s="22" t="s">
        <v>785</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786</v>
      </c>
      <c r="B28" s="22" t="s">
        <v>787</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788</v>
      </c>
      <c r="B29" s="22" t="s">
        <v>789</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790</v>
      </c>
      <c r="B30" s="22" t="s">
        <v>791</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792</v>
      </c>
      <c r="B31" s="22" t="s">
        <v>793</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794</v>
      </c>
      <c r="B9" s="22" t="s">
        <v>795</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796</v>
      </c>
      <c r="B10" s="22" t="s">
        <v>797</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798</v>
      </c>
      <c r="B11" s="22" t="s">
        <v>799</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800</v>
      </c>
      <c r="B12" s="22" t="s">
        <v>801</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802</v>
      </c>
      <c r="B13" s="22" t="s">
        <v>803</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804</v>
      </c>
      <c r="B14" s="22" t="s">
        <v>805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806</v>
      </c>
      <c r="B15" s="22" t="s">
        <v>807</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808</v>
      </c>
      <c r="B16" s="22" t="s">
        <v>809</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810</v>
      </c>
      <c r="B17" s="22" t="s">
        <v>811</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812</v>
      </c>
      <c r="B18" s="22" t="s">
        <v>813</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814</v>
      </c>
      <c r="B19" s="22" t="s">
        <v>815</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816</v>
      </c>
      <c r="B20" s="22" t="s">
        <v>817</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818</v>
      </c>
      <c r="B21" s="22" t="s">
        <v>819</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820</v>
      </c>
      <c r="B22" s="22" t="s">
        <v>821</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822</v>
      </c>
      <c r="B23" s="22" t="s">
        <v>823</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824</v>
      </c>
      <c r="B24" s="22" t="s">
        <v>825</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826</v>
      </c>
      <c r="B25" s="22" t="s">
        <v>827</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828</v>
      </c>
      <c r="B26" s="22" t="s">
        <v>829</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830</v>
      </c>
      <c r="B27" s="22" t="s">
        <v>831</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832</v>
      </c>
      <c r="B28" s="22" t="s">
        <v>833</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834</v>
      </c>
      <c r="B29" s="22" t="s">
        <v>835</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836</v>
      </c>
      <c r="B30" s="22" t="s">
        <v>837</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838</v>
      </c>
      <c r="B31" s="22" t="s">
        <v>839</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840</v>
      </c>
      <c r="B32" s="22" t="s">
        <v>841</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842</v>
      </c>
      <c r="B33" s="22" t="s">
        <v>843</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844</v>
      </c>
      <c r="B34" s="22" t="s">
        <v>845</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846</v>
      </c>
      <c r="B35" s="22" t="s">
        <v>847</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848</v>
      </c>
      <c r="B36" s="22" t="s">
        <v>849</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850</v>
      </c>
      <c r="B37" s="22" t="s">
        <v>851</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852</v>
      </c>
      <c r="B38" s="22" t="s">
        <v>853</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854</v>
      </c>
      <c r="B39" s="22" t="s">
        <v>855</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856</v>
      </c>
      <c r="B40" s="22" t="s">
        <v>857</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858</v>
      </c>
      <c r="B41" s="22" t="s">
        <v>859</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860</v>
      </c>
      <c r="B42" s="22" t="s">
        <v>861</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862</v>
      </c>
      <c r="B43" s="22" t="s">
        <v>863</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864</v>
      </c>
      <c r="B44" s="22" t="s">
        <v>865</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866</v>
      </c>
      <c r="B45" s="22" t="s">
        <v>867</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