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T37" i="3" l="1"/>
  <c r="U27" i="3"/>
  <c r="U37" i="3" s="1"/>
  <c r="T27" i="3"/>
  <c r="T44" i="3"/>
  <c r="T39" i="3"/>
  <c r="T42" i="3"/>
  <c r="T38" i="3"/>
  <c r="T33" i="3"/>
  <c r="T31" i="3"/>
  <c r="T41" i="3" s="1"/>
  <c r="T30" i="3"/>
  <c r="T40" i="3" s="1"/>
  <c r="T29" i="3"/>
  <c r="T28" i="3"/>
  <c r="K36" i="3"/>
  <c r="U44" i="3"/>
  <c r="U43" i="3"/>
  <c r="U41" i="3"/>
  <c r="U42" i="3"/>
  <c r="U40" i="3"/>
  <c r="U39" i="3"/>
  <c r="U38" i="3"/>
  <c r="U33" i="3"/>
  <c r="U32" i="3"/>
  <c r="U31" i="3"/>
  <c r="U30" i="3"/>
  <c r="U19" i="3"/>
  <c r="U18" i="3"/>
  <c r="Q39" i="3"/>
  <c r="Q40" i="3" s="1"/>
  <c r="Q29" i="3"/>
  <c r="K26" i="3"/>
  <c r="K15" i="3"/>
  <c r="U28" i="3"/>
  <c r="U29" i="3"/>
  <c r="U20" i="3"/>
  <c r="U16" i="3"/>
  <c r="U17" i="3"/>
  <c r="K38" i="3"/>
  <c r="L38" i="3"/>
  <c r="M38" i="3"/>
  <c r="N38" i="3"/>
  <c r="O38" i="3"/>
  <c r="P38" i="3"/>
  <c r="Q38" i="3"/>
  <c r="J38" i="3"/>
  <c r="K28" i="3"/>
  <c r="L28" i="3"/>
  <c r="M28" i="3"/>
  <c r="N28" i="3"/>
  <c r="O28" i="3"/>
  <c r="P28" i="3"/>
  <c r="Q28" i="3"/>
  <c r="J28" i="3"/>
  <c r="K17" i="3"/>
  <c r="L17" i="3"/>
  <c r="M17" i="3"/>
  <c r="N17" i="3"/>
  <c r="O17" i="3"/>
  <c r="P17" i="3"/>
  <c r="Q17" i="3"/>
  <c r="J17" i="3"/>
  <c r="K39" i="3" l="1"/>
  <c r="L39" i="3" s="1"/>
  <c r="M39" i="3" s="1"/>
  <c r="O39" i="3" s="1"/>
  <c r="P39" i="3" s="1"/>
  <c r="N39" i="3"/>
  <c r="N30" i="3"/>
  <c r="N29" i="3"/>
  <c r="Q31" i="3"/>
  <c r="K30" i="3"/>
  <c r="K29" i="3"/>
  <c r="L29" i="3" s="1"/>
  <c r="M29" i="3" s="1"/>
  <c r="M30" i="3"/>
  <c r="L30" i="3"/>
  <c r="Q20" i="3"/>
  <c r="Q21" i="3" s="1"/>
  <c r="P19" i="3"/>
  <c r="P20" i="3"/>
  <c r="P18" i="3"/>
  <c r="N19" i="3"/>
  <c r="N20" i="3"/>
  <c r="N18" i="3"/>
  <c r="K19" i="3"/>
  <c r="K20" i="3"/>
  <c r="K18" i="3"/>
  <c r="L18" i="3" s="1"/>
  <c r="M18" i="3" s="1"/>
  <c r="L20" i="3"/>
  <c r="M20" i="3" s="1"/>
  <c r="L19" i="3"/>
  <c r="M19" i="3" s="1"/>
  <c r="N7" i="3"/>
  <c r="N8" i="3"/>
  <c r="N9" i="3"/>
  <c r="Q9" i="3" s="1"/>
  <c r="N10" i="3"/>
  <c r="N6" i="3"/>
  <c r="Q8" i="3"/>
  <c r="L7" i="3"/>
  <c r="L6" i="3"/>
  <c r="K10" i="3"/>
  <c r="K9" i="3"/>
  <c r="K8" i="3"/>
  <c r="K7" i="3"/>
  <c r="K6" i="3"/>
  <c r="M6" i="3" s="1"/>
  <c r="K3" i="3"/>
  <c r="L10" i="3"/>
  <c r="M10" i="3" s="1"/>
  <c r="L9" i="3"/>
  <c r="M9" i="3" s="1"/>
  <c r="O9" i="3" s="1"/>
  <c r="L8" i="3"/>
  <c r="M8" i="3" s="1"/>
  <c r="M7" i="3"/>
  <c r="O7" i="3" s="1"/>
  <c r="O30" i="3" l="1"/>
  <c r="O29" i="3"/>
  <c r="O19" i="3"/>
  <c r="O20" i="3"/>
  <c r="O18" i="3"/>
  <c r="Q11" i="3"/>
  <c r="O8" i="3"/>
  <c r="O10" i="3"/>
  <c r="O6" i="3"/>
  <c r="P30" i="3" l="1"/>
  <c r="P29" i="3"/>
  <c r="P9" i="3"/>
  <c r="P10" i="3"/>
  <c r="P7" i="3"/>
  <c r="P6" i="3"/>
  <c r="P8" i="3"/>
  <c r="F50" i="3" l="1"/>
  <c r="E50" i="3"/>
  <c r="D50" i="3"/>
  <c r="C50" i="3"/>
  <c r="B50" i="3"/>
  <c r="A50" i="3"/>
  <c r="F38" i="3"/>
  <c r="E38" i="3"/>
  <c r="D38" i="3"/>
  <c r="C38" i="3"/>
  <c r="B38" i="3"/>
  <c r="A38" i="3"/>
  <c r="F26" i="3"/>
  <c r="E26" i="3"/>
  <c r="D26" i="3"/>
  <c r="C26" i="3"/>
  <c r="B26" i="3"/>
  <c r="A26" i="3"/>
  <c r="F14" i="3"/>
  <c r="E14" i="3"/>
  <c r="D14" i="3"/>
  <c r="C14" i="3"/>
  <c r="B14" i="3"/>
  <c r="A14" i="3"/>
  <c r="C52" i="3"/>
  <c r="C53" i="3"/>
  <c r="C54" i="3"/>
  <c r="C55" i="3"/>
  <c r="C56" i="3"/>
  <c r="C57" i="3"/>
  <c r="C58" i="3"/>
  <c r="C41" i="3"/>
  <c r="C42" i="3"/>
  <c r="C43" i="3"/>
  <c r="C44" i="3"/>
  <c r="C45" i="3"/>
  <c r="C46" i="3"/>
  <c r="C40" i="3"/>
  <c r="C29" i="3"/>
  <c r="C30" i="3"/>
  <c r="C31" i="3"/>
  <c r="C32" i="3"/>
  <c r="C33" i="3"/>
  <c r="C34" i="3"/>
  <c r="C28" i="3"/>
  <c r="C17" i="3"/>
  <c r="C18" i="3"/>
  <c r="C19" i="3"/>
  <c r="C20" i="3"/>
  <c r="C21" i="3"/>
  <c r="C22" i="3"/>
  <c r="C16" i="3"/>
  <c r="C5" i="3"/>
  <c r="C6" i="3"/>
  <c r="C7" i="3"/>
  <c r="C8" i="3"/>
  <c r="C9" i="3"/>
  <c r="C10" i="3"/>
  <c r="C4" i="3"/>
  <c r="B148" i="2" l="1"/>
  <c r="C148" i="2"/>
  <c r="D148" i="2"/>
  <c r="E148" i="2"/>
  <c r="F148" i="2"/>
  <c r="G148" i="2"/>
  <c r="A148" i="2"/>
  <c r="B117" i="2"/>
  <c r="C117" i="2"/>
  <c r="D117" i="2"/>
  <c r="E117" i="2"/>
  <c r="F117" i="2"/>
  <c r="G117" i="2"/>
  <c r="A117" i="2"/>
  <c r="B86" i="2"/>
  <c r="C86" i="2"/>
  <c r="D86" i="2"/>
  <c r="E86" i="2"/>
  <c r="F86" i="2"/>
  <c r="G86" i="2"/>
  <c r="A86" i="2"/>
  <c r="B55" i="2"/>
  <c r="C55" i="2"/>
  <c r="D55" i="2"/>
  <c r="E55" i="2"/>
  <c r="F55" i="2"/>
  <c r="G55" i="2"/>
  <c r="A55" i="2"/>
  <c r="B138" i="2"/>
  <c r="C138" i="2"/>
  <c r="D138" i="2"/>
  <c r="E138" i="2"/>
  <c r="F138" i="2"/>
  <c r="G138" i="2"/>
  <c r="A138" i="2"/>
  <c r="B107" i="2"/>
  <c r="C107" i="2"/>
  <c r="D107" i="2"/>
  <c r="E107" i="2"/>
  <c r="F107" i="2"/>
  <c r="G107" i="2"/>
  <c r="A107" i="2"/>
  <c r="B76" i="2"/>
  <c r="C76" i="2"/>
  <c r="D76" i="2"/>
  <c r="E76" i="2"/>
  <c r="F76" i="2"/>
  <c r="G76" i="2"/>
  <c r="A76" i="2"/>
  <c r="B45" i="2"/>
  <c r="C45" i="2"/>
  <c r="D45" i="2"/>
  <c r="E45" i="2"/>
  <c r="F45" i="2"/>
  <c r="G45" i="2"/>
  <c r="A45" i="2"/>
  <c r="B129" i="2"/>
  <c r="C129" i="2"/>
  <c r="D129" i="2"/>
  <c r="E129" i="2"/>
  <c r="F129" i="2"/>
  <c r="G129" i="2"/>
  <c r="A129" i="2"/>
  <c r="B98" i="2"/>
  <c r="C98" i="2"/>
  <c r="D98" i="2"/>
  <c r="E98" i="2"/>
  <c r="F98" i="2"/>
  <c r="G98" i="2"/>
  <c r="A98" i="2"/>
  <c r="B67" i="2"/>
  <c r="C67" i="2"/>
  <c r="D67" i="2"/>
  <c r="E67" i="2"/>
  <c r="F67" i="2"/>
  <c r="G67" i="2"/>
  <c r="A67" i="2"/>
  <c r="B36" i="2"/>
  <c r="C36" i="2"/>
  <c r="D36" i="2"/>
  <c r="E36" i="2"/>
  <c r="F36" i="2"/>
  <c r="G36" i="2"/>
  <c r="A36" i="2"/>
  <c r="H36" i="2" s="1"/>
  <c r="E17" i="2" l="1"/>
  <c r="F16" i="2"/>
  <c r="E16" i="2"/>
  <c r="D16" i="2"/>
  <c r="C59" i="3"/>
  <c r="B59" i="3"/>
  <c r="C47" i="3"/>
  <c r="B47" i="3"/>
  <c r="B23" i="3"/>
  <c r="B35" i="3"/>
  <c r="C35" i="3"/>
  <c r="C23" i="3"/>
  <c r="B11" i="3"/>
  <c r="C150" i="2" l="1"/>
  <c r="C151" i="2"/>
  <c r="C152" i="2"/>
  <c r="C153" i="2"/>
  <c r="C154" i="2"/>
  <c r="C149" i="2"/>
  <c r="C119" i="2"/>
  <c r="C120" i="2"/>
  <c r="C121" i="2"/>
  <c r="C122" i="2"/>
  <c r="C123" i="2"/>
  <c r="C118" i="2"/>
  <c r="C88" i="2"/>
  <c r="C89" i="2"/>
  <c r="C90" i="2"/>
  <c r="C91" i="2"/>
  <c r="C92" i="2"/>
  <c r="C87" i="2"/>
  <c r="C57" i="2"/>
  <c r="C58" i="2"/>
  <c r="C59" i="2"/>
  <c r="C60" i="2"/>
  <c r="C61" i="2"/>
  <c r="C56" i="2"/>
  <c r="C26" i="2"/>
  <c r="C27" i="2"/>
  <c r="C28" i="2"/>
  <c r="C29" i="2"/>
  <c r="C30" i="2"/>
  <c r="C25" i="2"/>
  <c r="C6" i="2"/>
  <c r="B150" i="2"/>
  <c r="B151" i="2"/>
  <c r="B152" i="2"/>
  <c r="B153" i="2"/>
  <c r="B154" i="2"/>
  <c r="B149" i="2"/>
  <c r="B119" i="2"/>
  <c r="B120" i="2"/>
  <c r="B121" i="2"/>
  <c r="B122" i="2"/>
  <c r="B123" i="2"/>
  <c r="B118" i="2"/>
  <c r="B88" i="2"/>
  <c r="B89" i="2"/>
  <c r="B90" i="2"/>
  <c r="B91" i="2"/>
  <c r="B92" i="2"/>
  <c r="B87" i="2"/>
  <c r="B57" i="2"/>
  <c r="B58" i="2"/>
  <c r="B59" i="2"/>
  <c r="B60" i="2"/>
  <c r="B61" i="2"/>
  <c r="B56" i="2"/>
  <c r="E3" i="3" l="1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B51" i="3" l="1"/>
  <c r="D51" i="3" s="1"/>
  <c r="B39" i="3"/>
  <c r="B27" i="3"/>
  <c r="D27" i="3"/>
  <c r="E15" i="3"/>
  <c r="B15" i="3"/>
  <c r="E58" i="3"/>
  <c r="E57" i="3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30" i="2"/>
  <c r="C131" i="2"/>
  <c r="C132" i="2"/>
  <c r="C133" i="2"/>
  <c r="C134" i="2"/>
  <c r="C135" i="2"/>
  <c r="B130" i="2"/>
  <c r="B131" i="2"/>
  <c r="B132" i="2"/>
  <c r="B133" i="2"/>
  <c r="B134" i="2"/>
  <c r="B135" i="2"/>
  <c r="A130" i="2"/>
  <c r="A131" i="2"/>
  <c r="A132" i="2"/>
  <c r="A133" i="2"/>
  <c r="A134" i="2"/>
  <c r="A135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A99" i="2"/>
  <c r="A100" i="2"/>
  <c r="A101" i="2"/>
  <c r="A102" i="2"/>
  <c r="A103" i="2"/>
  <c r="A104" i="2"/>
  <c r="A151" i="2"/>
  <c r="A150" i="2"/>
  <c r="A149" i="2"/>
  <c r="E135" i="2"/>
  <c r="F135" i="2" s="1"/>
  <c r="H135" i="2"/>
  <c r="E134" i="2"/>
  <c r="H134" i="2"/>
  <c r="H133" i="2"/>
  <c r="H132" i="2"/>
  <c r="E131" i="2"/>
  <c r="F131" i="2" s="1"/>
  <c r="H131" i="2"/>
  <c r="E130" i="2"/>
  <c r="H130" i="2"/>
  <c r="H129" i="2"/>
  <c r="A123" i="2"/>
  <c r="A122" i="2"/>
  <c r="A119" i="2"/>
  <c r="A118" i="2"/>
  <c r="A120" i="2"/>
  <c r="H104" i="2"/>
  <c r="H103" i="2"/>
  <c r="E103" i="2"/>
  <c r="H102" i="2"/>
  <c r="H101" i="2"/>
  <c r="E101" i="2"/>
  <c r="F101" i="2" s="1"/>
  <c r="H100" i="2"/>
  <c r="H99" i="2"/>
  <c r="E99" i="2"/>
  <c r="F99" i="2" s="1"/>
  <c r="H98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H67" i="2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B68" i="2"/>
  <c r="B69" i="2"/>
  <c r="B70" i="2"/>
  <c r="B71" i="2"/>
  <c r="B72" i="2"/>
  <c r="B73" i="2"/>
  <c r="A92" i="2"/>
  <c r="A88" i="2"/>
  <c r="A90" i="2"/>
  <c r="A89" i="2"/>
  <c r="H73" i="2"/>
  <c r="E73" i="2"/>
  <c r="F73" i="2" s="1"/>
  <c r="H72" i="2"/>
  <c r="H70" i="2"/>
  <c r="E70" i="2"/>
  <c r="F70" i="2" s="1"/>
  <c r="H69" i="2"/>
  <c r="E69" i="2"/>
  <c r="F69" i="2" s="1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7" i="2"/>
  <c r="C38" i="2"/>
  <c r="C39" i="2"/>
  <c r="C40" i="2"/>
  <c r="C41" i="2"/>
  <c r="C42" i="2"/>
  <c r="B37" i="2"/>
  <c r="B38" i="2"/>
  <c r="B39" i="2"/>
  <c r="B40" i="2"/>
  <c r="B41" i="2"/>
  <c r="B42" i="2"/>
  <c r="A37" i="2"/>
  <c r="A38" i="2"/>
  <c r="A39" i="2"/>
  <c r="A40" i="2"/>
  <c r="H40" i="2" s="1"/>
  <c r="A41" i="2"/>
  <c r="A42" i="2"/>
  <c r="E42" i="2"/>
  <c r="F42" i="2" s="1"/>
  <c r="H42" i="2"/>
  <c r="E41" i="2"/>
  <c r="H41" i="2"/>
  <c r="H39" i="2"/>
  <c r="E38" i="2"/>
  <c r="F38" i="2" s="1"/>
  <c r="H38" i="2"/>
  <c r="E37" i="2"/>
  <c r="H37" i="2"/>
  <c r="F31" i="2"/>
  <c r="F15" i="2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E6" i="2"/>
  <c r="F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F51" i="3" l="1"/>
  <c r="D39" i="3"/>
  <c r="F27" i="3"/>
  <c r="F15" i="3"/>
  <c r="F3" i="3"/>
  <c r="F134" i="2"/>
  <c r="F130" i="2"/>
  <c r="E132" i="2"/>
  <c r="F132" i="2" s="1"/>
  <c r="E133" i="2"/>
  <c r="F133" i="2" s="1"/>
  <c r="F103" i="2"/>
  <c r="E140" i="2"/>
  <c r="A152" i="2"/>
  <c r="E109" i="2"/>
  <c r="D118" i="2" s="1"/>
  <c r="E118" i="2" s="1"/>
  <c r="A91" i="2"/>
  <c r="A87" i="2"/>
  <c r="F68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G7" i="2"/>
  <c r="G6" i="2"/>
  <c r="G8" i="2"/>
  <c r="B17" i="2" l="1"/>
  <c r="B21" i="2"/>
  <c r="B18" i="2"/>
  <c r="B16" i="2"/>
  <c r="B19" i="2"/>
  <c r="B20" i="2"/>
  <c r="F39" i="3"/>
  <c r="D149" i="2"/>
  <c r="E149" i="2" s="1"/>
  <c r="F140" i="2"/>
  <c r="F109" i="2"/>
  <c r="D87" i="2"/>
  <c r="E87" i="2" s="1"/>
  <c r="F78" i="2"/>
  <c r="A61" i="2"/>
  <c r="E47" i="2"/>
  <c r="D56" i="2" s="1"/>
  <c r="C16" i="2" l="1"/>
  <c r="A25" i="2"/>
  <c r="B25" i="2" s="1"/>
  <c r="C18" i="2"/>
  <c r="D18" i="2"/>
  <c r="A27" i="2"/>
  <c r="B27" i="2" s="1"/>
  <c r="A29" i="2"/>
  <c r="B29" i="2" s="1"/>
  <c r="D20" i="2"/>
  <c r="C20" i="2"/>
  <c r="C21" i="2"/>
  <c r="D21" i="2"/>
  <c r="A30" i="2"/>
  <c r="B30" i="2" s="1"/>
  <c r="C19" i="2"/>
  <c r="D19" i="2"/>
  <c r="A28" i="2"/>
  <c r="B28" i="2" s="1"/>
  <c r="C17" i="2"/>
  <c r="D17" i="2"/>
  <c r="A26" i="2"/>
  <c r="B26" i="2" s="1"/>
  <c r="E56" i="2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D25" i="2" l="1"/>
  <c r="G16" i="2" s="1"/>
  <c r="E57" i="2"/>
  <c r="G48" i="2"/>
  <c r="F141" i="2"/>
  <c r="F110" i="2"/>
  <c r="D88" i="2"/>
  <c r="E88" i="2" s="1"/>
  <c r="F79" i="2"/>
  <c r="F48" i="2"/>
  <c r="D26" i="2" l="1"/>
  <c r="E25" i="2"/>
  <c r="E142" i="2"/>
  <c r="D151" i="2" s="1"/>
  <c r="E151" i="2" s="1"/>
  <c r="E111" i="2"/>
  <c r="D120" i="2" s="1"/>
  <c r="E120" i="2" s="1"/>
  <c r="E80" i="2"/>
  <c r="F80" i="2" s="1"/>
  <c r="E49" i="2"/>
  <c r="D58" i="2" s="1"/>
  <c r="F17" i="2" l="1"/>
  <c r="G17" i="2"/>
  <c r="E26" i="2"/>
  <c r="E58" i="2"/>
  <c r="G49" i="2"/>
  <c r="F111" i="2"/>
  <c r="E112" i="2" s="1"/>
  <c r="D121" i="2" s="1"/>
  <c r="E121" i="2" s="1"/>
  <c r="F142" i="2"/>
  <c r="D89" i="2"/>
  <c r="E89" i="2" s="1"/>
  <c r="F49" i="2"/>
  <c r="E18" i="2" l="1"/>
  <c r="D27" i="2" s="1"/>
  <c r="E143" i="2"/>
  <c r="D152" i="2" s="1"/>
  <c r="E152" i="2" s="1"/>
  <c r="F112" i="2"/>
  <c r="E81" i="2"/>
  <c r="F81" i="2" s="1"/>
  <c r="E50" i="2"/>
  <c r="D59" i="2" s="1"/>
  <c r="F18" i="2" l="1"/>
  <c r="E27" i="2"/>
  <c r="G18" i="2"/>
  <c r="E59" i="2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19" i="2" l="1"/>
  <c r="D28" i="2" s="1"/>
  <c r="E60" i="2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9" i="2" l="1"/>
  <c r="G19" i="2"/>
  <c r="E28" i="2"/>
  <c r="D55" i="3"/>
  <c r="F55" i="3" s="1"/>
  <c r="D58" i="3"/>
  <c r="F58" i="3" s="1"/>
  <c r="D54" i="3"/>
  <c r="F54" i="3" s="1"/>
  <c r="D57" i="3"/>
  <c r="F57" i="3" s="1"/>
  <c r="D53" i="3"/>
  <c r="F53" i="3" s="1"/>
  <c r="D56" i="3"/>
  <c r="F56" i="3" s="1"/>
  <c r="F145" i="2"/>
  <c r="E114" i="2"/>
  <c r="D123" i="2" s="1"/>
  <c r="E123" i="2" s="1"/>
  <c r="E124" i="2" s="1"/>
  <c r="G124" i="2" s="1"/>
  <c r="D91" i="2"/>
  <c r="E91" i="2" s="1"/>
  <c r="E52" i="2"/>
  <c r="D61" i="2" s="1"/>
  <c r="E20" i="2" l="1"/>
  <c r="D29" i="2" s="1"/>
  <c r="D52" i="3"/>
  <c r="D59" i="3" s="1"/>
  <c r="D43" i="3"/>
  <c r="F43" i="3" s="1"/>
  <c r="D44" i="3"/>
  <c r="F44" i="3" s="1"/>
  <c r="D41" i="3"/>
  <c r="F41" i="3" s="1"/>
  <c r="D45" i="3"/>
  <c r="F45" i="3" s="1"/>
  <c r="D42" i="3"/>
  <c r="F42" i="3" s="1"/>
  <c r="D46" i="3"/>
  <c r="F46" i="3" s="1"/>
  <c r="E61" i="2"/>
  <c r="E62" i="2" s="1"/>
  <c r="G62" i="2" s="1"/>
  <c r="G52" i="2"/>
  <c r="F114" i="2"/>
  <c r="E83" i="2"/>
  <c r="F83" i="2" s="1"/>
  <c r="F52" i="2"/>
  <c r="F20" i="2" l="1"/>
  <c r="E29" i="2"/>
  <c r="G20" i="2"/>
  <c r="F52" i="3"/>
  <c r="F59" i="3" s="1"/>
  <c r="D40" i="3"/>
  <c r="D47" i="3" s="1"/>
  <c r="D17" i="3"/>
  <c r="F17" i="3" s="1"/>
  <c r="D21" i="3"/>
  <c r="F21" i="3" s="1"/>
  <c r="D20" i="3"/>
  <c r="F20" i="3" s="1"/>
  <c r="D18" i="3"/>
  <c r="F18" i="3" s="1"/>
  <c r="D22" i="3"/>
  <c r="F22" i="3" s="1"/>
  <c r="D19" i="3"/>
  <c r="F19" i="3" s="1"/>
  <c r="D92" i="2"/>
  <c r="E92" i="2" s="1"/>
  <c r="E21" i="2" l="1"/>
  <c r="D30" i="2" s="1"/>
  <c r="F40" i="3"/>
  <c r="F47" i="3" s="1"/>
  <c r="E93" i="2"/>
  <c r="G93" i="2" s="1"/>
  <c r="D16" i="3"/>
  <c r="D23" i="3" s="1"/>
  <c r="F21" i="2" l="1"/>
  <c r="G21" i="2"/>
  <c r="E30" i="2"/>
  <c r="E31" i="2" s="1"/>
  <c r="G31" i="2" s="1"/>
  <c r="D31" i="3"/>
  <c r="F31" i="3" s="1"/>
  <c r="D29" i="3"/>
  <c r="F29" i="3" s="1"/>
  <c r="D33" i="3"/>
  <c r="F33" i="3" s="1"/>
  <c r="D32" i="3"/>
  <c r="F32" i="3" s="1"/>
  <c r="D30" i="3"/>
  <c r="F30" i="3" s="1"/>
  <c r="D34" i="3"/>
  <c r="F34" i="3" s="1"/>
  <c r="D28" i="3"/>
  <c r="D35" i="3" s="1"/>
  <c r="F16" i="3"/>
  <c r="F23" i="3" s="1"/>
  <c r="D10" i="3" l="1"/>
  <c r="F10" i="3" s="1"/>
  <c r="D5" i="3"/>
  <c r="F5" i="3" s="1"/>
  <c r="D6" i="3"/>
  <c r="F6" i="3" s="1"/>
  <c r="D8" i="3"/>
  <c r="F8" i="3" s="1"/>
  <c r="D7" i="3"/>
  <c r="F7" i="3" s="1"/>
  <c r="D9" i="3"/>
  <c r="F9" i="3" s="1"/>
  <c r="F28" i="3"/>
  <c r="F35" i="3" s="1"/>
  <c r="C11" i="3" l="1"/>
  <c r="D4" i="3"/>
  <c r="D11" i="3" s="1"/>
  <c r="F4" i="3" l="1"/>
  <c r="F11" i="3" s="1"/>
</calcChain>
</file>

<file path=xl/comments1.xml><?xml version="1.0" encoding="utf-8"?>
<comments xmlns="http://schemas.openxmlformats.org/spreadsheetml/2006/main">
  <authors>
    <author>Автор</author>
  </authors>
  <commentList>
    <comment ref="Q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</commentList>
</comments>
</file>

<file path=xl/sharedStrings.xml><?xml version="1.0" encoding="utf-8"?>
<sst xmlns="http://schemas.openxmlformats.org/spreadsheetml/2006/main" count="163" uniqueCount="87">
  <si>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</si>
  <si>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</si>
  <si>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</si>
  <si>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</si>
  <si>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</si>
  <si>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</si>
  <si>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</si>
  <si>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</si>
  <si>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</si>
  <si>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</si>
  <si>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</si>
  <si>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</si>
  <si>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</si>
  <si>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</si>
  <si>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</si>
  <si>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</si>
  <si>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</si>
  <si>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</si>
  <si>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</si>
  <si>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</si>
  <si>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</si>
  <si>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</si>
  <si>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</si>
  <si>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</si>
  <si>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</si>
  <si>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</si>
  <si>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</si>
  <si>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</si>
  <si>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</si>
  <si>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</si>
  <si>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</si>
  <si>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</si>
  <si>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</si>
  <si>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</si>
  <si>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</si>
  <si>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</si>
  <si>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</si>
  <si>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</si>
  <si>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Рачёт прибыли</t>
  </si>
  <si>
    <t>ИТОГО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</si>
  <si>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</si>
  <si>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</si>
  <si>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</si>
  <si>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</si>
  <si>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</si>
  <si>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</si>
  <si>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</si>
  <si>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</si>
  <si>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</si>
  <si>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</si>
  <si>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</si>
  <si>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</si>
  <si>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</si>
  <si>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План. объём прод. (шт.)</t>
  </si>
  <si>
    <t>Оптим. объём прод. (шт.)</t>
  </si>
  <si>
    <t>Маржинальная прибыль (р.)</t>
  </si>
  <si>
    <t>Скорректированный объём прод. (маш.-час)</t>
  </si>
  <si>
    <t>0 Год</t>
  </si>
  <si>
    <t>инвестиционные ресурсы на конец года</t>
  </si>
  <si>
    <t>Проект</t>
  </si>
  <si>
    <t>Индекс потерь ЧДД</t>
  </si>
  <si>
    <t>Ранг проекта</t>
  </si>
  <si>
    <t>1 Год</t>
  </si>
  <si>
    <t>2 Год</t>
  </si>
  <si>
    <t>3 Год</t>
  </si>
  <si>
    <t>Инвестиционные ресурсы на конец прошлого года</t>
  </si>
  <si>
    <t>Инвестиции в прошлом году</t>
  </si>
  <si>
    <t>Инвестиционные ресурсы на конец текущего года</t>
  </si>
  <si>
    <t>Поступления по проекту 3 за текущий год</t>
  </si>
  <si>
    <t>Поступления по проекту 4 за текущий год</t>
  </si>
  <si>
    <t>Поступления по проекту 5 за текущий год</t>
  </si>
  <si>
    <t>Поступления по проекту 1 за текущий год</t>
  </si>
  <si>
    <t>Коэф. дисконтирования</t>
  </si>
  <si>
    <t>Инвест. Затраты (р.)</t>
  </si>
  <si>
    <t>Поступления (р.)</t>
  </si>
  <si>
    <t>Денежный поток (р.)</t>
  </si>
  <si>
    <t>Дисконтированный денежный поток (р.)</t>
  </si>
  <si>
    <t>ЧДД в случае реализации проекта в текущем году (р.)</t>
  </si>
  <si>
    <t>ЧДД в случае реализации проекта в следующем году (р.)</t>
  </si>
  <si>
    <t>Потери ЧДД (р.)</t>
  </si>
  <si>
    <t>Отложенные инвестиции (р.)</t>
  </si>
  <si>
    <t>Инвестиции в текущем году (р.)</t>
  </si>
  <si>
    <t>Значение (р.)</t>
  </si>
  <si>
    <t>Марж. прибыль на ед. узкого места (р./маш.-час)</t>
  </si>
  <si>
    <t>Загрузка узкого места (маш.-час)</t>
  </si>
  <si>
    <t>Загрузка узкго места (маш.-час)</t>
  </si>
  <si>
    <t>Остаток узкого места (маш.-час)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</si>
</sst>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7" sqref="B7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27</v>
      </c>
      <c r="B1" s="5"/>
      <c r="F1" s="11" t="s">
        <v>26</v>
      </c>
    </row>
    <row r="2" spans="1:11" ht="45" x14ac:dyDescent="0.25">
      <c r="A2" s="2" t="s">
        <v>0</v>
      </c>
      <c r="B2" s="2" t="s">
        <v>1</v>
      </c>
      <c r="F2" s="41" t="s">
        <v>15</v>
      </c>
      <c r="G2" s="42"/>
      <c r="H2" s="42"/>
      <c r="I2" s="42"/>
      <c r="J2" s="42"/>
      <c r="K2" s="42"/>
    </row>
    <row r="3" spans="1:11" x14ac:dyDescent="0.25">
      <c r="A3" s="6" t="s">
        <v>2</v>
      </c>
      <c r="B3" s="7">
        <v>718</v>
      </c>
      <c r="F3" s="41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17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16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25</v>
      </c>
    </row>
    <row r="8" spans="1:11" x14ac:dyDescent="0.25">
      <c r="F8" s="41" t="s">
        <v>15</v>
      </c>
      <c r="G8" s="42"/>
      <c r="H8" s="42"/>
      <c r="I8" s="42"/>
      <c r="J8" s="42"/>
      <c r="K8" s="42"/>
    </row>
    <row r="9" spans="1:11" x14ac:dyDescent="0.25">
      <c r="A9" s="11" t="s">
        <v>28</v>
      </c>
      <c r="F9" s="41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48</v>
      </c>
      <c r="D10" s="10" t="s">
        <v>49</v>
      </c>
      <c r="F10" s="8" t="s">
        <v>18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9</v>
      </c>
      <c r="B11" s="8">
        <v>4907</v>
      </c>
      <c r="C11" s="8">
        <v>21.7</v>
      </c>
      <c r="D11" s="8">
        <v>39.799999999999997</v>
      </c>
      <c r="F11" s="8" t="s">
        <v>19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10</v>
      </c>
      <c r="B12" s="8">
        <v>8460</v>
      </c>
      <c r="C12" s="8">
        <v>29.8</v>
      </c>
      <c r="D12" s="8">
        <v>40.799999999999997</v>
      </c>
      <c r="F12" s="8" t="s">
        <v>20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11</v>
      </c>
      <c r="B13" s="8">
        <v>5578</v>
      </c>
      <c r="C13" s="8">
        <v>26.9</v>
      </c>
      <c r="D13" s="8">
        <v>41.7</v>
      </c>
      <c r="F13" s="8" t="s">
        <v>21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12</v>
      </c>
      <c r="B14" s="8">
        <v>8282</v>
      </c>
      <c r="C14" s="8">
        <v>33.700000000000003</v>
      </c>
      <c r="D14" s="8">
        <v>46.1</v>
      </c>
      <c r="F14" s="8" t="s">
        <v>22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13</v>
      </c>
      <c r="B15" s="8">
        <v>6649</v>
      </c>
      <c r="C15" s="8">
        <v>22.7</v>
      </c>
      <c r="D15" s="8">
        <v>36.1</v>
      </c>
      <c r="F15" s="8" t="s">
        <v>23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14</v>
      </c>
      <c r="B16" s="8">
        <v>3093</v>
      </c>
      <c r="C16" s="8">
        <v>24.6</v>
      </c>
      <c r="D16" s="8">
        <v>34.5</v>
      </c>
      <c r="F16" s="13" t="s">
        <v>24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29</v>
      </c>
    </row>
    <row r="19" spans="1:7" ht="30" x14ac:dyDescent="0.25">
      <c r="A19" s="9" t="s">
        <v>7</v>
      </c>
      <c r="B19" s="9" t="s">
        <v>8</v>
      </c>
      <c r="C19" s="25" t="s">
        <v>48</v>
      </c>
      <c r="D19" s="25" t="s">
        <v>49</v>
      </c>
      <c r="F19" s="8" t="s">
        <v>46</v>
      </c>
      <c r="G19" s="8">
        <v>17.5</v>
      </c>
    </row>
    <row r="20" spans="1:7" x14ac:dyDescent="0.25">
      <c r="A20" s="10" t="s">
        <v>9</v>
      </c>
      <c r="B20" s="8">
        <v>5513</v>
      </c>
      <c r="C20" s="8">
        <v>32.700000000000003</v>
      </c>
      <c r="D20" s="8">
        <v>40.1</v>
      </c>
      <c r="F20" s="8" t="s">
        <v>47</v>
      </c>
      <c r="G20" s="8">
        <v>1825000</v>
      </c>
    </row>
    <row r="21" spans="1:7" x14ac:dyDescent="0.25">
      <c r="A21" s="10" t="s">
        <v>10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11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12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13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14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30</v>
      </c>
    </row>
    <row r="28" spans="1:7" ht="30" x14ac:dyDescent="0.25">
      <c r="A28" s="9" t="s">
        <v>7</v>
      </c>
      <c r="B28" s="9" t="s">
        <v>8</v>
      </c>
      <c r="C28" s="25" t="s">
        <v>48</v>
      </c>
      <c r="D28" s="25" t="s">
        <v>49</v>
      </c>
    </row>
    <row r="29" spans="1:7" x14ac:dyDescent="0.25">
      <c r="A29" s="10" t="s">
        <v>9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10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11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12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13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14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31</v>
      </c>
    </row>
    <row r="37" spans="1:4" ht="30" x14ac:dyDescent="0.25">
      <c r="A37" s="9" t="s">
        <v>7</v>
      </c>
      <c r="B37" s="9" t="s">
        <v>8</v>
      </c>
      <c r="C37" s="25" t="s">
        <v>48</v>
      </c>
      <c r="D37" s="25" t="s">
        <v>49</v>
      </c>
    </row>
    <row r="38" spans="1:4" x14ac:dyDescent="0.25">
      <c r="A38" s="10" t="s">
        <v>9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10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11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12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13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14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32</v>
      </c>
    </row>
    <row r="46" spans="1:4" ht="30" x14ac:dyDescent="0.25">
      <c r="A46" s="9" t="s">
        <v>7</v>
      </c>
      <c r="B46" s="9" t="s">
        <v>8</v>
      </c>
      <c r="C46" s="25" t="s">
        <v>48</v>
      </c>
      <c r="D46" s="25" t="s">
        <v>49</v>
      </c>
    </row>
    <row r="47" spans="1:4" x14ac:dyDescent="0.25">
      <c r="A47" s="10" t="s">
        <v>9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10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11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12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13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14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activeCell="F15" sqref="F15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41</v>
      </c>
    </row>
    <row r="3" spans="1:8" x14ac:dyDescent="0.25">
      <c r="A3" s="17" t="s">
        <v>33</v>
      </c>
    </row>
    <row r="4" spans="1:8" x14ac:dyDescent="0.25">
      <c r="A4" t="s">
        <v>35</v>
      </c>
    </row>
    <row r="5" spans="1:8" ht="45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84</v>
      </c>
      <c r="E5" s="2" t="s">
        <v>55</v>
      </c>
      <c r="F5" s="2" t="s">
        <v>83</v>
      </c>
      <c r="G5" s="15" t="s">
        <v>34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36</v>
      </c>
    </row>
    <row r="14" spans="1:8" ht="45" x14ac:dyDescent="0.25">
      <c r="A14" s="2" t="s">
        <v>34</v>
      </c>
      <c r="B14" s="2" t="s">
        <v>7</v>
      </c>
      <c r="C14" s="2" t="s">
        <v>53</v>
      </c>
      <c r="D14" s="2" t="s">
        <v>85</v>
      </c>
      <c r="E14" s="2" t="s">
        <v>56</v>
      </c>
      <c r="F14" s="2" t="s">
        <v>86</v>
      </c>
      <c r="G14" s="2" t="s">
        <v>54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>IF(F15&gt;=C16*D16,C16*D16,F15)</f>
        <v>6693.5999999999995</v>
      </c>
      <c r="F16" s="26">
        <f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4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5">VLOOKUP(B17,$A$6:$D$11,4,FALSE)</f>
        <v>2.2000000000000002</v>
      </c>
      <c r="E17" s="26">
        <f>IF(F16&gt;=C17*D17,C17*D17,F16)</f>
        <v>10795.400000000001</v>
      </c>
      <c r="F17" s="26">
        <f t="shared" ref="F17:F21" si="6">IF(F16&gt;=E17,F16-E17,0)</f>
        <v>37836</v>
      </c>
      <c r="G17" s="26">
        <f t="shared" ref="G17:G21" si="7">D26</f>
        <v>4907</v>
      </c>
    </row>
    <row r="18" spans="1:7" x14ac:dyDescent="0.25">
      <c r="A18" s="1">
        <v>3</v>
      </c>
      <c r="B18" s="16" t="str">
        <f t="shared" si="4"/>
        <v>F</v>
      </c>
      <c r="C18" s="26">
        <f>VLOOKUP('прибыль проектов'!B18,'исходные данные'!$A$11:$B$16,2,FALSE)</f>
        <v>3093</v>
      </c>
      <c r="D18" s="26">
        <f t="shared" si="5"/>
        <v>2.1</v>
      </c>
      <c r="E18" s="26">
        <f t="shared" ref="E18:E19" si="8">IF(F17&gt;=C18*D18,C18*D18,F17)</f>
        <v>6495.3</v>
      </c>
      <c r="F18" s="26">
        <f t="shared" si="6"/>
        <v>31340.7</v>
      </c>
      <c r="G18" s="26">
        <f t="shared" si="7"/>
        <v>3093</v>
      </c>
    </row>
    <row r="19" spans="1:7" x14ac:dyDescent="0.25">
      <c r="A19" s="1">
        <v>4</v>
      </c>
      <c r="B19" s="16" t="str">
        <f t="shared" si="4"/>
        <v>E</v>
      </c>
      <c r="C19" s="26">
        <f>VLOOKUP('прибыль проектов'!B19,'исходные данные'!$A$11:$B$16,2,FALSE)</f>
        <v>6649</v>
      </c>
      <c r="D19" s="26">
        <f t="shared" si="5"/>
        <v>2.9</v>
      </c>
      <c r="E19" s="26">
        <f t="shared" si="8"/>
        <v>19282.099999999999</v>
      </c>
      <c r="F19" s="26">
        <f t="shared" si="6"/>
        <v>12058.600000000002</v>
      </c>
      <c r="G19" s="26">
        <f t="shared" si="7"/>
        <v>6649</v>
      </c>
    </row>
    <row r="20" spans="1:7" x14ac:dyDescent="0.25">
      <c r="A20" s="1">
        <v>5</v>
      </c>
      <c r="B20" s="16" t="str">
        <f t="shared" si="4"/>
        <v>D</v>
      </c>
      <c r="C20" s="26">
        <f>VLOOKUP('прибыль проектов'!B20,'исходные данные'!$A$11:$B$16,2,FALSE)</f>
        <v>8282</v>
      </c>
      <c r="D20" s="26">
        <f t="shared" si="5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7"/>
        <v>4019</v>
      </c>
    </row>
    <row r="21" spans="1:7" x14ac:dyDescent="0.25">
      <c r="A21" s="1">
        <v>6</v>
      </c>
      <c r="B21" s="16" t="str">
        <f t="shared" si="4"/>
        <v>B</v>
      </c>
      <c r="C21" s="26">
        <f>VLOOKUP('прибыль проектов'!B21,'исходные данные'!$A$11:$B$16,2,FALSE)</f>
        <v>8460</v>
      </c>
      <c r="D21" s="26">
        <f t="shared" si="5"/>
        <v>3.2</v>
      </c>
      <c r="E21" s="26">
        <f>IF(F20&gt;=C21*D21,C21*D21,F20)</f>
        <v>0</v>
      </c>
      <c r="F21" s="26">
        <f t="shared" si="6"/>
        <v>0</v>
      </c>
      <c r="G21" s="26">
        <f t="shared" si="7"/>
        <v>0</v>
      </c>
    </row>
    <row r="23" spans="1:7" x14ac:dyDescent="0.25">
      <c r="A23" t="s">
        <v>38</v>
      </c>
    </row>
    <row r="24" spans="1:7" ht="30" x14ac:dyDescent="0.25">
      <c r="A24" s="2" t="s">
        <v>7</v>
      </c>
      <c r="B24" s="2" t="s">
        <v>48</v>
      </c>
      <c r="C24" s="2" t="s">
        <v>49</v>
      </c>
      <c r="D24" s="2" t="s">
        <v>37</v>
      </c>
      <c r="E24" s="2" t="s">
        <v>50</v>
      </c>
      <c r="F24" s="2" t="s">
        <v>51</v>
      </c>
      <c r="G24" s="2" t="s">
        <v>52</v>
      </c>
    </row>
    <row r="25" spans="1:7" x14ac:dyDescent="0.25">
      <c r="A25" s="16" t="str">
        <f>B16</f>
        <v>C</v>
      </c>
      <c r="B25" s="26">
        <f>SUMIF($A$6:$A$11,A25,$B$6:$B$11)</f>
        <v>26.9</v>
      </c>
      <c r="C25" s="26">
        <f>SUMIF($A$6:$A$11,A25,$C$6:$C$11)</f>
        <v>41.7</v>
      </c>
      <c r="D25" s="26">
        <f>_xlfn.FLOOR.MATH(E16/D16)</f>
        <v>5578</v>
      </c>
      <c r="E25" s="26">
        <f>(C25-B25)*D25</f>
        <v>82554.400000000023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B30" si="10">SUMIF($A$6:$A$11,A26,$B$6:$B$11)</f>
        <v>21.7</v>
      </c>
      <c r="C26" s="26">
        <f t="shared" ref="C26:C30" si="11">SUMIF($A$6:$A$11,A26,$C$6:$C$11)</f>
        <v>39.799999999999997</v>
      </c>
      <c r="D26" s="26">
        <f t="shared" ref="D26:D28" si="12">_xlfn.FLOOR.MATH(E17/D17)</f>
        <v>4907</v>
      </c>
      <c r="E26" s="26">
        <f t="shared" ref="E26:E30" si="13">(C26-B26)*D26</f>
        <v>88816.699999999983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24.6</v>
      </c>
      <c r="C27" s="26">
        <f t="shared" si="11"/>
        <v>34.5</v>
      </c>
      <c r="D27" s="26">
        <f t="shared" si="12"/>
        <v>3093</v>
      </c>
      <c r="E27" s="26">
        <f t="shared" si="13"/>
        <v>30620.699999999997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22.7</v>
      </c>
      <c r="C28" s="26">
        <f t="shared" si="11"/>
        <v>36.1</v>
      </c>
      <c r="D28" s="26">
        <f t="shared" si="12"/>
        <v>6649</v>
      </c>
      <c r="E28" s="26">
        <f t="shared" si="13"/>
        <v>89096.60000000002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33.700000000000003</v>
      </c>
      <c r="C29" s="26">
        <f t="shared" si="11"/>
        <v>46.1</v>
      </c>
      <c r="D29" s="26">
        <f>_xlfn.FLOOR.MATH(E20/D20)</f>
        <v>4019</v>
      </c>
      <c r="E29" s="26">
        <f t="shared" si="13"/>
        <v>49835.599999999991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29.8</v>
      </c>
      <c r="C30" s="26">
        <f t="shared" si="11"/>
        <v>40.799999999999997</v>
      </c>
      <c r="D30" s="26">
        <f>_xlfn.FLOOR.MATH(E21/D21)</f>
        <v>0</v>
      </c>
      <c r="E30" s="26">
        <f t="shared" si="13"/>
        <v>0</v>
      </c>
      <c r="F30" s="26"/>
      <c r="G30" s="26"/>
    </row>
    <row r="31" spans="1:7" x14ac:dyDescent="0.25">
      <c r="A31" s="1" t="s">
        <v>39</v>
      </c>
      <c r="B31" s="26"/>
      <c r="C31" s="26"/>
      <c r="D31" s="26"/>
      <c r="E31" s="26">
        <f>SUM(E25:E30)</f>
        <v>340924</v>
      </c>
      <c r="F31" s="26">
        <f>'исходные данные'!G4</f>
        <v>319384</v>
      </c>
      <c r="G31" s="27">
        <f>E31-F31</f>
        <v>21540</v>
      </c>
    </row>
    <row r="34" spans="1:8" x14ac:dyDescent="0.25">
      <c r="A34" s="17" t="s">
        <v>40</v>
      </c>
    </row>
    <row r="35" spans="1:8" x14ac:dyDescent="0.25">
      <c r="A35" t="s">
        <v>35</v>
      </c>
    </row>
    <row r="36" spans="1:8" ht="30" x14ac:dyDescent="0.25">
      <c r="A36" s="2" t="str">
        <f>A5</f>
        <v>Продукт</v>
      </c>
      <c r="B36" s="2" t="str">
        <f t="shared" ref="B36:G36" si="14">B5</f>
        <v>Перемен. затраты (р.)</v>
      </c>
      <c r="C36" s="2" t="str">
        <f t="shared" si="14"/>
        <v>Цена (р.)</v>
      </c>
      <c r="D36" s="2" t="str">
        <f t="shared" si="14"/>
        <v>Загрузка узкого места (маш.-час)</v>
      </c>
      <c r="E36" s="2" t="str">
        <f t="shared" si="14"/>
        <v>Маржинальная прибыль (р.)</v>
      </c>
      <c r="F36" s="2" t="str">
        <f t="shared" si="14"/>
        <v>Марж. прибыль на ед. узкого места (р./маш.-час)</v>
      </c>
      <c r="G36" s="2" t="str">
        <f t="shared" si="14"/>
        <v>Ранг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5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6">C38-B38</f>
        <v>8.3000000000000007</v>
      </c>
      <c r="F38" s="3">
        <f t="shared" ref="F38:F42" si="17">E38/D38</f>
        <v>2.4411764705882355</v>
      </c>
      <c r="G38" s="1">
        <f t="shared" ref="G38:G42" si="18">_xlfn.RANK.EQ(F38,$F$37:$F$42)</f>
        <v>6</v>
      </c>
      <c r="H38" t="str">
        <f t="shared" si="15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6"/>
        <v>15.900000000000002</v>
      </c>
      <c r="F39" s="3">
        <f t="shared" si="17"/>
        <v>4.6764705882352953</v>
      </c>
      <c r="G39" s="1">
        <f t="shared" si="18"/>
        <v>2</v>
      </c>
      <c r="H39" t="str">
        <f t="shared" si="15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6"/>
        <v>19.300000000000004</v>
      </c>
      <c r="F40" s="3">
        <f t="shared" si="17"/>
        <v>6.655172413793105</v>
      </c>
      <c r="G40" s="1">
        <f t="shared" si="18"/>
        <v>1</v>
      </c>
      <c r="H40" t="str">
        <f t="shared" si="15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6"/>
        <v>8.6999999999999993</v>
      </c>
      <c r="F41" s="3">
        <f t="shared" si="17"/>
        <v>4.5789473684210522</v>
      </c>
      <c r="G41" s="1">
        <f t="shared" si="18"/>
        <v>3</v>
      </c>
      <c r="H41" t="str">
        <f t="shared" si="15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6"/>
        <v>9.3000000000000007</v>
      </c>
      <c r="F42" s="3">
        <f t="shared" si="17"/>
        <v>2.90625</v>
      </c>
      <c r="G42" s="1">
        <f t="shared" si="18"/>
        <v>5</v>
      </c>
      <c r="H42" t="str">
        <f t="shared" si="15"/>
        <v>F</v>
      </c>
    </row>
    <row r="44" spans="1:8" x14ac:dyDescent="0.25">
      <c r="A44" t="s">
        <v>36</v>
      </c>
    </row>
    <row r="45" spans="1:8" ht="30" x14ac:dyDescent="0.25">
      <c r="A45" s="2" t="str">
        <f>A14</f>
        <v>Ранг</v>
      </c>
      <c r="B45" s="2" t="str">
        <f t="shared" ref="B45:G45" si="19">B14</f>
        <v>Продукт</v>
      </c>
      <c r="C45" s="2" t="str">
        <f t="shared" si="19"/>
        <v>План. объём прод. (шт.)</v>
      </c>
      <c r="D45" s="2" t="str">
        <f t="shared" si="19"/>
        <v>Загрузка узкго места (маш.-час)</v>
      </c>
      <c r="E45" s="2" t="str">
        <f t="shared" si="19"/>
        <v>Скорректированный объём прод. (маш.-час)</v>
      </c>
      <c r="F45" s="2" t="str">
        <f t="shared" si="19"/>
        <v>Остаток узкого места (маш.-час)</v>
      </c>
      <c r="G45" s="2" t="str">
        <f t="shared" si="19"/>
        <v>Оптим. объём прод. (шт.)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20">IF(F46&gt;=C47*D47,C47*D47,F46)</f>
        <v>12011.8</v>
      </c>
      <c r="F47" s="26">
        <f t="shared" ref="F47:F50" si="21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22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3">VLOOKUP(B48,$A$37:$D$42,4,FALSE)</f>
        <v>3.4</v>
      </c>
      <c r="E48" s="26">
        <f t="shared" si="20"/>
        <v>29495</v>
      </c>
      <c r="F48" s="26">
        <f t="shared" si="21"/>
        <v>33401.199999999997</v>
      </c>
      <c r="G48" s="26">
        <f t="shared" ref="G48:G52" si="24">D57</f>
        <v>8675</v>
      </c>
    </row>
    <row r="49" spans="1:7" x14ac:dyDescent="0.25">
      <c r="A49" s="1">
        <v>3</v>
      </c>
      <c r="B49" s="16" t="str">
        <f t="shared" si="22"/>
        <v>E</v>
      </c>
      <c r="C49" s="28">
        <f>VLOOKUP('прибыль проектов'!B49,'исходные данные'!$A$20:$B$25,2,FALSE)</f>
        <v>8599</v>
      </c>
      <c r="D49" s="26">
        <f t="shared" si="23"/>
        <v>1.9</v>
      </c>
      <c r="E49" s="26">
        <f t="shared" si="20"/>
        <v>16338.099999999999</v>
      </c>
      <c r="F49" s="26">
        <f t="shared" si="21"/>
        <v>17063.099999999999</v>
      </c>
      <c r="G49" s="26">
        <f t="shared" si="24"/>
        <v>8599</v>
      </c>
    </row>
    <row r="50" spans="1:7" x14ac:dyDescent="0.25">
      <c r="A50" s="1">
        <v>4</v>
      </c>
      <c r="B50" s="16" t="str">
        <f t="shared" si="22"/>
        <v>A</v>
      </c>
      <c r="C50" s="28">
        <f>VLOOKUP('прибыль проектов'!B50,'исходные данные'!$A$20:$B$25,2,FALSE)</f>
        <v>5513</v>
      </c>
      <c r="D50" s="26">
        <f t="shared" si="23"/>
        <v>2.1</v>
      </c>
      <c r="E50" s="26">
        <f t="shared" si="20"/>
        <v>11577.300000000001</v>
      </c>
      <c r="F50" s="26">
        <f t="shared" si="21"/>
        <v>5485.7999999999975</v>
      </c>
      <c r="G50" s="26">
        <f t="shared" si="24"/>
        <v>5513</v>
      </c>
    </row>
    <row r="51" spans="1:7" x14ac:dyDescent="0.25">
      <c r="A51" s="1">
        <v>5</v>
      </c>
      <c r="B51" s="16" t="str">
        <f t="shared" si="22"/>
        <v>F</v>
      </c>
      <c r="C51" s="28">
        <f>VLOOKUP('прибыль проектов'!B51,'исходные данные'!$A$20:$B$25,2,FALSE)</f>
        <v>2375</v>
      </c>
      <c r="D51" s="26">
        <f t="shared" si="23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4"/>
        <v>1714</v>
      </c>
    </row>
    <row r="52" spans="1:7" x14ac:dyDescent="0.25">
      <c r="A52" s="1">
        <v>6</v>
      </c>
      <c r="B52" s="16" t="str">
        <f t="shared" si="22"/>
        <v>B</v>
      </c>
      <c r="C52" s="28">
        <f>VLOOKUP('прибыль проектов'!B52,'исходные данные'!$A$20:$B$25,2,FALSE)</f>
        <v>6795</v>
      </c>
      <c r="D52" s="26">
        <f t="shared" si="23"/>
        <v>3.4</v>
      </c>
      <c r="E52" s="26">
        <f>IF(F51&gt;=C52*D52,C52*D52,F51)</f>
        <v>0</v>
      </c>
      <c r="F52" s="26">
        <f t="shared" ref="F52" si="25">IF(F51&gt;=E52,F51-E52,0)</f>
        <v>0</v>
      </c>
      <c r="G52" s="26">
        <f t="shared" si="24"/>
        <v>0</v>
      </c>
    </row>
    <row r="54" spans="1:7" x14ac:dyDescent="0.25">
      <c r="A54" t="s">
        <v>38</v>
      </c>
    </row>
    <row r="55" spans="1:7" ht="30" x14ac:dyDescent="0.25">
      <c r="A55" s="2" t="str">
        <f>A24</f>
        <v>Продукт</v>
      </c>
      <c r="B55" s="2" t="str">
        <f t="shared" ref="B55:G55" si="26">B24</f>
        <v>Перемен. затраты (р.)</v>
      </c>
      <c r="C55" s="2" t="str">
        <f t="shared" si="26"/>
        <v>Цена (р.)</v>
      </c>
      <c r="D55" s="2" t="str">
        <f t="shared" si="26"/>
        <v>Объём продаж (шт.)</v>
      </c>
      <c r="E55" s="2" t="str">
        <f t="shared" si="26"/>
        <v>Суммарная маржинальная прибыль (р.)</v>
      </c>
      <c r="F55" s="2" t="str">
        <f t="shared" si="26"/>
        <v>Постоянные затраты (р.)</v>
      </c>
      <c r="G55" s="2" t="str">
        <f t="shared" si="26"/>
        <v>Общая прибыль (р.)</v>
      </c>
    </row>
    <row r="56" spans="1:7" x14ac:dyDescent="0.25">
      <c r="A56" s="16" t="str">
        <f>B47</f>
        <v>D</v>
      </c>
      <c r="B56" s="1">
        <f>SUMIF($A$37:$A$42,A56,$B$37:$B$42)</f>
        <v>34.4</v>
      </c>
      <c r="C56" s="28">
        <f>SUMIF($A$37:$A$42,A56,$C$37:$C$42)</f>
        <v>53.7</v>
      </c>
      <c r="D56" s="26">
        <f t="shared" ref="D56:D59" si="27">_xlfn.FLOOR.MATH(E47/D47)</f>
        <v>4142</v>
      </c>
      <c r="E56" s="26">
        <f>(C56-B56)*D56</f>
        <v>79940.60000000002</v>
      </c>
      <c r="F56" s="26"/>
      <c r="G56" s="1"/>
    </row>
    <row r="57" spans="1:7" x14ac:dyDescent="0.25">
      <c r="A57" s="16" t="str">
        <f t="shared" ref="A57:A61" si="28">B48</f>
        <v>C</v>
      </c>
      <c r="B57" s="1">
        <f t="shared" ref="B57:B61" si="29">SUMIF($A$37:$A$42,A57,$B$37:$B$42)</f>
        <v>23.7</v>
      </c>
      <c r="C57" s="30">
        <f t="shared" ref="C57:C61" si="30">SUMIF($A$37:$A$42,A57,$C$37:$C$42)</f>
        <v>39.6</v>
      </c>
      <c r="D57" s="26">
        <f t="shared" si="27"/>
        <v>8675</v>
      </c>
      <c r="E57" s="26">
        <f t="shared" ref="E57:E61" si="31">(C57-B57)*D57</f>
        <v>137932.50000000003</v>
      </c>
      <c r="F57" s="26"/>
      <c r="G57" s="1"/>
    </row>
    <row r="58" spans="1:7" x14ac:dyDescent="0.25">
      <c r="A58" s="16" t="str">
        <f t="shared" si="28"/>
        <v>E</v>
      </c>
      <c r="B58" s="1">
        <f t="shared" si="29"/>
        <v>21.3</v>
      </c>
      <c r="C58" s="30">
        <f t="shared" si="30"/>
        <v>30</v>
      </c>
      <c r="D58" s="26">
        <f t="shared" si="27"/>
        <v>8599</v>
      </c>
      <c r="E58" s="26">
        <f t="shared" si="31"/>
        <v>74811.299999999988</v>
      </c>
      <c r="F58" s="26"/>
      <c r="G58" s="1"/>
    </row>
    <row r="59" spans="1:7" x14ac:dyDescent="0.25">
      <c r="A59" s="16" t="str">
        <f t="shared" si="28"/>
        <v>A</v>
      </c>
      <c r="B59" s="1">
        <f t="shared" si="29"/>
        <v>32.700000000000003</v>
      </c>
      <c r="C59" s="30">
        <f t="shared" si="30"/>
        <v>40.1</v>
      </c>
      <c r="D59" s="26">
        <f t="shared" si="27"/>
        <v>5513</v>
      </c>
      <c r="E59" s="26">
        <f t="shared" si="31"/>
        <v>40796.19999999999</v>
      </c>
      <c r="F59" s="26"/>
      <c r="G59" s="1"/>
    </row>
    <row r="60" spans="1:7" x14ac:dyDescent="0.25">
      <c r="A60" s="16" t="str">
        <f t="shared" si="28"/>
        <v>F</v>
      </c>
      <c r="B60" s="1">
        <f t="shared" si="29"/>
        <v>22.2</v>
      </c>
      <c r="C60" s="30">
        <f t="shared" si="30"/>
        <v>31.5</v>
      </c>
      <c r="D60" s="26">
        <f>_xlfn.FLOOR.MATH(E51/D51)</f>
        <v>1714</v>
      </c>
      <c r="E60" s="26">
        <f t="shared" si="31"/>
        <v>15940.2</v>
      </c>
      <c r="F60" s="26"/>
      <c r="G60" s="1"/>
    </row>
    <row r="61" spans="1:7" x14ac:dyDescent="0.25">
      <c r="A61" s="16" t="str">
        <f t="shared" si="28"/>
        <v>B</v>
      </c>
      <c r="B61" s="1">
        <f t="shared" si="29"/>
        <v>28.7</v>
      </c>
      <c r="C61" s="30">
        <f t="shared" si="30"/>
        <v>37</v>
      </c>
      <c r="D61" s="26">
        <f>_xlfn.FLOOR.MATH(E52/D52)</f>
        <v>0</v>
      </c>
      <c r="E61" s="26">
        <f t="shared" si="31"/>
        <v>0</v>
      </c>
      <c r="F61" s="26"/>
      <c r="G61" s="1"/>
    </row>
    <row r="62" spans="1:7" x14ac:dyDescent="0.25">
      <c r="A62" s="1" t="s">
        <v>39</v>
      </c>
      <c r="B62" s="1"/>
      <c r="C62" s="1"/>
      <c r="D62" s="26"/>
      <c r="E62" s="26">
        <f>SUM(E56:E61)</f>
        <v>349420.80000000005</v>
      </c>
      <c r="F62" s="26">
        <f>'исходные данные'!H4</f>
        <v>312970</v>
      </c>
      <c r="G62" s="27">
        <f>E62-F62</f>
        <v>36450.800000000047</v>
      </c>
    </row>
    <row r="65" spans="1:8" x14ac:dyDescent="0.25">
      <c r="A65" s="17" t="s">
        <v>42</v>
      </c>
    </row>
    <row r="66" spans="1:8" x14ac:dyDescent="0.25">
      <c r="A66" t="s">
        <v>35</v>
      </c>
    </row>
    <row r="67" spans="1:8" ht="30" x14ac:dyDescent="0.25">
      <c r="A67" s="2" t="str">
        <f>A5</f>
        <v>Продукт</v>
      </c>
      <c r="B67" s="2" t="str">
        <f t="shared" ref="B67:G67" si="32">B5</f>
        <v>Перемен. затраты (р.)</v>
      </c>
      <c r="C67" s="2" t="str">
        <f t="shared" si="32"/>
        <v>Цена (р.)</v>
      </c>
      <c r="D67" s="2" t="str">
        <f t="shared" si="32"/>
        <v>Загрузка узкого места (маш.-час)</v>
      </c>
      <c r="E67" s="2" t="str">
        <f t="shared" si="32"/>
        <v>Маржинальная прибыль (р.)</v>
      </c>
      <c r="F67" s="2" t="str">
        <f t="shared" si="32"/>
        <v>Марж. прибыль на ед. узкого места (р./маш.-час)</v>
      </c>
      <c r="G67" s="2" t="str">
        <f t="shared" si="32"/>
        <v>Ранг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33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4">C69-B69</f>
        <v>19.199999999999996</v>
      </c>
      <c r="F69" s="26">
        <f t="shared" ref="F69:F73" si="35">E69/D69</f>
        <v>8.7272727272727249</v>
      </c>
      <c r="G69" s="1">
        <f t="shared" ref="G69:G73" si="36">_xlfn.RANK.EQ(F69,$F$68:$F$73)</f>
        <v>2</v>
      </c>
      <c r="H69" t="str">
        <f t="shared" si="33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4"/>
        <v>6.2000000000000028</v>
      </c>
      <c r="F70" s="26">
        <f t="shared" si="35"/>
        <v>5.1666666666666696</v>
      </c>
      <c r="G70" s="1">
        <f t="shared" si="36"/>
        <v>6</v>
      </c>
      <c r="H70" t="str">
        <f t="shared" si="33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4"/>
        <v>10.800000000000004</v>
      </c>
      <c r="F71" s="26">
        <f t="shared" si="35"/>
        <v>7.2000000000000028</v>
      </c>
      <c r="G71" s="1">
        <f t="shared" si="36"/>
        <v>4</v>
      </c>
      <c r="H71" t="str">
        <f t="shared" si="33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4"/>
        <v>18.400000000000002</v>
      </c>
      <c r="F72" s="26">
        <f t="shared" si="35"/>
        <v>16.727272727272727</v>
      </c>
      <c r="G72" s="1">
        <f t="shared" si="36"/>
        <v>1</v>
      </c>
      <c r="H72" t="str">
        <f t="shared" si="33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4"/>
        <v>18.799999999999997</v>
      </c>
      <c r="F73" s="26">
        <f t="shared" si="35"/>
        <v>7.5199999999999987</v>
      </c>
      <c r="G73" s="1">
        <f t="shared" si="36"/>
        <v>3</v>
      </c>
      <c r="H73" t="str">
        <f t="shared" si="33"/>
        <v>F</v>
      </c>
    </row>
    <row r="75" spans="1:8" x14ac:dyDescent="0.25">
      <c r="A75" t="s">
        <v>36</v>
      </c>
    </row>
    <row r="76" spans="1:8" ht="30" x14ac:dyDescent="0.25">
      <c r="A76" s="2" t="str">
        <f>A14</f>
        <v>Ранг</v>
      </c>
      <c r="B76" s="2" t="str">
        <f t="shared" ref="B76:G76" si="37">B14</f>
        <v>Продукт</v>
      </c>
      <c r="C76" s="2" t="str">
        <f t="shared" si="37"/>
        <v>План. объём прод. (шт.)</v>
      </c>
      <c r="D76" s="2" t="str">
        <f t="shared" si="37"/>
        <v>Загрузка узкго места (маш.-час)</v>
      </c>
      <c r="E76" s="2" t="str">
        <f t="shared" si="37"/>
        <v>Скорректированный объём прод. (маш.-час)</v>
      </c>
      <c r="F76" s="2" t="str">
        <f t="shared" si="37"/>
        <v>Остаток узкого места (маш.-час)</v>
      </c>
      <c r="G76" s="2" t="str">
        <f t="shared" si="37"/>
        <v>Оптим. объём прод. (шт.)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8">IF(F77&gt;=C78*D78,C78*D78,F77)</f>
        <v>7395.3</v>
      </c>
      <c r="F78" s="26">
        <f t="shared" ref="F78:F81" si="39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40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41">VLOOKUP(B79,$A$68:$D$73,4,FALSE)</f>
        <v>2.2000000000000002</v>
      </c>
      <c r="E79" s="26">
        <f t="shared" si="38"/>
        <v>18785.800000000003</v>
      </c>
      <c r="F79" s="26">
        <f t="shared" si="39"/>
        <v>11940.899999999998</v>
      </c>
      <c r="G79" s="26">
        <f t="shared" ref="G79:G83" si="42">D88</f>
        <v>8539</v>
      </c>
    </row>
    <row r="80" spans="1:8" x14ac:dyDescent="0.25">
      <c r="A80" s="1">
        <v>3</v>
      </c>
      <c r="B80" s="16" t="str">
        <f t="shared" si="40"/>
        <v>F</v>
      </c>
      <c r="C80" s="26">
        <f>VLOOKUP('прибыль проектов'!B80,'исходные данные'!$A$29:$B$34,2,FALSE)</f>
        <v>8528</v>
      </c>
      <c r="D80" s="26">
        <f t="shared" si="41"/>
        <v>2.5</v>
      </c>
      <c r="E80" s="26">
        <f t="shared" si="38"/>
        <v>11940.899999999998</v>
      </c>
      <c r="F80" s="26">
        <f t="shared" si="39"/>
        <v>0</v>
      </c>
      <c r="G80" s="26">
        <f t="shared" si="42"/>
        <v>4776</v>
      </c>
    </row>
    <row r="81" spans="1:7" x14ac:dyDescent="0.25">
      <c r="A81" s="1">
        <v>4</v>
      </c>
      <c r="B81" s="16" t="str">
        <f t="shared" si="40"/>
        <v>D</v>
      </c>
      <c r="C81" s="26">
        <f>VLOOKUP('прибыль проектов'!B81,'исходные данные'!$A$29:$B$34,2,FALSE)</f>
        <v>7534</v>
      </c>
      <c r="D81" s="26">
        <f t="shared" si="41"/>
        <v>1.5</v>
      </c>
      <c r="E81" s="26">
        <f t="shared" si="38"/>
        <v>0</v>
      </c>
      <c r="F81" s="26">
        <f t="shared" si="39"/>
        <v>0</v>
      </c>
      <c r="G81" s="26">
        <f t="shared" si="42"/>
        <v>0</v>
      </c>
    </row>
    <row r="82" spans="1:7" x14ac:dyDescent="0.25">
      <c r="A82" s="1">
        <v>5</v>
      </c>
      <c r="B82" s="16" t="str">
        <f t="shared" si="40"/>
        <v>A</v>
      </c>
      <c r="C82" s="26">
        <f>VLOOKUP('прибыль проектов'!B82,'исходные данные'!$A$29:$B$34,2,FALSE)</f>
        <v>6631</v>
      </c>
      <c r="D82" s="26">
        <f t="shared" si="41"/>
        <v>1.7</v>
      </c>
      <c r="E82" s="26">
        <f>IF(F81&gt;=C82*D82,C82*D82,F81)</f>
        <v>0</v>
      </c>
      <c r="F82" s="26">
        <f>IF(F81&gt;=E82,F81-E82,0)</f>
        <v>0</v>
      </c>
      <c r="G82" s="26">
        <f t="shared" si="42"/>
        <v>0</v>
      </c>
    </row>
    <row r="83" spans="1:7" x14ac:dyDescent="0.25">
      <c r="A83" s="1">
        <v>6</v>
      </c>
      <c r="B83" s="16" t="str">
        <f t="shared" si="40"/>
        <v>C</v>
      </c>
      <c r="C83" s="26">
        <f>VLOOKUP('прибыль проектов'!B83,'исходные данные'!$A$29:$B$34,2,FALSE)</f>
        <v>3841</v>
      </c>
      <c r="D83" s="26">
        <f t="shared" si="41"/>
        <v>1.2</v>
      </c>
      <c r="E83" s="26">
        <f>IF(F82&gt;=C83*D83,C83*D83,F82)</f>
        <v>0</v>
      </c>
      <c r="F83" s="26">
        <f t="shared" ref="F83" si="43">IF(F82&gt;=E83,F82-E83,0)</f>
        <v>0</v>
      </c>
      <c r="G83" s="26">
        <f t="shared" si="42"/>
        <v>0</v>
      </c>
    </row>
    <row r="85" spans="1:7" x14ac:dyDescent="0.25">
      <c r="A85" t="s">
        <v>38</v>
      </c>
    </row>
    <row r="86" spans="1:7" ht="30" x14ac:dyDescent="0.25">
      <c r="A86" s="2" t="str">
        <f>A24</f>
        <v>Продукт</v>
      </c>
      <c r="B86" s="2" t="str">
        <f t="shared" ref="B86:G86" si="44">B24</f>
        <v>Перемен. затраты (р.)</v>
      </c>
      <c r="C86" s="2" t="str">
        <f t="shared" si="44"/>
        <v>Цена (р.)</v>
      </c>
      <c r="D86" s="2" t="str">
        <f t="shared" si="44"/>
        <v>Объём продаж (шт.)</v>
      </c>
      <c r="E86" s="2" t="str">
        <f t="shared" si="44"/>
        <v>Суммарная маржинальная прибыль (р.)</v>
      </c>
      <c r="F86" s="2" t="str">
        <f t="shared" si="44"/>
        <v>Постоянные затраты (р.)</v>
      </c>
      <c r="G86" s="2" t="str">
        <f t="shared" si="44"/>
        <v>Общая прибыль (р.)</v>
      </c>
    </row>
    <row r="87" spans="1:7" x14ac:dyDescent="0.25">
      <c r="A87" s="16" t="str">
        <f>B78</f>
        <v>E</v>
      </c>
      <c r="B87" s="26">
        <f>SUMIF($A$68:$A$73,A87,$B$68:$B$73)</f>
        <v>22.8</v>
      </c>
      <c r="C87" s="26">
        <f>SUMIF($A$68:$A$73,A87,$C$68:$C$73)</f>
        <v>41.2</v>
      </c>
      <c r="D87" s="26">
        <f t="shared" ref="D87:D90" si="45">_xlfn.FLOOR.MATH(E78/D78)</f>
        <v>6723</v>
      </c>
      <c r="E87" s="26">
        <f>(C87-B87)*D87</f>
        <v>123703.20000000001</v>
      </c>
      <c r="F87" s="26"/>
      <c r="G87" s="26"/>
    </row>
    <row r="88" spans="1:7" x14ac:dyDescent="0.25">
      <c r="A88" s="16" t="str">
        <f t="shared" ref="A88:A92" si="46">B79</f>
        <v>B</v>
      </c>
      <c r="B88" s="26">
        <f t="shared" ref="B88:B92" si="47">SUMIF($A$68:$A$73,A88,$B$68:$B$73)</f>
        <v>34.700000000000003</v>
      </c>
      <c r="C88" s="26">
        <f t="shared" ref="C88:C92" si="48">SUMIF($A$68:$A$73,A88,$C$68:$C$73)</f>
        <v>53.9</v>
      </c>
      <c r="D88" s="26">
        <f t="shared" si="45"/>
        <v>8539</v>
      </c>
      <c r="E88" s="26">
        <f t="shared" ref="E88:E92" si="49">(C88-B88)*D88</f>
        <v>163948.79999999996</v>
      </c>
      <c r="F88" s="26"/>
      <c r="G88" s="26"/>
    </row>
    <row r="89" spans="1:7" x14ac:dyDescent="0.25">
      <c r="A89" s="16" t="str">
        <f t="shared" si="46"/>
        <v>F</v>
      </c>
      <c r="B89" s="26">
        <f t="shared" si="47"/>
        <v>28.1</v>
      </c>
      <c r="C89" s="26">
        <f t="shared" si="48"/>
        <v>46.9</v>
      </c>
      <c r="D89" s="26">
        <f t="shared" si="45"/>
        <v>4776</v>
      </c>
      <c r="E89" s="26">
        <f t="shared" si="49"/>
        <v>89788.799999999988</v>
      </c>
      <c r="F89" s="26"/>
      <c r="G89" s="26"/>
    </row>
    <row r="90" spans="1:7" x14ac:dyDescent="0.25">
      <c r="A90" s="16" t="str">
        <f t="shared" si="46"/>
        <v>D</v>
      </c>
      <c r="B90" s="26">
        <f t="shared" si="47"/>
        <v>28.9</v>
      </c>
      <c r="C90" s="26">
        <f t="shared" si="48"/>
        <v>39.700000000000003</v>
      </c>
      <c r="D90" s="26">
        <f t="shared" si="45"/>
        <v>0</v>
      </c>
      <c r="E90" s="26">
        <f t="shared" si="49"/>
        <v>0</v>
      </c>
      <c r="F90" s="26"/>
      <c r="G90" s="26"/>
    </row>
    <row r="91" spans="1:7" x14ac:dyDescent="0.25">
      <c r="A91" s="16" t="str">
        <f t="shared" si="46"/>
        <v>A</v>
      </c>
      <c r="B91" s="26">
        <f t="shared" si="47"/>
        <v>25</v>
      </c>
      <c r="C91" s="26">
        <f t="shared" si="48"/>
        <v>37.1</v>
      </c>
      <c r="D91" s="26">
        <f>_xlfn.FLOOR.MATH(E82/D82)</f>
        <v>0</v>
      </c>
      <c r="E91" s="26">
        <f t="shared" si="49"/>
        <v>0</v>
      </c>
      <c r="F91" s="26"/>
      <c r="G91" s="26"/>
    </row>
    <row r="92" spans="1:7" x14ac:dyDescent="0.25">
      <c r="A92" s="16" t="str">
        <f t="shared" si="46"/>
        <v>C</v>
      </c>
      <c r="B92" s="26">
        <f t="shared" si="47"/>
        <v>26.5</v>
      </c>
      <c r="C92" s="26">
        <f t="shared" si="48"/>
        <v>32.700000000000003</v>
      </c>
      <c r="D92" s="26">
        <f>_xlfn.FLOOR.MATH(E83/D83)</f>
        <v>0</v>
      </c>
      <c r="E92" s="26">
        <f t="shared" si="49"/>
        <v>0</v>
      </c>
      <c r="F92" s="26"/>
      <c r="G92" s="26"/>
    </row>
    <row r="93" spans="1:7" x14ac:dyDescent="0.25">
      <c r="A93" s="1" t="s">
        <v>39</v>
      </c>
      <c r="B93" s="26"/>
      <c r="C93" s="26"/>
      <c r="D93" s="26"/>
      <c r="E93" s="26">
        <f>SUM(E87:E92)</f>
        <v>377440.8</v>
      </c>
      <c r="F93" s="26">
        <f>'исходные данные'!I4</f>
        <v>346866</v>
      </c>
      <c r="G93" s="27">
        <f>E93-F93</f>
        <v>30574.799999999988</v>
      </c>
    </row>
    <row r="96" spans="1:7" x14ac:dyDescent="0.25">
      <c r="A96" s="17" t="s">
        <v>43</v>
      </c>
    </row>
    <row r="97" spans="1:8" x14ac:dyDescent="0.25">
      <c r="A97" t="s">
        <v>35</v>
      </c>
    </row>
    <row r="98" spans="1:8" ht="30" x14ac:dyDescent="0.25">
      <c r="A98" s="2" t="str">
        <f>A5</f>
        <v>Продукт</v>
      </c>
      <c r="B98" s="2" t="str">
        <f t="shared" ref="B98:G98" si="50">B5</f>
        <v>Перемен. затраты (р.)</v>
      </c>
      <c r="C98" s="2" t="str">
        <f t="shared" si="50"/>
        <v>Цена (р.)</v>
      </c>
      <c r="D98" s="2" t="str">
        <f t="shared" si="50"/>
        <v>Загрузка узкого места (маш.-час)</v>
      </c>
      <c r="E98" s="2" t="str">
        <f t="shared" si="50"/>
        <v>Маржинальная прибыль (р.)</v>
      </c>
      <c r="F98" s="2" t="str">
        <f t="shared" si="50"/>
        <v>Марж. прибыль на ед. узкого места (р./маш.-час)</v>
      </c>
      <c r="G98" s="2" t="str">
        <f t="shared" si="50"/>
        <v>Ранг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51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52">C100-B100</f>
        <v>16.899999999999999</v>
      </c>
      <c r="F100" s="26">
        <f t="shared" ref="F100:F104" si="53">E100/D100</f>
        <v>9.9411764705882355</v>
      </c>
      <c r="G100" s="1">
        <f t="shared" ref="G100:G104" si="54">_xlfn.RANK.EQ(F100,$F$99:$F$104)</f>
        <v>1</v>
      </c>
      <c r="H100" t="str">
        <f t="shared" si="51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52"/>
        <v>17.100000000000001</v>
      </c>
      <c r="F101" s="26">
        <f t="shared" si="53"/>
        <v>8.1428571428571423</v>
      </c>
      <c r="G101" s="1">
        <f t="shared" si="54"/>
        <v>3</v>
      </c>
      <c r="H101" t="str">
        <f t="shared" si="51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52"/>
        <v>17.100000000000001</v>
      </c>
      <c r="F102" s="26">
        <f t="shared" si="53"/>
        <v>9.0000000000000018</v>
      </c>
      <c r="G102" s="1">
        <f t="shared" si="54"/>
        <v>2</v>
      </c>
      <c r="H102" t="str">
        <f t="shared" si="51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52"/>
        <v>14.199999999999996</v>
      </c>
      <c r="F103" s="26">
        <f t="shared" si="53"/>
        <v>4.4374999999999982</v>
      </c>
      <c r="G103" s="1">
        <f t="shared" si="54"/>
        <v>5</v>
      </c>
      <c r="H103" t="str">
        <f t="shared" si="51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52"/>
        <v>7</v>
      </c>
      <c r="F104" s="26">
        <f t="shared" si="53"/>
        <v>2.5925925925925926</v>
      </c>
      <c r="G104" s="1">
        <f t="shared" si="54"/>
        <v>6</v>
      </c>
      <c r="H104" t="str">
        <f t="shared" si="51"/>
        <v>F</v>
      </c>
    </row>
    <row r="106" spans="1:8" x14ac:dyDescent="0.25">
      <c r="A106" t="s">
        <v>36</v>
      </c>
    </row>
    <row r="107" spans="1:8" ht="30" x14ac:dyDescent="0.25">
      <c r="A107" s="2" t="str">
        <f>A14</f>
        <v>Ранг</v>
      </c>
      <c r="B107" s="2" t="str">
        <f t="shared" ref="B107:G107" si="55">B14</f>
        <v>Продукт</v>
      </c>
      <c r="C107" s="2" t="str">
        <f t="shared" si="55"/>
        <v>План. объём прод. (шт.)</v>
      </c>
      <c r="D107" s="2" t="str">
        <f t="shared" si="55"/>
        <v>Загрузка узкго места (маш.-час)</v>
      </c>
      <c r="E107" s="2" t="str">
        <f t="shared" si="55"/>
        <v>Скорректированный объём прод. (маш.-час)</v>
      </c>
      <c r="F107" s="2" t="str">
        <f t="shared" si="55"/>
        <v>Остаток узкого места (маш.-час)</v>
      </c>
      <c r="G107" s="2" t="str">
        <f t="shared" si="55"/>
        <v>Оптим. объём прод. (шт.)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56">IF(F108&gt;=C109*D109,C109*D109,F108)</f>
        <v>8311.2999999999993</v>
      </c>
      <c r="F109" s="26">
        <f t="shared" ref="F109:F112" si="57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8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9">VLOOKUP(B110,$A$99:$D$104,4,FALSE)</f>
        <v>1.9</v>
      </c>
      <c r="E110" s="26">
        <f t="shared" si="56"/>
        <v>3822.7999999999997</v>
      </c>
      <c r="F110" s="26">
        <f t="shared" si="57"/>
        <v>34316.899999999994</v>
      </c>
      <c r="G110" s="26">
        <f t="shared" ref="G110:G114" si="60">D119</f>
        <v>2012</v>
      </c>
    </row>
    <row r="111" spans="1:8" x14ac:dyDescent="0.25">
      <c r="A111" s="1">
        <v>3</v>
      </c>
      <c r="B111" s="16" t="str">
        <f t="shared" si="58"/>
        <v>C</v>
      </c>
      <c r="C111" s="26">
        <f>VLOOKUP('прибыль проектов'!B111,'исходные данные'!$A$38:$B$43,2,FALSE)</f>
        <v>7365</v>
      </c>
      <c r="D111" s="26">
        <f t="shared" si="59"/>
        <v>2.1</v>
      </c>
      <c r="E111" s="26">
        <f t="shared" si="56"/>
        <v>15466.5</v>
      </c>
      <c r="F111" s="26">
        <f t="shared" si="57"/>
        <v>18850.399999999994</v>
      </c>
      <c r="G111" s="26">
        <f t="shared" si="60"/>
        <v>7365</v>
      </c>
    </row>
    <row r="112" spans="1:8" x14ac:dyDescent="0.25">
      <c r="A112" s="1">
        <v>4</v>
      </c>
      <c r="B112" s="16" t="str">
        <f t="shared" si="58"/>
        <v>A</v>
      </c>
      <c r="C112" s="26">
        <f>VLOOKUP('прибыль проектов'!B112,'исходные данные'!$A$38:$B$43,2,FALSE)</f>
        <v>6603</v>
      </c>
      <c r="D112" s="26">
        <f t="shared" si="59"/>
        <v>1.5</v>
      </c>
      <c r="E112" s="26">
        <f t="shared" si="56"/>
        <v>9904.5</v>
      </c>
      <c r="F112" s="26">
        <f t="shared" si="57"/>
        <v>8945.8999999999942</v>
      </c>
      <c r="G112" s="26">
        <f t="shared" si="60"/>
        <v>6603</v>
      </c>
    </row>
    <row r="113" spans="1:7" x14ac:dyDescent="0.25">
      <c r="A113" s="1">
        <v>5</v>
      </c>
      <c r="B113" s="16" t="str">
        <f t="shared" si="58"/>
        <v>E</v>
      </c>
      <c r="C113" s="26">
        <f>VLOOKUP('прибыль проектов'!B113,'исходные данные'!$A$38:$B$43,2,FALSE)</f>
        <v>7387</v>
      </c>
      <c r="D113" s="26">
        <f t="shared" si="59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60"/>
        <v>2795</v>
      </c>
    </row>
    <row r="114" spans="1:7" x14ac:dyDescent="0.25">
      <c r="A114" s="1">
        <v>6</v>
      </c>
      <c r="B114" s="16" t="str">
        <f t="shared" si="58"/>
        <v>F</v>
      </c>
      <c r="C114" s="26">
        <f>VLOOKUP('прибыль проектов'!B114,'исходные данные'!$A$38:$B$43,2,FALSE)</f>
        <v>7181</v>
      </c>
      <c r="D114" s="26">
        <f t="shared" si="59"/>
        <v>2.7</v>
      </c>
      <c r="E114" s="26">
        <f>IF(F113&gt;=C114*D114,C114*D114,F113)</f>
        <v>0</v>
      </c>
      <c r="F114" s="26">
        <f t="shared" ref="F114" si="61">IF(F113&gt;=E114,F113-E114,0)</f>
        <v>0</v>
      </c>
      <c r="G114" s="26">
        <f t="shared" si="60"/>
        <v>0</v>
      </c>
    </row>
    <row r="116" spans="1:7" x14ac:dyDescent="0.25">
      <c r="A116" t="s">
        <v>38</v>
      </c>
    </row>
    <row r="117" spans="1:7" ht="30" x14ac:dyDescent="0.25">
      <c r="A117" s="2" t="str">
        <f>A24</f>
        <v>Продукт</v>
      </c>
      <c r="B117" s="2" t="str">
        <f t="shared" ref="B117:G117" si="62">B24</f>
        <v>Перемен. затраты (р.)</v>
      </c>
      <c r="C117" s="2" t="str">
        <f t="shared" si="62"/>
        <v>Цена (р.)</v>
      </c>
      <c r="D117" s="2" t="str">
        <f t="shared" si="62"/>
        <v>Объём продаж (шт.)</v>
      </c>
      <c r="E117" s="2" t="str">
        <f t="shared" si="62"/>
        <v>Суммарная маржинальная прибыль (р.)</v>
      </c>
      <c r="F117" s="2" t="str">
        <f t="shared" si="62"/>
        <v>Постоянные затраты (р.)</v>
      </c>
      <c r="G117" s="2" t="str">
        <f t="shared" si="62"/>
        <v>Общая прибыль (р.)</v>
      </c>
    </row>
    <row r="118" spans="1:7" x14ac:dyDescent="0.25">
      <c r="A118" s="16" t="str">
        <f>B109</f>
        <v>B</v>
      </c>
      <c r="B118" s="26">
        <f>SUMIF($A$99:$A$104,A118,$B$99:$B$104)</f>
        <v>21</v>
      </c>
      <c r="C118" s="26">
        <f>SUMIF($A$99:$A$104,A118,$C$99:$C$104)</f>
        <v>37.9</v>
      </c>
      <c r="D118" s="26">
        <f t="shared" ref="D118:D121" si="63">_xlfn.FLOOR.MATH(E109/D109)</f>
        <v>4889</v>
      </c>
      <c r="E118" s="26">
        <f>(C118-B118)*D118</f>
        <v>82624.099999999991</v>
      </c>
      <c r="F118" s="26"/>
      <c r="G118" s="26"/>
    </row>
    <row r="119" spans="1:7" x14ac:dyDescent="0.25">
      <c r="A119" s="16" t="str">
        <f t="shared" ref="A119:A123" si="64">B110</f>
        <v>D</v>
      </c>
      <c r="B119" s="26">
        <f t="shared" ref="B119:B123" si="65">SUMIF($A$99:$A$104,A119,$B$99:$B$104)</f>
        <v>33.799999999999997</v>
      </c>
      <c r="C119" s="26">
        <f t="shared" ref="C119:C123" si="66">SUMIF($A$99:$A$104,A119,$C$99:$C$104)</f>
        <v>50.9</v>
      </c>
      <c r="D119" s="26">
        <f t="shared" si="63"/>
        <v>2012</v>
      </c>
      <c r="E119" s="26">
        <f t="shared" ref="E119:E123" si="67">(C119-B119)*D119</f>
        <v>34405.200000000004</v>
      </c>
      <c r="F119" s="26"/>
      <c r="G119" s="26"/>
    </row>
    <row r="120" spans="1:7" x14ac:dyDescent="0.25">
      <c r="A120" s="16" t="str">
        <f t="shared" si="64"/>
        <v>C</v>
      </c>
      <c r="B120" s="26">
        <f t="shared" si="65"/>
        <v>32.799999999999997</v>
      </c>
      <c r="C120" s="26">
        <f t="shared" si="66"/>
        <v>49.9</v>
      </c>
      <c r="D120" s="26">
        <f t="shared" si="63"/>
        <v>7365</v>
      </c>
      <c r="E120" s="26">
        <f t="shared" si="67"/>
        <v>125941.50000000001</v>
      </c>
      <c r="F120" s="26"/>
      <c r="G120" s="26"/>
    </row>
    <row r="121" spans="1:7" x14ac:dyDescent="0.25">
      <c r="A121" s="16" t="str">
        <f t="shared" si="64"/>
        <v>A</v>
      </c>
      <c r="B121" s="26">
        <f t="shared" si="65"/>
        <v>22</v>
      </c>
      <c r="C121" s="26">
        <f t="shared" si="66"/>
        <v>28.8</v>
      </c>
      <c r="D121" s="26">
        <f t="shared" si="63"/>
        <v>6603</v>
      </c>
      <c r="E121" s="26">
        <f t="shared" si="67"/>
        <v>44900.4</v>
      </c>
      <c r="F121" s="26"/>
      <c r="G121" s="26"/>
    </row>
    <row r="122" spans="1:7" x14ac:dyDescent="0.25">
      <c r="A122" s="16" t="str">
        <f t="shared" si="64"/>
        <v>E</v>
      </c>
      <c r="B122" s="26">
        <f t="shared" si="65"/>
        <v>33.6</v>
      </c>
      <c r="C122" s="26">
        <f t="shared" si="66"/>
        <v>47.8</v>
      </c>
      <c r="D122" s="26">
        <f>_xlfn.FLOOR.MATH(E113/D113)</f>
        <v>2795</v>
      </c>
      <c r="E122" s="26">
        <f t="shared" si="67"/>
        <v>39688.999999999985</v>
      </c>
      <c r="F122" s="26"/>
      <c r="G122" s="26"/>
    </row>
    <row r="123" spans="1:7" x14ac:dyDescent="0.25">
      <c r="A123" s="16" t="str">
        <f t="shared" si="64"/>
        <v>F</v>
      </c>
      <c r="B123" s="26">
        <f t="shared" si="65"/>
        <v>24.9</v>
      </c>
      <c r="C123" s="26">
        <f t="shared" si="66"/>
        <v>31.9</v>
      </c>
      <c r="D123" s="26">
        <f>_xlfn.FLOOR.MATH(E114/D114)</f>
        <v>0</v>
      </c>
      <c r="E123" s="26">
        <f t="shared" si="67"/>
        <v>0</v>
      </c>
      <c r="F123" s="26"/>
      <c r="G123" s="26"/>
    </row>
    <row r="124" spans="1:7" x14ac:dyDescent="0.25">
      <c r="A124" s="1" t="s">
        <v>39</v>
      </c>
      <c r="B124" s="26"/>
      <c r="C124" s="26"/>
      <c r="D124" s="26"/>
      <c r="E124" s="26">
        <f>SUM(E118:E123)</f>
        <v>327560.2</v>
      </c>
      <c r="F124" s="26">
        <f>'исходные данные'!J4</f>
        <v>297144</v>
      </c>
      <c r="G124" s="27">
        <f>E124-F124</f>
        <v>30416.200000000012</v>
      </c>
    </row>
    <row r="127" spans="1:7" x14ac:dyDescent="0.25">
      <c r="A127" s="17" t="s">
        <v>44</v>
      </c>
    </row>
    <row r="128" spans="1:7" x14ac:dyDescent="0.25">
      <c r="A128" t="s">
        <v>35</v>
      </c>
    </row>
    <row r="129" spans="1:8" ht="30" x14ac:dyDescent="0.25">
      <c r="A129" s="2" t="str">
        <f>A5</f>
        <v>Продукт</v>
      </c>
      <c r="B129" s="2" t="str">
        <f t="shared" ref="B129:G129" si="68">B5</f>
        <v>Перемен. затраты (р.)</v>
      </c>
      <c r="C129" s="2" t="str">
        <f t="shared" si="68"/>
        <v>Цена (р.)</v>
      </c>
      <c r="D129" s="2" t="str">
        <f t="shared" si="68"/>
        <v>Загрузка узкого места (маш.-час)</v>
      </c>
      <c r="E129" s="2" t="str">
        <f t="shared" si="68"/>
        <v>Маржинальная прибыль (р.)</v>
      </c>
      <c r="F129" s="2" t="str">
        <f t="shared" si="68"/>
        <v>Марж. прибыль на ед. узкого места (р./маш.-час)</v>
      </c>
      <c r="G129" s="2" t="str">
        <f t="shared" si="68"/>
        <v>Ранг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31">
        <f>_xlfn.RANK.EQ(F130,$F$130:$F$135)</f>
        <v>6</v>
      </c>
      <c r="H130" t="str">
        <f t="shared" ref="H130:H135" si="69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70">C131-B131</f>
        <v>18.600000000000001</v>
      </c>
      <c r="F131" s="26">
        <f t="shared" ref="F131:F135" si="71">E131/D131</f>
        <v>14.307692307692308</v>
      </c>
      <c r="G131" s="31">
        <f t="shared" ref="G131:G135" si="72">_xlfn.RANK.EQ(F131,$F$130:$F$135)</f>
        <v>2</v>
      </c>
      <c r="H131" t="str">
        <f t="shared" si="69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70"/>
        <v>6.9000000000000021</v>
      </c>
      <c r="F132" s="26">
        <f t="shared" si="71"/>
        <v>6.9000000000000021</v>
      </c>
      <c r="G132" s="31">
        <f t="shared" si="72"/>
        <v>4</v>
      </c>
      <c r="H132" t="str">
        <f t="shared" si="69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70"/>
        <v>18</v>
      </c>
      <c r="F133" s="26">
        <f t="shared" si="71"/>
        <v>20</v>
      </c>
      <c r="G133" s="31">
        <f t="shared" si="72"/>
        <v>1</v>
      </c>
      <c r="H133" t="str">
        <f t="shared" si="69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70"/>
        <v>15.300000000000004</v>
      </c>
      <c r="F134" s="26">
        <f t="shared" si="71"/>
        <v>6.3750000000000018</v>
      </c>
      <c r="G134" s="31">
        <f t="shared" si="72"/>
        <v>5</v>
      </c>
      <c r="H134" t="str">
        <f t="shared" si="69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70"/>
        <v>17.799999999999997</v>
      </c>
      <c r="F135" s="26">
        <f t="shared" si="71"/>
        <v>9.3684210526315788</v>
      </c>
      <c r="G135" s="31">
        <f t="shared" si="72"/>
        <v>3</v>
      </c>
      <c r="H135" t="str">
        <f t="shared" si="69"/>
        <v>F</v>
      </c>
    </row>
    <row r="137" spans="1:8" x14ac:dyDescent="0.25">
      <c r="A137" t="s">
        <v>36</v>
      </c>
    </row>
    <row r="138" spans="1:8" ht="30" x14ac:dyDescent="0.25">
      <c r="A138" s="2" t="str">
        <f>A14</f>
        <v>Ранг</v>
      </c>
      <c r="B138" s="2" t="str">
        <f t="shared" ref="B138:G138" si="73">B14</f>
        <v>Продукт</v>
      </c>
      <c r="C138" s="2" t="str">
        <f t="shared" si="73"/>
        <v>План. объём прод. (шт.)</v>
      </c>
      <c r="D138" s="2" t="str">
        <f t="shared" si="73"/>
        <v>Загрузка узкго места (маш.-час)</v>
      </c>
      <c r="E138" s="2" t="str">
        <f t="shared" si="73"/>
        <v>Скорректированный объём прод. (маш.-час)</v>
      </c>
      <c r="F138" s="2" t="str">
        <f t="shared" si="73"/>
        <v>Остаток узкого места (маш.-час)</v>
      </c>
      <c r="G138" s="2" t="str">
        <f t="shared" si="73"/>
        <v>Оптим. объём прод. (шт.)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74">IF(F139&gt;=C140*D140,C140*D140,F139)</f>
        <v>2850.3</v>
      </c>
      <c r="F140" s="26">
        <f t="shared" ref="F140:F143" si="75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76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77">VLOOKUP(B141,$A$130:$D$135,4,FALSE)</f>
        <v>1.3</v>
      </c>
      <c r="E141" s="26">
        <f t="shared" si="74"/>
        <v>9573.2000000000007</v>
      </c>
      <c r="F141" s="26">
        <f t="shared" si="75"/>
        <v>18774.5</v>
      </c>
      <c r="G141" s="26">
        <f t="shared" ref="G141:G145" si="78">D150</f>
        <v>7364</v>
      </c>
    </row>
    <row r="142" spans="1:8" x14ac:dyDescent="0.25">
      <c r="A142" s="1">
        <v>3</v>
      </c>
      <c r="B142" s="16" t="str">
        <f t="shared" si="76"/>
        <v>F</v>
      </c>
      <c r="C142" s="26">
        <f>VLOOKUP('прибыль проектов'!B142,'исходные данные'!$A$47:$B$52,2,FALSE)</f>
        <v>5706</v>
      </c>
      <c r="D142" s="26">
        <f t="shared" si="77"/>
        <v>1.9</v>
      </c>
      <c r="E142" s="26">
        <f t="shared" si="74"/>
        <v>10841.4</v>
      </c>
      <c r="F142" s="26">
        <f t="shared" si="75"/>
        <v>7933.1</v>
      </c>
      <c r="G142" s="26">
        <f t="shared" si="78"/>
        <v>5706</v>
      </c>
    </row>
    <row r="143" spans="1:8" x14ac:dyDescent="0.25">
      <c r="A143" s="1">
        <v>4</v>
      </c>
      <c r="B143" s="16" t="str">
        <f t="shared" si="76"/>
        <v>C</v>
      </c>
      <c r="C143" s="26">
        <f>VLOOKUP('прибыль проектов'!B143,'исходные данные'!$A$47:$B$52,2,FALSE)</f>
        <v>3478</v>
      </c>
      <c r="D143" s="26">
        <f t="shared" si="77"/>
        <v>1</v>
      </c>
      <c r="E143" s="26">
        <f t="shared" si="74"/>
        <v>3478</v>
      </c>
      <c r="F143" s="26">
        <f t="shared" si="75"/>
        <v>4455.1000000000004</v>
      </c>
      <c r="G143" s="26">
        <f t="shared" si="78"/>
        <v>3478</v>
      </c>
    </row>
    <row r="144" spans="1:8" x14ac:dyDescent="0.25">
      <c r="A144" s="1">
        <v>5</v>
      </c>
      <c r="B144" s="16" t="str">
        <f t="shared" si="76"/>
        <v>E</v>
      </c>
      <c r="C144" s="26">
        <f>VLOOKUP('прибыль проектов'!B144,'исходные данные'!$A$47:$B$52,2,FALSE)</f>
        <v>5662</v>
      </c>
      <c r="D144" s="26">
        <f t="shared" si="77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78"/>
        <v>1856</v>
      </c>
    </row>
    <row r="145" spans="1:7" x14ac:dyDescent="0.25">
      <c r="A145" s="1">
        <v>6</v>
      </c>
      <c r="B145" s="16" t="str">
        <f t="shared" si="76"/>
        <v>A</v>
      </c>
      <c r="C145" s="26">
        <f>VLOOKUP('прибыль проектов'!B145,'исходные данные'!$A$47:$B$52,2,FALSE)</f>
        <v>2245</v>
      </c>
      <c r="D145" s="26">
        <f t="shared" si="77"/>
        <v>1.4</v>
      </c>
      <c r="E145" s="26">
        <f>IF(F144&gt;=C145*D145,C145*D145,F144)</f>
        <v>0</v>
      </c>
      <c r="F145" s="26">
        <f t="shared" ref="F145" si="79">IF(F144&gt;=E145,F144-E145,0)</f>
        <v>0</v>
      </c>
      <c r="G145" s="26">
        <f t="shared" si="78"/>
        <v>0</v>
      </c>
    </row>
    <row r="147" spans="1:7" x14ac:dyDescent="0.25">
      <c r="A147" t="s">
        <v>38</v>
      </c>
    </row>
    <row r="148" spans="1:7" ht="30" x14ac:dyDescent="0.25">
      <c r="A148" s="2" t="str">
        <f>A24</f>
        <v>Продукт</v>
      </c>
      <c r="B148" s="2" t="str">
        <f t="shared" ref="B148:G148" si="80">B24</f>
        <v>Перемен. затраты (р.)</v>
      </c>
      <c r="C148" s="2" t="str">
        <f t="shared" si="80"/>
        <v>Цена (р.)</v>
      </c>
      <c r="D148" s="2" t="str">
        <f t="shared" si="80"/>
        <v>Объём продаж (шт.)</v>
      </c>
      <c r="E148" s="2" t="str">
        <f t="shared" si="80"/>
        <v>Суммарная маржинальная прибыль (р.)</v>
      </c>
      <c r="F148" s="2" t="str">
        <f t="shared" si="80"/>
        <v>Постоянные затраты (р.)</v>
      </c>
      <c r="G148" s="2" t="str">
        <f t="shared" si="80"/>
        <v>Общая прибыль (р.)</v>
      </c>
    </row>
    <row r="149" spans="1:7" x14ac:dyDescent="0.25">
      <c r="A149" s="16" t="str">
        <f>B140</f>
        <v>D</v>
      </c>
      <c r="B149" s="26">
        <f>SUMIF($A$130:$A$135,A149,$B$130:$B$135)</f>
        <v>32.9</v>
      </c>
      <c r="C149" s="26">
        <f>SUMIF($A$130:$A$135,A149,$C$130:$C$135)</f>
        <v>50.9</v>
      </c>
      <c r="D149" s="26">
        <f t="shared" ref="D149:D152" si="81">_xlfn.FLOOR.MATH(E140/D140)</f>
        <v>3167</v>
      </c>
      <c r="E149" s="26">
        <f>(C149-B149)*D149</f>
        <v>57006</v>
      </c>
      <c r="F149" s="26"/>
      <c r="G149" s="26"/>
    </row>
    <row r="150" spans="1:7" x14ac:dyDescent="0.25">
      <c r="A150" s="16" t="str">
        <f t="shared" ref="A150:A154" si="82">B141</f>
        <v>B</v>
      </c>
      <c r="B150" s="26">
        <f t="shared" ref="B150:B154" si="83">SUMIF($A$130:$A$135,A150,$B$130:$B$135)</f>
        <v>26.6</v>
      </c>
      <c r="C150" s="26">
        <f t="shared" ref="C150:C154" si="84">SUMIF($A$130:$A$135,A150,$C$130:$C$135)</f>
        <v>45.2</v>
      </c>
      <c r="D150" s="26">
        <f t="shared" si="81"/>
        <v>7364</v>
      </c>
      <c r="E150" s="26">
        <f t="shared" ref="E150:E154" si="85">(C150-B150)*D150</f>
        <v>136970.40000000002</v>
      </c>
      <c r="F150" s="26"/>
      <c r="G150" s="26"/>
    </row>
    <row r="151" spans="1:7" x14ac:dyDescent="0.25">
      <c r="A151" s="16" t="str">
        <f t="shared" si="82"/>
        <v>F</v>
      </c>
      <c r="B151" s="26">
        <f t="shared" si="83"/>
        <v>23.1</v>
      </c>
      <c r="C151" s="26">
        <f t="shared" si="84"/>
        <v>40.9</v>
      </c>
      <c r="D151" s="26">
        <f t="shared" si="81"/>
        <v>5706</v>
      </c>
      <c r="E151" s="26">
        <f t="shared" si="85"/>
        <v>101566.79999999999</v>
      </c>
      <c r="F151" s="26"/>
      <c r="G151" s="26"/>
    </row>
    <row r="152" spans="1:7" x14ac:dyDescent="0.25">
      <c r="A152" s="16" t="str">
        <f t="shared" si="82"/>
        <v>C</v>
      </c>
      <c r="B152" s="26">
        <f t="shared" si="83"/>
        <v>24.9</v>
      </c>
      <c r="C152" s="26">
        <f t="shared" si="84"/>
        <v>31.8</v>
      </c>
      <c r="D152" s="26">
        <f t="shared" si="81"/>
        <v>3478</v>
      </c>
      <c r="E152" s="26">
        <f t="shared" si="85"/>
        <v>23998.200000000008</v>
      </c>
      <c r="F152" s="26"/>
      <c r="G152" s="26"/>
    </row>
    <row r="153" spans="1:7" x14ac:dyDescent="0.25">
      <c r="A153" s="16" t="str">
        <f t="shared" si="82"/>
        <v>E</v>
      </c>
      <c r="B153" s="26">
        <f t="shared" si="83"/>
        <v>24.9</v>
      </c>
      <c r="C153" s="26">
        <f t="shared" si="84"/>
        <v>40.200000000000003</v>
      </c>
      <c r="D153" s="26">
        <f>_xlfn.FLOOR.MATH(E144/D144)</f>
        <v>1856</v>
      </c>
      <c r="E153" s="26">
        <f t="shared" si="85"/>
        <v>28396.800000000007</v>
      </c>
      <c r="F153" s="26"/>
      <c r="G153" s="26"/>
    </row>
    <row r="154" spans="1:7" x14ac:dyDescent="0.25">
      <c r="A154" s="16" t="str">
        <f t="shared" si="82"/>
        <v>A</v>
      </c>
      <c r="B154" s="26">
        <f t="shared" si="83"/>
        <v>23.7</v>
      </c>
      <c r="C154" s="26">
        <f t="shared" si="84"/>
        <v>31.8</v>
      </c>
      <c r="D154" s="26">
        <f>_xlfn.FLOOR.MATH(E145/D145)</f>
        <v>0</v>
      </c>
      <c r="E154" s="26">
        <f t="shared" si="85"/>
        <v>0</v>
      </c>
      <c r="F154" s="26"/>
      <c r="G154" s="26"/>
    </row>
    <row r="155" spans="1:7" x14ac:dyDescent="0.25">
      <c r="A155" s="1" t="s">
        <v>39</v>
      </c>
      <c r="B155" s="26"/>
      <c r="C155" s="26"/>
      <c r="D155" s="26"/>
      <c r="E155" s="26">
        <f>SUM(E149:E154)</f>
        <v>347938.2</v>
      </c>
      <c r="F155" s="26">
        <f>'исходные данные'!K4</f>
        <v>310544</v>
      </c>
      <c r="G155" s="27">
        <f>E155-F155</f>
        <v>37394.200000000012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9"/>
  <sheetViews>
    <sheetView topLeftCell="L1" workbookViewId="0">
      <selection activeCell="L40" sqref="L40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  <col min="10" max="10" width="35.140625" customWidth="1"/>
    <col min="11" max="11" width="44.5703125" customWidth="1"/>
    <col min="12" max="12" width="49.140625" customWidth="1"/>
    <col min="13" max="13" width="15.5703125" customWidth="1"/>
    <col min="14" max="14" width="23" customWidth="1"/>
    <col min="15" max="15" width="21.5703125" customWidth="1"/>
    <col min="16" max="16" width="13.85546875" customWidth="1"/>
    <col min="17" max="17" width="25.5703125" customWidth="1"/>
    <col min="20" max="20" width="51.28515625" customWidth="1"/>
    <col min="21" max="21" width="12.7109375" customWidth="1"/>
  </cols>
  <sheetData>
    <row r="1" spans="1:21" x14ac:dyDescent="0.25">
      <c r="A1" s="18" t="s">
        <v>2</v>
      </c>
      <c r="B1" s="19"/>
      <c r="C1" s="19"/>
      <c r="D1" s="19"/>
      <c r="E1" s="19"/>
      <c r="F1" s="19"/>
    </row>
    <row r="2" spans="1:21" x14ac:dyDescent="0.25">
      <c r="A2" s="20" t="s">
        <v>45</v>
      </c>
      <c r="B2" s="20" t="s">
        <v>73</v>
      </c>
      <c r="C2" s="20" t="s">
        <v>74</v>
      </c>
      <c r="D2" s="20" t="s">
        <v>75</v>
      </c>
      <c r="E2" s="20" t="s">
        <v>72</v>
      </c>
      <c r="F2" s="20" t="s">
        <v>76</v>
      </c>
      <c r="I2" s="19"/>
      <c r="J2" s="32" t="s">
        <v>57</v>
      </c>
      <c r="K2" s="19"/>
      <c r="L2" s="19"/>
      <c r="M2" s="19"/>
      <c r="N2" s="19"/>
      <c r="O2" s="19"/>
      <c r="P2" s="19"/>
      <c r="Q2" s="19"/>
      <c r="R2" s="19"/>
    </row>
    <row r="3" spans="1:21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  <c r="I3" s="19"/>
      <c r="J3" s="33" t="s">
        <v>58</v>
      </c>
      <c r="K3" s="19">
        <f>'исходные данные'!G20</f>
        <v>1825000</v>
      </c>
      <c r="L3" s="19"/>
      <c r="M3" s="19"/>
      <c r="N3" s="19"/>
      <c r="O3" s="19"/>
      <c r="P3" s="19"/>
      <c r="Q3" s="19"/>
      <c r="R3" s="19"/>
    </row>
    <row r="4" spans="1:21" x14ac:dyDescent="0.25">
      <c r="A4" s="21">
        <v>1</v>
      </c>
      <c r="B4" s="22"/>
      <c r="C4" s="22">
        <f>('прибыль проектов'!$G$31+'исходные данные'!$G$5)*4</f>
        <v>240068</v>
      </c>
      <c r="D4" s="22">
        <f t="shared" ref="D4:D8" si="0">B4+C4</f>
        <v>240068</v>
      </c>
      <c r="E4" s="23">
        <f>(1+'исходные данные'!$G$19/100)^(-A4)</f>
        <v>0.85106382978723405</v>
      </c>
      <c r="F4" s="22">
        <f t="shared" ref="F4:F8" si="1">E4*D4</f>
        <v>204313.19148936169</v>
      </c>
      <c r="I4" s="19"/>
      <c r="J4" s="19"/>
      <c r="K4" s="19"/>
      <c r="L4" s="19"/>
      <c r="M4" s="33"/>
      <c r="N4" s="19"/>
      <c r="O4" s="19"/>
      <c r="P4" s="19"/>
      <c r="Q4" s="19"/>
      <c r="R4" s="19"/>
    </row>
    <row r="5" spans="1:21" x14ac:dyDescent="0.25">
      <c r="A5" s="21">
        <v>2</v>
      </c>
      <c r="B5" s="22"/>
      <c r="C5" s="22">
        <f>('прибыль проектов'!$G$31+'исходные данные'!$G$5)*4</f>
        <v>240068</v>
      </c>
      <c r="D5" s="22">
        <f t="shared" si="0"/>
        <v>240068</v>
      </c>
      <c r="E5" s="23">
        <f>(1+'исходные данные'!$G$19/100)^(-A5)</f>
        <v>0.72430964237211393</v>
      </c>
      <c r="F5" s="22">
        <f t="shared" si="1"/>
        <v>173883.56722498866</v>
      </c>
      <c r="I5" s="19"/>
      <c r="J5" s="33" t="s">
        <v>59</v>
      </c>
      <c r="K5" s="33" t="s">
        <v>77</v>
      </c>
      <c r="L5" s="33" t="s">
        <v>78</v>
      </c>
      <c r="M5" s="33" t="s">
        <v>79</v>
      </c>
      <c r="N5" s="33" t="s">
        <v>80</v>
      </c>
      <c r="O5" s="33" t="s">
        <v>60</v>
      </c>
      <c r="P5" s="33" t="s">
        <v>61</v>
      </c>
      <c r="Q5" s="33" t="s">
        <v>81</v>
      </c>
      <c r="R5" s="19"/>
    </row>
    <row r="6" spans="1:21" x14ac:dyDescent="0.25">
      <c r="A6" s="21">
        <v>3</v>
      </c>
      <c r="B6" s="22"/>
      <c r="C6" s="22">
        <f>('прибыль проектов'!$G$31+'исходные данные'!$G$5)*4</f>
        <v>240068</v>
      </c>
      <c r="D6" s="22">
        <f t="shared" si="0"/>
        <v>240068</v>
      </c>
      <c r="E6" s="23">
        <f>(1+'исходные данные'!$G$19/100)^(-A6)</f>
        <v>0.61643373818903313</v>
      </c>
      <c r="F6" s="22">
        <f t="shared" si="1"/>
        <v>147986.0146595648</v>
      </c>
      <c r="I6" s="19"/>
      <c r="J6" s="37">
        <v>1</v>
      </c>
      <c r="K6" s="19">
        <f>F11</f>
        <v>210176.67007274076</v>
      </c>
      <c r="L6" s="19">
        <f>$E$4*K6</f>
        <v>178873.76176403469</v>
      </c>
      <c r="M6" s="19">
        <f>L6-K6</f>
        <v>-31302.908308706072</v>
      </c>
      <c r="N6" s="19">
        <f>'исходные данные'!B3*-1*1000</f>
        <v>-718000</v>
      </c>
      <c r="O6" s="38">
        <f>M6/N6</f>
        <v>4.3597365332459712E-2</v>
      </c>
      <c r="P6" s="39">
        <f>_xlfn.RANK.EQ(O6,$O$6:$O$10,)</f>
        <v>4</v>
      </c>
      <c r="Q6" s="19"/>
      <c r="R6" s="19"/>
    </row>
    <row r="7" spans="1:21" x14ac:dyDescent="0.25">
      <c r="A7" s="21">
        <v>4</v>
      </c>
      <c r="B7" s="22"/>
      <c r="C7" s="22">
        <f>('прибыль проектов'!$G$31+'исходные данные'!$G$5)*4</f>
        <v>240068</v>
      </c>
      <c r="D7" s="22">
        <f t="shared" si="0"/>
        <v>240068</v>
      </c>
      <c r="E7" s="23">
        <f>(1+'исходные данные'!$G$19/100)^(-A7)</f>
        <v>0.52462445803321966</v>
      </c>
      <c r="F7" s="22">
        <f t="shared" si="1"/>
        <v>125945.54439111898</v>
      </c>
      <c r="I7" s="19"/>
      <c r="J7" s="37">
        <v>2</v>
      </c>
      <c r="K7" s="19">
        <f>F23</f>
        <v>82116.851541638724</v>
      </c>
      <c r="L7" s="19">
        <f>$E$4*K7</f>
        <v>69886.68216309679</v>
      </c>
      <c r="M7" s="19">
        <f t="shared" ref="M7:M10" si="2">L7-K7</f>
        <v>-12230.169378541934</v>
      </c>
      <c r="N7" s="19">
        <f>'исходные данные'!B4*-1*1000</f>
        <v>-785000</v>
      </c>
      <c r="O7" s="38">
        <f t="shared" ref="O7:O10" si="3">M7/N7</f>
        <v>1.5579833603238133E-2</v>
      </c>
      <c r="P7" s="39">
        <f t="shared" ref="P7:P10" si="4">_xlfn.RANK.EQ(O7,$O$6:$O$10,)</f>
        <v>5</v>
      </c>
      <c r="Q7" s="19"/>
      <c r="R7" s="19"/>
    </row>
    <row r="8" spans="1:21" x14ac:dyDescent="0.25">
      <c r="A8" s="21">
        <v>5</v>
      </c>
      <c r="B8" s="22"/>
      <c r="C8" s="22">
        <f>('прибыль проектов'!$G$31+'исходные данные'!$G$5)*4</f>
        <v>240068</v>
      </c>
      <c r="D8" s="22">
        <f t="shared" si="0"/>
        <v>240068</v>
      </c>
      <c r="E8" s="23">
        <f>(1+'исходные данные'!$G$19/100)^(-A8)</f>
        <v>0.44648890045380391</v>
      </c>
      <c r="F8" s="22">
        <f t="shared" si="1"/>
        <v>107187.69735414379</v>
      </c>
      <c r="I8" s="19"/>
      <c r="J8" s="37">
        <v>3</v>
      </c>
      <c r="K8" s="19">
        <f>F35</f>
        <v>177075.99579892322</v>
      </c>
      <c r="L8" s="19">
        <f t="shared" ref="L8:L10" si="5">$E$4*K8</f>
        <v>150702.97514801976</v>
      </c>
      <c r="M8" s="19">
        <f t="shared" si="2"/>
        <v>-26373.020650903462</v>
      </c>
      <c r="N8" s="19">
        <f>'исходные данные'!B5*-1*1000</f>
        <v>-573000</v>
      </c>
      <c r="O8" s="38">
        <f t="shared" si="3"/>
        <v>4.6026214050442341E-2</v>
      </c>
      <c r="P8" s="39">
        <f t="shared" si="4"/>
        <v>2</v>
      </c>
      <c r="Q8" s="19">
        <f>N8*-1</f>
        <v>573000</v>
      </c>
      <c r="R8" s="19"/>
    </row>
    <row r="9" spans="1:21" x14ac:dyDescent="0.25">
      <c r="A9" s="21">
        <v>6</v>
      </c>
      <c r="B9" s="22"/>
      <c r="C9" s="22">
        <f>('прибыль проектов'!$G$31+'исходные данные'!$G$5)*4</f>
        <v>240068</v>
      </c>
      <c r="D9" s="22">
        <f t="shared" ref="D9:D10" si="6">B9+C9</f>
        <v>240068</v>
      </c>
      <c r="E9" s="23">
        <f>(1+'исходные данные'!$G$19/100)^(-A9)</f>
        <v>0.37999055357770539</v>
      </c>
      <c r="F9" s="22">
        <f t="shared" ref="F9" si="7">E9*D9</f>
        <v>91223.572216292581</v>
      </c>
      <c r="I9" s="19"/>
      <c r="J9" s="37">
        <v>4</v>
      </c>
      <c r="K9" s="19">
        <f>F47</f>
        <v>230115.20723787934</v>
      </c>
      <c r="L9" s="19">
        <f t="shared" si="5"/>
        <v>195842.72956415263</v>
      </c>
      <c r="M9" s="19">
        <f t="shared" si="2"/>
        <v>-34272.477673726709</v>
      </c>
      <c r="N9" s="19">
        <f>'исходные данные'!B6*-1*1000</f>
        <v>-727000</v>
      </c>
      <c r="O9" s="38">
        <f t="shared" si="3"/>
        <v>4.7142335177065627E-2</v>
      </c>
      <c r="P9" s="39">
        <f t="shared" si="4"/>
        <v>1</v>
      </c>
      <c r="Q9" s="19">
        <f>N9*-1</f>
        <v>727000</v>
      </c>
      <c r="R9" s="19"/>
    </row>
    <row r="10" spans="1:21" x14ac:dyDescent="0.25">
      <c r="A10" s="21">
        <v>7</v>
      </c>
      <c r="B10" s="22"/>
      <c r="C10" s="22">
        <f>('прибыль проектов'!$G$31+'исходные данные'!$G$5)*4</f>
        <v>240068</v>
      </c>
      <c r="D10" s="22">
        <f t="shared" si="6"/>
        <v>240068</v>
      </c>
      <c r="E10" s="23">
        <f>(1+'исходные данные'!$G$19/100)^(-A10)</f>
        <v>0.32339621581081307</v>
      </c>
      <c r="F10" s="22">
        <f>E10*D10</f>
        <v>77637.082737270277</v>
      </c>
      <c r="I10" s="19"/>
      <c r="J10" s="37">
        <v>5</v>
      </c>
      <c r="K10" s="19">
        <f>F59</f>
        <v>268442.32643726072</v>
      </c>
      <c r="L10" s="19">
        <f t="shared" si="5"/>
        <v>228461.55441468998</v>
      </c>
      <c r="M10" s="19">
        <f t="shared" si="2"/>
        <v>-39980.772022570745</v>
      </c>
      <c r="N10" s="19">
        <f>'исходные данные'!B7*-1*1000</f>
        <v>-899000</v>
      </c>
      <c r="O10" s="38">
        <f t="shared" si="3"/>
        <v>4.4472493907197715E-2</v>
      </c>
      <c r="P10" s="39">
        <f t="shared" si="4"/>
        <v>3</v>
      </c>
      <c r="Q10" s="19"/>
      <c r="R10" s="19"/>
    </row>
    <row r="11" spans="1:21" x14ac:dyDescent="0.25">
      <c r="A11" s="24" t="s">
        <v>39</v>
      </c>
      <c r="B11" s="22">
        <f>SUM(B3:B10)</f>
        <v>-718000</v>
      </c>
      <c r="C11" s="22">
        <f>SUM(C3:C10)</f>
        <v>1680476</v>
      </c>
      <c r="D11" s="22">
        <f>SUM(D3:D10)</f>
        <v>962476</v>
      </c>
      <c r="E11" s="22"/>
      <c r="F11" s="29">
        <f>SUM(F3:F10)</f>
        <v>210176.67007274076</v>
      </c>
      <c r="I11" s="19"/>
      <c r="J11" s="33"/>
      <c r="K11" s="34"/>
      <c r="L11" s="34"/>
      <c r="M11" s="35"/>
      <c r="N11" s="19"/>
      <c r="O11" s="36"/>
      <c r="P11" s="19"/>
      <c r="Q11" s="19">
        <f>SUM(Q6:Q10)</f>
        <v>1300000</v>
      </c>
      <c r="R11" s="19"/>
    </row>
    <row r="12" spans="1:21" x14ac:dyDescent="0.25">
      <c r="I12" s="19"/>
      <c r="J12" s="33"/>
      <c r="K12" s="34"/>
      <c r="L12" s="34"/>
      <c r="M12" s="35"/>
      <c r="N12" s="19"/>
      <c r="O12" s="36"/>
      <c r="P12" s="19"/>
      <c r="Q12" s="19"/>
      <c r="R12" s="19"/>
    </row>
    <row r="13" spans="1:21" x14ac:dyDescent="0.25">
      <c r="A13" s="18" t="s">
        <v>3</v>
      </c>
      <c r="B13" s="19"/>
      <c r="C13" s="19"/>
      <c r="D13" s="19"/>
      <c r="E13" s="19"/>
      <c r="F13" s="19"/>
      <c r="I13" s="19"/>
      <c r="J13" s="19"/>
      <c r="K13" s="19"/>
      <c r="L13" s="19"/>
      <c r="M13" s="19"/>
      <c r="N13" s="19"/>
      <c r="O13" s="19"/>
      <c r="P13" s="19"/>
      <c r="R13" s="19"/>
    </row>
    <row r="14" spans="1:21" x14ac:dyDescent="0.25">
      <c r="A14" s="20" t="str">
        <f>$A$2</f>
        <v>Период</v>
      </c>
      <c r="B14" s="20" t="str">
        <f>$B$2</f>
        <v>Инвест. Затраты (р.)</v>
      </c>
      <c r="C14" s="20" t="str">
        <f>$C$2</f>
        <v>Поступления (р.)</v>
      </c>
      <c r="D14" s="20" t="str">
        <f>$D$2</f>
        <v>Денежный поток (р.)</v>
      </c>
      <c r="E14" s="20" t="str">
        <f>$E$2</f>
        <v>Коэф. дисконтирования</v>
      </c>
      <c r="F14" s="20" t="str">
        <f>$F$2</f>
        <v>Дисконтированный денежный поток (р.)</v>
      </c>
      <c r="I14" s="19"/>
      <c r="J14" s="32" t="s">
        <v>62</v>
      </c>
      <c r="K14" s="19"/>
      <c r="L14" s="19"/>
      <c r="M14" s="19"/>
      <c r="N14" s="19"/>
      <c r="O14" s="19"/>
      <c r="P14" s="19"/>
      <c r="Q14" s="19"/>
      <c r="R14" s="19"/>
    </row>
    <row r="15" spans="1:21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  <c r="J15" s="33" t="s">
        <v>58</v>
      </c>
      <c r="K15" s="19">
        <f>K3-Q11+D28+D40</f>
        <v>966556</v>
      </c>
      <c r="L15" s="19"/>
      <c r="M15" s="19"/>
      <c r="N15" s="19"/>
      <c r="O15" s="19"/>
      <c r="P15" s="19"/>
      <c r="Q15" s="19"/>
      <c r="T15" t="s">
        <v>15</v>
      </c>
      <c r="U15" t="s">
        <v>82</v>
      </c>
    </row>
    <row r="16" spans="1:21" x14ac:dyDescent="0.25">
      <c r="A16" s="21">
        <v>1</v>
      </c>
      <c r="B16" s="22"/>
      <c r="C16" s="22">
        <f>('прибыль проектов'!$G$62+'исходные данные'!$H$5)*4</f>
        <v>224275.20000000019</v>
      </c>
      <c r="D16" s="22">
        <f t="shared" ref="D16:D22" si="8">B16+C16</f>
        <v>224275.20000000019</v>
      </c>
      <c r="E16" s="23">
        <f>(1+'исходные данные'!$G$19/100)^(-A16)</f>
        <v>0.85106382978723405</v>
      </c>
      <c r="F16" s="22">
        <f t="shared" ref="F16:F21" si="9">E16*D16</f>
        <v>190872.51063829803</v>
      </c>
      <c r="J16" s="19"/>
      <c r="K16" s="19"/>
      <c r="L16" s="19"/>
      <c r="M16" s="33"/>
      <c r="N16" s="19"/>
      <c r="O16" s="19"/>
      <c r="P16" s="19"/>
      <c r="Q16" s="19"/>
      <c r="T16" t="s">
        <v>65</v>
      </c>
      <c r="U16" s="40">
        <f>K3</f>
        <v>1825000</v>
      </c>
    </row>
    <row r="17" spans="1:21" x14ac:dyDescent="0.25">
      <c r="A17" s="21">
        <v>2</v>
      </c>
      <c r="B17" s="22"/>
      <c r="C17" s="22">
        <f>('прибыль проектов'!$G$62+'исходные данные'!$H$5)*4</f>
        <v>224275.20000000019</v>
      </c>
      <c r="D17" s="22">
        <f t="shared" si="8"/>
        <v>224275.20000000019</v>
      </c>
      <c r="E17" s="23">
        <f>(1+'исходные данные'!$G$19/100)^(-A17)</f>
        <v>0.72430964237211393</v>
      </c>
      <c r="F17" s="22">
        <f t="shared" si="9"/>
        <v>162444.68990493446</v>
      </c>
      <c r="J17" s="33" t="str">
        <f>J5</f>
        <v>Проект</v>
      </c>
      <c r="K17" s="33" t="str">
        <f t="shared" ref="K17:Q17" si="10">K5</f>
        <v>ЧДД в случае реализации проекта в текущем году (р.)</v>
      </c>
      <c r="L17" s="33" t="str">
        <f t="shared" si="10"/>
        <v>ЧДД в случае реализации проекта в следующем году (р.)</v>
      </c>
      <c r="M17" s="33" t="str">
        <f t="shared" si="10"/>
        <v>Потери ЧДД (р.)</v>
      </c>
      <c r="N17" s="33" t="str">
        <f t="shared" si="10"/>
        <v>Отложенные инвестиции (р.)</v>
      </c>
      <c r="O17" s="33" t="str">
        <f t="shared" si="10"/>
        <v>Индекс потерь ЧДД</v>
      </c>
      <c r="P17" s="33" t="str">
        <f t="shared" si="10"/>
        <v>Ранг проекта</v>
      </c>
      <c r="Q17" s="33" t="str">
        <f t="shared" si="10"/>
        <v>Инвестиции в текущем году (р.)</v>
      </c>
      <c r="T17" t="s">
        <v>66</v>
      </c>
      <c r="U17" s="40">
        <f>Q11</f>
        <v>1300000</v>
      </c>
    </row>
    <row r="18" spans="1:21" x14ac:dyDescent="0.25">
      <c r="A18" s="21">
        <v>3</v>
      </c>
      <c r="B18" s="22"/>
      <c r="C18" s="22">
        <f>('прибыль проектов'!$G$62+'исходные данные'!$H$5)*4</f>
        <v>224275.20000000019</v>
      </c>
      <c r="D18" s="22">
        <f t="shared" si="8"/>
        <v>224275.20000000019</v>
      </c>
      <c r="E18" s="23">
        <f>(1+'исходные данные'!$G$19/100)^(-A18)</f>
        <v>0.61643373818903313</v>
      </c>
      <c r="F18" s="22">
        <f t="shared" si="9"/>
        <v>138250.79991909314</v>
      </c>
      <c r="J18" s="37">
        <v>1</v>
      </c>
      <c r="K18" s="19">
        <f>VLOOKUP(J18,$J$6:$L$10,3,)</f>
        <v>178873.76176403469</v>
      </c>
      <c r="L18" s="19">
        <f>$E$4*K18</f>
        <v>152232.98873534868</v>
      </c>
      <c r="M18" s="19">
        <f>L18-K18</f>
        <v>-26640.773028686002</v>
      </c>
      <c r="N18" s="19">
        <f>VLOOKUP(J18,$J$6:$N$10,5,)</f>
        <v>-718000</v>
      </c>
      <c r="O18" s="38">
        <f>M18/N18</f>
        <v>3.7104140708476327E-2</v>
      </c>
      <c r="P18" s="39">
        <f>_xlfn.RANK.EQ(O18,$O$18:$O$20,)</f>
        <v>2</v>
      </c>
      <c r="Q18" s="19"/>
      <c r="T18" t="s">
        <v>68</v>
      </c>
      <c r="U18" s="40">
        <f>D28</f>
        <v>194003.19999999995</v>
      </c>
    </row>
    <row r="19" spans="1:21" x14ac:dyDescent="0.25">
      <c r="A19" s="21">
        <v>4</v>
      </c>
      <c r="B19" s="22"/>
      <c r="C19" s="22">
        <f>('прибыль проектов'!$G$62+'исходные данные'!$H$5)*4</f>
        <v>224275.20000000019</v>
      </c>
      <c r="D19" s="22">
        <f t="shared" si="8"/>
        <v>224275.20000000019</v>
      </c>
      <c r="E19" s="23">
        <f>(1+'исходные данные'!$G$19/100)^(-A19)</f>
        <v>0.52462445803321966</v>
      </c>
      <c r="F19" s="22">
        <f t="shared" si="9"/>
        <v>117660.25525029204</v>
      </c>
      <c r="J19" s="37">
        <v>2</v>
      </c>
      <c r="K19" s="19">
        <f t="shared" ref="K19:K20" si="11">VLOOKUP(J19,$J$6:$L$10,3,)</f>
        <v>69886.68216309679</v>
      </c>
      <c r="L19" s="19">
        <f>$E$4*K19</f>
        <v>59478.02737284833</v>
      </c>
      <c r="M19" s="19">
        <f t="shared" ref="M19" si="12">L19-K19</f>
        <v>-10408.65479024846</v>
      </c>
      <c r="N19" s="19">
        <f t="shared" ref="N19:N20" si="13">VLOOKUP(J19,$J$6:$N$10,5,)</f>
        <v>-785000</v>
      </c>
      <c r="O19" s="38">
        <f t="shared" ref="O19" si="14">M19/N19</f>
        <v>1.3259432853819694E-2</v>
      </c>
      <c r="P19" s="39">
        <f t="shared" ref="P19:P20" si="15">_xlfn.RANK.EQ(O19,$O$18:$O$20,)</f>
        <v>3</v>
      </c>
      <c r="Q19" s="19"/>
      <c r="T19" t="s">
        <v>69</v>
      </c>
      <c r="U19" s="40">
        <f>D40</f>
        <v>247552.80000000005</v>
      </c>
    </row>
    <row r="20" spans="1:21" x14ac:dyDescent="0.25">
      <c r="A20" s="21">
        <v>5</v>
      </c>
      <c r="B20" s="22"/>
      <c r="C20" s="22">
        <f>('прибыль проектов'!$G$62+'исходные данные'!$H$5)*4</f>
        <v>224275.20000000019</v>
      </c>
      <c r="D20" s="22">
        <f t="shared" si="8"/>
        <v>224275.20000000019</v>
      </c>
      <c r="E20" s="23">
        <f>(1+'исходные данные'!$G$19/100)^(-A20)</f>
        <v>0.44648890045380391</v>
      </c>
      <c r="F20" s="22">
        <f t="shared" si="9"/>
        <v>100136.38744705704</v>
      </c>
      <c r="J20" s="37">
        <v>5</v>
      </c>
      <c r="K20" s="19">
        <f t="shared" si="11"/>
        <v>228461.55441468998</v>
      </c>
      <c r="L20" s="19">
        <f>$E$4*K20</f>
        <v>194435.36545931062</v>
      </c>
      <c r="M20" s="19">
        <f>L20-K20</f>
        <v>-34026.188955379359</v>
      </c>
      <c r="N20" s="19">
        <f t="shared" si="13"/>
        <v>-899000</v>
      </c>
      <c r="O20" s="38">
        <f>M20/N20</f>
        <v>3.7848930984849122E-2</v>
      </c>
      <c r="P20" s="39">
        <f t="shared" si="15"/>
        <v>1</v>
      </c>
      <c r="Q20" s="19">
        <f>N20*-1</f>
        <v>899000</v>
      </c>
      <c r="T20" t="s">
        <v>67</v>
      </c>
      <c r="U20" s="40">
        <f>U16-U17+U18+U19</f>
        <v>966556</v>
      </c>
    </row>
    <row r="21" spans="1:21" x14ac:dyDescent="0.25">
      <c r="A21" s="21">
        <v>6</v>
      </c>
      <c r="B21" s="22"/>
      <c r="C21" s="22">
        <f>('прибыль проектов'!$G$62+'исходные данные'!$H$5)*4</f>
        <v>224275.20000000019</v>
      </c>
      <c r="D21" s="22">
        <f t="shared" si="8"/>
        <v>224275.20000000019</v>
      </c>
      <c r="E21" s="23">
        <f>(1+'исходные данные'!$G$19/100)^(-A21)</f>
        <v>0.37999055357770539</v>
      </c>
      <c r="F21" s="22">
        <f t="shared" si="9"/>
        <v>85222.457401750667</v>
      </c>
      <c r="J21" s="37"/>
      <c r="K21" s="19"/>
      <c r="L21" s="19"/>
      <c r="M21" s="19"/>
      <c r="N21" s="19"/>
      <c r="O21" s="38"/>
      <c r="P21" s="19"/>
      <c r="Q21" s="19">
        <f>SUM(Q18:Q20)</f>
        <v>899000</v>
      </c>
    </row>
    <row r="22" spans="1:21" x14ac:dyDescent="0.25">
      <c r="A22" s="21">
        <v>7</v>
      </c>
      <c r="B22" s="22"/>
      <c r="C22" s="22">
        <f>('прибыль проектов'!$G$62+'исходные данные'!$H$5)*4</f>
        <v>224275.20000000019</v>
      </c>
      <c r="D22" s="22">
        <f t="shared" si="8"/>
        <v>224275.20000000019</v>
      </c>
      <c r="E22" s="23">
        <f>(1+'исходные данные'!$G$19/100)^(-A22)</f>
        <v>0.32339621581081307</v>
      </c>
      <c r="F22" s="22">
        <f>E22*D22</f>
        <v>72529.750980213328</v>
      </c>
    </row>
    <row r="23" spans="1:21" x14ac:dyDescent="0.25">
      <c r="A23" s="24" t="s">
        <v>39</v>
      </c>
      <c r="B23" s="22">
        <f>SUM(B15:B22)</f>
        <v>-785000</v>
      </c>
      <c r="C23" s="22">
        <f>SUM(C15:C22)</f>
        <v>1569926.4000000013</v>
      </c>
      <c r="D23" s="22">
        <f>SUM(D15:D22)</f>
        <v>784926.4000000013</v>
      </c>
      <c r="E23" s="22"/>
      <c r="F23" s="29">
        <f>SUM(F15:F22)</f>
        <v>82116.851541638724</v>
      </c>
      <c r="J23" s="33"/>
      <c r="K23" s="34"/>
      <c r="L23" s="34"/>
      <c r="M23" s="35"/>
      <c r="N23" s="19"/>
      <c r="O23" s="36"/>
      <c r="P23" s="19"/>
    </row>
    <row r="25" spans="1:21" x14ac:dyDescent="0.25">
      <c r="A25" s="18" t="s">
        <v>4</v>
      </c>
      <c r="B25" s="19"/>
      <c r="C25" s="19"/>
      <c r="D25" s="19"/>
      <c r="E25" s="19"/>
      <c r="F25" s="19"/>
      <c r="J25" s="32" t="s">
        <v>63</v>
      </c>
      <c r="K25" s="19"/>
      <c r="L25" s="19"/>
      <c r="M25" s="19"/>
      <c r="N25" s="19"/>
      <c r="O25" s="19"/>
      <c r="P25" s="19"/>
      <c r="Q25" s="19"/>
    </row>
    <row r="26" spans="1:21" x14ac:dyDescent="0.25">
      <c r="A26" s="20" t="str">
        <f>$A$2</f>
        <v>Период</v>
      </c>
      <c r="B26" s="20" t="str">
        <f>$B$2</f>
        <v>Инвест. Затраты (р.)</v>
      </c>
      <c r="C26" s="20" t="str">
        <f>$C$2</f>
        <v>Поступления (р.)</v>
      </c>
      <c r="D26" s="20" t="str">
        <f>$D$2</f>
        <v>Денежный поток (р.)</v>
      </c>
      <c r="E26" s="20" t="str">
        <f>$E$2</f>
        <v>Коэф. дисконтирования</v>
      </c>
      <c r="F26" s="20" t="str">
        <f>$F$2</f>
        <v>Дисконтированный денежный поток (р.)</v>
      </c>
      <c r="J26" s="33" t="s">
        <v>58</v>
      </c>
      <c r="K26" s="19">
        <f>K15-Q21+D29+D41+D52</f>
        <v>811064.8</v>
      </c>
      <c r="L26" s="19"/>
      <c r="M26" s="19"/>
      <c r="N26" s="19"/>
      <c r="O26" s="19"/>
      <c r="P26" s="19"/>
      <c r="Q26" s="19"/>
    </row>
    <row r="27" spans="1:21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  <c r="J27" s="19"/>
      <c r="K27" s="19"/>
      <c r="L27" s="19"/>
      <c r="M27" s="33"/>
      <c r="N27" s="19"/>
      <c r="O27" s="19"/>
      <c r="P27" s="19"/>
      <c r="Q27" s="19"/>
      <c r="T27" t="str">
        <f>T15</f>
        <v>Показатель</v>
      </c>
      <c r="U27" t="str">
        <f>U15</f>
        <v>Значение (р.)</v>
      </c>
    </row>
    <row r="28" spans="1:21" x14ac:dyDescent="0.25">
      <c r="A28" s="21">
        <v>1</v>
      </c>
      <c r="B28" s="22"/>
      <c r="C28" s="22">
        <f>('прибыль проектов'!$G$93+'исходные данные'!$I$5)*4</f>
        <v>194003.19999999995</v>
      </c>
      <c r="D28" s="22">
        <f t="shared" ref="D28:D34" si="16">B28+C28</f>
        <v>194003.19999999995</v>
      </c>
      <c r="E28" s="23">
        <f>(1+'исходные данные'!$G$19/100)^(-A28)</f>
        <v>0.85106382978723405</v>
      </c>
      <c r="F28" s="22">
        <f t="shared" ref="F28:F33" si="17">E28*D28</f>
        <v>165109.10638297867</v>
      </c>
      <c r="J28" s="33" t="str">
        <f>J5</f>
        <v>Проект</v>
      </c>
      <c r="K28" s="33" t="str">
        <f t="shared" ref="K28:Q28" si="18">K5</f>
        <v>ЧДД в случае реализации проекта в текущем году (р.)</v>
      </c>
      <c r="L28" s="33" t="str">
        <f t="shared" si="18"/>
        <v>ЧДД в случае реализации проекта в следующем году (р.)</v>
      </c>
      <c r="M28" s="33" t="str">
        <f t="shared" si="18"/>
        <v>Потери ЧДД (р.)</v>
      </c>
      <c r="N28" s="33" t="str">
        <f t="shared" si="18"/>
        <v>Отложенные инвестиции (р.)</v>
      </c>
      <c r="O28" s="33" t="str">
        <f t="shared" si="18"/>
        <v>Индекс потерь ЧДД</v>
      </c>
      <c r="P28" s="33" t="str">
        <f t="shared" si="18"/>
        <v>Ранг проекта</v>
      </c>
      <c r="Q28" s="33" t="str">
        <f t="shared" si="18"/>
        <v>Инвестиции в текущем году (р.)</v>
      </c>
      <c r="T28" t="str">
        <f>T16</f>
        <v>Инвестиционные ресурсы на конец прошлого года</v>
      </c>
      <c r="U28" s="40">
        <f>K15</f>
        <v>966556</v>
      </c>
    </row>
    <row r="29" spans="1:21" x14ac:dyDescent="0.25">
      <c r="A29" s="21">
        <v>2</v>
      </c>
      <c r="B29" s="22"/>
      <c r="C29" s="22">
        <f>('прибыль проектов'!$G$93+'исходные данные'!$I$5)*4</f>
        <v>194003.19999999995</v>
      </c>
      <c r="D29" s="22">
        <f t="shared" si="16"/>
        <v>194003.19999999995</v>
      </c>
      <c r="E29" s="23">
        <f>(1+'исходные данные'!$G$19/100)^(-A29)</f>
        <v>0.72430964237211393</v>
      </c>
      <c r="F29" s="22">
        <f t="shared" si="17"/>
        <v>140518.38841104566</v>
      </c>
      <c r="J29" s="37">
        <v>1</v>
      </c>
      <c r="K29" s="19">
        <f>VLOOKUP(J29,$J$18:$L$20,3,)</f>
        <v>152232.98873534868</v>
      </c>
      <c r="L29" s="19">
        <f>$E$4*K29</f>
        <v>129559.99041306271</v>
      </c>
      <c r="M29" s="19">
        <f>L29-K29</f>
        <v>-22672.998322285974</v>
      </c>
      <c r="N29" s="19">
        <f>VLOOKUP(J29,$J$18:$N$20,5,)</f>
        <v>-718000</v>
      </c>
      <c r="O29" s="38">
        <f>M29/N29</f>
        <v>3.1577992092320296E-2</v>
      </c>
      <c r="P29" s="39">
        <f>_xlfn.RANK.EQ(O29,$O$29:$O$30,)</f>
        <v>1</v>
      </c>
      <c r="Q29" s="19">
        <f>N29*-1</f>
        <v>718000</v>
      </c>
      <c r="T29" t="str">
        <f>T17</f>
        <v>Инвестиции в прошлом году</v>
      </c>
      <c r="U29" s="40">
        <f>Q21</f>
        <v>899000</v>
      </c>
    </row>
    <row r="30" spans="1:21" x14ac:dyDescent="0.25">
      <c r="A30" s="21">
        <v>3</v>
      </c>
      <c r="B30" s="22"/>
      <c r="C30" s="22">
        <f>('прибыль проектов'!$G$93+'исходные данные'!$I$5)*4</f>
        <v>194003.19999999995</v>
      </c>
      <c r="D30" s="22">
        <f t="shared" si="16"/>
        <v>194003.19999999995</v>
      </c>
      <c r="E30" s="23">
        <f>(1+'исходные данные'!$G$19/100)^(-A30)</f>
        <v>0.61643373818903313</v>
      </c>
      <c r="F30" s="22">
        <f t="shared" si="17"/>
        <v>119590.1177966346</v>
      </c>
      <c r="J30" s="37">
        <v>2</v>
      </c>
      <c r="K30" s="19">
        <f t="shared" ref="K30" si="19">VLOOKUP(J30,$J$18:$L$20,3,)</f>
        <v>59478.02737284833</v>
      </c>
      <c r="L30" s="19">
        <f>$E$4*K30</f>
        <v>50619.597764126236</v>
      </c>
      <c r="M30" s="19">
        <f t="shared" ref="M30" si="20">L30-K30</f>
        <v>-8858.4296087220937</v>
      </c>
      <c r="N30" s="19">
        <f>VLOOKUP(J30,$J$18:$N$20,5,)</f>
        <v>-785000</v>
      </c>
      <c r="O30" s="38">
        <f t="shared" ref="O30" si="21">M30/N30</f>
        <v>1.1284623705378463E-2</v>
      </c>
      <c r="P30" s="39">
        <f>_xlfn.RANK.EQ(O30,$O$29:$O$30,)</f>
        <v>2</v>
      </c>
      <c r="Q30" s="19"/>
      <c r="T30" t="str">
        <f>T18</f>
        <v>Поступления по проекту 3 за текущий год</v>
      </c>
      <c r="U30" s="40">
        <f>D29</f>
        <v>194003.19999999995</v>
      </c>
    </row>
    <row r="31" spans="1:21" x14ac:dyDescent="0.25">
      <c r="A31" s="21">
        <v>4</v>
      </c>
      <c r="B31" s="22"/>
      <c r="C31" s="22">
        <f>('прибыль проектов'!$G$93+'исходные данные'!$I$5)*4</f>
        <v>194003.19999999995</v>
      </c>
      <c r="D31" s="22">
        <f t="shared" si="16"/>
        <v>194003.19999999995</v>
      </c>
      <c r="E31" s="23">
        <f>(1+'исходные данные'!$G$19/100)^(-A31)</f>
        <v>0.52462445803321966</v>
      </c>
      <c r="F31" s="22">
        <f t="shared" si="17"/>
        <v>101778.8236567103</v>
      </c>
      <c r="J31" s="37"/>
      <c r="K31" s="19"/>
      <c r="L31" s="19"/>
      <c r="M31" s="19"/>
      <c r="N31" s="19"/>
      <c r="O31" s="38"/>
      <c r="P31" s="19"/>
      <c r="Q31" s="19">
        <f>SUM(Q29:Q30)</f>
        <v>718000</v>
      </c>
      <c r="T31" t="str">
        <f>T19</f>
        <v>Поступления по проекту 4 за текущий год</v>
      </c>
      <c r="U31" s="40">
        <f>D41</f>
        <v>247552.80000000005</v>
      </c>
    </row>
    <row r="32" spans="1:21" x14ac:dyDescent="0.25">
      <c r="A32" s="21">
        <v>5</v>
      </c>
      <c r="B32" s="22"/>
      <c r="C32" s="22">
        <f>('прибыль проектов'!$G$93+'исходные данные'!$I$5)*4</f>
        <v>194003.19999999995</v>
      </c>
      <c r="D32" s="22">
        <f t="shared" si="16"/>
        <v>194003.19999999995</v>
      </c>
      <c r="E32" s="23">
        <f>(1+'исходные данные'!$G$19/100)^(-A32)</f>
        <v>0.44648890045380391</v>
      </c>
      <c r="F32" s="22">
        <f t="shared" si="17"/>
        <v>86620.275452519389</v>
      </c>
      <c r="J32" s="37"/>
      <c r="K32" s="19"/>
      <c r="L32" s="19"/>
      <c r="M32" s="19"/>
      <c r="N32" s="19"/>
      <c r="O32" s="38"/>
      <c r="P32" s="19"/>
      <c r="T32" t="s">
        <v>70</v>
      </c>
      <c r="U32" s="40">
        <f>D52</f>
        <v>301952.80000000005</v>
      </c>
    </row>
    <row r="33" spans="1:21" x14ac:dyDescent="0.25">
      <c r="A33" s="21">
        <v>6</v>
      </c>
      <c r="B33" s="22"/>
      <c r="C33" s="22">
        <f>('прибыль проектов'!$G$93+'исходные данные'!$I$5)*4</f>
        <v>194003.19999999995</v>
      </c>
      <c r="D33" s="22">
        <f t="shared" si="16"/>
        <v>194003.19999999995</v>
      </c>
      <c r="E33" s="23">
        <f>(1+'исходные данные'!$G$19/100)^(-A33)</f>
        <v>0.37999055357770539</v>
      </c>
      <c r="F33" s="22">
        <f t="shared" si="17"/>
        <v>73719.383363846282</v>
      </c>
      <c r="T33" t="str">
        <f>T20</f>
        <v>Инвестиционные ресурсы на конец текущего года</v>
      </c>
      <c r="U33" s="40">
        <f>U28-U29+U30+U31+U32</f>
        <v>811064.8</v>
      </c>
    </row>
    <row r="34" spans="1:21" x14ac:dyDescent="0.25">
      <c r="A34" s="21">
        <v>7</v>
      </c>
      <c r="B34" s="22"/>
      <c r="C34" s="22">
        <f>('прибыль проектов'!$G$93+'исходные данные'!$I$5)*4</f>
        <v>194003.19999999995</v>
      </c>
      <c r="D34" s="22">
        <f t="shared" si="16"/>
        <v>194003.19999999995</v>
      </c>
      <c r="E34" s="23">
        <f>(1+'исходные данные'!$G$19/100)^(-A34)</f>
        <v>0.32339621581081307</v>
      </c>
      <c r="F34" s="22">
        <f>E34*D34</f>
        <v>62739.900735188312</v>
      </c>
    </row>
    <row r="35" spans="1:21" x14ac:dyDescent="0.25">
      <c r="A35" s="24" t="s">
        <v>39</v>
      </c>
      <c r="B35" s="22">
        <f>SUM(B27:B34)</f>
        <v>-573000</v>
      </c>
      <c r="C35" s="22">
        <f>SUM(C27:C34)</f>
        <v>1358022.3999999997</v>
      </c>
      <c r="D35" s="22">
        <f>SUM(D27:D34)</f>
        <v>785022.39999999967</v>
      </c>
      <c r="E35" s="22"/>
      <c r="F35" s="29">
        <f>SUM(F27:F34)</f>
        <v>177075.99579892322</v>
      </c>
      <c r="J35" s="32" t="s">
        <v>64</v>
      </c>
      <c r="K35" s="19"/>
      <c r="L35" s="19"/>
      <c r="M35" s="19"/>
      <c r="N35" s="19"/>
      <c r="O35" s="19"/>
      <c r="P35" s="19"/>
      <c r="Q35" s="19"/>
    </row>
    <row r="36" spans="1:21" x14ac:dyDescent="0.25">
      <c r="J36" s="33" t="s">
        <v>58</v>
      </c>
      <c r="K36" s="19">
        <f>K26-Q31+D30+D42+D53+D4</f>
        <v>1076641.6000000001</v>
      </c>
      <c r="L36" s="19"/>
      <c r="M36" s="19"/>
      <c r="N36" s="19"/>
      <c r="O36" s="19"/>
      <c r="P36" s="19"/>
      <c r="Q36" s="19"/>
    </row>
    <row r="37" spans="1:21" x14ac:dyDescent="0.25">
      <c r="A37" s="18" t="s">
        <v>5</v>
      </c>
      <c r="B37" s="19"/>
      <c r="C37" s="19"/>
      <c r="D37" s="19"/>
      <c r="E37" s="19"/>
      <c r="F37" s="19"/>
      <c r="J37" s="19"/>
      <c r="K37" s="19"/>
      <c r="L37" s="19"/>
      <c r="M37" s="33"/>
      <c r="N37" s="19"/>
      <c r="O37" s="19"/>
      <c r="P37" s="19"/>
      <c r="Q37" s="19"/>
      <c r="T37" t="str">
        <f>T27</f>
        <v>Показатель</v>
      </c>
      <c r="U37" t="str">
        <f>U27</f>
        <v>Значение (р.)</v>
      </c>
    </row>
    <row r="38" spans="1:21" x14ac:dyDescent="0.25">
      <c r="A38" s="20" t="str">
        <f>$A$2</f>
        <v>Период</v>
      </c>
      <c r="B38" s="20" t="str">
        <f>$B$2</f>
        <v>Инвест. Затраты (р.)</v>
      </c>
      <c r="C38" s="20" t="str">
        <f>$C$2</f>
        <v>Поступления (р.)</v>
      </c>
      <c r="D38" s="20" t="str">
        <f>$D$2</f>
        <v>Денежный поток (р.)</v>
      </c>
      <c r="E38" s="20" t="str">
        <f>$E$2</f>
        <v>Коэф. дисконтирования</v>
      </c>
      <c r="F38" s="20" t="str">
        <f>$F$2</f>
        <v>Дисконтированный денежный поток (р.)</v>
      </c>
      <c r="J38" s="33" t="str">
        <f>J5</f>
        <v>Проект</v>
      </c>
      <c r="K38" s="33" t="str">
        <f t="shared" ref="K38:Q38" si="22">K5</f>
        <v>ЧДД в случае реализации проекта в текущем году (р.)</v>
      </c>
      <c r="L38" s="33" t="str">
        <f t="shared" si="22"/>
        <v>ЧДД в случае реализации проекта в следующем году (р.)</v>
      </c>
      <c r="M38" s="33" t="str">
        <f t="shared" si="22"/>
        <v>Потери ЧДД (р.)</v>
      </c>
      <c r="N38" s="33" t="str">
        <f t="shared" si="22"/>
        <v>Отложенные инвестиции (р.)</v>
      </c>
      <c r="O38" s="33" t="str">
        <f t="shared" si="22"/>
        <v>Индекс потерь ЧДД</v>
      </c>
      <c r="P38" s="33" t="str">
        <f t="shared" si="22"/>
        <v>Ранг проекта</v>
      </c>
      <c r="Q38" s="33" t="str">
        <f t="shared" si="22"/>
        <v>Инвестиции в текущем году (р.)</v>
      </c>
      <c r="T38" t="str">
        <f>T28</f>
        <v>Инвестиционные ресурсы на конец прошлого года</v>
      </c>
      <c r="U38" s="40">
        <f>K26</f>
        <v>811064.8</v>
      </c>
    </row>
    <row r="39" spans="1:21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  <c r="J39" s="37">
        <v>2</v>
      </c>
      <c r="K39" s="19">
        <f>VLOOKUP(J39,$J$29:$L$30,3,)</f>
        <v>50619.597764126236</v>
      </c>
      <c r="L39" s="19">
        <f>$E$4*K39</f>
        <v>43080.508735426585</v>
      </c>
      <c r="M39" s="19">
        <f t="shared" ref="M39" si="23">L39-K39</f>
        <v>-7539.089028699651</v>
      </c>
      <c r="N39" s="19">
        <f>VLOOKUP(J39,$J$18:$N$20,5,)</f>
        <v>-785000</v>
      </c>
      <c r="O39" s="38">
        <f t="shared" ref="O39" si="24">M39/N39</f>
        <v>9.6039350684071993E-3</v>
      </c>
      <c r="P39" s="39">
        <f>_xlfn.RANK.EQ(O39,$O$39:$O$39,)</f>
        <v>1</v>
      </c>
      <c r="Q39" s="19">
        <f>N39*-1</f>
        <v>785000</v>
      </c>
      <c r="T39" t="str">
        <f t="shared" ref="T39:T42" si="25">T29</f>
        <v>Инвестиции в прошлом году</v>
      </c>
      <c r="U39" s="40">
        <f>Q31</f>
        <v>718000</v>
      </c>
    </row>
    <row r="40" spans="1:21" x14ac:dyDescent="0.25">
      <c r="A40" s="21">
        <v>1</v>
      </c>
      <c r="B40" s="22"/>
      <c r="C40" s="22">
        <f>('прибыль проектов'!$G$124+'исходные данные'!$J$5)*4</f>
        <v>247552.80000000005</v>
      </c>
      <c r="D40" s="22">
        <f t="shared" ref="D40:D46" si="26">B40+C40</f>
        <v>247552.80000000005</v>
      </c>
      <c r="E40" s="23">
        <f>(1+'исходные данные'!$G$19/100)^(-A40)</f>
        <v>0.85106382978723405</v>
      </c>
      <c r="F40" s="22">
        <f t="shared" ref="F40:F45" si="27">E40*D40</f>
        <v>210683.23404255323</v>
      </c>
      <c r="Q40" s="19">
        <f>SUM(Q39:Q39)</f>
        <v>785000</v>
      </c>
      <c r="T40" t="str">
        <f t="shared" si="25"/>
        <v>Поступления по проекту 3 за текущий год</v>
      </c>
      <c r="U40" s="40">
        <f>U30</f>
        <v>194003.19999999995</v>
      </c>
    </row>
    <row r="41" spans="1:21" x14ac:dyDescent="0.25">
      <c r="A41" s="21">
        <v>2</v>
      </c>
      <c r="B41" s="22"/>
      <c r="C41" s="22">
        <f>('прибыль проектов'!$G$124+'исходные данные'!$J$5)*4</f>
        <v>247552.80000000005</v>
      </c>
      <c r="D41" s="22">
        <f t="shared" si="26"/>
        <v>247552.80000000005</v>
      </c>
      <c r="E41" s="23">
        <f>(1+'исходные данные'!$G$19/100)^(-A41)</f>
        <v>0.72430964237211393</v>
      </c>
      <c r="F41" s="22">
        <f t="shared" si="27"/>
        <v>179304.88003621547</v>
      </c>
      <c r="J41" s="37"/>
      <c r="K41" s="19"/>
      <c r="L41" s="19"/>
      <c r="M41" s="19"/>
      <c r="N41" s="19"/>
      <c r="O41" s="38"/>
      <c r="P41" s="19"/>
      <c r="T41" t="str">
        <f t="shared" si="25"/>
        <v>Поступления по проекту 4 за текущий год</v>
      </c>
      <c r="U41" s="40">
        <f t="shared" ref="U41:U42" si="28">U31</f>
        <v>247552.80000000005</v>
      </c>
    </row>
    <row r="42" spans="1:21" x14ac:dyDescent="0.25">
      <c r="A42" s="21">
        <v>3</v>
      </c>
      <c r="B42" s="22"/>
      <c r="C42" s="22">
        <f>('прибыль проектов'!$G$124+'исходные данные'!$J$5)*4</f>
        <v>247552.80000000005</v>
      </c>
      <c r="D42" s="22">
        <f t="shared" si="26"/>
        <v>247552.80000000005</v>
      </c>
      <c r="E42" s="23">
        <f>(1+'исходные данные'!$G$19/100)^(-A42)</f>
        <v>0.61643373818903313</v>
      </c>
      <c r="F42" s="22">
        <f t="shared" si="27"/>
        <v>152599.89790316211</v>
      </c>
      <c r="T42" t="str">
        <f t="shared" si="25"/>
        <v>Поступления по проекту 5 за текущий год</v>
      </c>
      <c r="U42" s="40">
        <f t="shared" si="28"/>
        <v>301952.80000000005</v>
      </c>
    </row>
    <row r="43" spans="1:21" x14ac:dyDescent="0.25">
      <c r="A43" s="21">
        <v>4</v>
      </c>
      <c r="B43" s="22"/>
      <c r="C43" s="22">
        <f>('прибыль проектов'!$G$124+'исходные данные'!$J$5)*4</f>
        <v>247552.80000000005</v>
      </c>
      <c r="D43" s="22">
        <f t="shared" si="26"/>
        <v>247552.80000000005</v>
      </c>
      <c r="E43" s="23">
        <f>(1+'исходные данные'!$G$19/100)^(-A43)</f>
        <v>0.52462445803321966</v>
      </c>
      <c r="F43" s="22">
        <f t="shared" si="27"/>
        <v>129872.25353460605</v>
      </c>
      <c r="T43" t="s">
        <v>71</v>
      </c>
      <c r="U43" s="40">
        <f>D4</f>
        <v>240068</v>
      </c>
    </row>
    <row r="44" spans="1:21" x14ac:dyDescent="0.25">
      <c r="A44" s="21">
        <v>5</v>
      </c>
      <c r="B44" s="22"/>
      <c r="C44" s="22">
        <f>('прибыль проектов'!$G$124+'исходные данные'!$J$5)*4</f>
        <v>247552.80000000005</v>
      </c>
      <c r="D44" s="22">
        <f t="shared" si="26"/>
        <v>247552.80000000005</v>
      </c>
      <c r="E44" s="23">
        <f>(1+'исходные данные'!$G$19/100)^(-A44)</f>
        <v>0.44648890045380391</v>
      </c>
      <c r="F44" s="22">
        <f t="shared" si="27"/>
        <v>110529.57747626044</v>
      </c>
      <c r="T44" t="str">
        <f>T33</f>
        <v>Инвестиционные ресурсы на конец текущего года</v>
      </c>
      <c r="U44" s="40">
        <f>U38-U39+U40+U41+U42+U43</f>
        <v>1076641.6000000001</v>
      </c>
    </row>
    <row r="45" spans="1:21" x14ac:dyDescent="0.25">
      <c r="A45" s="21">
        <v>6</v>
      </c>
      <c r="B45" s="22"/>
      <c r="C45" s="22">
        <f>('прибыль проектов'!$G$124+'исходные данные'!$J$5)*4</f>
        <v>247552.80000000005</v>
      </c>
      <c r="D45" s="22">
        <f t="shared" si="26"/>
        <v>247552.80000000005</v>
      </c>
      <c r="E45" s="23">
        <f>(1+'исходные данные'!$G$19/100)^(-A45)</f>
        <v>0.37999055357770539</v>
      </c>
      <c r="F45" s="22">
        <f t="shared" si="27"/>
        <v>94067.725511711003</v>
      </c>
      <c r="J45" s="32"/>
      <c r="K45" s="19"/>
      <c r="L45" s="19"/>
      <c r="M45" s="19"/>
      <c r="N45" s="19"/>
      <c r="O45" s="19"/>
      <c r="P45" s="19"/>
      <c r="Q45" s="19"/>
    </row>
    <row r="46" spans="1:21" x14ac:dyDescent="0.25">
      <c r="A46" s="21">
        <v>7</v>
      </c>
      <c r="B46" s="22"/>
      <c r="C46" s="22">
        <f>('прибыль проектов'!$G$124+'исходные данные'!$J$5)*4</f>
        <v>247552.80000000005</v>
      </c>
      <c r="D46" s="22">
        <f t="shared" si="26"/>
        <v>247552.80000000005</v>
      </c>
      <c r="E46" s="23">
        <f>(1+'исходные данные'!$G$19/100)^(-A46)</f>
        <v>0.32339621581081307</v>
      </c>
      <c r="F46" s="22">
        <f>E46*D46</f>
        <v>80057.638733371059</v>
      </c>
      <c r="J46" s="33"/>
      <c r="K46" s="19"/>
      <c r="L46" s="19"/>
      <c r="M46" s="19"/>
      <c r="N46" s="19"/>
      <c r="O46" s="19"/>
      <c r="P46" s="19"/>
      <c r="Q46" s="19"/>
    </row>
    <row r="47" spans="1:21" x14ac:dyDescent="0.25">
      <c r="A47" s="24" t="s">
        <v>39</v>
      </c>
      <c r="B47" s="22">
        <f>SUM(B39:B46)</f>
        <v>-727000</v>
      </c>
      <c r="C47" s="22">
        <f>SUM(C39:C46)</f>
        <v>1732869.6000000003</v>
      </c>
      <c r="D47" s="22">
        <f>SUM(D39:D46)</f>
        <v>1005869.6000000003</v>
      </c>
      <c r="E47" s="22"/>
      <c r="F47" s="29">
        <f>SUM(F39:F46)</f>
        <v>230115.20723787934</v>
      </c>
      <c r="J47" s="19"/>
      <c r="K47" s="19"/>
      <c r="L47" s="19"/>
      <c r="M47" s="33"/>
      <c r="N47" s="19"/>
      <c r="O47" s="19"/>
      <c r="P47" s="19"/>
      <c r="Q47" s="19"/>
    </row>
    <row r="48" spans="1:21" x14ac:dyDescent="0.25">
      <c r="J48" s="33"/>
      <c r="K48" s="33"/>
      <c r="L48" s="33"/>
      <c r="M48" s="33"/>
      <c r="N48" s="33"/>
      <c r="O48" s="33"/>
      <c r="P48" s="33"/>
      <c r="Q48" s="33"/>
    </row>
    <row r="49" spans="1:17" x14ac:dyDescent="0.25">
      <c r="A49" s="18" t="s">
        <v>6</v>
      </c>
      <c r="B49" s="19"/>
      <c r="C49" s="19"/>
      <c r="D49" s="19"/>
      <c r="E49" s="19"/>
      <c r="F49" s="19"/>
      <c r="J49" s="37"/>
      <c r="K49" s="19"/>
      <c r="L49" s="19"/>
      <c r="M49" s="19"/>
      <c r="N49" s="19"/>
      <c r="O49" s="38"/>
      <c r="P49" s="39"/>
      <c r="Q49" s="19"/>
    </row>
    <row r="50" spans="1:17" x14ac:dyDescent="0.25">
      <c r="A50" s="20" t="str">
        <f>$A$2</f>
        <v>Период</v>
      </c>
      <c r="B50" s="20" t="str">
        <f>$B$2</f>
        <v>Инвест. Затраты (р.)</v>
      </c>
      <c r="C50" s="20" t="str">
        <f>$C$2</f>
        <v>Поступления (р.)</v>
      </c>
      <c r="D50" s="20" t="str">
        <f>$D$2</f>
        <v>Денежный поток (р.)</v>
      </c>
      <c r="E50" s="20" t="str">
        <f>$E$2</f>
        <v>Коэф. дисконтирования</v>
      </c>
      <c r="F50" s="20" t="str">
        <f>$F$2</f>
        <v>Дисконтированный денежный поток (р.)</v>
      </c>
      <c r="J50" s="37"/>
      <c r="K50" s="19"/>
      <c r="L50" s="19"/>
      <c r="M50" s="19"/>
      <c r="N50" s="19"/>
      <c r="O50" s="38"/>
      <c r="P50" s="19"/>
      <c r="Q50" s="19"/>
    </row>
    <row r="51" spans="1:17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  <c r="J51" s="37"/>
      <c r="K51" s="19"/>
      <c r="L51" s="19"/>
      <c r="M51" s="19"/>
      <c r="N51" s="19"/>
      <c r="O51" s="38"/>
      <c r="P51" s="19"/>
    </row>
    <row r="52" spans="1:17" x14ac:dyDescent="0.25">
      <c r="A52" s="21">
        <v>1</v>
      </c>
      <c r="B52" s="22"/>
      <c r="C52" s="22">
        <f>('прибыль проектов'!$G$155+'исходные данные'!$K$5)*4</f>
        <v>301952.80000000005</v>
      </c>
      <c r="D52" s="22">
        <f t="shared" ref="D52:D58" si="29">B52+C52</f>
        <v>301952.80000000005</v>
      </c>
      <c r="E52" s="23">
        <f>(1+'исходные данные'!$G$19/100)^(-A52)</f>
        <v>0.85106382978723405</v>
      </c>
      <c r="F52" s="22">
        <f t="shared" ref="F52:F57" si="30">E52*D52</f>
        <v>256981.10638297876</v>
      </c>
    </row>
    <row r="53" spans="1:17" x14ac:dyDescent="0.25">
      <c r="A53" s="21">
        <v>2</v>
      </c>
      <c r="B53" s="22"/>
      <c r="C53" s="22">
        <f>('прибыль проектов'!$G$155+'исходные данные'!$K$5)*4</f>
        <v>301952.80000000005</v>
      </c>
      <c r="D53" s="22">
        <f t="shared" si="29"/>
        <v>301952.80000000005</v>
      </c>
      <c r="E53" s="23">
        <f>(1+'исходные данные'!$G$19/100)^(-A53)</f>
        <v>0.72430964237211393</v>
      </c>
      <c r="F53" s="22">
        <f t="shared" si="30"/>
        <v>218707.32458125846</v>
      </c>
    </row>
    <row r="54" spans="1:17" x14ac:dyDescent="0.25">
      <c r="A54" s="21">
        <v>3</v>
      </c>
      <c r="B54" s="22"/>
      <c r="C54" s="22">
        <f>('прибыль проектов'!$G$155+'исходные данные'!$K$5)*4</f>
        <v>301952.80000000005</v>
      </c>
      <c r="D54" s="22">
        <f t="shared" si="29"/>
        <v>301952.80000000005</v>
      </c>
      <c r="E54" s="23">
        <f>(1+'исходные данные'!$G$19/100)^(-A54)</f>
        <v>0.61643373818903313</v>
      </c>
      <c r="F54" s="22">
        <f t="shared" si="30"/>
        <v>186133.89326064551</v>
      </c>
    </row>
    <row r="55" spans="1:17" x14ac:dyDescent="0.25">
      <c r="A55" s="21">
        <v>4</v>
      </c>
      <c r="B55" s="22"/>
      <c r="C55" s="22">
        <f>('прибыль проектов'!$G$155+'исходные данные'!$K$5)*4</f>
        <v>301952.80000000005</v>
      </c>
      <c r="D55" s="22">
        <f t="shared" si="29"/>
        <v>301952.80000000005</v>
      </c>
      <c r="E55" s="23">
        <f>(1+'исходные данные'!$G$19/100)^(-A55)</f>
        <v>0.52462445803321966</v>
      </c>
      <c r="F55" s="22">
        <f t="shared" si="30"/>
        <v>158411.82405161319</v>
      </c>
    </row>
    <row r="56" spans="1:17" x14ac:dyDescent="0.25">
      <c r="A56" s="21">
        <v>5</v>
      </c>
      <c r="B56" s="22"/>
      <c r="C56" s="22">
        <f>('прибыль проектов'!$G$155+'исходные данные'!$K$5)*4</f>
        <v>301952.80000000005</v>
      </c>
      <c r="D56" s="22">
        <f t="shared" si="29"/>
        <v>301952.80000000005</v>
      </c>
      <c r="E56" s="23">
        <f>(1+'исходные данные'!$G$19/100)^(-A56)</f>
        <v>0.44648890045380391</v>
      </c>
      <c r="F56" s="22">
        <f t="shared" si="30"/>
        <v>134818.57366094738</v>
      </c>
    </row>
    <row r="57" spans="1:17" x14ac:dyDescent="0.25">
      <c r="A57" s="21">
        <v>6</v>
      </c>
      <c r="B57" s="22"/>
      <c r="C57" s="22">
        <f>('прибыль проектов'!$G$155+'исходные данные'!$K$5)*4</f>
        <v>301952.80000000005</v>
      </c>
      <c r="D57" s="22">
        <f t="shared" si="29"/>
        <v>301952.80000000005</v>
      </c>
      <c r="E57" s="23">
        <f>(1+'исходные данные'!$G$19/100)^(-A57)</f>
        <v>0.37999055357770539</v>
      </c>
      <c r="F57" s="22">
        <f t="shared" si="30"/>
        <v>114739.21162633818</v>
      </c>
    </row>
    <row r="58" spans="1:17" x14ac:dyDescent="0.25">
      <c r="A58" s="21">
        <v>7</v>
      </c>
      <c r="B58" s="22"/>
      <c r="C58" s="22">
        <f>('прибыль проектов'!$G$155+'исходные данные'!$K$5)*4</f>
        <v>301952.80000000005</v>
      </c>
      <c r="D58" s="22">
        <f t="shared" si="29"/>
        <v>301952.80000000005</v>
      </c>
      <c r="E58" s="23">
        <f>(1+'исходные данные'!$G$19/100)^(-A58)</f>
        <v>0.32339621581081307</v>
      </c>
      <c r="F58" s="22">
        <f>E58*D58</f>
        <v>97650.392873479286</v>
      </c>
    </row>
    <row r="59" spans="1:17" x14ac:dyDescent="0.25">
      <c r="A59" s="24" t="s">
        <v>39</v>
      </c>
      <c r="B59" s="22">
        <f>SUM(B51:B58)</f>
        <v>-899000</v>
      </c>
      <c r="C59" s="22">
        <f>SUM(C51:C58)</f>
        <v>2113669.6000000006</v>
      </c>
      <c r="D59" s="22">
        <f>SUM(D51:D58)</f>
        <v>1214669.6000000003</v>
      </c>
      <c r="E59" s="22"/>
      <c r="F59" s="29">
        <f>SUM(F51:F58)</f>
        <v>268442.32643726072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2015-11-28T08:58:02Z</dcterms:modified>
</cp:coreProperties>
</file>