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исходные данные" sheetId="1" r:id="rId1"/>
    <sheet name="прибыль проектов" sheetId="2" r:id="rId2"/>
    <sheet name="оптимизация проектов во времени" sheetId="3" r:id="rId3"/>
  </sheets>
  <calcPr calcId="152511"/>
</workbook>
</file>

<file path=xl/calcChain.xml><?xml version="1.0" encoding="utf-8"?>
<calcChain xmlns="http://schemas.openxmlformats.org/spreadsheetml/2006/main">
  <c r="G17" i="2" l="1"/>
  <c r="G18" i="2"/>
  <c r="G19" i="2"/>
  <c r="G20" i="2"/>
  <c r="G21" i="2"/>
  <c r="G16" i="2"/>
  <c r="D25" i="2" l="1"/>
  <c r="F6" i="2" l="1"/>
  <c r="F52" i="3" l="1"/>
  <c r="C58" i="3"/>
  <c r="C57" i="3"/>
  <c r="C56" i="3"/>
  <c r="C55" i="3"/>
  <c r="D55" i="3" s="1"/>
  <c r="F55" i="3" s="1"/>
  <c r="C54" i="3"/>
  <c r="C53" i="3"/>
  <c r="C52" i="3"/>
  <c r="D56" i="3"/>
  <c r="F56" i="3" s="1"/>
  <c r="B51" i="3"/>
  <c r="D51" i="3" s="1"/>
  <c r="C41" i="3"/>
  <c r="C42" i="3"/>
  <c r="C43" i="3"/>
  <c r="C44" i="3"/>
  <c r="D44" i="3" s="1"/>
  <c r="C45" i="3"/>
  <c r="C46" i="3"/>
  <c r="C40" i="3"/>
  <c r="C28" i="3"/>
  <c r="B39" i="3"/>
  <c r="B27" i="3"/>
  <c r="C29" i="3"/>
  <c r="C30" i="3"/>
  <c r="C31" i="3"/>
  <c r="C32" i="3"/>
  <c r="D32" i="3" s="1"/>
  <c r="F32" i="3" s="1"/>
  <c r="C33" i="3"/>
  <c r="C34" i="3"/>
  <c r="D27" i="3"/>
  <c r="E15" i="3"/>
  <c r="C17" i="3"/>
  <c r="C18" i="3"/>
  <c r="C19" i="3"/>
  <c r="C20" i="3"/>
  <c r="D20" i="3" s="1"/>
  <c r="C21" i="3"/>
  <c r="D21" i="3" s="1"/>
  <c r="C22" i="3"/>
  <c r="C16" i="3"/>
  <c r="B15" i="3"/>
  <c r="E58" i="3"/>
  <c r="D58" i="3"/>
  <c r="F58" i="3" s="1"/>
  <c r="E57" i="3"/>
  <c r="D57" i="3"/>
  <c r="F57" i="3" s="1"/>
  <c r="E56" i="3"/>
  <c r="E55" i="3"/>
  <c r="E54" i="3"/>
  <c r="D54" i="3"/>
  <c r="F54" i="3" s="1"/>
  <c r="E53" i="3"/>
  <c r="D53" i="3"/>
  <c r="F53" i="3" s="1"/>
  <c r="E52" i="3"/>
  <c r="E51" i="3"/>
  <c r="E46" i="3"/>
  <c r="D46" i="3"/>
  <c r="E45" i="3"/>
  <c r="D45" i="3"/>
  <c r="E44" i="3"/>
  <c r="E43" i="3"/>
  <c r="D43" i="3"/>
  <c r="E42" i="3"/>
  <c r="D42" i="3"/>
  <c r="E41" i="3"/>
  <c r="D41" i="3"/>
  <c r="E40" i="3"/>
  <c r="E39" i="3"/>
  <c r="B47" i="3"/>
  <c r="E34" i="3"/>
  <c r="D34" i="3"/>
  <c r="F34" i="3" s="1"/>
  <c r="E33" i="3"/>
  <c r="D33" i="3"/>
  <c r="F33" i="3" s="1"/>
  <c r="E32" i="3"/>
  <c r="E31" i="3"/>
  <c r="D31" i="3"/>
  <c r="F31" i="3" s="1"/>
  <c r="E30" i="3"/>
  <c r="D30" i="3"/>
  <c r="F30" i="3" s="1"/>
  <c r="E29" i="3"/>
  <c r="D29" i="3"/>
  <c r="F29" i="3" s="1"/>
  <c r="E28" i="3"/>
  <c r="E27" i="3"/>
  <c r="E22" i="3"/>
  <c r="D22" i="3"/>
  <c r="E21" i="3"/>
  <c r="E20" i="3"/>
  <c r="E19" i="3"/>
  <c r="D19" i="3"/>
  <c r="E18" i="3"/>
  <c r="D18" i="3"/>
  <c r="E17" i="3"/>
  <c r="D17" i="3"/>
  <c r="E16" i="3"/>
  <c r="D15" i="3"/>
  <c r="E4" i="3"/>
  <c r="E5" i="3"/>
  <c r="E6" i="3"/>
  <c r="E7" i="3"/>
  <c r="E8" i="3"/>
  <c r="E9" i="3"/>
  <c r="E10" i="3"/>
  <c r="E3" i="3"/>
  <c r="B3" i="3"/>
  <c r="D3" i="3" s="1"/>
  <c r="F155" i="2"/>
  <c r="C149" i="2"/>
  <c r="B149" i="2"/>
  <c r="F139" i="2"/>
  <c r="D141" i="2"/>
  <c r="D142" i="2"/>
  <c r="D143" i="2"/>
  <c r="D144" i="2"/>
  <c r="D145" i="2"/>
  <c r="D140" i="2"/>
  <c r="C141" i="2"/>
  <c r="C142" i="2"/>
  <c r="C143" i="2"/>
  <c r="C144" i="2"/>
  <c r="C145" i="2"/>
  <c r="C140" i="2"/>
  <c r="B141" i="2"/>
  <c r="B142" i="2"/>
  <c r="B143" i="2"/>
  <c r="B144" i="2"/>
  <c r="A153" i="2" s="1"/>
  <c r="B145" i="2"/>
  <c r="B140" i="2"/>
  <c r="A154" i="2"/>
  <c r="G131" i="2"/>
  <c r="G132" i="2"/>
  <c r="G133" i="2"/>
  <c r="G134" i="2"/>
  <c r="G135" i="2"/>
  <c r="G130" i="2"/>
  <c r="D131" i="2"/>
  <c r="D132" i="2"/>
  <c r="D133" i="2"/>
  <c r="D134" i="2"/>
  <c r="D135" i="2"/>
  <c r="D130" i="2"/>
  <c r="C129" i="2"/>
  <c r="C130" i="2"/>
  <c r="C131" i="2"/>
  <c r="C132" i="2"/>
  <c r="C151" i="2" s="1"/>
  <c r="C133" i="2"/>
  <c r="C134" i="2"/>
  <c r="C135" i="2"/>
  <c r="B130" i="2"/>
  <c r="B131" i="2"/>
  <c r="B132" i="2"/>
  <c r="B133" i="2"/>
  <c r="B152" i="2" s="1"/>
  <c r="B134" i="2"/>
  <c r="B135" i="2"/>
  <c r="B129" i="2"/>
  <c r="A130" i="2"/>
  <c r="A131" i="2"/>
  <c r="A132" i="2"/>
  <c r="A133" i="2"/>
  <c r="A134" i="2"/>
  <c r="A135" i="2"/>
  <c r="A129" i="2"/>
  <c r="F62" i="2"/>
  <c r="F124" i="2"/>
  <c r="F108" i="2"/>
  <c r="D110" i="2"/>
  <c r="D111" i="2"/>
  <c r="D112" i="2"/>
  <c r="D113" i="2"/>
  <c r="D114" i="2"/>
  <c r="D109" i="2"/>
  <c r="C110" i="2"/>
  <c r="C111" i="2"/>
  <c r="C112" i="2"/>
  <c r="C113" i="2"/>
  <c r="C114" i="2"/>
  <c r="C109" i="2"/>
  <c r="B110" i="2"/>
  <c r="B111" i="2"/>
  <c r="B112" i="2"/>
  <c r="A121" i="2" s="1"/>
  <c r="B113" i="2"/>
  <c r="B114" i="2"/>
  <c r="B109" i="2"/>
  <c r="G100" i="2"/>
  <c r="G101" i="2"/>
  <c r="G102" i="2"/>
  <c r="G103" i="2"/>
  <c r="G104" i="2"/>
  <c r="G99" i="2"/>
  <c r="D100" i="2"/>
  <c r="D101" i="2"/>
  <c r="D102" i="2"/>
  <c r="D103" i="2"/>
  <c r="D104" i="2"/>
  <c r="D99" i="2"/>
  <c r="C98" i="2"/>
  <c r="B99" i="2"/>
  <c r="C99" i="2"/>
  <c r="B100" i="2"/>
  <c r="C100" i="2"/>
  <c r="E100" i="2" s="1"/>
  <c r="F100" i="2" s="1"/>
  <c r="B101" i="2"/>
  <c r="C101" i="2"/>
  <c r="B102" i="2"/>
  <c r="C102" i="2"/>
  <c r="E102" i="2" s="1"/>
  <c r="F102" i="2" s="1"/>
  <c r="B103" i="2"/>
  <c r="C103" i="2"/>
  <c r="B104" i="2"/>
  <c r="C104" i="2"/>
  <c r="E104" i="2" s="1"/>
  <c r="F104" i="2" s="1"/>
  <c r="B98" i="2"/>
  <c r="A99" i="2"/>
  <c r="A100" i="2"/>
  <c r="A101" i="2"/>
  <c r="A102" i="2"/>
  <c r="A103" i="2"/>
  <c r="A104" i="2"/>
  <c r="A98" i="2"/>
  <c r="C153" i="2"/>
  <c r="B153" i="2"/>
  <c r="C152" i="2"/>
  <c r="A151" i="2"/>
  <c r="A150" i="2"/>
  <c r="A149" i="2"/>
  <c r="E135" i="2"/>
  <c r="F135" i="2" s="1"/>
  <c r="C154" i="2"/>
  <c r="B154" i="2"/>
  <c r="H135" i="2"/>
  <c r="E134" i="2"/>
  <c r="H134" i="2"/>
  <c r="H133" i="2"/>
  <c r="H132" i="2"/>
  <c r="E131" i="2"/>
  <c r="F131" i="2" s="1"/>
  <c r="C150" i="2"/>
  <c r="B150" i="2"/>
  <c r="H131" i="2"/>
  <c r="E130" i="2"/>
  <c r="H130" i="2"/>
  <c r="H129" i="2"/>
  <c r="A123" i="2"/>
  <c r="B122" i="2"/>
  <c r="A122" i="2"/>
  <c r="B121" i="2"/>
  <c r="C120" i="2"/>
  <c r="A119" i="2"/>
  <c r="B118" i="2"/>
  <c r="A118" i="2"/>
  <c r="A120" i="2"/>
  <c r="H104" i="2"/>
  <c r="B123" i="2"/>
  <c r="H103" i="2"/>
  <c r="E103" i="2"/>
  <c r="C122" i="2"/>
  <c r="H102" i="2"/>
  <c r="H101" i="2"/>
  <c r="E101" i="2"/>
  <c r="F101" i="2" s="1"/>
  <c r="B120" i="2"/>
  <c r="H100" i="2"/>
  <c r="B119" i="2"/>
  <c r="H99" i="2"/>
  <c r="E99" i="2"/>
  <c r="F99" i="2" s="1"/>
  <c r="C118" i="2"/>
  <c r="H98" i="2"/>
  <c r="E93" i="2"/>
  <c r="F93" i="2"/>
  <c r="F77" i="2"/>
  <c r="D79" i="2"/>
  <c r="D80" i="2"/>
  <c r="D81" i="2"/>
  <c r="D82" i="2"/>
  <c r="D83" i="2"/>
  <c r="D78" i="2"/>
  <c r="C79" i="2"/>
  <c r="C80" i="2"/>
  <c r="C81" i="2"/>
  <c r="C82" i="2"/>
  <c r="C83" i="2"/>
  <c r="C78" i="2"/>
  <c r="C48" i="2"/>
  <c r="C49" i="2"/>
  <c r="C50" i="2"/>
  <c r="C51" i="2"/>
  <c r="C52" i="2"/>
  <c r="C47" i="2"/>
  <c r="B79" i="2"/>
  <c r="B80" i="2"/>
  <c r="B81" i="2"/>
  <c r="B82" i="2"/>
  <c r="B83" i="2"/>
  <c r="B78" i="2"/>
  <c r="A68" i="2"/>
  <c r="A69" i="2"/>
  <c r="A70" i="2"/>
  <c r="A71" i="2"/>
  <c r="H71" i="2" s="1"/>
  <c r="A72" i="2"/>
  <c r="A73" i="2"/>
  <c r="A67" i="2"/>
  <c r="H67" i="2" s="1"/>
  <c r="G69" i="2"/>
  <c r="G70" i="2"/>
  <c r="G71" i="2"/>
  <c r="G72" i="2"/>
  <c r="G73" i="2"/>
  <c r="G68" i="2"/>
  <c r="D69" i="2"/>
  <c r="D70" i="2"/>
  <c r="D71" i="2"/>
  <c r="D72" i="2"/>
  <c r="D73" i="2"/>
  <c r="D68" i="2"/>
  <c r="C68" i="2"/>
  <c r="C69" i="2"/>
  <c r="C70" i="2"/>
  <c r="C71" i="2"/>
  <c r="E71" i="2" s="1"/>
  <c r="F71" i="2" s="1"/>
  <c r="C72" i="2"/>
  <c r="C73" i="2"/>
  <c r="C67" i="2"/>
  <c r="B68" i="2"/>
  <c r="B69" i="2"/>
  <c r="B88" i="2" s="1"/>
  <c r="B70" i="2"/>
  <c r="B71" i="2"/>
  <c r="B72" i="2"/>
  <c r="B91" i="2" s="1"/>
  <c r="B73" i="2"/>
  <c r="B67" i="2"/>
  <c r="A92" i="2"/>
  <c r="C91" i="2"/>
  <c r="B90" i="2"/>
  <c r="C89" i="2"/>
  <c r="A88" i="2"/>
  <c r="C87" i="2"/>
  <c r="B87" i="2"/>
  <c r="A90" i="2"/>
  <c r="A89" i="2"/>
  <c r="H73" i="2"/>
  <c r="E73" i="2"/>
  <c r="F73" i="2" s="1"/>
  <c r="C92" i="2"/>
  <c r="B92" i="2"/>
  <c r="H72" i="2"/>
  <c r="H70" i="2"/>
  <c r="E70" i="2"/>
  <c r="F70" i="2" s="1"/>
  <c r="B89" i="2"/>
  <c r="H69" i="2"/>
  <c r="E69" i="2"/>
  <c r="F69" i="2" s="1"/>
  <c r="C88" i="2"/>
  <c r="H68" i="2"/>
  <c r="E68" i="2"/>
  <c r="F46" i="2"/>
  <c r="D48" i="2"/>
  <c r="D49" i="2"/>
  <c r="D50" i="2"/>
  <c r="D51" i="2"/>
  <c r="D52" i="2"/>
  <c r="D47" i="2"/>
  <c r="G37" i="2"/>
  <c r="B47" i="2" s="1"/>
  <c r="A56" i="2" s="1"/>
  <c r="G38" i="2"/>
  <c r="B48" i="2" s="1"/>
  <c r="G39" i="2"/>
  <c r="G40" i="2"/>
  <c r="G41" i="2"/>
  <c r="G42" i="2"/>
  <c r="D37" i="2"/>
  <c r="D38" i="2"/>
  <c r="D39" i="2"/>
  <c r="D40" i="2"/>
  <c r="D41" i="2"/>
  <c r="D42" i="2"/>
  <c r="C36" i="2"/>
  <c r="C37" i="2"/>
  <c r="C38" i="2"/>
  <c r="C39" i="2"/>
  <c r="C58" i="2" s="1"/>
  <c r="C40" i="2"/>
  <c r="C59" i="2" s="1"/>
  <c r="C41" i="2"/>
  <c r="C42" i="2"/>
  <c r="B37" i="2"/>
  <c r="B38" i="2"/>
  <c r="B39" i="2"/>
  <c r="B40" i="2"/>
  <c r="B59" i="2" s="1"/>
  <c r="B41" i="2"/>
  <c r="B42" i="2"/>
  <c r="B36" i="2"/>
  <c r="A37" i="2"/>
  <c r="A38" i="2"/>
  <c r="A39" i="2"/>
  <c r="A40" i="2"/>
  <c r="H40" i="2" s="1"/>
  <c r="A41" i="2"/>
  <c r="A42" i="2"/>
  <c r="A36" i="2"/>
  <c r="H36" i="2" s="1"/>
  <c r="C60" i="2"/>
  <c r="B60" i="2"/>
  <c r="C56" i="2"/>
  <c r="B56" i="2"/>
  <c r="E42" i="2"/>
  <c r="F42" i="2" s="1"/>
  <c r="C61" i="2"/>
  <c r="B61" i="2"/>
  <c r="H42" i="2"/>
  <c r="E41" i="2"/>
  <c r="H41" i="2"/>
  <c r="B58" i="2"/>
  <c r="H39" i="2"/>
  <c r="E38" i="2"/>
  <c r="F38" i="2" s="1"/>
  <c r="C57" i="2"/>
  <c r="B57" i="2"/>
  <c r="H38" i="2"/>
  <c r="E37" i="2"/>
  <c r="H37" i="2"/>
  <c r="F31" i="2"/>
  <c r="E26" i="2"/>
  <c r="E27" i="2"/>
  <c r="E28" i="2"/>
  <c r="E29" i="2"/>
  <c r="E30" i="2"/>
  <c r="E25" i="2"/>
  <c r="E31" i="2" s="1"/>
  <c r="G31" i="2" s="1"/>
  <c r="D26" i="2"/>
  <c r="D27" i="2"/>
  <c r="D28" i="2"/>
  <c r="D30" i="2"/>
  <c r="D29" i="2"/>
  <c r="C26" i="2"/>
  <c r="C27" i="2"/>
  <c r="C28" i="2"/>
  <c r="C29" i="2"/>
  <c r="C30" i="2"/>
  <c r="C25" i="2"/>
  <c r="B26" i="2"/>
  <c r="B27" i="2"/>
  <c r="B28" i="2"/>
  <c r="B29" i="2"/>
  <c r="B30" i="2"/>
  <c r="B25" i="2"/>
  <c r="A26" i="2"/>
  <c r="A27" i="2"/>
  <c r="A28" i="2"/>
  <c r="A29" i="2"/>
  <c r="A30" i="2"/>
  <c r="A25" i="2"/>
  <c r="E20" i="2"/>
  <c r="E16" i="2"/>
  <c r="F16" i="2" s="1"/>
  <c r="D17" i="2"/>
  <c r="D18" i="2"/>
  <c r="D19" i="2"/>
  <c r="D20" i="2"/>
  <c r="D21" i="2"/>
  <c r="D16" i="2"/>
  <c r="F15" i="2"/>
  <c r="C20" i="2"/>
  <c r="B17" i="2"/>
  <c r="C17" i="2" s="1"/>
  <c r="B18" i="2"/>
  <c r="C18" i="2" s="1"/>
  <c r="B19" i="2"/>
  <c r="C19" i="2" s="1"/>
  <c r="B20" i="2"/>
  <c r="B21" i="2"/>
  <c r="C21" i="2" s="1"/>
  <c r="B16" i="2"/>
  <c r="C16" i="2" s="1"/>
  <c r="H6" i="2"/>
  <c r="H7" i="2"/>
  <c r="H8" i="2"/>
  <c r="H9" i="2"/>
  <c r="H10" i="2"/>
  <c r="H11" i="2"/>
  <c r="H5" i="2"/>
  <c r="D7" i="2"/>
  <c r="D8" i="2"/>
  <c r="D9" i="2"/>
  <c r="D10" i="2"/>
  <c r="D11" i="2"/>
  <c r="D6" i="2"/>
  <c r="B5" i="2"/>
  <c r="C5" i="2"/>
  <c r="B6" i="2"/>
  <c r="C6" i="2"/>
  <c r="E6" i="2" s="1"/>
  <c r="B7" i="2"/>
  <c r="C7" i="2"/>
  <c r="E7" i="2" s="1"/>
  <c r="F7" i="2" s="1"/>
  <c r="B8" i="2"/>
  <c r="C8" i="2"/>
  <c r="E8" i="2" s="1"/>
  <c r="F8" i="2" s="1"/>
  <c r="B9" i="2"/>
  <c r="C9" i="2"/>
  <c r="E9" i="2" s="1"/>
  <c r="F9" i="2" s="1"/>
  <c r="G9" i="2" s="1"/>
  <c r="B10" i="2"/>
  <c r="C10" i="2"/>
  <c r="E10" i="2" s="1"/>
  <c r="F10" i="2" s="1"/>
  <c r="G10" i="2" s="1"/>
  <c r="B11" i="2"/>
  <c r="C11" i="2"/>
  <c r="E11" i="2" s="1"/>
  <c r="F11" i="2" s="1"/>
  <c r="G11" i="2" s="1"/>
  <c r="A11" i="2"/>
  <c r="A6" i="2"/>
  <c r="A7" i="2"/>
  <c r="A8" i="2"/>
  <c r="A9" i="2"/>
  <c r="A10" i="2"/>
  <c r="A5" i="2"/>
  <c r="C5" i="3" l="1"/>
  <c r="D5" i="3" s="1"/>
  <c r="F5" i="3" s="1"/>
  <c r="C9" i="3"/>
  <c r="D9" i="3" s="1"/>
  <c r="C6" i="3"/>
  <c r="D6" i="3" s="1"/>
  <c r="F6" i="3" s="1"/>
  <c r="C4" i="3"/>
  <c r="C11" i="3" s="1"/>
  <c r="C8" i="3"/>
  <c r="D8" i="3" s="1"/>
  <c r="F8" i="3" s="1"/>
  <c r="C10" i="3"/>
  <c r="D10" i="3" s="1"/>
  <c r="F10" i="3" s="1"/>
  <c r="C7" i="3"/>
  <c r="D7" i="3" s="1"/>
  <c r="C59" i="3"/>
  <c r="C47" i="3"/>
  <c r="C35" i="3"/>
  <c r="C23" i="3"/>
  <c r="F51" i="3"/>
  <c r="D52" i="3"/>
  <c r="B59" i="3"/>
  <c r="F41" i="3"/>
  <c r="F43" i="3"/>
  <c r="F45" i="3"/>
  <c r="F42" i="3"/>
  <c r="F44" i="3"/>
  <c r="F46" i="3"/>
  <c r="D39" i="3"/>
  <c r="D40" i="3"/>
  <c r="F40" i="3" s="1"/>
  <c r="F27" i="3"/>
  <c r="B35" i="3"/>
  <c r="D28" i="3"/>
  <c r="F28" i="3" s="1"/>
  <c r="F19" i="3"/>
  <c r="F15" i="3"/>
  <c r="F17" i="3"/>
  <c r="F21" i="3"/>
  <c r="F18" i="3"/>
  <c r="F20" i="3"/>
  <c r="F22" i="3"/>
  <c r="B23" i="3"/>
  <c r="D16" i="3"/>
  <c r="D23" i="3" s="1"/>
  <c r="F9" i="3"/>
  <c r="F7" i="3"/>
  <c r="B11" i="3"/>
  <c r="F3" i="3"/>
  <c r="F134" i="2"/>
  <c r="F130" i="2"/>
  <c r="E132" i="2"/>
  <c r="F132" i="2" s="1"/>
  <c r="B151" i="2"/>
  <c r="E133" i="2"/>
  <c r="F133" i="2" s="1"/>
  <c r="F103" i="2"/>
  <c r="C119" i="2"/>
  <c r="C123" i="2"/>
  <c r="C121" i="2"/>
  <c r="E140" i="2"/>
  <c r="A152" i="2"/>
  <c r="E109" i="2"/>
  <c r="D118" i="2" s="1"/>
  <c r="E118" i="2" s="1"/>
  <c r="A91" i="2"/>
  <c r="A87" i="2"/>
  <c r="F68" i="2"/>
  <c r="C90" i="2"/>
  <c r="E72" i="2"/>
  <c r="F72" i="2" s="1"/>
  <c r="E78" i="2"/>
  <c r="A57" i="2"/>
  <c r="B49" i="2"/>
  <c r="B50" i="2"/>
  <c r="A59" i="2" s="1"/>
  <c r="B52" i="2"/>
  <c r="B51" i="2"/>
  <c r="A60" i="2" s="1"/>
  <c r="A58" i="2"/>
  <c r="F41" i="2"/>
  <c r="F37" i="2"/>
  <c r="E39" i="2"/>
  <c r="F39" i="2" s="1"/>
  <c r="E40" i="2"/>
  <c r="F40" i="2" s="1"/>
  <c r="E17" i="2"/>
  <c r="F17" i="2" s="1"/>
  <c r="G7" i="2"/>
  <c r="G6" i="2"/>
  <c r="G8" i="2"/>
  <c r="D4" i="3" l="1"/>
  <c r="F4" i="3" s="1"/>
  <c r="F11" i="3" s="1"/>
  <c r="F59" i="3"/>
  <c r="D59" i="3"/>
  <c r="D47" i="3"/>
  <c r="F39" i="3"/>
  <c r="F47" i="3" s="1"/>
  <c r="D35" i="3"/>
  <c r="F35" i="3"/>
  <c r="F16" i="3"/>
  <c r="F23" i="3" s="1"/>
  <c r="D11" i="3"/>
  <c r="D149" i="2"/>
  <c r="E149" i="2" s="1"/>
  <c r="F140" i="2"/>
  <c r="F109" i="2"/>
  <c r="D87" i="2"/>
  <c r="E87" i="2" s="1"/>
  <c r="F78" i="2"/>
  <c r="A61" i="2"/>
  <c r="E47" i="2"/>
  <c r="D56" i="2" s="1"/>
  <c r="E56" i="2" s="1"/>
  <c r="E18" i="2"/>
  <c r="F18" i="2" s="1"/>
  <c r="E141" i="2" l="1"/>
  <c r="D150" i="2" s="1"/>
  <c r="E150" i="2" s="1"/>
  <c r="E110" i="2"/>
  <c r="D119" i="2" s="1"/>
  <c r="E119" i="2" s="1"/>
  <c r="E79" i="2"/>
  <c r="F47" i="2"/>
  <c r="E48" i="2" s="1"/>
  <c r="D57" i="2" s="1"/>
  <c r="E57" i="2" s="1"/>
  <c r="E19" i="2"/>
  <c r="F19" i="2" s="1"/>
  <c r="F141" i="2" l="1"/>
  <c r="F110" i="2"/>
  <c r="D88" i="2"/>
  <c r="E88" i="2" s="1"/>
  <c r="F79" i="2"/>
  <c r="F48" i="2"/>
  <c r="F20" i="2"/>
  <c r="E142" i="2" l="1"/>
  <c r="D151" i="2" s="1"/>
  <c r="E151" i="2" s="1"/>
  <c r="E111" i="2"/>
  <c r="D120" i="2" s="1"/>
  <c r="E120" i="2" s="1"/>
  <c r="E80" i="2"/>
  <c r="F80" i="2" s="1"/>
  <c r="E49" i="2"/>
  <c r="D58" i="2" s="1"/>
  <c r="E58" i="2" s="1"/>
  <c r="E21" i="2"/>
  <c r="F21" i="2" s="1"/>
  <c r="F111" i="2" l="1"/>
  <c r="E112" i="2" s="1"/>
  <c r="D121" i="2" s="1"/>
  <c r="E121" i="2" s="1"/>
  <c r="F142" i="2"/>
  <c r="D89" i="2"/>
  <c r="E89" i="2" s="1"/>
  <c r="F49" i="2"/>
  <c r="E143" i="2" l="1"/>
  <c r="D152" i="2" s="1"/>
  <c r="E152" i="2" s="1"/>
  <c r="F112" i="2"/>
  <c r="E81" i="2"/>
  <c r="F81" i="2" s="1"/>
  <c r="E50" i="2"/>
  <c r="D59" i="2" s="1"/>
  <c r="E59" i="2" s="1"/>
  <c r="F143" i="2" l="1"/>
  <c r="E144" i="2" s="1"/>
  <c r="D153" i="2" s="1"/>
  <c r="E153" i="2" s="1"/>
  <c r="E113" i="2"/>
  <c r="D122" i="2" s="1"/>
  <c r="E122" i="2" s="1"/>
  <c r="D90" i="2"/>
  <c r="E90" i="2" s="1"/>
  <c r="F50" i="2"/>
  <c r="E51" i="2" s="1"/>
  <c r="D60" i="2" s="1"/>
  <c r="E60" i="2" s="1"/>
  <c r="F144" i="2" l="1"/>
  <c r="E145" i="2" s="1"/>
  <c r="D154" i="2" s="1"/>
  <c r="E154" i="2" s="1"/>
  <c r="E155" i="2" s="1"/>
  <c r="G155" i="2" s="1"/>
  <c r="F113" i="2"/>
  <c r="E82" i="2"/>
  <c r="F82" i="2" s="1"/>
  <c r="F51" i="2"/>
  <c r="F145" i="2" l="1"/>
  <c r="E114" i="2"/>
  <c r="D123" i="2" s="1"/>
  <c r="E123" i="2" s="1"/>
  <c r="E124" i="2" s="1"/>
  <c r="G124" i="2" s="1"/>
  <c r="D91" i="2"/>
  <c r="E91" i="2" s="1"/>
  <c r="E52" i="2"/>
  <c r="D61" i="2" s="1"/>
  <c r="E61" i="2" s="1"/>
  <c r="E62" i="2" s="1"/>
  <c r="G62" i="2" s="1"/>
  <c r="F114" i="2" l="1"/>
  <c r="E83" i="2"/>
  <c r="F83" i="2" s="1"/>
  <c r="F52" i="2"/>
  <c r="D92" i="2" l="1"/>
  <c r="E92" i="2" s="1"/>
  <c r="G93" i="2" s="1"/>
</calcChain>
</file>

<file path=xl/sharedStrings.xml><?xml version="1.0" encoding="utf-8"?>
<sst xmlns="http://schemas.openxmlformats.org/spreadsheetml/2006/main" count="230" uniqueCount="69">
  <si>
    <t>Номера инвестиционных проектов</t>
  </si>
  <si>
    <t>Первоначальные инвестиционные затраты (тыс. р.)</t>
  </si>
  <si>
    <t>Проект № 1</t>
  </si>
  <si>
    <t>Проект № 2</t>
  </si>
  <si>
    <t>Проект № 3</t>
  </si>
  <si>
    <t>Проект № 4</t>
  </si>
  <si>
    <t>Проект № 5</t>
  </si>
  <si>
    <t>Продукт</t>
  </si>
  <si>
    <t>Объём прод. (шт.)</t>
  </si>
  <si>
    <t>Цена (руб.)</t>
  </si>
  <si>
    <t>A</t>
  </si>
  <si>
    <t>B</t>
  </si>
  <si>
    <t>C</t>
  </si>
  <si>
    <t>D</t>
  </si>
  <si>
    <t>E</t>
  </si>
  <si>
    <t>F</t>
  </si>
  <si>
    <t>Показатель</t>
  </si>
  <si>
    <t>в т.ч. амортизация</t>
  </si>
  <si>
    <t>Пост. затраты всего (руб.)</t>
  </si>
  <si>
    <t>Перемен. затраты (руб.)</t>
  </si>
  <si>
    <t>Загрузка УМ продуктом A</t>
  </si>
  <si>
    <t>Загрузка УМ продуктом B</t>
  </si>
  <si>
    <t>Загрузка УМ продуктом C</t>
  </si>
  <si>
    <t>Загрузка УМ продуктом D</t>
  </si>
  <si>
    <t>Загрузка УМ продуктом E</t>
  </si>
  <si>
    <t>Загрузка УМ продуктом F</t>
  </si>
  <si>
    <t>Макс. пропуск. способность УМ</t>
  </si>
  <si>
    <t>Таблица 4 – Характеристики "узких мест" (УМ) на производстве (машино-часов).</t>
  </si>
  <si>
    <t>Таблица 3 – Постоянные затраты по инвестиционным проектам.</t>
  </si>
  <si>
    <t>Таблица 1 – Размер инвестиций.</t>
  </si>
  <si>
    <t>Таблица 2.1 – Проект № 1.</t>
  </si>
  <si>
    <t>Таблица 2.2 – Проект № 2.</t>
  </si>
  <si>
    <t>Таблица 2.3 – Проект № 3.</t>
  </si>
  <si>
    <t>Таблица 2.4 – Проект № 4.</t>
  </si>
  <si>
    <t>Таблица 2.4 – Проект № 5.</t>
  </si>
  <si>
    <t>Проект 1</t>
  </si>
  <si>
    <t>Ранг</t>
  </si>
  <si>
    <t>Определение рейтинга продуктов</t>
  </si>
  <si>
    <t>Определение объёмов производства продуктов</t>
  </si>
  <si>
    <t>Объём продаж (шт.)</t>
  </si>
  <si>
    <t>Скорректированный объём продаж</t>
  </si>
  <si>
    <t>Остаток УМ (машино-часов)</t>
  </si>
  <si>
    <t>Рачёт прибыли</t>
  </si>
  <si>
    <t>ИТОГО</t>
  </si>
  <si>
    <t>Суммарная маржинальная прибыль (руб.)</t>
  </si>
  <si>
    <t>Постоянные затраты (руб.)</t>
  </si>
  <si>
    <t>Общая прибыль (руб.)</t>
  </si>
  <si>
    <t>Маржинальная прибыль (руб.)</t>
  </si>
  <si>
    <t>Загрузка УМ (машино-часов)</t>
  </si>
  <si>
    <t>МП на ед. УМ (руб./машино-час)</t>
  </si>
  <si>
    <t>Проект 2</t>
  </si>
  <si>
    <t>Определение квартальной прибыли проектов</t>
  </si>
  <si>
    <t>Проект 3</t>
  </si>
  <si>
    <t>Проект 4</t>
  </si>
  <si>
    <t>Проект 5</t>
  </si>
  <si>
    <t>Период</t>
  </si>
  <si>
    <t>ИЗ</t>
  </si>
  <si>
    <t>П</t>
  </si>
  <si>
    <t>ДП</t>
  </si>
  <si>
    <t>Кд</t>
  </si>
  <si>
    <t>ДДП</t>
  </si>
  <si>
    <t>Альтеранативная цена ДС (%)</t>
  </si>
  <si>
    <t>Свободные ДС (руб.)</t>
  </si>
  <si>
    <t>Перемен. затраты (р.)</t>
  </si>
  <si>
    <t>Цена (р.)</t>
  </si>
  <si>
    <t>Суммарная маржинальная прибыль (р.)</t>
  </si>
  <si>
    <t>Постоянные затраты (р.)</t>
  </si>
  <si>
    <t>Общая прибыль (р.)</t>
  </si>
  <si>
    <t>МП на ед. УМ (р./машино-час)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</si>
</sst>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#,##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C62D8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3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/>
    <xf numFmtId="165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5" fontId="0" fillId="0" borderId="2" xfId="0" applyNumberFormat="1" applyBorder="1" applyAlignment="1">
      <alignment wrapText="1"/>
    </xf>
    <xf numFmtId="165" fontId="0" fillId="0" borderId="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wrapText="1"/>
    </xf>
    <xf numFmtId="165" fontId="0" fillId="0" borderId="0" xfId="0" applyNumberFormat="1" applyAlignment="1"/>
    <xf numFmtId="3" fontId="0" fillId="0" borderId="2" xfId="0" applyNumberFormat="1" applyBorder="1" applyAlignment="1">
      <alignment wrapText="1"/>
    </xf>
    <xf numFmtId="165" fontId="0" fillId="0" borderId="2" xfId="0" applyNumberFormat="1" applyBorder="1" applyAlignment="1"/>
    <xf numFmtId="0" fontId="0" fillId="0" borderId="0" xfId="0" applyBorder="1" applyAlignment="1"/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3" borderId="2" xfId="0" applyNumberFormat="1" applyFill="1" applyBorder="1"/>
    <xf numFmtId="0" fontId="0" fillId="4" borderId="0" xfId="0" applyFill="1"/>
    <xf numFmtId="165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right" vertical="center"/>
    </xf>
    <xf numFmtId="166" fontId="0" fillId="0" borderId="2" xfId="0" applyNumberFormat="1" applyBorder="1" applyAlignment="1">
      <alignment horizontal="right" vertical="center"/>
    </xf>
    <xf numFmtId="165" fontId="0" fillId="0" borderId="2" xfId="0" applyNumberFormat="1" applyBorder="1" applyAlignment="1">
      <alignment horizontal="left" vertical="center"/>
    </xf>
    <xf numFmtId="166" fontId="0" fillId="2" borderId="1" xfId="1" applyNumberFormat="1" applyFont="1" applyAlignment="1">
      <alignment horizontal="right" vertical="center"/>
    </xf>
    <xf numFmtId="165" fontId="0" fillId="0" borderId="2" xfId="0" applyNumberFormat="1" applyBorder="1" applyAlignment="1">
      <alignment horizontal="center" wrapText="1"/>
    </xf>
    <xf numFmtId="165" fontId="0" fillId="0" borderId="2" xfId="0" applyNumberFormat="1" applyBorder="1"/>
    <xf numFmtId="165" fontId="0" fillId="3" borderId="2" xfId="0" applyNumberFormat="1" applyFill="1" applyBorder="1"/>
    <xf numFmtId="165" fontId="0" fillId="0" borderId="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wrapText="1"/>
    </xf>
  </cellXfs>
  <cellStyles count="2">
    <cellStyle name="Обычный" xfId="0" builtinId="0"/>
    <cellStyle name="Примечание" xfId="1" builtinId="10"/>
  </cellStyles>
  <dxfs count="0"/>
  <tableStyles count="0" defaultTableStyle="TableStyleMedium2" defaultPivotStyle="PivotStyleMedium9"/>
  <colors>
    <mruColors>
      <color rgb="FFEC62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C46" sqref="C46:D46"/>
    </sheetView>
  </sheetViews>
  <sheetFormatPr defaultRowHeight="15" x14ac:dyDescent="0.25"/>
  <cols>
    <col min="1" max="1" width="20.85546875" style="4" customWidth="1"/>
    <col min="2" max="2" width="19.7109375" style="4" customWidth="1"/>
    <col min="3" max="3" width="16.28515625" style="4" customWidth="1"/>
    <col min="4" max="5" width="9.140625" style="4"/>
    <col min="6" max="6" width="31.140625" style="4" customWidth="1"/>
    <col min="7" max="7" width="10.42578125" style="4" bestFit="1" customWidth="1"/>
    <col min="8" max="16384" width="9.140625" style="4"/>
  </cols>
  <sheetData>
    <row r="1" spans="1:11" x14ac:dyDescent="0.25">
      <c r="A1" s="14" t="s">
        <v>29</v>
      </c>
      <c r="B1" s="5"/>
      <c r="F1" s="11" t="s">
        <v>28</v>
      </c>
    </row>
    <row r="2" spans="1:11" ht="45" x14ac:dyDescent="0.25">
      <c r="A2" s="2" t="s">
        <v>0</v>
      </c>
      <c r="B2" s="2" t="s">
        <v>1</v>
      </c>
      <c r="F2" s="31" t="s">
        <v>16</v>
      </c>
      <c r="G2" s="32"/>
      <c r="H2" s="32"/>
      <c r="I2" s="32"/>
      <c r="J2" s="32"/>
      <c r="K2" s="32"/>
    </row>
    <row r="3" spans="1:11" x14ac:dyDescent="0.25">
      <c r="A3" s="6" t="s">
        <v>2</v>
      </c>
      <c r="B3" s="7">
        <v>718</v>
      </c>
      <c r="F3" s="31"/>
      <c r="G3" s="12">
        <v>1</v>
      </c>
      <c r="H3" s="12">
        <v>2</v>
      </c>
      <c r="I3" s="12">
        <v>3</v>
      </c>
      <c r="J3" s="12">
        <v>4</v>
      </c>
      <c r="K3" s="12">
        <v>5</v>
      </c>
    </row>
    <row r="4" spans="1:11" x14ac:dyDescent="0.25">
      <c r="A4" s="6" t="s">
        <v>3</v>
      </c>
      <c r="B4" s="7">
        <v>785</v>
      </c>
      <c r="F4" s="8" t="s">
        <v>18</v>
      </c>
      <c r="G4" s="8">
        <v>319384</v>
      </c>
      <c r="H4" s="8">
        <v>312970</v>
      </c>
      <c r="I4" s="8">
        <v>346866</v>
      </c>
      <c r="J4" s="8">
        <v>297144</v>
      </c>
      <c r="K4" s="8">
        <v>310544</v>
      </c>
    </row>
    <row r="5" spans="1:11" x14ac:dyDescent="0.25">
      <c r="A5" s="6" t="s">
        <v>4</v>
      </c>
      <c r="B5" s="7">
        <v>573</v>
      </c>
      <c r="F5" s="8" t="s">
        <v>17</v>
      </c>
      <c r="G5" s="8">
        <v>38477</v>
      </c>
      <c r="H5" s="8">
        <v>19618</v>
      </c>
      <c r="I5" s="8">
        <v>17926</v>
      </c>
      <c r="J5" s="8">
        <v>31472</v>
      </c>
      <c r="K5" s="8">
        <v>38094</v>
      </c>
    </row>
    <row r="6" spans="1:11" x14ac:dyDescent="0.25">
      <c r="A6" s="6" t="s">
        <v>5</v>
      </c>
      <c r="B6" s="7">
        <v>727</v>
      </c>
    </row>
    <row r="7" spans="1:11" x14ac:dyDescent="0.25">
      <c r="A7" s="6" t="s">
        <v>6</v>
      </c>
      <c r="B7" s="7">
        <v>899</v>
      </c>
      <c r="F7" s="11" t="s">
        <v>27</v>
      </c>
    </row>
    <row r="8" spans="1:11" x14ac:dyDescent="0.25">
      <c r="F8" s="31" t="s">
        <v>16</v>
      </c>
      <c r="G8" s="32"/>
      <c r="H8" s="32"/>
      <c r="I8" s="32"/>
      <c r="J8" s="32"/>
      <c r="K8" s="32"/>
    </row>
    <row r="9" spans="1:11" x14ac:dyDescent="0.25">
      <c r="A9" s="11" t="s">
        <v>30</v>
      </c>
      <c r="F9" s="31"/>
      <c r="G9" s="12">
        <v>1</v>
      </c>
      <c r="H9" s="12">
        <v>2</v>
      </c>
      <c r="I9" s="12">
        <v>3</v>
      </c>
      <c r="J9" s="12">
        <v>4</v>
      </c>
      <c r="K9" s="12">
        <v>5</v>
      </c>
    </row>
    <row r="10" spans="1:11" ht="30" x14ac:dyDescent="0.25">
      <c r="A10" s="9" t="s">
        <v>7</v>
      </c>
      <c r="B10" s="9" t="s">
        <v>8</v>
      </c>
      <c r="C10" s="10" t="s">
        <v>63</v>
      </c>
      <c r="D10" s="10" t="s">
        <v>64</v>
      </c>
      <c r="F10" s="8" t="s">
        <v>20</v>
      </c>
      <c r="G10" s="8">
        <v>2.2000000000000002</v>
      </c>
      <c r="H10" s="8">
        <v>2.1</v>
      </c>
      <c r="I10" s="8">
        <v>1.7</v>
      </c>
      <c r="J10" s="8">
        <v>1.5</v>
      </c>
      <c r="K10" s="8">
        <v>1.4</v>
      </c>
    </row>
    <row r="11" spans="1:11" x14ac:dyDescent="0.25">
      <c r="A11" s="8" t="s">
        <v>10</v>
      </c>
      <c r="B11" s="8">
        <v>4907</v>
      </c>
      <c r="C11" s="8">
        <v>21.7</v>
      </c>
      <c r="D11" s="8">
        <v>39.799999999999997</v>
      </c>
      <c r="F11" s="8" t="s">
        <v>21</v>
      </c>
      <c r="G11" s="8">
        <v>3.2</v>
      </c>
      <c r="H11" s="8">
        <v>3.4</v>
      </c>
      <c r="I11" s="8">
        <v>2.2000000000000002</v>
      </c>
      <c r="J11" s="8">
        <v>1.7</v>
      </c>
      <c r="K11" s="8">
        <v>1.3</v>
      </c>
    </row>
    <row r="12" spans="1:11" x14ac:dyDescent="0.25">
      <c r="A12" s="8" t="s">
        <v>11</v>
      </c>
      <c r="B12" s="8">
        <v>8460</v>
      </c>
      <c r="C12" s="8">
        <v>29.8</v>
      </c>
      <c r="D12" s="8">
        <v>40.799999999999997</v>
      </c>
      <c r="F12" s="8" t="s">
        <v>22</v>
      </c>
      <c r="G12" s="8">
        <v>1.2</v>
      </c>
      <c r="H12" s="8">
        <v>3.4</v>
      </c>
      <c r="I12" s="8">
        <v>1.2</v>
      </c>
      <c r="J12" s="8">
        <v>2.1</v>
      </c>
      <c r="K12" s="8">
        <v>1</v>
      </c>
    </row>
    <row r="13" spans="1:11" x14ac:dyDescent="0.25">
      <c r="A13" s="8" t="s">
        <v>12</v>
      </c>
      <c r="B13" s="8">
        <v>5578</v>
      </c>
      <c r="C13" s="8">
        <v>26.9</v>
      </c>
      <c r="D13" s="8">
        <v>41.7</v>
      </c>
      <c r="F13" s="8" t="s">
        <v>23</v>
      </c>
      <c r="G13" s="8">
        <v>3</v>
      </c>
      <c r="H13" s="8">
        <v>2.9</v>
      </c>
      <c r="I13" s="8">
        <v>1.5</v>
      </c>
      <c r="J13" s="8">
        <v>1.9</v>
      </c>
      <c r="K13" s="8">
        <v>0.9</v>
      </c>
    </row>
    <row r="14" spans="1:11" x14ac:dyDescent="0.25">
      <c r="A14" s="8" t="s">
        <v>13</v>
      </c>
      <c r="B14" s="8">
        <v>8282</v>
      </c>
      <c r="C14" s="8">
        <v>33.700000000000003</v>
      </c>
      <c r="D14" s="8">
        <v>46.1</v>
      </c>
      <c r="F14" s="8" t="s">
        <v>24</v>
      </c>
      <c r="G14" s="8">
        <v>2.9</v>
      </c>
      <c r="H14" s="8">
        <v>1.9</v>
      </c>
      <c r="I14" s="8">
        <v>1.1000000000000001</v>
      </c>
      <c r="J14" s="8">
        <v>3.2</v>
      </c>
      <c r="K14" s="8">
        <v>2.4</v>
      </c>
    </row>
    <row r="15" spans="1:11" x14ac:dyDescent="0.25">
      <c r="A15" s="8" t="s">
        <v>14</v>
      </c>
      <c r="B15" s="8">
        <v>6649</v>
      </c>
      <c r="C15" s="8">
        <v>22.7</v>
      </c>
      <c r="D15" s="8">
        <v>36.1</v>
      </c>
      <c r="F15" s="8" t="s">
        <v>25</v>
      </c>
      <c r="G15" s="8">
        <v>2.1</v>
      </c>
      <c r="H15" s="8">
        <v>3.2</v>
      </c>
      <c r="I15" s="8">
        <v>2.5</v>
      </c>
      <c r="J15" s="8">
        <v>2.7</v>
      </c>
      <c r="K15" s="8">
        <v>1.9</v>
      </c>
    </row>
    <row r="16" spans="1:11" x14ac:dyDescent="0.25">
      <c r="A16" s="8" t="s">
        <v>15</v>
      </c>
      <c r="B16" s="8">
        <v>3093</v>
      </c>
      <c r="C16" s="8">
        <v>24.6</v>
      </c>
      <c r="D16" s="8">
        <v>34.5</v>
      </c>
      <c r="F16" s="13" t="s">
        <v>26</v>
      </c>
      <c r="G16" s="8">
        <v>55325</v>
      </c>
      <c r="H16" s="8">
        <v>74908</v>
      </c>
      <c r="I16" s="8">
        <v>38122</v>
      </c>
      <c r="J16" s="8">
        <v>46451</v>
      </c>
      <c r="K16" s="8">
        <v>31198</v>
      </c>
    </row>
    <row r="18" spans="1:7" x14ac:dyDescent="0.25">
      <c r="A18" s="11" t="s">
        <v>31</v>
      </c>
    </row>
    <row r="19" spans="1:7" ht="30" x14ac:dyDescent="0.25">
      <c r="A19" s="9" t="s">
        <v>7</v>
      </c>
      <c r="B19" s="9" t="s">
        <v>8</v>
      </c>
      <c r="C19" s="28" t="s">
        <v>63</v>
      </c>
      <c r="D19" s="28" t="s">
        <v>64</v>
      </c>
      <c r="F19" s="8" t="s">
        <v>61</v>
      </c>
      <c r="G19" s="8">
        <v>17.5</v>
      </c>
    </row>
    <row r="20" spans="1:7" x14ac:dyDescent="0.25">
      <c r="A20" s="10" t="s">
        <v>10</v>
      </c>
      <c r="B20" s="8">
        <v>5513</v>
      </c>
      <c r="C20" s="8">
        <v>32.700000000000003</v>
      </c>
      <c r="D20" s="8">
        <v>40.1</v>
      </c>
      <c r="F20" s="8" t="s">
        <v>62</v>
      </c>
      <c r="G20" s="8">
        <v>1825000</v>
      </c>
    </row>
    <row r="21" spans="1:7" x14ac:dyDescent="0.25">
      <c r="A21" s="10" t="s">
        <v>11</v>
      </c>
      <c r="B21" s="8">
        <v>6795</v>
      </c>
      <c r="C21" s="8">
        <v>28.7</v>
      </c>
      <c r="D21" s="8">
        <v>37</v>
      </c>
    </row>
    <row r="22" spans="1:7" x14ac:dyDescent="0.25">
      <c r="A22" s="10" t="s">
        <v>12</v>
      </c>
      <c r="B22" s="8">
        <v>8675</v>
      </c>
      <c r="C22" s="8">
        <v>23.7</v>
      </c>
      <c r="D22" s="8">
        <v>39.6</v>
      </c>
    </row>
    <row r="23" spans="1:7" x14ac:dyDescent="0.25">
      <c r="A23" s="10" t="s">
        <v>13</v>
      </c>
      <c r="B23" s="8">
        <v>4142</v>
      </c>
      <c r="C23" s="8">
        <v>34.4</v>
      </c>
      <c r="D23" s="8">
        <v>53.7</v>
      </c>
    </row>
    <row r="24" spans="1:7" x14ac:dyDescent="0.25">
      <c r="A24" s="10" t="s">
        <v>14</v>
      </c>
      <c r="B24" s="8">
        <v>8599</v>
      </c>
      <c r="C24" s="8">
        <v>21.3</v>
      </c>
      <c r="D24" s="8">
        <v>30</v>
      </c>
    </row>
    <row r="25" spans="1:7" x14ac:dyDescent="0.25">
      <c r="A25" s="10" t="s">
        <v>15</v>
      </c>
      <c r="B25" s="8">
        <v>2375</v>
      </c>
      <c r="C25" s="8">
        <v>22.2</v>
      </c>
      <c r="D25" s="8">
        <v>31.5</v>
      </c>
    </row>
    <row r="27" spans="1:7" x14ac:dyDescent="0.25">
      <c r="A27" s="11" t="s">
        <v>32</v>
      </c>
    </row>
    <row r="28" spans="1:7" ht="30" x14ac:dyDescent="0.25">
      <c r="A28" s="9" t="s">
        <v>7</v>
      </c>
      <c r="B28" s="9" t="s">
        <v>8</v>
      </c>
      <c r="C28" s="28" t="s">
        <v>63</v>
      </c>
      <c r="D28" s="28" t="s">
        <v>64</v>
      </c>
    </row>
    <row r="29" spans="1:7" x14ac:dyDescent="0.25">
      <c r="A29" s="10" t="s">
        <v>10</v>
      </c>
      <c r="B29" s="8">
        <v>6631</v>
      </c>
      <c r="C29" s="8">
        <v>25</v>
      </c>
      <c r="D29" s="8">
        <v>37.1</v>
      </c>
    </row>
    <row r="30" spans="1:7" x14ac:dyDescent="0.25">
      <c r="A30" s="10" t="s">
        <v>11</v>
      </c>
      <c r="B30" s="8">
        <v>8539</v>
      </c>
      <c r="C30" s="8">
        <v>34.700000000000003</v>
      </c>
      <c r="D30" s="8">
        <v>53.9</v>
      </c>
    </row>
    <row r="31" spans="1:7" x14ac:dyDescent="0.25">
      <c r="A31" s="10" t="s">
        <v>12</v>
      </c>
      <c r="B31" s="8">
        <v>3841</v>
      </c>
      <c r="C31" s="8">
        <v>26.5</v>
      </c>
      <c r="D31" s="8">
        <v>32.700000000000003</v>
      </c>
    </row>
    <row r="32" spans="1:7" x14ac:dyDescent="0.25">
      <c r="A32" s="10" t="s">
        <v>13</v>
      </c>
      <c r="B32" s="8">
        <v>7534</v>
      </c>
      <c r="C32" s="8">
        <v>28.9</v>
      </c>
      <c r="D32" s="8">
        <v>39.700000000000003</v>
      </c>
    </row>
    <row r="33" spans="1:4" x14ac:dyDescent="0.25">
      <c r="A33" s="10" t="s">
        <v>14</v>
      </c>
      <c r="B33" s="8">
        <v>6723</v>
      </c>
      <c r="C33" s="8">
        <v>22.8</v>
      </c>
      <c r="D33" s="8">
        <v>41.2</v>
      </c>
    </row>
    <row r="34" spans="1:4" x14ac:dyDescent="0.25">
      <c r="A34" s="10" t="s">
        <v>15</v>
      </c>
      <c r="B34" s="8">
        <v>8528</v>
      </c>
      <c r="C34" s="8">
        <v>28.1</v>
      </c>
      <c r="D34" s="8">
        <v>46.9</v>
      </c>
    </row>
    <row r="36" spans="1:4" x14ac:dyDescent="0.25">
      <c r="A36" s="11" t="s">
        <v>33</v>
      </c>
    </row>
    <row r="37" spans="1:4" ht="30" x14ac:dyDescent="0.25">
      <c r="A37" s="9" t="s">
        <v>7</v>
      </c>
      <c r="B37" s="9" t="s">
        <v>8</v>
      </c>
      <c r="C37" s="28" t="s">
        <v>63</v>
      </c>
      <c r="D37" s="28" t="s">
        <v>64</v>
      </c>
    </row>
    <row r="38" spans="1:4" x14ac:dyDescent="0.25">
      <c r="A38" s="10" t="s">
        <v>10</v>
      </c>
      <c r="B38" s="8">
        <v>6603</v>
      </c>
      <c r="C38" s="8">
        <v>22</v>
      </c>
      <c r="D38" s="8">
        <v>28.8</v>
      </c>
    </row>
    <row r="39" spans="1:4" x14ac:dyDescent="0.25">
      <c r="A39" s="10" t="s">
        <v>11</v>
      </c>
      <c r="B39" s="8">
        <v>4889</v>
      </c>
      <c r="C39" s="8">
        <v>21</v>
      </c>
      <c r="D39" s="8">
        <v>37.9</v>
      </c>
    </row>
    <row r="40" spans="1:4" x14ac:dyDescent="0.25">
      <c r="A40" s="10" t="s">
        <v>12</v>
      </c>
      <c r="B40" s="8">
        <v>7365</v>
      </c>
      <c r="C40" s="8">
        <v>32.799999999999997</v>
      </c>
      <c r="D40" s="8">
        <v>49.9</v>
      </c>
    </row>
    <row r="41" spans="1:4" x14ac:dyDescent="0.25">
      <c r="A41" s="10" t="s">
        <v>13</v>
      </c>
      <c r="B41" s="8">
        <v>2012</v>
      </c>
      <c r="C41" s="8">
        <v>33.799999999999997</v>
      </c>
      <c r="D41" s="8">
        <v>50.9</v>
      </c>
    </row>
    <row r="42" spans="1:4" x14ac:dyDescent="0.25">
      <c r="A42" s="10" t="s">
        <v>14</v>
      </c>
      <c r="B42" s="8">
        <v>7387</v>
      </c>
      <c r="C42" s="8">
        <v>33.6</v>
      </c>
      <c r="D42" s="8">
        <v>47.8</v>
      </c>
    </row>
    <row r="43" spans="1:4" x14ac:dyDescent="0.25">
      <c r="A43" s="10" t="s">
        <v>15</v>
      </c>
      <c r="B43" s="8">
        <v>7181</v>
      </c>
      <c r="C43" s="8">
        <v>24.9</v>
      </c>
      <c r="D43" s="8">
        <v>31.9</v>
      </c>
    </row>
    <row r="45" spans="1:4" x14ac:dyDescent="0.25">
      <c r="A45" s="11" t="s">
        <v>34</v>
      </c>
    </row>
    <row r="46" spans="1:4" ht="30" x14ac:dyDescent="0.25">
      <c r="A46" s="9" t="s">
        <v>7</v>
      </c>
      <c r="B46" s="9" t="s">
        <v>8</v>
      </c>
      <c r="C46" s="28" t="s">
        <v>63</v>
      </c>
      <c r="D46" s="28" t="s">
        <v>64</v>
      </c>
    </row>
    <row r="47" spans="1:4" x14ac:dyDescent="0.25">
      <c r="A47" s="10" t="s">
        <v>10</v>
      </c>
      <c r="B47" s="8">
        <v>2245</v>
      </c>
      <c r="C47" s="8">
        <v>23.7</v>
      </c>
      <c r="D47" s="8">
        <v>31.8</v>
      </c>
    </row>
    <row r="48" spans="1:4" x14ac:dyDescent="0.25">
      <c r="A48" s="10" t="s">
        <v>11</v>
      </c>
      <c r="B48" s="8">
        <v>7364</v>
      </c>
      <c r="C48" s="8">
        <v>26.6</v>
      </c>
      <c r="D48" s="8">
        <v>45.2</v>
      </c>
    </row>
    <row r="49" spans="1:4" x14ac:dyDescent="0.25">
      <c r="A49" s="10" t="s">
        <v>12</v>
      </c>
      <c r="B49" s="8">
        <v>3478</v>
      </c>
      <c r="C49" s="8">
        <v>24.9</v>
      </c>
      <c r="D49" s="8">
        <v>31.8</v>
      </c>
    </row>
    <row r="50" spans="1:4" x14ac:dyDescent="0.25">
      <c r="A50" s="10" t="s">
        <v>13</v>
      </c>
      <c r="B50" s="8">
        <v>3167</v>
      </c>
      <c r="C50" s="8">
        <v>32.9</v>
      </c>
      <c r="D50" s="8">
        <v>50.9</v>
      </c>
    </row>
    <row r="51" spans="1:4" x14ac:dyDescent="0.25">
      <c r="A51" s="10" t="s">
        <v>14</v>
      </c>
      <c r="B51" s="8">
        <v>5662</v>
      </c>
      <c r="C51" s="8">
        <v>24.9</v>
      </c>
      <c r="D51" s="8">
        <v>40.200000000000003</v>
      </c>
    </row>
    <row r="52" spans="1:4" x14ac:dyDescent="0.25">
      <c r="A52" s="10" t="s">
        <v>15</v>
      </c>
      <c r="B52" s="8">
        <v>5706</v>
      </c>
      <c r="C52" s="8">
        <v>23.1</v>
      </c>
      <c r="D52" s="8">
        <v>40.9</v>
      </c>
    </row>
  </sheetData>
  <mergeCells count="4">
    <mergeCell ref="F2:F3"/>
    <mergeCell ref="G2:K2"/>
    <mergeCell ref="F8:F9"/>
    <mergeCell ref="G8:K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abSelected="1" topLeftCell="A7" workbookViewId="0">
      <selection activeCell="G20" sqref="G20"/>
    </sheetView>
  </sheetViews>
  <sheetFormatPr defaultRowHeight="15" x14ac:dyDescent="0.25"/>
  <cols>
    <col min="2" max="2" width="15.140625" customWidth="1"/>
    <col min="3" max="3" width="13.7109375" customWidth="1"/>
    <col min="4" max="4" width="16.28515625" customWidth="1"/>
    <col min="5" max="5" width="30.140625" customWidth="1"/>
    <col min="6" max="6" width="21" customWidth="1"/>
    <col min="7" max="7" width="17.140625" customWidth="1"/>
  </cols>
  <sheetData>
    <row r="1" spans="1:8" x14ac:dyDescent="0.25">
      <c r="A1" t="s">
        <v>51</v>
      </c>
    </row>
    <row r="3" spans="1:8" x14ac:dyDescent="0.25">
      <c r="A3" s="19" t="s">
        <v>35</v>
      </c>
    </row>
    <row r="4" spans="1:8" x14ac:dyDescent="0.25">
      <c r="A4" t="s">
        <v>37</v>
      </c>
    </row>
    <row r="5" spans="1:8" ht="30" x14ac:dyDescent="0.25">
      <c r="A5" s="2" t="str">
        <f>'исходные данные'!A10</f>
        <v>Продукт</v>
      </c>
      <c r="B5" s="2" t="str">
        <f>'исходные данные'!C10</f>
        <v>Перемен. затраты (р.)</v>
      </c>
      <c r="C5" s="2" t="str">
        <f>'исходные данные'!D10</f>
        <v>Цена (р.)</v>
      </c>
      <c r="D5" s="2" t="s">
        <v>48</v>
      </c>
      <c r="E5" s="2" t="s">
        <v>47</v>
      </c>
      <c r="F5" s="2" t="s">
        <v>68</v>
      </c>
      <c r="G5" s="15" t="s">
        <v>36</v>
      </c>
      <c r="H5" t="str">
        <f>A5</f>
        <v>Продукт</v>
      </c>
    </row>
    <row r="6" spans="1:8" x14ac:dyDescent="0.25">
      <c r="A6" s="17" t="str">
        <f>'исходные данные'!A11</f>
        <v>A</v>
      </c>
      <c r="B6" s="29">
        <f>'исходные данные'!C11</f>
        <v>21.7</v>
      </c>
      <c r="C6" s="29">
        <f>'исходные данные'!D11</f>
        <v>39.799999999999997</v>
      </c>
      <c r="D6" s="29">
        <f>'исходные данные'!G10</f>
        <v>2.2000000000000002</v>
      </c>
      <c r="E6" s="29">
        <f>C6-B6</f>
        <v>18.099999999999998</v>
      </c>
      <c r="F6" s="29">
        <f>E6/D6</f>
        <v>8.2272727272727249</v>
      </c>
      <c r="G6" s="1">
        <f t="shared" ref="G6:G11" si="0">_xlfn.RANK.EQ(F6,$F$6:$F$11)</f>
        <v>2</v>
      </c>
      <c r="H6" t="str">
        <f t="shared" ref="H6:H11" si="1">A6</f>
        <v>A</v>
      </c>
    </row>
    <row r="7" spans="1:8" x14ac:dyDescent="0.25">
      <c r="A7" s="17" t="str">
        <f>'исходные данные'!A12</f>
        <v>B</v>
      </c>
      <c r="B7" s="29">
        <f>'исходные данные'!C12</f>
        <v>29.8</v>
      </c>
      <c r="C7" s="29">
        <f>'исходные данные'!D12</f>
        <v>40.799999999999997</v>
      </c>
      <c r="D7" s="29">
        <f>'исходные данные'!G11</f>
        <v>3.2</v>
      </c>
      <c r="E7" s="29">
        <f t="shared" ref="E7:E11" si="2">C7-B7</f>
        <v>10.999999999999996</v>
      </c>
      <c r="F7" s="29">
        <f t="shared" ref="F7:F11" si="3">E7/D7</f>
        <v>3.4374999999999987</v>
      </c>
      <c r="G7" s="1">
        <f t="shared" si="0"/>
        <v>6</v>
      </c>
      <c r="H7" t="str">
        <f t="shared" si="1"/>
        <v>B</v>
      </c>
    </row>
    <row r="8" spans="1:8" x14ac:dyDescent="0.25">
      <c r="A8" s="17" t="str">
        <f>'исходные данные'!A13</f>
        <v>C</v>
      </c>
      <c r="B8" s="29">
        <f>'исходные данные'!C13</f>
        <v>26.9</v>
      </c>
      <c r="C8" s="29">
        <f>'исходные данные'!D13</f>
        <v>41.7</v>
      </c>
      <c r="D8" s="29">
        <f>'исходные данные'!G12</f>
        <v>1.2</v>
      </c>
      <c r="E8" s="29">
        <f t="shared" si="2"/>
        <v>14.800000000000004</v>
      </c>
      <c r="F8" s="29">
        <f t="shared" si="3"/>
        <v>12.333333333333337</v>
      </c>
      <c r="G8" s="1">
        <f t="shared" si="0"/>
        <v>1</v>
      </c>
      <c r="H8" t="str">
        <f t="shared" si="1"/>
        <v>C</v>
      </c>
    </row>
    <row r="9" spans="1:8" x14ac:dyDescent="0.25">
      <c r="A9" s="17" t="str">
        <f>'исходные данные'!A14</f>
        <v>D</v>
      </c>
      <c r="B9" s="29">
        <f>'исходные данные'!C14</f>
        <v>33.700000000000003</v>
      </c>
      <c r="C9" s="29">
        <f>'исходные данные'!D14</f>
        <v>46.1</v>
      </c>
      <c r="D9" s="29">
        <f>'исходные данные'!G13</f>
        <v>3</v>
      </c>
      <c r="E9" s="29">
        <f t="shared" si="2"/>
        <v>12.399999999999999</v>
      </c>
      <c r="F9" s="29">
        <f t="shared" si="3"/>
        <v>4.1333333333333329</v>
      </c>
      <c r="G9" s="1">
        <f t="shared" si="0"/>
        <v>5</v>
      </c>
      <c r="H9" t="str">
        <f t="shared" si="1"/>
        <v>D</v>
      </c>
    </row>
    <row r="10" spans="1:8" x14ac:dyDescent="0.25">
      <c r="A10" s="17" t="str">
        <f>'исходные данные'!A15</f>
        <v>E</v>
      </c>
      <c r="B10" s="29">
        <f>'исходные данные'!C15</f>
        <v>22.7</v>
      </c>
      <c r="C10" s="29">
        <f>'исходные данные'!D15</f>
        <v>36.1</v>
      </c>
      <c r="D10" s="29">
        <f>'исходные данные'!G14</f>
        <v>2.9</v>
      </c>
      <c r="E10" s="29">
        <f t="shared" si="2"/>
        <v>13.400000000000002</v>
      </c>
      <c r="F10" s="29">
        <f t="shared" si="3"/>
        <v>4.6206896551724146</v>
      </c>
      <c r="G10" s="1">
        <f t="shared" si="0"/>
        <v>4</v>
      </c>
      <c r="H10" t="str">
        <f t="shared" si="1"/>
        <v>E</v>
      </c>
    </row>
    <row r="11" spans="1:8" x14ac:dyDescent="0.25">
      <c r="A11" s="17" t="str">
        <f>'исходные данные'!A16</f>
        <v>F</v>
      </c>
      <c r="B11" s="29">
        <f>'исходные данные'!C16</f>
        <v>24.6</v>
      </c>
      <c r="C11" s="29">
        <f>'исходные данные'!D16</f>
        <v>34.5</v>
      </c>
      <c r="D11" s="29">
        <f>'исходные данные'!G15</f>
        <v>2.1</v>
      </c>
      <c r="E11" s="29">
        <f t="shared" si="2"/>
        <v>9.8999999999999986</v>
      </c>
      <c r="F11" s="29">
        <f t="shared" si="3"/>
        <v>4.7142857142857135</v>
      </c>
      <c r="G11" s="1">
        <f t="shared" si="0"/>
        <v>3</v>
      </c>
      <c r="H11" t="str">
        <f t="shared" si="1"/>
        <v>F</v>
      </c>
    </row>
    <row r="13" spans="1:8" x14ac:dyDescent="0.25">
      <c r="A13" t="s">
        <v>38</v>
      </c>
    </row>
    <row r="14" spans="1:8" ht="30" x14ac:dyDescent="0.25">
      <c r="A14" s="2" t="s">
        <v>36</v>
      </c>
      <c r="B14" s="2" t="s">
        <v>7</v>
      </c>
      <c r="C14" s="2" t="s">
        <v>8</v>
      </c>
      <c r="D14" s="2" t="s">
        <v>48</v>
      </c>
      <c r="E14" s="2" t="s">
        <v>40</v>
      </c>
      <c r="F14" s="2" t="s">
        <v>41</v>
      </c>
      <c r="G14" s="2" t="s">
        <v>8</v>
      </c>
    </row>
    <row r="15" spans="1:8" x14ac:dyDescent="0.25">
      <c r="A15" s="1"/>
      <c r="B15" s="1"/>
      <c r="C15" s="29"/>
      <c r="D15" s="29"/>
      <c r="E15" s="29"/>
      <c r="F15" s="29">
        <f>'исходные данные'!G16</f>
        <v>55325</v>
      </c>
      <c r="G15" s="29"/>
    </row>
    <row r="16" spans="1:8" x14ac:dyDescent="0.25">
      <c r="A16" s="1">
        <v>1</v>
      </c>
      <c r="B16" s="17" t="str">
        <f>VLOOKUP(A16,$G$6:$H$11,2,FALSE)</f>
        <v>C</v>
      </c>
      <c r="C16" s="29">
        <f>VLOOKUP('прибыль проектов'!B16,'исходные данные'!$A$11:$B$16,2,FALSE)</f>
        <v>5578</v>
      </c>
      <c r="D16" s="29">
        <f>VLOOKUP(B16,$A$6:$D$11,4,FALSE)</f>
        <v>1.2</v>
      </c>
      <c r="E16" s="29">
        <f t="shared" ref="E16:E19" si="4">IF(F15&gt;=C16*D16,C16*D16,F15)</f>
        <v>6693.5999999999995</v>
      </c>
      <c r="F16" s="29">
        <f t="shared" ref="F16:F21" si="5">IF(F15&gt;=E16,F15-E16,0)</f>
        <v>48631.4</v>
      </c>
      <c r="G16" s="29">
        <f>D25</f>
        <v>5578</v>
      </c>
    </row>
    <row r="17" spans="1:7" x14ac:dyDescent="0.25">
      <c r="A17" s="1">
        <v>2</v>
      </c>
      <c r="B17" s="17" t="str">
        <f t="shared" ref="B17:B21" si="6">VLOOKUP(A17,$G$6:$H$11,2,FALSE)</f>
        <v>A</v>
      </c>
      <c r="C17" s="29">
        <f>VLOOKUP('прибыль проектов'!B17,'исходные данные'!$A$11:$B$16,2,FALSE)</f>
        <v>4907</v>
      </c>
      <c r="D17" s="29">
        <f t="shared" ref="D17:D21" si="7">VLOOKUP(B17,$A$6:$D$11,4,FALSE)</f>
        <v>2.2000000000000002</v>
      </c>
      <c r="E17" s="29">
        <f t="shared" si="4"/>
        <v>10795.400000000001</v>
      </c>
      <c r="F17" s="29">
        <f t="shared" si="5"/>
        <v>37836</v>
      </c>
      <c r="G17" s="29">
        <f t="shared" ref="G17:G21" si="8">D26</f>
        <v>4907</v>
      </c>
    </row>
    <row r="18" spans="1:7" x14ac:dyDescent="0.25">
      <c r="A18" s="1">
        <v>3</v>
      </c>
      <c r="B18" s="17" t="str">
        <f t="shared" si="6"/>
        <v>F</v>
      </c>
      <c r="C18" s="29">
        <f>VLOOKUP('прибыль проектов'!B18,'исходные данные'!$A$11:$B$16,2,FALSE)</f>
        <v>3093</v>
      </c>
      <c r="D18" s="29">
        <f t="shared" si="7"/>
        <v>2.1</v>
      </c>
      <c r="E18" s="29">
        <f t="shared" si="4"/>
        <v>6495.3</v>
      </c>
      <c r="F18" s="29">
        <f t="shared" si="5"/>
        <v>31340.7</v>
      </c>
      <c r="G18" s="29">
        <f t="shared" si="8"/>
        <v>3093</v>
      </c>
    </row>
    <row r="19" spans="1:7" x14ac:dyDescent="0.25">
      <c r="A19" s="1">
        <v>4</v>
      </c>
      <c r="B19" s="17" t="str">
        <f t="shared" si="6"/>
        <v>E</v>
      </c>
      <c r="C19" s="29">
        <f>VLOOKUP('прибыль проектов'!B19,'исходные данные'!$A$11:$B$16,2,FALSE)</f>
        <v>6649</v>
      </c>
      <c r="D19" s="29">
        <f t="shared" si="7"/>
        <v>2.9</v>
      </c>
      <c r="E19" s="29">
        <f t="shared" si="4"/>
        <v>19282.099999999999</v>
      </c>
      <c r="F19" s="29">
        <f t="shared" si="5"/>
        <v>12058.600000000002</v>
      </c>
      <c r="G19" s="29">
        <f t="shared" si="8"/>
        <v>6649</v>
      </c>
    </row>
    <row r="20" spans="1:7" x14ac:dyDescent="0.25">
      <c r="A20" s="1">
        <v>5</v>
      </c>
      <c r="B20" s="17" t="str">
        <f t="shared" si="6"/>
        <v>D</v>
      </c>
      <c r="C20" s="29">
        <f>VLOOKUP('прибыль проектов'!B20,'исходные данные'!$A$11:$B$16,2,FALSE)</f>
        <v>8282</v>
      </c>
      <c r="D20" s="29">
        <f t="shared" si="7"/>
        <v>3</v>
      </c>
      <c r="E20" s="29">
        <f>IF(F19&gt;=C20*D20,C20*D20,F19)</f>
        <v>12058.600000000002</v>
      </c>
      <c r="F20" s="29">
        <f>IF(F19&gt;=E20,F19-E20,0)</f>
        <v>0</v>
      </c>
      <c r="G20" s="29">
        <f t="shared" si="8"/>
        <v>4019</v>
      </c>
    </row>
    <row r="21" spans="1:7" x14ac:dyDescent="0.25">
      <c r="A21" s="1">
        <v>6</v>
      </c>
      <c r="B21" s="17" t="str">
        <f t="shared" si="6"/>
        <v>B</v>
      </c>
      <c r="C21" s="29">
        <f>VLOOKUP('прибыль проектов'!B21,'исходные данные'!$A$11:$B$16,2,FALSE)</f>
        <v>8460</v>
      </c>
      <c r="D21" s="29">
        <f t="shared" si="7"/>
        <v>3.2</v>
      </c>
      <c r="E21" s="29">
        <f>IF(F20&gt;=C21*D21,C21*D21,F20)</f>
        <v>0</v>
      </c>
      <c r="F21" s="29">
        <f t="shared" si="5"/>
        <v>0</v>
      </c>
      <c r="G21" s="29">
        <f t="shared" si="8"/>
        <v>0</v>
      </c>
    </row>
    <row r="23" spans="1:7" x14ac:dyDescent="0.25">
      <c r="A23" t="s">
        <v>42</v>
      </c>
    </row>
    <row r="24" spans="1:7" ht="30" x14ac:dyDescent="0.25">
      <c r="A24" s="2" t="s">
        <v>7</v>
      </c>
      <c r="B24" s="2" t="s">
        <v>63</v>
      </c>
      <c r="C24" s="2" t="s">
        <v>64</v>
      </c>
      <c r="D24" s="2" t="s">
        <v>39</v>
      </c>
      <c r="E24" s="2" t="s">
        <v>65</v>
      </c>
      <c r="F24" s="2" t="s">
        <v>66</v>
      </c>
      <c r="G24" s="2" t="s">
        <v>67</v>
      </c>
    </row>
    <row r="25" spans="1:7" x14ac:dyDescent="0.25">
      <c r="A25" s="17" t="str">
        <f>B16</f>
        <v>C</v>
      </c>
      <c r="B25" s="29">
        <f>B6</f>
        <v>21.7</v>
      </c>
      <c r="C25" s="29">
        <f>C6</f>
        <v>39.799999999999997</v>
      </c>
      <c r="D25" s="29">
        <f>_xlfn.FLOOR.MATH(E16/D16)</f>
        <v>5578</v>
      </c>
      <c r="E25" s="29">
        <f>(C25-B25)*D25</f>
        <v>100961.79999999999</v>
      </c>
      <c r="F25" s="29"/>
      <c r="G25" s="29"/>
    </row>
    <row r="26" spans="1:7" x14ac:dyDescent="0.25">
      <c r="A26" s="17" t="str">
        <f t="shared" ref="A26:A30" si="9">B17</f>
        <v>A</v>
      </c>
      <c r="B26" s="29">
        <f t="shared" ref="B26:C30" si="10">B7</f>
        <v>29.8</v>
      </c>
      <c r="C26" s="29">
        <f t="shared" si="10"/>
        <v>40.799999999999997</v>
      </c>
      <c r="D26" s="29">
        <f t="shared" ref="D26:D28" si="11">_xlfn.FLOOR.MATH(E17/D17)</f>
        <v>4907</v>
      </c>
      <c r="E26" s="29">
        <f t="shared" ref="E26:E30" si="12">(C26-B26)*D26</f>
        <v>53976.999999999985</v>
      </c>
      <c r="F26" s="29"/>
      <c r="G26" s="29"/>
    </row>
    <row r="27" spans="1:7" x14ac:dyDescent="0.25">
      <c r="A27" s="17" t="str">
        <f t="shared" si="9"/>
        <v>F</v>
      </c>
      <c r="B27" s="29">
        <f t="shared" si="10"/>
        <v>26.9</v>
      </c>
      <c r="C27" s="29">
        <f t="shared" si="10"/>
        <v>41.7</v>
      </c>
      <c r="D27" s="29">
        <f t="shared" si="11"/>
        <v>3093</v>
      </c>
      <c r="E27" s="29">
        <f t="shared" si="12"/>
        <v>45776.400000000016</v>
      </c>
      <c r="F27" s="29"/>
      <c r="G27" s="29"/>
    </row>
    <row r="28" spans="1:7" x14ac:dyDescent="0.25">
      <c r="A28" s="17" t="str">
        <f t="shared" si="9"/>
        <v>E</v>
      </c>
      <c r="B28" s="29">
        <f t="shared" si="10"/>
        <v>33.700000000000003</v>
      </c>
      <c r="C28" s="29">
        <f t="shared" si="10"/>
        <v>46.1</v>
      </c>
      <c r="D28" s="29">
        <f t="shared" si="11"/>
        <v>6649</v>
      </c>
      <c r="E28" s="29">
        <f t="shared" si="12"/>
        <v>82447.599999999991</v>
      </c>
      <c r="F28" s="29"/>
      <c r="G28" s="29"/>
    </row>
    <row r="29" spans="1:7" x14ac:dyDescent="0.25">
      <c r="A29" s="17" t="str">
        <f t="shared" si="9"/>
        <v>D</v>
      </c>
      <c r="B29" s="29">
        <f t="shared" si="10"/>
        <v>22.7</v>
      </c>
      <c r="C29" s="29">
        <f t="shared" si="10"/>
        <v>36.1</v>
      </c>
      <c r="D29" s="29">
        <f>_xlfn.FLOOR.MATH(E20/D20)</f>
        <v>4019</v>
      </c>
      <c r="E29" s="29">
        <f t="shared" si="12"/>
        <v>53854.600000000006</v>
      </c>
      <c r="F29" s="29"/>
      <c r="G29" s="29"/>
    </row>
    <row r="30" spans="1:7" x14ac:dyDescent="0.25">
      <c r="A30" s="17" t="str">
        <f t="shared" si="9"/>
        <v>B</v>
      </c>
      <c r="B30" s="29">
        <f t="shared" si="10"/>
        <v>24.6</v>
      </c>
      <c r="C30" s="29">
        <f t="shared" si="10"/>
        <v>34.5</v>
      </c>
      <c r="D30" s="29">
        <f>_xlfn.FLOOR.MATH(E21/D21)</f>
        <v>0</v>
      </c>
      <c r="E30" s="29">
        <f t="shared" si="12"/>
        <v>0</v>
      </c>
      <c r="F30" s="29"/>
      <c r="G30" s="29"/>
    </row>
    <row r="31" spans="1:7" x14ac:dyDescent="0.25">
      <c r="A31" s="1" t="s">
        <v>43</v>
      </c>
      <c r="B31" s="29"/>
      <c r="C31" s="29"/>
      <c r="D31" s="29"/>
      <c r="E31" s="29">
        <f>SUM(E25:E30)</f>
        <v>337017.4</v>
      </c>
      <c r="F31" s="29">
        <f>'исходные данные'!G4</f>
        <v>319384</v>
      </c>
      <c r="G31" s="30">
        <f>E31-F31</f>
        <v>17633.400000000023</v>
      </c>
    </row>
    <row r="34" spans="1:8" x14ac:dyDescent="0.25">
      <c r="A34" s="19" t="s">
        <v>50</v>
      </c>
    </row>
    <row r="35" spans="1:8" x14ac:dyDescent="0.25">
      <c r="A35" t="s">
        <v>37</v>
      </c>
    </row>
    <row r="36" spans="1:8" ht="30" x14ac:dyDescent="0.25">
      <c r="A36" s="2" t="str">
        <f>'исходные данные'!A19</f>
        <v>Продукт</v>
      </c>
      <c r="B36" s="2" t="str">
        <f>'исходные данные'!C19</f>
        <v>Перемен. затраты (р.)</v>
      </c>
      <c r="C36" s="2" t="str">
        <f>'исходные данные'!D19</f>
        <v>Цена (р.)</v>
      </c>
      <c r="D36" s="2" t="s">
        <v>48</v>
      </c>
      <c r="E36" s="2" t="s">
        <v>47</v>
      </c>
      <c r="F36" s="2" t="s">
        <v>49</v>
      </c>
      <c r="G36" s="15" t="s">
        <v>36</v>
      </c>
      <c r="H36" t="str">
        <f>A36</f>
        <v>Продукт</v>
      </c>
    </row>
    <row r="37" spans="1:8" x14ac:dyDescent="0.25">
      <c r="A37" s="2" t="str">
        <f>'исходные данные'!A20</f>
        <v>A</v>
      </c>
      <c r="B37" s="2">
        <f>'исходные данные'!C20</f>
        <v>32.700000000000003</v>
      </c>
      <c r="C37" s="2">
        <f>'исходные данные'!D20</f>
        <v>40.1</v>
      </c>
      <c r="D37" s="1">
        <f>'исходные данные'!H10</f>
        <v>2.1</v>
      </c>
      <c r="E37" s="1">
        <f>C37-B37</f>
        <v>7.3999999999999986</v>
      </c>
      <c r="F37" s="3">
        <f>E37/D37</f>
        <v>3.5238095238095228</v>
      </c>
      <c r="G37" s="1">
        <f>_xlfn.RANK.EQ(F37,$F$37:$F$42)</f>
        <v>4</v>
      </c>
      <c r="H37" t="str">
        <f t="shared" ref="H37:H42" si="13">A37</f>
        <v>A</v>
      </c>
    </row>
    <row r="38" spans="1:8" x14ac:dyDescent="0.25">
      <c r="A38" s="2" t="str">
        <f>'исходные данные'!A21</f>
        <v>B</v>
      </c>
      <c r="B38" s="2">
        <f>'исходные данные'!C21</f>
        <v>28.7</v>
      </c>
      <c r="C38" s="2">
        <f>'исходные данные'!D21</f>
        <v>37</v>
      </c>
      <c r="D38" s="1">
        <f>'исходные данные'!H11</f>
        <v>3.4</v>
      </c>
      <c r="E38" s="1">
        <f t="shared" ref="E38:E42" si="14">C38-B38</f>
        <v>8.3000000000000007</v>
      </c>
      <c r="F38" s="3">
        <f t="shared" ref="F38:F42" si="15">E38/D38</f>
        <v>2.4411764705882355</v>
      </c>
      <c r="G38" s="1">
        <f t="shared" ref="G38:G42" si="16">_xlfn.RANK.EQ(F38,$F$37:$F$42)</f>
        <v>6</v>
      </c>
      <c r="H38" t="str">
        <f t="shared" si="13"/>
        <v>B</v>
      </c>
    </row>
    <row r="39" spans="1:8" x14ac:dyDescent="0.25">
      <c r="A39" s="2" t="str">
        <f>'исходные данные'!A22</f>
        <v>C</v>
      </c>
      <c r="B39" s="2">
        <f>'исходные данные'!C22</f>
        <v>23.7</v>
      </c>
      <c r="C39" s="2">
        <f>'исходные данные'!D22</f>
        <v>39.6</v>
      </c>
      <c r="D39" s="1">
        <f>'исходные данные'!H12</f>
        <v>3.4</v>
      </c>
      <c r="E39" s="1">
        <f t="shared" si="14"/>
        <v>15.900000000000002</v>
      </c>
      <c r="F39" s="3">
        <f t="shared" si="15"/>
        <v>4.6764705882352953</v>
      </c>
      <c r="G39" s="1">
        <f t="shared" si="16"/>
        <v>2</v>
      </c>
      <c r="H39" t="str">
        <f t="shared" si="13"/>
        <v>C</v>
      </c>
    </row>
    <row r="40" spans="1:8" x14ac:dyDescent="0.25">
      <c r="A40" s="2" t="str">
        <f>'исходные данные'!A23</f>
        <v>D</v>
      </c>
      <c r="B40" s="2">
        <f>'исходные данные'!C23</f>
        <v>34.4</v>
      </c>
      <c r="C40" s="2">
        <f>'исходные данные'!D23</f>
        <v>53.7</v>
      </c>
      <c r="D40" s="1">
        <f>'исходные данные'!H13</f>
        <v>2.9</v>
      </c>
      <c r="E40" s="1">
        <f t="shared" si="14"/>
        <v>19.300000000000004</v>
      </c>
      <c r="F40" s="3">
        <f t="shared" si="15"/>
        <v>6.655172413793105</v>
      </c>
      <c r="G40" s="1">
        <f t="shared" si="16"/>
        <v>1</v>
      </c>
      <c r="H40" t="str">
        <f t="shared" si="13"/>
        <v>D</v>
      </c>
    </row>
    <row r="41" spans="1:8" x14ac:dyDescent="0.25">
      <c r="A41" s="2" t="str">
        <f>'исходные данные'!A24</f>
        <v>E</v>
      </c>
      <c r="B41" s="2">
        <f>'исходные данные'!C24</f>
        <v>21.3</v>
      </c>
      <c r="C41" s="2">
        <f>'исходные данные'!D24</f>
        <v>30</v>
      </c>
      <c r="D41" s="1">
        <f>'исходные данные'!H14</f>
        <v>1.9</v>
      </c>
      <c r="E41" s="1">
        <f t="shared" si="14"/>
        <v>8.6999999999999993</v>
      </c>
      <c r="F41" s="3">
        <f t="shared" si="15"/>
        <v>4.5789473684210522</v>
      </c>
      <c r="G41" s="1">
        <f t="shared" si="16"/>
        <v>3</v>
      </c>
      <c r="H41" t="str">
        <f t="shared" si="13"/>
        <v>E</v>
      </c>
    </row>
    <row r="42" spans="1:8" x14ac:dyDescent="0.25">
      <c r="A42" s="2" t="str">
        <f>'исходные данные'!A25</f>
        <v>F</v>
      </c>
      <c r="B42" s="2">
        <f>'исходные данные'!C25</f>
        <v>22.2</v>
      </c>
      <c r="C42" s="2">
        <f>'исходные данные'!D25</f>
        <v>31.5</v>
      </c>
      <c r="D42" s="1">
        <f>'исходные данные'!H15</f>
        <v>3.2</v>
      </c>
      <c r="E42" s="1">
        <f t="shared" si="14"/>
        <v>9.3000000000000007</v>
      </c>
      <c r="F42" s="3">
        <f t="shared" si="15"/>
        <v>2.90625</v>
      </c>
      <c r="G42" s="1">
        <f t="shared" si="16"/>
        <v>5</v>
      </c>
      <c r="H42" t="str">
        <f t="shared" si="13"/>
        <v>F</v>
      </c>
    </row>
    <row r="44" spans="1:8" x14ac:dyDescent="0.25">
      <c r="A44" t="s">
        <v>38</v>
      </c>
    </row>
    <row r="45" spans="1:8" ht="30" x14ac:dyDescent="0.25">
      <c r="A45" s="2" t="s">
        <v>36</v>
      </c>
      <c r="B45" s="2" t="s">
        <v>7</v>
      </c>
      <c r="C45" s="2" t="s">
        <v>39</v>
      </c>
      <c r="D45" s="2" t="s">
        <v>48</v>
      </c>
      <c r="E45" s="2" t="s">
        <v>40</v>
      </c>
      <c r="F45" s="2" t="s">
        <v>41</v>
      </c>
      <c r="G45" s="16"/>
    </row>
    <row r="46" spans="1:8" x14ac:dyDescent="0.25">
      <c r="A46" s="1"/>
      <c r="B46" s="1"/>
      <c r="C46" s="1"/>
      <c r="D46" s="1"/>
      <c r="E46" s="1"/>
      <c r="F46" s="1">
        <f>'исходные данные'!H16</f>
        <v>74908</v>
      </c>
    </row>
    <row r="47" spans="1:8" x14ac:dyDescent="0.25">
      <c r="A47" s="1">
        <v>1</v>
      </c>
      <c r="B47" s="17" t="str">
        <f>VLOOKUP(A47,$G$37:$H$42,2,FALSE)</f>
        <v>D</v>
      </c>
      <c r="C47" s="3">
        <f>VLOOKUP('прибыль проектов'!B47,'исходные данные'!$A$20:$B$25,2,FALSE)</f>
        <v>4142</v>
      </c>
      <c r="D47" s="1">
        <f>VLOOKUP(B47,$A$37:$D$42,4,FALSE)</f>
        <v>2.9</v>
      </c>
      <c r="E47" s="1">
        <f t="shared" ref="E47:E50" si="17">IF(F46&gt;=C47*D47,C47*D47,F46)</f>
        <v>12011.8</v>
      </c>
      <c r="F47" s="1">
        <f t="shared" ref="F47:F50" si="18">IF(F46&gt;=E47,F46-E47,0)</f>
        <v>62896.2</v>
      </c>
    </row>
    <row r="48" spans="1:8" x14ac:dyDescent="0.25">
      <c r="A48" s="1">
        <v>2</v>
      </c>
      <c r="B48" s="17" t="str">
        <f t="shared" ref="B48:B52" si="19">VLOOKUP(A48,$G$37:$H$42,2,FALSE)</f>
        <v>C</v>
      </c>
      <c r="C48" s="3">
        <f>VLOOKUP('прибыль проектов'!B48,'исходные данные'!$A$20:$B$25,2,FALSE)</f>
        <v>8675</v>
      </c>
      <c r="D48" s="1">
        <f t="shared" ref="D48:D52" si="20">VLOOKUP(B48,$A$37:$D$42,4,FALSE)</f>
        <v>3.4</v>
      </c>
      <c r="E48" s="1">
        <f t="shared" si="17"/>
        <v>29495</v>
      </c>
      <c r="F48" s="1">
        <f t="shared" si="18"/>
        <v>33401.199999999997</v>
      </c>
    </row>
    <row r="49" spans="1:7" x14ac:dyDescent="0.25">
      <c r="A49" s="1">
        <v>3</v>
      </c>
      <c r="B49" s="17" t="str">
        <f t="shared" si="19"/>
        <v>E</v>
      </c>
      <c r="C49" s="3">
        <f>VLOOKUP('прибыль проектов'!B49,'исходные данные'!$A$20:$B$25,2,FALSE)</f>
        <v>8599</v>
      </c>
      <c r="D49" s="1">
        <f t="shared" si="20"/>
        <v>1.9</v>
      </c>
      <c r="E49" s="1">
        <f t="shared" si="17"/>
        <v>16338.099999999999</v>
      </c>
      <c r="F49" s="1">
        <f t="shared" si="18"/>
        <v>17063.099999999999</v>
      </c>
    </row>
    <row r="50" spans="1:7" x14ac:dyDescent="0.25">
      <c r="A50" s="1">
        <v>4</v>
      </c>
      <c r="B50" s="17" t="str">
        <f t="shared" si="19"/>
        <v>A</v>
      </c>
      <c r="C50" s="3">
        <f>VLOOKUP('прибыль проектов'!B50,'исходные данные'!$A$20:$B$25,2,FALSE)</f>
        <v>5513</v>
      </c>
      <c r="D50" s="1">
        <f t="shared" si="20"/>
        <v>2.1</v>
      </c>
      <c r="E50" s="1">
        <f t="shared" si="17"/>
        <v>11577.300000000001</v>
      </c>
      <c r="F50" s="1">
        <f t="shared" si="18"/>
        <v>5485.7999999999975</v>
      </c>
    </row>
    <row r="51" spans="1:7" x14ac:dyDescent="0.25">
      <c r="A51" s="1">
        <v>5</v>
      </c>
      <c r="B51" s="17" t="str">
        <f t="shared" si="19"/>
        <v>F</v>
      </c>
      <c r="C51" s="3">
        <f>VLOOKUP('прибыль проектов'!B51,'исходные данные'!$A$20:$B$25,2,FALSE)</f>
        <v>2375</v>
      </c>
      <c r="D51" s="1">
        <f t="shared" si="20"/>
        <v>3.2</v>
      </c>
      <c r="E51" s="1">
        <f>IF(F50&gt;=C51*D51,C51*D51,F50)</f>
        <v>5485.7999999999975</v>
      </c>
      <c r="F51" s="1">
        <f>IF(F50&gt;=E51,F50-E51,0)</f>
        <v>0</v>
      </c>
    </row>
    <row r="52" spans="1:7" x14ac:dyDescent="0.25">
      <c r="A52" s="1">
        <v>6</v>
      </c>
      <c r="B52" s="17" t="str">
        <f t="shared" si="19"/>
        <v>B</v>
      </c>
      <c r="C52" s="3">
        <f>VLOOKUP('прибыль проектов'!B52,'исходные данные'!$A$20:$B$25,2,FALSE)</f>
        <v>6795</v>
      </c>
      <c r="D52" s="1">
        <f t="shared" si="20"/>
        <v>3.4</v>
      </c>
      <c r="E52" s="1">
        <f>IF(F51&gt;=C52*D52,C52*D52,F51)</f>
        <v>0</v>
      </c>
      <c r="F52" s="1">
        <f t="shared" ref="F52" si="21">IF(F51&gt;=E52,F51-E52,0)</f>
        <v>0</v>
      </c>
    </row>
    <row r="54" spans="1:7" x14ac:dyDescent="0.25">
      <c r="A54" t="s">
        <v>42</v>
      </c>
    </row>
    <row r="55" spans="1:7" ht="30" x14ac:dyDescent="0.25">
      <c r="A55" s="2" t="s">
        <v>7</v>
      </c>
      <c r="B55" s="2" t="s">
        <v>19</v>
      </c>
      <c r="C55" s="2" t="s">
        <v>9</v>
      </c>
      <c r="D55" s="2" t="s">
        <v>39</v>
      </c>
      <c r="E55" s="2" t="s">
        <v>44</v>
      </c>
      <c r="F55" s="2" t="s">
        <v>45</v>
      </c>
      <c r="G55" s="2" t="s">
        <v>46</v>
      </c>
    </row>
    <row r="56" spans="1:7" x14ac:dyDescent="0.25">
      <c r="A56" s="17" t="str">
        <f>B47</f>
        <v>D</v>
      </c>
      <c r="B56" s="1">
        <f>B37</f>
        <v>32.700000000000003</v>
      </c>
      <c r="C56" s="1">
        <f>C37</f>
        <v>40.1</v>
      </c>
      <c r="D56" s="1">
        <f t="shared" ref="D56:D59" si="22">_xlfn.FLOOR.MATH(E47/D47)</f>
        <v>4142</v>
      </c>
      <c r="E56" s="3">
        <f>(C56-B56)*D56</f>
        <v>30650.799999999996</v>
      </c>
      <c r="F56" s="1"/>
      <c r="G56" s="1"/>
    </row>
    <row r="57" spans="1:7" x14ac:dyDescent="0.25">
      <c r="A57" s="17" t="str">
        <f t="shared" ref="A57:A61" si="23">B48</f>
        <v>C</v>
      </c>
      <c r="B57" s="1">
        <f t="shared" ref="B57:C57" si="24">B38</f>
        <v>28.7</v>
      </c>
      <c r="C57" s="1">
        <f t="shared" si="24"/>
        <v>37</v>
      </c>
      <c r="D57" s="1">
        <f t="shared" si="22"/>
        <v>8675</v>
      </c>
      <c r="E57" s="3">
        <f t="shared" ref="E57:E61" si="25">(C57-B57)*D57</f>
        <v>72002.5</v>
      </c>
      <c r="F57" s="1"/>
      <c r="G57" s="1"/>
    </row>
    <row r="58" spans="1:7" x14ac:dyDescent="0.25">
      <c r="A58" s="17" t="str">
        <f t="shared" si="23"/>
        <v>E</v>
      </c>
      <c r="B58" s="1">
        <f t="shared" ref="B58:C58" si="26">B39</f>
        <v>23.7</v>
      </c>
      <c r="C58" s="1">
        <f t="shared" si="26"/>
        <v>39.6</v>
      </c>
      <c r="D58" s="1">
        <f t="shared" si="22"/>
        <v>8599</v>
      </c>
      <c r="E58" s="3">
        <f t="shared" si="25"/>
        <v>136724.1</v>
      </c>
      <c r="F58" s="1"/>
      <c r="G58" s="1"/>
    </row>
    <row r="59" spans="1:7" x14ac:dyDescent="0.25">
      <c r="A59" s="17" t="str">
        <f t="shared" si="23"/>
        <v>A</v>
      </c>
      <c r="B59" s="1">
        <f t="shared" ref="B59:C59" si="27">B40</f>
        <v>34.4</v>
      </c>
      <c r="C59" s="1">
        <f t="shared" si="27"/>
        <v>53.7</v>
      </c>
      <c r="D59" s="1">
        <f t="shared" si="22"/>
        <v>5513</v>
      </c>
      <c r="E59" s="3">
        <f t="shared" si="25"/>
        <v>106400.90000000002</v>
      </c>
      <c r="F59" s="1"/>
      <c r="G59" s="1"/>
    </row>
    <row r="60" spans="1:7" x14ac:dyDescent="0.25">
      <c r="A60" s="17" t="str">
        <f t="shared" si="23"/>
        <v>F</v>
      </c>
      <c r="B60" s="1">
        <f t="shared" ref="B60:C60" si="28">B41</f>
        <v>21.3</v>
      </c>
      <c r="C60" s="1">
        <f t="shared" si="28"/>
        <v>30</v>
      </c>
      <c r="D60" s="1">
        <f>_xlfn.FLOOR.MATH(E51/D51)</f>
        <v>1714</v>
      </c>
      <c r="E60" s="3">
        <f t="shared" si="25"/>
        <v>14911.8</v>
      </c>
      <c r="F60" s="1"/>
      <c r="G60" s="1"/>
    </row>
    <row r="61" spans="1:7" x14ac:dyDescent="0.25">
      <c r="A61" s="17" t="str">
        <f t="shared" si="23"/>
        <v>B</v>
      </c>
      <c r="B61" s="1">
        <f t="shared" ref="B61:C61" si="29">B42</f>
        <v>22.2</v>
      </c>
      <c r="C61" s="1">
        <f t="shared" si="29"/>
        <v>31.5</v>
      </c>
      <c r="D61" s="1">
        <f>_xlfn.FLOOR.MATH(E52/D52)</f>
        <v>0</v>
      </c>
      <c r="E61" s="3">
        <f t="shared" si="25"/>
        <v>0</v>
      </c>
      <c r="F61" s="1"/>
      <c r="G61" s="1"/>
    </row>
    <row r="62" spans="1:7" x14ac:dyDescent="0.25">
      <c r="A62" s="1" t="s">
        <v>43</v>
      </c>
      <c r="B62" s="1"/>
      <c r="C62" s="1"/>
      <c r="D62" s="1"/>
      <c r="E62" s="3">
        <f>SUM(E56:E61)</f>
        <v>360690.10000000003</v>
      </c>
      <c r="F62" s="1">
        <f>'исходные данные'!H4</f>
        <v>312970</v>
      </c>
      <c r="G62" s="18">
        <f>E62-F62</f>
        <v>47720.100000000035</v>
      </c>
    </row>
    <row r="65" spans="1:8" x14ac:dyDescent="0.25">
      <c r="A65" s="19" t="s">
        <v>52</v>
      </c>
    </row>
    <row r="66" spans="1:8" x14ac:dyDescent="0.25">
      <c r="A66" t="s">
        <v>37</v>
      </c>
    </row>
    <row r="67" spans="1:8" ht="30" x14ac:dyDescent="0.25">
      <c r="A67" s="2" t="str">
        <f>'исходные данные'!A28</f>
        <v>Продукт</v>
      </c>
      <c r="B67" s="2" t="str">
        <f>'исходные данные'!C28</f>
        <v>Перемен. затраты (р.)</v>
      </c>
      <c r="C67" s="2" t="str">
        <f>'исходные данные'!D28</f>
        <v>Цена (р.)</v>
      </c>
      <c r="D67" s="2" t="s">
        <v>48</v>
      </c>
      <c r="E67" s="2" t="s">
        <v>47</v>
      </c>
      <c r="F67" s="2" t="s">
        <v>49</v>
      </c>
      <c r="G67" s="15" t="s">
        <v>36</v>
      </c>
      <c r="H67" t="str">
        <f>A67</f>
        <v>Продукт</v>
      </c>
    </row>
    <row r="68" spans="1:8" x14ac:dyDescent="0.25">
      <c r="A68" s="2" t="str">
        <f>'исходные данные'!A29</f>
        <v>A</v>
      </c>
      <c r="B68" s="2">
        <f>'исходные данные'!C29</f>
        <v>25</v>
      </c>
      <c r="C68" s="2">
        <f>'исходные данные'!D29</f>
        <v>37.1</v>
      </c>
      <c r="D68" s="1">
        <f>'исходные данные'!I10</f>
        <v>1.7</v>
      </c>
      <c r="E68" s="1">
        <f>C68-B68</f>
        <v>12.100000000000001</v>
      </c>
      <c r="F68" s="3">
        <f>E68/D68</f>
        <v>7.1176470588235308</v>
      </c>
      <c r="G68" s="1">
        <f>_xlfn.RANK.EQ(F68,$F$68:$F$73)</f>
        <v>5</v>
      </c>
      <c r="H68" t="str">
        <f t="shared" ref="H68:H73" si="30">A68</f>
        <v>A</v>
      </c>
    </row>
    <row r="69" spans="1:8" x14ac:dyDescent="0.25">
      <c r="A69" s="2" t="str">
        <f>'исходные данные'!A30</f>
        <v>B</v>
      </c>
      <c r="B69" s="2">
        <f>'исходные данные'!C30</f>
        <v>34.700000000000003</v>
      </c>
      <c r="C69" s="2">
        <f>'исходные данные'!D30</f>
        <v>53.9</v>
      </c>
      <c r="D69" s="1">
        <f>'исходные данные'!I11</f>
        <v>2.2000000000000002</v>
      </c>
      <c r="E69" s="1">
        <f t="shared" ref="E69:E73" si="31">C69-B69</f>
        <v>19.199999999999996</v>
      </c>
      <c r="F69" s="3">
        <f t="shared" ref="F69:F73" si="32">E69/D69</f>
        <v>8.7272727272727249</v>
      </c>
      <c r="G69" s="1">
        <f t="shared" ref="G69:G73" si="33">_xlfn.RANK.EQ(F69,$F$68:$F$73)</f>
        <v>2</v>
      </c>
      <c r="H69" t="str">
        <f t="shared" si="30"/>
        <v>B</v>
      </c>
    </row>
    <row r="70" spans="1:8" x14ac:dyDescent="0.25">
      <c r="A70" s="2" t="str">
        <f>'исходные данные'!A31</f>
        <v>C</v>
      </c>
      <c r="B70" s="2">
        <f>'исходные данные'!C31</f>
        <v>26.5</v>
      </c>
      <c r="C70" s="2">
        <f>'исходные данные'!D31</f>
        <v>32.700000000000003</v>
      </c>
      <c r="D70" s="1">
        <f>'исходные данные'!I12</f>
        <v>1.2</v>
      </c>
      <c r="E70" s="1">
        <f t="shared" si="31"/>
        <v>6.2000000000000028</v>
      </c>
      <c r="F70" s="3">
        <f t="shared" si="32"/>
        <v>5.1666666666666696</v>
      </c>
      <c r="G70" s="1">
        <f t="shared" si="33"/>
        <v>6</v>
      </c>
      <c r="H70" t="str">
        <f t="shared" si="30"/>
        <v>C</v>
      </c>
    </row>
    <row r="71" spans="1:8" x14ac:dyDescent="0.25">
      <c r="A71" s="2" t="str">
        <f>'исходные данные'!A32</f>
        <v>D</v>
      </c>
      <c r="B71" s="2">
        <f>'исходные данные'!C32</f>
        <v>28.9</v>
      </c>
      <c r="C71" s="2">
        <f>'исходные данные'!D32</f>
        <v>39.700000000000003</v>
      </c>
      <c r="D71" s="1">
        <f>'исходные данные'!I13</f>
        <v>1.5</v>
      </c>
      <c r="E71" s="1">
        <f t="shared" si="31"/>
        <v>10.800000000000004</v>
      </c>
      <c r="F71" s="3">
        <f t="shared" si="32"/>
        <v>7.2000000000000028</v>
      </c>
      <c r="G71" s="1">
        <f t="shared" si="33"/>
        <v>4</v>
      </c>
      <c r="H71" t="str">
        <f t="shared" si="30"/>
        <v>D</v>
      </c>
    </row>
    <row r="72" spans="1:8" x14ac:dyDescent="0.25">
      <c r="A72" s="2" t="str">
        <f>'исходные данные'!A33</f>
        <v>E</v>
      </c>
      <c r="B72" s="2">
        <f>'исходные данные'!C33</f>
        <v>22.8</v>
      </c>
      <c r="C72" s="2">
        <f>'исходные данные'!D33</f>
        <v>41.2</v>
      </c>
      <c r="D72" s="1">
        <f>'исходные данные'!I14</f>
        <v>1.1000000000000001</v>
      </c>
      <c r="E72" s="1">
        <f t="shared" si="31"/>
        <v>18.400000000000002</v>
      </c>
      <c r="F72" s="3">
        <f t="shared" si="32"/>
        <v>16.727272727272727</v>
      </c>
      <c r="G72" s="1">
        <f t="shared" si="33"/>
        <v>1</v>
      </c>
      <c r="H72" t="str">
        <f t="shared" si="30"/>
        <v>E</v>
      </c>
    </row>
    <row r="73" spans="1:8" x14ac:dyDescent="0.25">
      <c r="A73" s="2" t="str">
        <f>'исходные данные'!A34</f>
        <v>F</v>
      </c>
      <c r="B73" s="2">
        <f>'исходные данные'!C34</f>
        <v>28.1</v>
      </c>
      <c r="C73" s="2">
        <f>'исходные данные'!D34</f>
        <v>46.9</v>
      </c>
      <c r="D73" s="1">
        <f>'исходные данные'!I15</f>
        <v>2.5</v>
      </c>
      <c r="E73" s="1">
        <f t="shared" si="31"/>
        <v>18.799999999999997</v>
      </c>
      <c r="F73" s="3">
        <f t="shared" si="32"/>
        <v>7.5199999999999987</v>
      </c>
      <c r="G73" s="1">
        <f t="shared" si="33"/>
        <v>3</v>
      </c>
      <c r="H73" t="str">
        <f t="shared" si="30"/>
        <v>F</v>
      </c>
    </row>
    <row r="75" spans="1:8" x14ac:dyDescent="0.25">
      <c r="A75" t="s">
        <v>38</v>
      </c>
    </row>
    <row r="76" spans="1:8" ht="30" x14ac:dyDescent="0.25">
      <c r="A76" s="2" t="s">
        <v>36</v>
      </c>
      <c r="B76" s="2" t="s">
        <v>7</v>
      </c>
      <c r="C76" s="2" t="s">
        <v>39</v>
      </c>
      <c r="D76" s="2" t="s">
        <v>48</v>
      </c>
      <c r="E76" s="2" t="s">
        <v>40</v>
      </c>
      <c r="F76" s="2" t="s">
        <v>41</v>
      </c>
      <c r="G76" s="16"/>
    </row>
    <row r="77" spans="1:8" x14ac:dyDescent="0.25">
      <c r="A77" s="1"/>
      <c r="B77" s="1"/>
      <c r="C77" s="1"/>
      <c r="D77" s="1"/>
      <c r="E77" s="1"/>
      <c r="F77" s="1">
        <f>'исходные данные'!I16</f>
        <v>38122</v>
      </c>
    </row>
    <row r="78" spans="1:8" x14ac:dyDescent="0.25">
      <c r="A78" s="1">
        <v>1</v>
      </c>
      <c r="B78" s="17" t="str">
        <f>VLOOKUP(A78,$G$68:$H$73,2,FALSE)</f>
        <v>E</v>
      </c>
      <c r="C78" s="3">
        <f>VLOOKUP('прибыль проектов'!B78,'исходные данные'!$A$29:$B$34,2,FALSE)</f>
        <v>6723</v>
      </c>
      <c r="D78" s="1">
        <f>VLOOKUP(B78,$A$68:$D$73,4,FALSE)</f>
        <v>1.1000000000000001</v>
      </c>
      <c r="E78" s="1">
        <f t="shared" ref="E78:E81" si="34">IF(F77&gt;=C78*D78,C78*D78,F77)</f>
        <v>7395.3</v>
      </c>
      <c r="F78" s="1">
        <f t="shared" ref="F78:F81" si="35">IF(F77&gt;=E78,F77-E78,0)</f>
        <v>30726.7</v>
      </c>
    </row>
    <row r="79" spans="1:8" x14ac:dyDescent="0.25">
      <c r="A79" s="1">
        <v>2</v>
      </c>
      <c r="B79" s="17" t="str">
        <f t="shared" ref="B79:B83" si="36">VLOOKUP(A79,$G$68:$H$73,2,FALSE)</f>
        <v>B</v>
      </c>
      <c r="C79" s="3">
        <f>VLOOKUP('прибыль проектов'!B79,'исходные данные'!$A$29:$B$34,2,FALSE)</f>
        <v>8539</v>
      </c>
      <c r="D79" s="1">
        <f t="shared" ref="D79:D83" si="37">VLOOKUP(B79,$A$68:$D$73,4,FALSE)</f>
        <v>2.2000000000000002</v>
      </c>
      <c r="E79" s="1">
        <f t="shared" si="34"/>
        <v>18785.800000000003</v>
      </c>
      <c r="F79" s="1">
        <f t="shared" si="35"/>
        <v>11940.899999999998</v>
      </c>
    </row>
    <row r="80" spans="1:8" x14ac:dyDescent="0.25">
      <c r="A80" s="1">
        <v>3</v>
      </c>
      <c r="B80" s="17" t="str">
        <f t="shared" si="36"/>
        <v>F</v>
      </c>
      <c r="C80" s="3">
        <f>VLOOKUP('прибыль проектов'!B80,'исходные данные'!$A$29:$B$34,2,FALSE)</f>
        <v>8528</v>
      </c>
      <c r="D80" s="1">
        <f t="shared" si="37"/>
        <v>2.5</v>
      </c>
      <c r="E80" s="1">
        <f t="shared" si="34"/>
        <v>11940.899999999998</v>
      </c>
      <c r="F80" s="1">
        <f t="shared" si="35"/>
        <v>0</v>
      </c>
    </row>
    <row r="81" spans="1:7" x14ac:dyDescent="0.25">
      <c r="A81" s="1">
        <v>4</v>
      </c>
      <c r="B81" s="17" t="str">
        <f t="shared" si="36"/>
        <v>D</v>
      </c>
      <c r="C81" s="3">
        <f>VLOOKUP('прибыль проектов'!B81,'исходные данные'!$A$29:$B$34,2,FALSE)</f>
        <v>7534</v>
      </c>
      <c r="D81" s="1">
        <f t="shared" si="37"/>
        <v>1.5</v>
      </c>
      <c r="E81" s="1">
        <f t="shared" si="34"/>
        <v>0</v>
      </c>
      <c r="F81" s="1">
        <f t="shared" si="35"/>
        <v>0</v>
      </c>
    </row>
    <row r="82" spans="1:7" x14ac:dyDescent="0.25">
      <c r="A82" s="1">
        <v>5</v>
      </c>
      <c r="B82" s="17" t="str">
        <f t="shared" si="36"/>
        <v>A</v>
      </c>
      <c r="C82" s="3">
        <f>VLOOKUP('прибыль проектов'!B82,'исходные данные'!$A$29:$B$34,2,FALSE)</f>
        <v>6631</v>
      </c>
      <c r="D82" s="1">
        <f t="shared" si="37"/>
        <v>1.7</v>
      </c>
      <c r="E82" s="1">
        <f>IF(F81&gt;=C82*D82,C82*D82,F81)</f>
        <v>0</v>
      </c>
      <c r="F82" s="1">
        <f>IF(F81&gt;=E82,F81-E82,0)</f>
        <v>0</v>
      </c>
    </row>
    <row r="83" spans="1:7" x14ac:dyDescent="0.25">
      <c r="A83" s="1">
        <v>6</v>
      </c>
      <c r="B83" s="17" t="str">
        <f t="shared" si="36"/>
        <v>C</v>
      </c>
      <c r="C83" s="3">
        <f>VLOOKUP('прибыль проектов'!B83,'исходные данные'!$A$29:$B$34,2,FALSE)</f>
        <v>3841</v>
      </c>
      <c r="D83" s="1">
        <f t="shared" si="37"/>
        <v>1.2</v>
      </c>
      <c r="E83" s="1">
        <f>IF(F82&gt;=C83*D83,C83*D83,F82)</f>
        <v>0</v>
      </c>
      <c r="F83" s="1">
        <f t="shared" ref="F83" si="38">IF(F82&gt;=E83,F82-E83,0)</f>
        <v>0</v>
      </c>
    </row>
    <row r="85" spans="1:7" x14ac:dyDescent="0.25">
      <c r="A85" t="s">
        <v>42</v>
      </c>
    </row>
    <row r="86" spans="1:7" ht="30" x14ac:dyDescent="0.25">
      <c r="A86" s="2" t="s">
        <v>7</v>
      </c>
      <c r="B86" s="2" t="s">
        <v>19</v>
      </c>
      <c r="C86" s="2" t="s">
        <v>9</v>
      </c>
      <c r="D86" s="2" t="s">
        <v>39</v>
      </c>
      <c r="E86" s="2" t="s">
        <v>44</v>
      </c>
      <c r="F86" s="2" t="s">
        <v>45</v>
      </c>
      <c r="G86" s="2" t="s">
        <v>46</v>
      </c>
    </row>
    <row r="87" spans="1:7" x14ac:dyDescent="0.25">
      <c r="A87" s="17" t="str">
        <f>B78</f>
        <v>E</v>
      </c>
      <c r="B87" s="1">
        <f>B68</f>
        <v>25</v>
      </c>
      <c r="C87" s="1">
        <f>C68</f>
        <v>37.1</v>
      </c>
      <c r="D87" s="1">
        <f t="shared" ref="D87:D90" si="39">_xlfn.FLOOR.MATH(E78/D78)</f>
        <v>6723</v>
      </c>
      <c r="E87" s="3">
        <f>(C87-B87)*D87</f>
        <v>81348.3</v>
      </c>
      <c r="F87" s="1"/>
      <c r="G87" s="1"/>
    </row>
    <row r="88" spans="1:7" x14ac:dyDescent="0.25">
      <c r="A88" s="17" t="str">
        <f t="shared" ref="A88:A92" si="40">B79</f>
        <v>B</v>
      </c>
      <c r="B88" s="1">
        <f t="shared" ref="B88:C88" si="41">B69</f>
        <v>34.700000000000003</v>
      </c>
      <c r="C88" s="1">
        <f t="shared" si="41"/>
        <v>53.9</v>
      </c>
      <c r="D88" s="1">
        <f t="shared" si="39"/>
        <v>8539</v>
      </c>
      <c r="E88" s="3">
        <f t="shared" ref="E88:E92" si="42">(C88-B88)*D88</f>
        <v>163948.79999999996</v>
      </c>
      <c r="F88" s="1"/>
      <c r="G88" s="1"/>
    </row>
    <row r="89" spans="1:7" x14ac:dyDescent="0.25">
      <c r="A89" s="17" t="str">
        <f t="shared" si="40"/>
        <v>F</v>
      </c>
      <c r="B89" s="1">
        <f t="shared" ref="B89:C89" si="43">B70</f>
        <v>26.5</v>
      </c>
      <c r="C89" s="1">
        <f t="shared" si="43"/>
        <v>32.700000000000003</v>
      </c>
      <c r="D89" s="1">
        <f t="shared" si="39"/>
        <v>4776</v>
      </c>
      <c r="E89" s="3">
        <f t="shared" si="42"/>
        <v>29611.200000000015</v>
      </c>
      <c r="F89" s="1"/>
      <c r="G89" s="1"/>
    </row>
    <row r="90" spans="1:7" x14ac:dyDescent="0.25">
      <c r="A90" s="17" t="str">
        <f t="shared" si="40"/>
        <v>D</v>
      </c>
      <c r="B90" s="1">
        <f t="shared" ref="B90:C90" si="44">B71</f>
        <v>28.9</v>
      </c>
      <c r="C90" s="1">
        <f t="shared" si="44"/>
        <v>39.700000000000003</v>
      </c>
      <c r="D90" s="1">
        <f t="shared" si="39"/>
        <v>0</v>
      </c>
      <c r="E90" s="3">
        <f t="shared" si="42"/>
        <v>0</v>
      </c>
      <c r="F90" s="1"/>
      <c r="G90" s="1"/>
    </row>
    <row r="91" spans="1:7" x14ac:dyDescent="0.25">
      <c r="A91" s="17" t="str">
        <f t="shared" si="40"/>
        <v>A</v>
      </c>
      <c r="B91" s="1">
        <f t="shared" ref="B91:C91" si="45">B72</f>
        <v>22.8</v>
      </c>
      <c r="C91" s="1">
        <f t="shared" si="45"/>
        <v>41.2</v>
      </c>
      <c r="D91" s="1">
        <f>_xlfn.FLOOR.MATH(E82/D82)</f>
        <v>0</v>
      </c>
      <c r="E91" s="3">
        <f t="shared" si="42"/>
        <v>0</v>
      </c>
      <c r="F91" s="1"/>
      <c r="G91" s="1"/>
    </row>
    <row r="92" spans="1:7" x14ac:dyDescent="0.25">
      <c r="A92" s="17" t="str">
        <f t="shared" si="40"/>
        <v>C</v>
      </c>
      <c r="B92" s="1">
        <f t="shared" ref="B92:C92" si="46">B73</f>
        <v>28.1</v>
      </c>
      <c r="C92" s="1">
        <f t="shared" si="46"/>
        <v>46.9</v>
      </c>
      <c r="D92" s="1">
        <f>_xlfn.FLOOR.MATH(E83/D83)</f>
        <v>0</v>
      </c>
      <c r="E92" s="3">
        <f t="shared" si="42"/>
        <v>0</v>
      </c>
      <c r="F92" s="1"/>
      <c r="G92" s="1"/>
    </row>
    <row r="93" spans="1:7" x14ac:dyDescent="0.25">
      <c r="A93" s="1" t="s">
        <v>43</v>
      </c>
      <c r="B93" s="1"/>
      <c r="C93" s="1"/>
      <c r="D93" s="1"/>
      <c r="E93" s="3">
        <f>SUM(E87:E92)</f>
        <v>274908.3</v>
      </c>
      <c r="F93" s="1">
        <f>'исходные данные'!I4</f>
        <v>346866</v>
      </c>
      <c r="G93" s="18">
        <f>E93-F93</f>
        <v>-71957.700000000012</v>
      </c>
    </row>
    <row r="96" spans="1:7" x14ac:dyDescent="0.25">
      <c r="A96" s="19" t="s">
        <v>53</v>
      </c>
    </row>
    <row r="97" spans="1:8" x14ac:dyDescent="0.25">
      <c r="A97" t="s">
        <v>37</v>
      </c>
    </row>
    <row r="98" spans="1:8" ht="30" x14ac:dyDescent="0.25">
      <c r="A98" s="2" t="str">
        <f>'исходные данные'!A37</f>
        <v>Продукт</v>
      </c>
      <c r="B98" s="2" t="str">
        <f>'исходные данные'!C37</f>
        <v>Перемен. затраты (р.)</v>
      </c>
      <c r="C98" s="2" t="str">
        <f>'исходные данные'!D37</f>
        <v>Цена (р.)</v>
      </c>
      <c r="D98" s="2" t="s">
        <v>48</v>
      </c>
      <c r="E98" s="2" t="s">
        <v>47</v>
      </c>
      <c r="F98" s="2" t="s">
        <v>49</v>
      </c>
      <c r="G98" s="15" t="s">
        <v>36</v>
      </c>
      <c r="H98" t="str">
        <f>A98</f>
        <v>Продукт</v>
      </c>
    </row>
    <row r="99" spans="1:8" x14ac:dyDescent="0.25">
      <c r="A99" s="2" t="str">
        <f>'исходные данные'!A38</f>
        <v>A</v>
      </c>
      <c r="B99" s="2">
        <f>'исходные данные'!C38</f>
        <v>22</v>
      </c>
      <c r="C99" s="2">
        <f>'исходные данные'!D38</f>
        <v>28.8</v>
      </c>
      <c r="D99" s="1">
        <f>'исходные данные'!J10</f>
        <v>1.5</v>
      </c>
      <c r="E99" s="1">
        <f>C99-B99</f>
        <v>6.8000000000000007</v>
      </c>
      <c r="F99" s="3">
        <f>E99/D99</f>
        <v>4.5333333333333341</v>
      </c>
      <c r="G99" s="1">
        <f>_xlfn.RANK.EQ(F99,$F$99:$F$104)</f>
        <v>4</v>
      </c>
      <c r="H99" t="str">
        <f t="shared" ref="H99:H104" si="47">A99</f>
        <v>A</v>
      </c>
    </row>
    <row r="100" spans="1:8" x14ac:dyDescent="0.25">
      <c r="A100" s="2" t="str">
        <f>'исходные данные'!A39</f>
        <v>B</v>
      </c>
      <c r="B100" s="2">
        <f>'исходные данные'!C39</f>
        <v>21</v>
      </c>
      <c r="C100" s="2">
        <f>'исходные данные'!D39</f>
        <v>37.9</v>
      </c>
      <c r="D100" s="1">
        <f>'исходные данные'!J11</f>
        <v>1.7</v>
      </c>
      <c r="E100" s="1">
        <f t="shared" ref="E100:E104" si="48">C100-B100</f>
        <v>16.899999999999999</v>
      </c>
      <c r="F100" s="3">
        <f t="shared" ref="F100:F104" si="49">E100/D100</f>
        <v>9.9411764705882355</v>
      </c>
      <c r="G100" s="1">
        <f t="shared" ref="G100:G104" si="50">_xlfn.RANK.EQ(F100,$F$99:$F$104)</f>
        <v>1</v>
      </c>
      <c r="H100" t="str">
        <f t="shared" si="47"/>
        <v>B</v>
      </c>
    </row>
    <row r="101" spans="1:8" x14ac:dyDescent="0.25">
      <c r="A101" s="2" t="str">
        <f>'исходные данные'!A40</f>
        <v>C</v>
      </c>
      <c r="B101" s="2">
        <f>'исходные данные'!C40</f>
        <v>32.799999999999997</v>
      </c>
      <c r="C101" s="2">
        <f>'исходные данные'!D40</f>
        <v>49.9</v>
      </c>
      <c r="D101" s="1">
        <f>'исходные данные'!J12</f>
        <v>2.1</v>
      </c>
      <c r="E101" s="1">
        <f t="shared" si="48"/>
        <v>17.100000000000001</v>
      </c>
      <c r="F101" s="3">
        <f t="shared" si="49"/>
        <v>8.1428571428571423</v>
      </c>
      <c r="G101" s="1">
        <f t="shared" si="50"/>
        <v>3</v>
      </c>
      <c r="H101" t="str">
        <f t="shared" si="47"/>
        <v>C</v>
      </c>
    </row>
    <row r="102" spans="1:8" x14ac:dyDescent="0.25">
      <c r="A102" s="2" t="str">
        <f>'исходные данные'!A41</f>
        <v>D</v>
      </c>
      <c r="B102" s="2">
        <f>'исходные данные'!C41</f>
        <v>33.799999999999997</v>
      </c>
      <c r="C102" s="2">
        <f>'исходные данные'!D41</f>
        <v>50.9</v>
      </c>
      <c r="D102" s="1">
        <f>'исходные данные'!J13</f>
        <v>1.9</v>
      </c>
      <c r="E102" s="1">
        <f t="shared" si="48"/>
        <v>17.100000000000001</v>
      </c>
      <c r="F102" s="3">
        <f t="shared" si="49"/>
        <v>9.0000000000000018</v>
      </c>
      <c r="G102" s="1">
        <f t="shared" si="50"/>
        <v>2</v>
      </c>
      <c r="H102" t="str">
        <f t="shared" si="47"/>
        <v>D</v>
      </c>
    </row>
    <row r="103" spans="1:8" x14ac:dyDescent="0.25">
      <c r="A103" s="2" t="str">
        <f>'исходные данные'!A42</f>
        <v>E</v>
      </c>
      <c r="B103" s="2">
        <f>'исходные данные'!C42</f>
        <v>33.6</v>
      </c>
      <c r="C103" s="2">
        <f>'исходные данные'!D42</f>
        <v>47.8</v>
      </c>
      <c r="D103" s="1">
        <f>'исходные данные'!J14</f>
        <v>3.2</v>
      </c>
      <c r="E103" s="1">
        <f t="shared" si="48"/>
        <v>14.199999999999996</v>
      </c>
      <c r="F103" s="3">
        <f t="shared" si="49"/>
        <v>4.4374999999999982</v>
      </c>
      <c r="G103" s="1">
        <f t="shared" si="50"/>
        <v>5</v>
      </c>
      <c r="H103" t="str">
        <f t="shared" si="47"/>
        <v>E</v>
      </c>
    </row>
    <row r="104" spans="1:8" x14ac:dyDescent="0.25">
      <c r="A104" s="2" t="str">
        <f>'исходные данные'!A43</f>
        <v>F</v>
      </c>
      <c r="B104" s="2">
        <f>'исходные данные'!C43</f>
        <v>24.9</v>
      </c>
      <c r="C104" s="2">
        <f>'исходные данные'!D43</f>
        <v>31.9</v>
      </c>
      <c r="D104" s="1">
        <f>'исходные данные'!J15</f>
        <v>2.7</v>
      </c>
      <c r="E104" s="1">
        <f t="shared" si="48"/>
        <v>7</v>
      </c>
      <c r="F104" s="3">
        <f t="shared" si="49"/>
        <v>2.5925925925925926</v>
      </c>
      <c r="G104" s="1">
        <f t="shared" si="50"/>
        <v>6</v>
      </c>
      <c r="H104" t="str">
        <f t="shared" si="47"/>
        <v>F</v>
      </c>
    </row>
    <row r="106" spans="1:8" x14ac:dyDescent="0.25">
      <c r="A106" t="s">
        <v>38</v>
      </c>
    </row>
    <row r="107" spans="1:8" ht="30" x14ac:dyDescent="0.25">
      <c r="A107" s="2" t="s">
        <v>36</v>
      </c>
      <c r="B107" s="2" t="s">
        <v>7</v>
      </c>
      <c r="C107" s="2" t="s">
        <v>39</v>
      </c>
      <c r="D107" s="2" t="s">
        <v>48</v>
      </c>
      <c r="E107" s="2" t="s">
        <v>40</v>
      </c>
      <c r="F107" s="2" t="s">
        <v>41</v>
      </c>
      <c r="G107" s="16"/>
    </row>
    <row r="108" spans="1:8" x14ac:dyDescent="0.25">
      <c r="A108" s="1"/>
      <c r="B108" s="1"/>
      <c r="C108" s="1"/>
      <c r="D108" s="1"/>
      <c r="E108" s="1"/>
      <c r="F108" s="1">
        <f>'исходные данные'!J16</f>
        <v>46451</v>
      </c>
    </row>
    <row r="109" spans="1:8" x14ac:dyDescent="0.25">
      <c r="A109" s="1">
        <v>1</v>
      </c>
      <c r="B109" s="17" t="str">
        <f>VLOOKUP(A109,$G$99:$H$104,2,FALSE)</f>
        <v>B</v>
      </c>
      <c r="C109" s="3">
        <f>VLOOKUP('прибыль проектов'!B109,'исходные данные'!$A$38:$B$43,2,FALSE)</f>
        <v>4889</v>
      </c>
      <c r="D109" s="1">
        <f>VLOOKUP(B109,$A$99:$D$104,4,FALSE)</f>
        <v>1.7</v>
      </c>
      <c r="E109" s="1">
        <f t="shared" ref="E109:E112" si="51">IF(F108&gt;=C109*D109,C109*D109,F108)</f>
        <v>8311.2999999999993</v>
      </c>
      <c r="F109" s="1">
        <f t="shared" ref="F109:F112" si="52">IF(F108&gt;=E109,F108-E109,0)</f>
        <v>38139.699999999997</v>
      </c>
    </row>
    <row r="110" spans="1:8" x14ac:dyDescent="0.25">
      <c r="A110" s="1">
        <v>2</v>
      </c>
      <c r="B110" s="17" t="str">
        <f t="shared" ref="B110:B114" si="53">VLOOKUP(A110,$G$99:$H$104,2,FALSE)</f>
        <v>D</v>
      </c>
      <c r="C110" s="3">
        <f>VLOOKUP('прибыль проектов'!B110,'исходные данные'!$A$38:$B$43,2,FALSE)</f>
        <v>2012</v>
      </c>
      <c r="D110" s="1">
        <f t="shared" ref="D110:D114" si="54">VLOOKUP(B110,$A$99:$D$104,4,FALSE)</f>
        <v>1.9</v>
      </c>
      <c r="E110" s="1">
        <f t="shared" si="51"/>
        <v>3822.7999999999997</v>
      </c>
      <c r="F110" s="1">
        <f t="shared" si="52"/>
        <v>34316.899999999994</v>
      </c>
    </row>
    <row r="111" spans="1:8" x14ac:dyDescent="0.25">
      <c r="A111" s="1">
        <v>3</v>
      </c>
      <c r="B111" s="17" t="str">
        <f t="shared" si="53"/>
        <v>C</v>
      </c>
      <c r="C111" s="3">
        <f>VLOOKUP('прибыль проектов'!B111,'исходные данные'!$A$38:$B$43,2,FALSE)</f>
        <v>7365</v>
      </c>
      <c r="D111" s="1">
        <f t="shared" si="54"/>
        <v>2.1</v>
      </c>
      <c r="E111" s="1">
        <f t="shared" si="51"/>
        <v>15466.5</v>
      </c>
      <c r="F111" s="1">
        <f t="shared" si="52"/>
        <v>18850.399999999994</v>
      </c>
    </row>
    <row r="112" spans="1:8" x14ac:dyDescent="0.25">
      <c r="A112" s="1">
        <v>4</v>
      </c>
      <c r="B112" s="17" t="str">
        <f t="shared" si="53"/>
        <v>A</v>
      </c>
      <c r="C112" s="3">
        <f>VLOOKUP('прибыль проектов'!B112,'исходные данные'!$A$38:$B$43,2,FALSE)</f>
        <v>6603</v>
      </c>
      <c r="D112" s="1">
        <f t="shared" si="54"/>
        <v>1.5</v>
      </c>
      <c r="E112" s="1">
        <f t="shared" si="51"/>
        <v>9904.5</v>
      </c>
      <c r="F112" s="1">
        <f t="shared" si="52"/>
        <v>8945.8999999999942</v>
      </c>
    </row>
    <row r="113" spans="1:7" x14ac:dyDescent="0.25">
      <c r="A113" s="1">
        <v>5</v>
      </c>
      <c r="B113" s="17" t="str">
        <f t="shared" si="53"/>
        <v>E</v>
      </c>
      <c r="C113" s="3">
        <f>VLOOKUP('прибыль проектов'!B113,'исходные данные'!$A$38:$B$43,2,FALSE)</f>
        <v>7387</v>
      </c>
      <c r="D113" s="1">
        <f t="shared" si="54"/>
        <v>3.2</v>
      </c>
      <c r="E113" s="1">
        <f>IF(F112&gt;=C113*D113,C113*D113,F112)</f>
        <v>8945.8999999999942</v>
      </c>
      <c r="F113" s="1">
        <f>IF(F112&gt;=E113,F112-E113,0)</f>
        <v>0</v>
      </c>
    </row>
    <row r="114" spans="1:7" x14ac:dyDescent="0.25">
      <c r="A114" s="1">
        <v>6</v>
      </c>
      <c r="B114" s="17" t="str">
        <f t="shared" si="53"/>
        <v>F</v>
      </c>
      <c r="C114" s="3">
        <f>VLOOKUP('прибыль проектов'!B114,'исходные данные'!$A$38:$B$43,2,FALSE)</f>
        <v>7181</v>
      </c>
      <c r="D114" s="1">
        <f t="shared" si="54"/>
        <v>2.7</v>
      </c>
      <c r="E114" s="1">
        <f>IF(F113&gt;=C114*D114,C114*D114,F113)</f>
        <v>0</v>
      </c>
      <c r="F114" s="1">
        <f t="shared" ref="F114" si="55">IF(F113&gt;=E114,F113-E114,0)</f>
        <v>0</v>
      </c>
    </row>
    <row r="116" spans="1:7" x14ac:dyDescent="0.25">
      <c r="A116" t="s">
        <v>42</v>
      </c>
    </row>
    <row r="117" spans="1:7" ht="30" x14ac:dyDescent="0.25">
      <c r="A117" s="2" t="s">
        <v>7</v>
      </c>
      <c r="B117" s="2" t="s">
        <v>19</v>
      </c>
      <c r="C117" s="2" t="s">
        <v>9</v>
      </c>
      <c r="D117" s="2" t="s">
        <v>39</v>
      </c>
      <c r="E117" s="2" t="s">
        <v>44</v>
      </c>
      <c r="F117" s="2" t="s">
        <v>45</v>
      </c>
      <c r="G117" s="2" t="s">
        <v>46</v>
      </c>
    </row>
    <row r="118" spans="1:7" x14ac:dyDescent="0.25">
      <c r="A118" s="17" t="str">
        <f>B109</f>
        <v>B</v>
      </c>
      <c r="B118" s="1">
        <f>B99</f>
        <v>22</v>
      </c>
      <c r="C118" s="1">
        <f>C99</f>
        <v>28.8</v>
      </c>
      <c r="D118" s="1">
        <f t="shared" ref="D118:D121" si="56">_xlfn.FLOOR.MATH(E109/D109)</f>
        <v>4889</v>
      </c>
      <c r="E118" s="3">
        <f>(C118-B118)*D118</f>
        <v>33245.200000000004</v>
      </c>
      <c r="F118" s="1"/>
      <c r="G118" s="1"/>
    </row>
    <row r="119" spans="1:7" x14ac:dyDescent="0.25">
      <c r="A119" s="17" t="str">
        <f t="shared" ref="A119:A123" si="57">B110</f>
        <v>D</v>
      </c>
      <c r="B119" s="1">
        <f t="shared" ref="B119:C119" si="58">B100</f>
        <v>21</v>
      </c>
      <c r="C119" s="1">
        <f t="shared" si="58"/>
        <v>37.9</v>
      </c>
      <c r="D119" s="1">
        <f t="shared" si="56"/>
        <v>2012</v>
      </c>
      <c r="E119" s="3">
        <f t="shared" ref="E119:E123" si="59">(C119-B119)*D119</f>
        <v>34002.799999999996</v>
      </c>
      <c r="F119" s="1"/>
      <c r="G119" s="1"/>
    </row>
    <row r="120" spans="1:7" x14ac:dyDescent="0.25">
      <c r="A120" s="17" t="str">
        <f t="shared" si="57"/>
        <v>C</v>
      </c>
      <c r="B120" s="1">
        <f t="shared" ref="B120:C120" si="60">B101</f>
        <v>32.799999999999997</v>
      </c>
      <c r="C120" s="1">
        <f t="shared" si="60"/>
        <v>49.9</v>
      </c>
      <c r="D120" s="1">
        <f t="shared" si="56"/>
        <v>7365</v>
      </c>
      <c r="E120" s="3">
        <f t="shared" si="59"/>
        <v>125941.50000000001</v>
      </c>
      <c r="F120" s="1"/>
      <c r="G120" s="1"/>
    </row>
    <row r="121" spans="1:7" x14ac:dyDescent="0.25">
      <c r="A121" s="17" t="str">
        <f t="shared" si="57"/>
        <v>A</v>
      </c>
      <c r="B121" s="1">
        <f t="shared" ref="B121:C121" si="61">B102</f>
        <v>33.799999999999997</v>
      </c>
      <c r="C121" s="1">
        <f t="shared" si="61"/>
        <v>50.9</v>
      </c>
      <c r="D121" s="1">
        <f t="shared" si="56"/>
        <v>6603</v>
      </c>
      <c r="E121" s="3">
        <f t="shared" si="59"/>
        <v>112911.3</v>
      </c>
      <c r="F121" s="1"/>
      <c r="G121" s="1"/>
    </row>
    <row r="122" spans="1:7" x14ac:dyDescent="0.25">
      <c r="A122" s="17" t="str">
        <f t="shared" si="57"/>
        <v>E</v>
      </c>
      <c r="B122" s="1">
        <f t="shared" ref="B122:C122" si="62">B103</f>
        <v>33.6</v>
      </c>
      <c r="C122" s="1">
        <f t="shared" si="62"/>
        <v>47.8</v>
      </c>
      <c r="D122" s="1">
        <f>_xlfn.FLOOR.MATH(E113/D113)</f>
        <v>2795</v>
      </c>
      <c r="E122" s="3">
        <f t="shared" si="59"/>
        <v>39688.999999999985</v>
      </c>
      <c r="F122" s="1"/>
      <c r="G122" s="1"/>
    </row>
    <row r="123" spans="1:7" x14ac:dyDescent="0.25">
      <c r="A123" s="17" t="str">
        <f t="shared" si="57"/>
        <v>F</v>
      </c>
      <c r="B123" s="1">
        <f t="shared" ref="B123:C123" si="63">B104</f>
        <v>24.9</v>
      </c>
      <c r="C123" s="1">
        <f t="shared" si="63"/>
        <v>31.9</v>
      </c>
      <c r="D123" s="1">
        <f>_xlfn.FLOOR.MATH(E114/D114)</f>
        <v>0</v>
      </c>
      <c r="E123" s="3">
        <f t="shared" si="59"/>
        <v>0</v>
      </c>
      <c r="F123" s="1"/>
      <c r="G123" s="1"/>
    </row>
    <row r="124" spans="1:7" x14ac:dyDescent="0.25">
      <c r="A124" s="1" t="s">
        <v>43</v>
      </c>
      <c r="B124" s="1"/>
      <c r="C124" s="1"/>
      <c r="D124" s="1"/>
      <c r="E124" s="3">
        <f>SUM(E118:E123)</f>
        <v>345789.8</v>
      </c>
      <c r="F124" s="1">
        <f>'исходные данные'!J4</f>
        <v>297144</v>
      </c>
      <c r="G124" s="18">
        <f>E124-F124</f>
        <v>48645.799999999988</v>
      </c>
    </row>
    <row r="127" spans="1:7" x14ac:dyDescent="0.25">
      <c r="A127" s="19" t="s">
        <v>54</v>
      </c>
    </row>
    <row r="128" spans="1:7" x14ac:dyDescent="0.25">
      <c r="A128" t="s">
        <v>37</v>
      </c>
    </row>
    <row r="129" spans="1:8" ht="30" x14ac:dyDescent="0.25">
      <c r="A129" s="2" t="str">
        <f>'исходные данные'!A46</f>
        <v>Продукт</v>
      </c>
      <c r="B129" s="2" t="str">
        <f>'исходные данные'!C46</f>
        <v>Перемен. затраты (р.)</v>
      </c>
      <c r="C129" s="2" t="str">
        <f>'исходные данные'!D46</f>
        <v>Цена (р.)</v>
      </c>
      <c r="D129" s="2" t="s">
        <v>48</v>
      </c>
      <c r="E129" s="2" t="s">
        <v>47</v>
      </c>
      <c r="F129" s="2" t="s">
        <v>49</v>
      </c>
      <c r="G129" s="15" t="s">
        <v>36</v>
      </c>
      <c r="H129" t="str">
        <f>A129</f>
        <v>Продукт</v>
      </c>
    </row>
    <row r="130" spans="1:8" x14ac:dyDescent="0.25">
      <c r="A130" s="2" t="str">
        <f>'исходные данные'!A47</f>
        <v>A</v>
      </c>
      <c r="B130" s="2">
        <f>'исходные данные'!C47</f>
        <v>23.7</v>
      </c>
      <c r="C130" s="2">
        <f>'исходные данные'!D47</f>
        <v>31.8</v>
      </c>
      <c r="D130" s="1">
        <f>'исходные данные'!K10</f>
        <v>1.4</v>
      </c>
      <c r="E130" s="1">
        <f>C130-B130</f>
        <v>8.1000000000000014</v>
      </c>
      <c r="F130" s="3">
        <f>E130/D130</f>
        <v>5.7857142857142874</v>
      </c>
      <c r="G130" s="1">
        <f>_xlfn.RANK.EQ(F130,$F$130:$F$135)</f>
        <v>6</v>
      </c>
      <c r="H130" t="str">
        <f t="shared" ref="H130:H135" si="64">A130</f>
        <v>A</v>
      </c>
    </row>
    <row r="131" spans="1:8" x14ac:dyDescent="0.25">
      <c r="A131" s="2" t="str">
        <f>'исходные данные'!A48</f>
        <v>B</v>
      </c>
      <c r="B131" s="2">
        <f>'исходные данные'!C48</f>
        <v>26.6</v>
      </c>
      <c r="C131" s="2">
        <f>'исходные данные'!D48</f>
        <v>45.2</v>
      </c>
      <c r="D131" s="1">
        <f>'исходные данные'!K11</f>
        <v>1.3</v>
      </c>
      <c r="E131" s="1">
        <f t="shared" ref="E131:E135" si="65">C131-B131</f>
        <v>18.600000000000001</v>
      </c>
      <c r="F131" s="3">
        <f t="shared" ref="F131:F135" si="66">E131/D131</f>
        <v>14.307692307692308</v>
      </c>
      <c r="G131" s="1">
        <f t="shared" ref="G131:G135" si="67">_xlfn.RANK.EQ(F131,$F$130:$F$135)</f>
        <v>2</v>
      </c>
      <c r="H131" t="str">
        <f t="shared" si="64"/>
        <v>B</v>
      </c>
    </row>
    <row r="132" spans="1:8" x14ac:dyDescent="0.25">
      <c r="A132" s="2" t="str">
        <f>'исходные данные'!A49</f>
        <v>C</v>
      </c>
      <c r="B132" s="2">
        <f>'исходные данные'!C49</f>
        <v>24.9</v>
      </c>
      <c r="C132" s="2">
        <f>'исходные данные'!D49</f>
        <v>31.8</v>
      </c>
      <c r="D132" s="1">
        <f>'исходные данные'!K12</f>
        <v>1</v>
      </c>
      <c r="E132" s="1">
        <f t="shared" si="65"/>
        <v>6.9000000000000021</v>
      </c>
      <c r="F132" s="3">
        <f t="shared" si="66"/>
        <v>6.9000000000000021</v>
      </c>
      <c r="G132" s="1">
        <f t="shared" si="67"/>
        <v>4</v>
      </c>
      <c r="H132" t="str">
        <f t="shared" si="64"/>
        <v>C</v>
      </c>
    </row>
    <row r="133" spans="1:8" x14ac:dyDescent="0.25">
      <c r="A133" s="2" t="str">
        <f>'исходные данные'!A50</f>
        <v>D</v>
      </c>
      <c r="B133" s="2">
        <f>'исходные данные'!C50</f>
        <v>32.9</v>
      </c>
      <c r="C133" s="2">
        <f>'исходные данные'!D50</f>
        <v>50.9</v>
      </c>
      <c r="D133" s="1">
        <f>'исходные данные'!K13</f>
        <v>0.9</v>
      </c>
      <c r="E133" s="1">
        <f t="shared" si="65"/>
        <v>18</v>
      </c>
      <c r="F133" s="3">
        <f t="shared" si="66"/>
        <v>20</v>
      </c>
      <c r="G133" s="1">
        <f t="shared" si="67"/>
        <v>1</v>
      </c>
      <c r="H133" t="str">
        <f t="shared" si="64"/>
        <v>D</v>
      </c>
    </row>
    <row r="134" spans="1:8" x14ac:dyDescent="0.25">
      <c r="A134" s="2" t="str">
        <f>'исходные данные'!A51</f>
        <v>E</v>
      </c>
      <c r="B134" s="2">
        <f>'исходные данные'!C51</f>
        <v>24.9</v>
      </c>
      <c r="C134" s="2">
        <f>'исходные данные'!D51</f>
        <v>40.200000000000003</v>
      </c>
      <c r="D134" s="1">
        <f>'исходные данные'!K14</f>
        <v>2.4</v>
      </c>
      <c r="E134" s="1">
        <f t="shared" si="65"/>
        <v>15.300000000000004</v>
      </c>
      <c r="F134" s="3">
        <f t="shared" si="66"/>
        <v>6.3750000000000018</v>
      </c>
      <c r="G134" s="1">
        <f t="shared" si="67"/>
        <v>5</v>
      </c>
      <c r="H134" t="str">
        <f t="shared" si="64"/>
        <v>E</v>
      </c>
    </row>
    <row r="135" spans="1:8" x14ac:dyDescent="0.25">
      <c r="A135" s="2" t="str">
        <f>'исходные данные'!A52</f>
        <v>F</v>
      </c>
      <c r="B135" s="2">
        <f>'исходные данные'!C52</f>
        <v>23.1</v>
      </c>
      <c r="C135" s="2">
        <f>'исходные данные'!D52</f>
        <v>40.9</v>
      </c>
      <c r="D135" s="1">
        <f>'исходные данные'!K15</f>
        <v>1.9</v>
      </c>
      <c r="E135" s="1">
        <f t="shared" si="65"/>
        <v>17.799999999999997</v>
      </c>
      <c r="F135" s="3">
        <f t="shared" si="66"/>
        <v>9.3684210526315788</v>
      </c>
      <c r="G135" s="1">
        <f t="shared" si="67"/>
        <v>3</v>
      </c>
      <c r="H135" t="str">
        <f t="shared" si="64"/>
        <v>F</v>
      </c>
    </row>
    <row r="137" spans="1:8" x14ac:dyDescent="0.25">
      <c r="A137" t="s">
        <v>38</v>
      </c>
    </row>
    <row r="138" spans="1:8" ht="30" x14ac:dyDescent="0.25">
      <c r="A138" s="2" t="s">
        <v>36</v>
      </c>
      <c r="B138" s="2" t="s">
        <v>7</v>
      </c>
      <c r="C138" s="2" t="s">
        <v>39</v>
      </c>
      <c r="D138" s="2" t="s">
        <v>48</v>
      </c>
      <c r="E138" s="2" t="s">
        <v>40</v>
      </c>
      <c r="F138" s="2" t="s">
        <v>41</v>
      </c>
      <c r="G138" s="16"/>
    </row>
    <row r="139" spans="1:8" x14ac:dyDescent="0.25">
      <c r="A139" s="1"/>
      <c r="B139" s="1"/>
      <c r="C139" s="1"/>
      <c r="D139" s="1"/>
      <c r="E139" s="1"/>
      <c r="F139" s="1">
        <f>'исходные данные'!K16</f>
        <v>31198</v>
      </c>
    </row>
    <row r="140" spans="1:8" x14ac:dyDescent="0.25">
      <c r="A140" s="1">
        <v>1</v>
      </c>
      <c r="B140" s="17" t="str">
        <f>VLOOKUP(A140,$G$130:$H$135,2,FALSE)</f>
        <v>D</v>
      </c>
      <c r="C140" s="3">
        <f>VLOOKUP('прибыль проектов'!B140,'исходные данные'!$A$47:$B$52,2,FALSE)</f>
        <v>3167</v>
      </c>
      <c r="D140" s="1">
        <f>VLOOKUP(B140,$A$130:$D$135,4,FALSE)</f>
        <v>0.9</v>
      </c>
      <c r="E140" s="1">
        <f t="shared" ref="E140:E143" si="68">IF(F139&gt;=C140*D140,C140*D140,F139)</f>
        <v>2850.3</v>
      </c>
      <c r="F140" s="1">
        <f t="shared" ref="F140:F143" si="69">IF(F139&gt;=E140,F139-E140,0)</f>
        <v>28347.7</v>
      </c>
    </row>
    <row r="141" spans="1:8" x14ac:dyDescent="0.25">
      <c r="A141" s="1">
        <v>2</v>
      </c>
      <c r="B141" s="17" t="str">
        <f t="shared" ref="B141:B145" si="70">VLOOKUP(A141,$G$130:$H$135,2,FALSE)</f>
        <v>B</v>
      </c>
      <c r="C141" s="3">
        <f>VLOOKUP('прибыль проектов'!B141,'исходные данные'!$A$47:$B$52,2,FALSE)</f>
        <v>7364</v>
      </c>
      <c r="D141" s="1">
        <f t="shared" ref="D141:D145" si="71">VLOOKUP(B141,$A$130:$D$135,4,FALSE)</f>
        <v>1.3</v>
      </c>
      <c r="E141" s="1">
        <f t="shared" si="68"/>
        <v>9573.2000000000007</v>
      </c>
      <c r="F141" s="1">
        <f t="shared" si="69"/>
        <v>18774.5</v>
      </c>
    </row>
    <row r="142" spans="1:8" x14ac:dyDescent="0.25">
      <c r="A142" s="1">
        <v>3</v>
      </c>
      <c r="B142" s="17" t="str">
        <f t="shared" si="70"/>
        <v>F</v>
      </c>
      <c r="C142" s="3">
        <f>VLOOKUP('прибыль проектов'!B142,'исходные данные'!$A$47:$B$52,2,FALSE)</f>
        <v>5706</v>
      </c>
      <c r="D142" s="1">
        <f t="shared" si="71"/>
        <v>1.9</v>
      </c>
      <c r="E142" s="1">
        <f t="shared" si="68"/>
        <v>10841.4</v>
      </c>
      <c r="F142" s="1">
        <f t="shared" si="69"/>
        <v>7933.1</v>
      </c>
    </row>
    <row r="143" spans="1:8" x14ac:dyDescent="0.25">
      <c r="A143" s="1">
        <v>4</v>
      </c>
      <c r="B143" s="17" t="str">
        <f t="shared" si="70"/>
        <v>C</v>
      </c>
      <c r="C143" s="3">
        <f>VLOOKUP('прибыль проектов'!B143,'исходные данные'!$A$47:$B$52,2,FALSE)</f>
        <v>3478</v>
      </c>
      <c r="D143" s="1">
        <f t="shared" si="71"/>
        <v>1</v>
      </c>
      <c r="E143" s="1">
        <f t="shared" si="68"/>
        <v>3478</v>
      </c>
      <c r="F143" s="1">
        <f t="shared" si="69"/>
        <v>4455.1000000000004</v>
      </c>
    </row>
    <row r="144" spans="1:8" x14ac:dyDescent="0.25">
      <c r="A144" s="1">
        <v>5</v>
      </c>
      <c r="B144" s="17" t="str">
        <f t="shared" si="70"/>
        <v>E</v>
      </c>
      <c r="C144" s="3">
        <f>VLOOKUP('прибыль проектов'!B144,'исходные данные'!$A$47:$B$52,2,FALSE)</f>
        <v>5662</v>
      </c>
      <c r="D144" s="1">
        <f t="shared" si="71"/>
        <v>2.4</v>
      </c>
      <c r="E144" s="1">
        <f>IF(F143&gt;=C144*D144,C144*D144,F143)</f>
        <v>4455.1000000000004</v>
      </c>
      <c r="F144" s="1">
        <f>IF(F143&gt;=E144,F143-E144,0)</f>
        <v>0</v>
      </c>
    </row>
    <row r="145" spans="1:7" x14ac:dyDescent="0.25">
      <c r="A145" s="1">
        <v>6</v>
      </c>
      <c r="B145" s="17" t="str">
        <f t="shared" si="70"/>
        <v>A</v>
      </c>
      <c r="C145" s="3">
        <f>VLOOKUP('прибыль проектов'!B145,'исходные данные'!$A$47:$B$52,2,FALSE)</f>
        <v>2245</v>
      </c>
      <c r="D145" s="1">
        <f t="shared" si="71"/>
        <v>1.4</v>
      </c>
      <c r="E145" s="1">
        <f>IF(F144&gt;=C145*D145,C145*D145,F144)</f>
        <v>0</v>
      </c>
      <c r="F145" s="1">
        <f t="shared" ref="F145" si="72">IF(F144&gt;=E145,F144-E145,0)</f>
        <v>0</v>
      </c>
    </row>
    <row r="147" spans="1:7" x14ac:dyDescent="0.25">
      <c r="A147" t="s">
        <v>42</v>
      </c>
    </row>
    <row r="148" spans="1:7" ht="30" x14ac:dyDescent="0.25">
      <c r="A148" s="2" t="s">
        <v>7</v>
      </c>
      <c r="B148" s="2" t="s">
        <v>19</v>
      </c>
      <c r="C148" s="2" t="s">
        <v>9</v>
      </c>
      <c r="D148" s="2" t="s">
        <v>39</v>
      </c>
      <c r="E148" s="2" t="s">
        <v>44</v>
      </c>
      <c r="F148" s="2" t="s">
        <v>45</v>
      </c>
      <c r="G148" s="2" t="s">
        <v>46</v>
      </c>
    </row>
    <row r="149" spans="1:7" x14ac:dyDescent="0.25">
      <c r="A149" s="17" t="str">
        <f>B140</f>
        <v>D</v>
      </c>
      <c r="B149" s="1">
        <f>B130</f>
        <v>23.7</v>
      </c>
      <c r="C149" s="1">
        <f>C130</f>
        <v>31.8</v>
      </c>
      <c r="D149" s="1">
        <f t="shared" ref="D149:D152" si="73">_xlfn.FLOOR.MATH(E140/D140)</f>
        <v>3167</v>
      </c>
      <c r="E149" s="3">
        <f>(C149-B149)*D149</f>
        <v>25652.700000000004</v>
      </c>
      <c r="F149" s="1"/>
      <c r="G149" s="1"/>
    </row>
    <row r="150" spans="1:7" x14ac:dyDescent="0.25">
      <c r="A150" s="17" t="str">
        <f t="shared" ref="A150:A154" si="74">B141</f>
        <v>B</v>
      </c>
      <c r="B150" s="1">
        <f t="shared" ref="B150:C150" si="75">B131</f>
        <v>26.6</v>
      </c>
      <c r="C150" s="1">
        <f t="shared" si="75"/>
        <v>45.2</v>
      </c>
      <c r="D150" s="1">
        <f t="shared" si="73"/>
        <v>7364</v>
      </c>
      <c r="E150" s="3">
        <f t="shared" ref="E150:E154" si="76">(C150-B150)*D150</f>
        <v>136970.40000000002</v>
      </c>
      <c r="F150" s="1"/>
      <c r="G150" s="1"/>
    </row>
    <row r="151" spans="1:7" x14ac:dyDescent="0.25">
      <c r="A151" s="17" t="str">
        <f t="shared" si="74"/>
        <v>F</v>
      </c>
      <c r="B151" s="1">
        <f t="shared" ref="B151:C151" si="77">B132</f>
        <v>24.9</v>
      </c>
      <c r="C151" s="1">
        <f t="shared" si="77"/>
        <v>31.8</v>
      </c>
      <c r="D151" s="1">
        <f t="shared" si="73"/>
        <v>5706</v>
      </c>
      <c r="E151" s="3">
        <f t="shared" si="76"/>
        <v>39371.400000000009</v>
      </c>
      <c r="F151" s="1"/>
      <c r="G151" s="1"/>
    </row>
    <row r="152" spans="1:7" x14ac:dyDescent="0.25">
      <c r="A152" s="17" t="str">
        <f t="shared" si="74"/>
        <v>C</v>
      </c>
      <c r="B152" s="1">
        <f t="shared" ref="B152:C152" si="78">B133</f>
        <v>32.9</v>
      </c>
      <c r="C152" s="1">
        <f t="shared" si="78"/>
        <v>50.9</v>
      </c>
      <c r="D152" s="1">
        <f t="shared" si="73"/>
        <v>3478</v>
      </c>
      <c r="E152" s="3">
        <f t="shared" si="76"/>
        <v>62604</v>
      </c>
      <c r="F152" s="1"/>
      <c r="G152" s="1"/>
    </row>
    <row r="153" spans="1:7" x14ac:dyDescent="0.25">
      <c r="A153" s="17" t="str">
        <f t="shared" si="74"/>
        <v>E</v>
      </c>
      <c r="B153" s="1">
        <f t="shared" ref="B153:C153" si="79">B134</f>
        <v>24.9</v>
      </c>
      <c r="C153" s="1">
        <f t="shared" si="79"/>
        <v>40.200000000000003</v>
      </c>
      <c r="D153" s="1">
        <f>_xlfn.FLOOR.MATH(E144/D144)</f>
        <v>1856</v>
      </c>
      <c r="E153" s="3">
        <f t="shared" si="76"/>
        <v>28396.800000000007</v>
      </c>
      <c r="F153" s="1"/>
      <c r="G153" s="1"/>
    </row>
    <row r="154" spans="1:7" x14ac:dyDescent="0.25">
      <c r="A154" s="17" t="str">
        <f t="shared" si="74"/>
        <v>A</v>
      </c>
      <c r="B154" s="1">
        <f t="shared" ref="B154:C154" si="80">B135</f>
        <v>23.1</v>
      </c>
      <c r="C154" s="1">
        <f t="shared" si="80"/>
        <v>40.9</v>
      </c>
      <c r="D154" s="1">
        <f>_xlfn.FLOOR.MATH(E145/D145)</f>
        <v>0</v>
      </c>
      <c r="E154" s="3">
        <f t="shared" si="76"/>
        <v>0</v>
      </c>
      <c r="F154" s="1"/>
      <c r="G154" s="1"/>
    </row>
    <row r="155" spans="1:7" x14ac:dyDescent="0.25">
      <c r="A155" s="1" t="s">
        <v>43</v>
      </c>
      <c r="B155" s="1"/>
      <c r="C155" s="1"/>
      <c r="D155" s="1"/>
      <c r="E155" s="3">
        <f>SUM(E149:E154)</f>
        <v>292995.30000000005</v>
      </c>
      <c r="F155" s="1">
        <f>'исходные данные'!K4</f>
        <v>310544</v>
      </c>
      <c r="G155" s="18">
        <f>E155-F155</f>
        <v>-17548.699999999953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31" workbookViewId="0">
      <selection activeCell="I26" sqref="I26"/>
    </sheetView>
  </sheetViews>
  <sheetFormatPr defaultRowHeight="15" x14ac:dyDescent="0.25"/>
  <cols>
    <col min="1" max="1" width="16.42578125" customWidth="1"/>
    <col min="2" max="2" width="19.140625" customWidth="1"/>
    <col min="3" max="3" width="17.85546875" customWidth="1"/>
    <col min="4" max="4" width="17.7109375" customWidth="1"/>
    <col min="5" max="5" width="21.5703125" customWidth="1"/>
    <col min="6" max="6" width="19.85546875" customWidth="1"/>
  </cols>
  <sheetData>
    <row r="1" spans="1:6" x14ac:dyDescent="0.25">
      <c r="A1" s="20" t="s">
        <v>2</v>
      </c>
      <c r="B1" s="21"/>
      <c r="C1" s="21"/>
      <c r="D1" s="21"/>
      <c r="E1" s="21"/>
      <c r="F1" s="21"/>
    </row>
    <row r="2" spans="1:6" x14ac:dyDescent="0.25">
      <c r="A2" s="22" t="s">
        <v>55</v>
      </c>
      <c r="B2" s="22" t="s">
        <v>56</v>
      </c>
      <c r="C2" s="22" t="s">
        <v>57</v>
      </c>
      <c r="D2" s="22" t="s">
        <v>58</v>
      </c>
      <c r="E2" s="22" t="s">
        <v>59</v>
      </c>
      <c r="F2" s="22" t="s">
        <v>60</v>
      </c>
    </row>
    <row r="3" spans="1:6" x14ac:dyDescent="0.25">
      <c r="A3" s="23">
        <v>0</v>
      </c>
      <c r="B3" s="24">
        <f>-1*'исходные данные'!B3*1000</f>
        <v>-718000</v>
      </c>
      <c r="C3" s="24"/>
      <c r="D3" s="24">
        <f>B3+C3</f>
        <v>-718000</v>
      </c>
      <c r="E3" s="25">
        <f>(1+'исходные данные'!$G$19/100)^(-A3)</f>
        <v>1</v>
      </c>
      <c r="F3" s="24">
        <f>E3*D3</f>
        <v>-718000</v>
      </c>
    </row>
    <row r="4" spans="1:6" x14ac:dyDescent="0.25">
      <c r="A4" s="23">
        <v>1</v>
      </c>
      <c r="B4" s="24"/>
      <c r="C4" s="24">
        <f>'прибыль проектов'!$G$31*4</f>
        <v>70533.600000000093</v>
      </c>
      <c r="D4" s="24">
        <f t="shared" ref="D4:D8" si="0">B4+C4</f>
        <v>70533.600000000093</v>
      </c>
      <c r="E4" s="25">
        <f>(1+'исходные данные'!$G$19/100)^(-A4)</f>
        <v>0.85106382978723405</v>
      </c>
      <c r="F4" s="24">
        <f t="shared" ref="F4:F8" si="1">E4*D4</f>
        <v>60028.595744680933</v>
      </c>
    </row>
    <row r="5" spans="1:6" x14ac:dyDescent="0.25">
      <c r="A5" s="23">
        <v>2</v>
      </c>
      <c r="B5" s="24"/>
      <c r="C5" s="24">
        <f>'прибыль проектов'!$G$31*4</f>
        <v>70533.600000000093</v>
      </c>
      <c r="D5" s="24">
        <f t="shared" si="0"/>
        <v>70533.600000000093</v>
      </c>
      <c r="E5" s="25">
        <f>(1+'исходные данные'!$G$19/100)^(-A5)</f>
        <v>0.72430964237211393</v>
      </c>
      <c r="F5" s="24">
        <f t="shared" si="1"/>
        <v>51088.1665912178</v>
      </c>
    </row>
    <row r="6" spans="1:6" x14ac:dyDescent="0.25">
      <c r="A6" s="23">
        <v>3</v>
      </c>
      <c r="B6" s="24"/>
      <c r="C6" s="24">
        <f>'прибыль проектов'!$G$31*4</f>
        <v>70533.600000000093</v>
      </c>
      <c r="D6" s="24">
        <f t="shared" si="0"/>
        <v>70533.600000000093</v>
      </c>
      <c r="E6" s="25">
        <f>(1+'исходные данные'!$G$19/100)^(-A6)</f>
        <v>0.61643373818903313</v>
      </c>
      <c r="F6" s="24">
        <f t="shared" si="1"/>
        <v>43479.290715930045</v>
      </c>
    </row>
    <row r="7" spans="1:6" x14ac:dyDescent="0.25">
      <c r="A7" s="23">
        <v>4</v>
      </c>
      <c r="B7" s="24"/>
      <c r="C7" s="24">
        <f>'прибыль проектов'!$G$31*4</f>
        <v>70533.600000000093</v>
      </c>
      <c r="D7" s="24">
        <f t="shared" si="0"/>
        <v>70533.600000000093</v>
      </c>
      <c r="E7" s="25">
        <f>(1+'исходные данные'!$G$19/100)^(-A7)</f>
        <v>0.52462445803321966</v>
      </c>
      <c r="F7" s="24">
        <f t="shared" si="1"/>
        <v>37003.65167313195</v>
      </c>
    </row>
    <row r="8" spans="1:6" x14ac:dyDescent="0.25">
      <c r="A8" s="23">
        <v>5</v>
      </c>
      <c r="B8" s="24"/>
      <c r="C8" s="24">
        <f>'прибыль проектов'!$G$31*4</f>
        <v>70533.600000000093</v>
      </c>
      <c r="D8" s="24">
        <f t="shared" si="0"/>
        <v>70533.600000000093</v>
      </c>
      <c r="E8" s="25">
        <f>(1+'исходные данные'!$G$19/100)^(-A8)</f>
        <v>0.44648890045380391</v>
      </c>
      <c r="F8" s="24">
        <f t="shared" si="1"/>
        <v>31492.469509048464</v>
      </c>
    </row>
    <row r="9" spans="1:6" x14ac:dyDescent="0.25">
      <c r="A9" s="23">
        <v>6</v>
      </c>
      <c r="B9" s="24"/>
      <c r="C9" s="24">
        <f>'прибыль проектов'!$G$31*4</f>
        <v>70533.600000000093</v>
      </c>
      <c r="D9" s="24">
        <f t="shared" ref="D9:D10" si="2">B9+C9</f>
        <v>70533.600000000093</v>
      </c>
      <c r="E9" s="25">
        <f>(1+'исходные данные'!$G$19/100)^(-A9)</f>
        <v>0.37999055357770539</v>
      </c>
      <c r="F9" s="24">
        <f t="shared" ref="F9" si="3">E9*D9</f>
        <v>26802.101709828476</v>
      </c>
    </row>
    <row r="10" spans="1:6" x14ac:dyDescent="0.25">
      <c r="A10" s="23">
        <v>7</v>
      </c>
      <c r="B10" s="24"/>
      <c r="C10" s="24">
        <f>'прибыль проектов'!$G$31*4</f>
        <v>70533.600000000093</v>
      </c>
      <c r="D10" s="24">
        <f t="shared" si="2"/>
        <v>70533.600000000093</v>
      </c>
      <c r="E10" s="25">
        <f>(1+'исходные данные'!$G$19/100)^(-A10)</f>
        <v>0.32339621581081307</v>
      </c>
      <c r="F10" s="24">
        <f>E10*D10</f>
        <v>22810.299327513596</v>
      </c>
    </row>
    <row r="11" spans="1:6" x14ac:dyDescent="0.25">
      <c r="A11" s="26" t="s">
        <v>43</v>
      </c>
      <c r="B11" s="24">
        <f>SUM(B3:B8)</f>
        <v>-718000</v>
      </c>
      <c r="C11" s="24">
        <f>SUM(C3:C8)</f>
        <v>352668.00000000047</v>
      </c>
      <c r="D11" s="24">
        <f>SUM(D3:D8)</f>
        <v>-365331.99999999953</v>
      </c>
      <c r="E11" s="24"/>
      <c r="F11" s="27">
        <f>SUM(F3:F8)</f>
        <v>-494907.82576599071</v>
      </c>
    </row>
    <row r="13" spans="1:6" x14ac:dyDescent="0.25">
      <c r="A13" s="20" t="s">
        <v>3</v>
      </c>
      <c r="B13" s="21"/>
      <c r="C13" s="21"/>
      <c r="D13" s="21"/>
      <c r="E13" s="21"/>
      <c r="F13" s="21"/>
    </row>
    <row r="14" spans="1:6" x14ac:dyDescent="0.25">
      <c r="A14" s="22" t="s">
        <v>55</v>
      </c>
      <c r="B14" s="22" t="s">
        <v>56</v>
      </c>
      <c r="C14" s="22" t="s">
        <v>57</v>
      </c>
      <c r="D14" s="22" t="s">
        <v>58</v>
      </c>
      <c r="E14" s="22" t="s">
        <v>59</v>
      </c>
      <c r="F14" s="22" t="s">
        <v>60</v>
      </c>
    </row>
    <row r="15" spans="1:6" x14ac:dyDescent="0.25">
      <c r="A15" s="23">
        <v>0</v>
      </c>
      <c r="B15" s="24">
        <f>-1*'исходные данные'!B4*1000</f>
        <v>-785000</v>
      </c>
      <c r="C15" s="24"/>
      <c r="D15" s="24">
        <f>B15+C15</f>
        <v>-785000</v>
      </c>
      <c r="E15" s="25">
        <f>(1+'исходные данные'!$G$19/100)^(-A15)</f>
        <v>1</v>
      </c>
      <c r="F15" s="24">
        <f>E15*D15</f>
        <v>-785000</v>
      </c>
    </row>
    <row r="16" spans="1:6" x14ac:dyDescent="0.25">
      <c r="A16" s="23">
        <v>1</v>
      </c>
      <c r="B16" s="24"/>
      <c r="C16" s="24">
        <f>'прибыль проектов'!$G$62*4</f>
        <v>190880.40000000014</v>
      </c>
      <c r="D16" s="24">
        <f t="shared" ref="D16:D22" si="4">B16+C16</f>
        <v>190880.40000000014</v>
      </c>
      <c r="E16" s="25">
        <f>(1+'исходные данные'!$G$19/100)^(-A16)</f>
        <v>0.85106382978723405</v>
      </c>
      <c r="F16" s="24">
        <f t="shared" ref="F16:F21" si="5">E16*D16</f>
        <v>162451.40425531927</v>
      </c>
    </row>
    <row r="17" spans="1:6" x14ac:dyDescent="0.25">
      <c r="A17" s="23">
        <v>2</v>
      </c>
      <c r="B17" s="24"/>
      <c r="C17" s="24">
        <f>'прибыль проектов'!$G$62*4</f>
        <v>190880.40000000014</v>
      </c>
      <c r="D17" s="24">
        <f t="shared" si="4"/>
        <v>190880.40000000014</v>
      </c>
      <c r="E17" s="25">
        <f>(1+'исходные данные'!$G$19/100)^(-A17)</f>
        <v>0.72430964237211393</v>
      </c>
      <c r="F17" s="24">
        <f t="shared" si="5"/>
        <v>138256.51425984615</v>
      </c>
    </row>
    <row r="18" spans="1:6" x14ac:dyDescent="0.25">
      <c r="A18" s="23">
        <v>3</v>
      </c>
      <c r="B18" s="24"/>
      <c r="C18" s="24">
        <f>'прибыль проектов'!$G$62*4</f>
        <v>190880.40000000014</v>
      </c>
      <c r="D18" s="24">
        <f t="shared" si="4"/>
        <v>190880.40000000014</v>
      </c>
      <c r="E18" s="25">
        <f>(1+'исходные данные'!$G$19/100)^(-A18)</f>
        <v>0.61643373818903313</v>
      </c>
      <c r="F18" s="24">
        <f t="shared" si="5"/>
        <v>117665.11851901801</v>
      </c>
    </row>
    <row r="19" spans="1:6" x14ac:dyDescent="0.25">
      <c r="A19" s="23">
        <v>4</v>
      </c>
      <c r="B19" s="24"/>
      <c r="C19" s="24">
        <f>'прибыль проектов'!$G$62*4</f>
        <v>190880.40000000014</v>
      </c>
      <c r="D19" s="24">
        <f t="shared" si="4"/>
        <v>190880.40000000014</v>
      </c>
      <c r="E19" s="25">
        <f>(1+'исходные данные'!$G$19/100)^(-A19)</f>
        <v>0.52462445803321966</v>
      </c>
      <c r="F19" s="24">
        <f t="shared" si="5"/>
        <v>100140.52639916426</v>
      </c>
    </row>
    <row r="20" spans="1:6" x14ac:dyDescent="0.25">
      <c r="A20" s="23">
        <v>5</v>
      </c>
      <c r="B20" s="24"/>
      <c r="C20" s="24">
        <f>'прибыль проектов'!$G$62*4</f>
        <v>190880.40000000014</v>
      </c>
      <c r="D20" s="24">
        <f t="shared" si="4"/>
        <v>190880.40000000014</v>
      </c>
      <c r="E20" s="25">
        <f>(1+'исходные данные'!$G$19/100)^(-A20)</f>
        <v>0.44648890045380391</v>
      </c>
      <c r="F20" s="24">
        <f t="shared" si="5"/>
        <v>85225.979914182331</v>
      </c>
    </row>
    <row r="21" spans="1:6" x14ac:dyDescent="0.25">
      <c r="A21" s="23">
        <v>6</v>
      </c>
      <c r="B21" s="24"/>
      <c r="C21" s="24">
        <f>'прибыль проектов'!$G$62*4</f>
        <v>190880.40000000014</v>
      </c>
      <c r="D21" s="24">
        <f t="shared" si="4"/>
        <v>190880.40000000014</v>
      </c>
      <c r="E21" s="25">
        <f>(1+'исходные данные'!$G$19/100)^(-A21)</f>
        <v>0.37999055357770539</v>
      </c>
      <c r="F21" s="24">
        <f t="shared" si="5"/>
        <v>72532.748863133893</v>
      </c>
    </row>
    <row r="22" spans="1:6" x14ac:dyDescent="0.25">
      <c r="A22" s="23">
        <v>7</v>
      </c>
      <c r="B22" s="24"/>
      <c r="C22" s="24">
        <f>'прибыль проектов'!$G$62*4</f>
        <v>190880.40000000014</v>
      </c>
      <c r="D22" s="24">
        <f t="shared" si="4"/>
        <v>190880.40000000014</v>
      </c>
      <c r="E22" s="25">
        <f>(1+'исходные данные'!$G$19/100)^(-A22)</f>
        <v>0.32339621581081307</v>
      </c>
      <c r="F22" s="24">
        <f>E22*D22</f>
        <v>61729.999032454369</v>
      </c>
    </row>
    <row r="23" spans="1:6" x14ac:dyDescent="0.25">
      <c r="A23" s="26" t="s">
        <v>43</v>
      </c>
      <c r="B23" s="24">
        <f>SUM(B15:B20)</f>
        <v>-785000</v>
      </c>
      <c r="C23" s="24">
        <f>SUM(C15:C20)</f>
        <v>954402.0000000007</v>
      </c>
      <c r="D23" s="24">
        <f>SUM(D15:D20)</f>
        <v>169402.0000000007</v>
      </c>
      <c r="E23" s="24"/>
      <c r="F23" s="27">
        <f>SUM(F15:F20)</f>
        <v>-181260.45665246993</v>
      </c>
    </row>
    <row r="25" spans="1:6" x14ac:dyDescent="0.25">
      <c r="A25" s="20" t="s">
        <v>4</v>
      </c>
      <c r="B25" s="21"/>
      <c r="C25" s="21"/>
      <c r="D25" s="21"/>
      <c r="E25" s="21"/>
      <c r="F25" s="21"/>
    </row>
    <row r="26" spans="1:6" x14ac:dyDescent="0.25">
      <c r="A26" s="22" t="s">
        <v>55</v>
      </c>
      <c r="B26" s="22" t="s">
        <v>56</v>
      </c>
      <c r="C26" s="22" t="s">
        <v>57</v>
      </c>
      <c r="D26" s="22" t="s">
        <v>58</v>
      </c>
      <c r="E26" s="22" t="s">
        <v>59</v>
      </c>
      <c r="F26" s="22" t="s">
        <v>60</v>
      </c>
    </row>
    <row r="27" spans="1:6" x14ac:dyDescent="0.25">
      <c r="A27" s="23">
        <v>0</v>
      </c>
      <c r="B27" s="24">
        <f>-1*'исходные данные'!B5*1000</f>
        <v>-573000</v>
      </c>
      <c r="C27" s="24"/>
      <c r="D27" s="24">
        <f>B27+C27</f>
        <v>-573000</v>
      </c>
      <c r="E27" s="25">
        <f>(1+'исходные данные'!$G$19/100)^(-A27)</f>
        <v>1</v>
      </c>
      <c r="F27" s="24">
        <f>E27*D27</f>
        <v>-573000</v>
      </c>
    </row>
    <row r="28" spans="1:6" x14ac:dyDescent="0.25">
      <c r="A28" s="23">
        <v>1</v>
      </c>
      <c r="B28" s="24"/>
      <c r="C28" s="24">
        <f>'прибыль проектов'!$G$93*4</f>
        <v>-287830.80000000005</v>
      </c>
      <c r="D28" s="24">
        <f t="shared" ref="D28:D34" si="6">B28+C28</f>
        <v>-287830.80000000005</v>
      </c>
      <c r="E28" s="25">
        <f>(1+'исходные данные'!$G$19/100)^(-A28)</f>
        <v>0.85106382978723405</v>
      </c>
      <c r="F28" s="24">
        <f t="shared" ref="F28:F33" si="7">E28*D28</f>
        <v>-244962.38297872344</v>
      </c>
    </row>
    <row r="29" spans="1:6" x14ac:dyDescent="0.25">
      <c r="A29" s="23">
        <v>2</v>
      </c>
      <c r="B29" s="24"/>
      <c r="C29" s="24">
        <f>'прибыль проектов'!$G$93*4</f>
        <v>-287830.80000000005</v>
      </c>
      <c r="D29" s="24">
        <f t="shared" si="6"/>
        <v>-287830.80000000005</v>
      </c>
      <c r="E29" s="25">
        <f>(1+'исходные данные'!$G$19/100)^(-A29)</f>
        <v>0.72430964237211393</v>
      </c>
      <c r="F29" s="24">
        <f t="shared" si="7"/>
        <v>-208478.62381167948</v>
      </c>
    </row>
    <row r="30" spans="1:6" x14ac:dyDescent="0.25">
      <c r="A30" s="23">
        <v>3</v>
      </c>
      <c r="B30" s="24"/>
      <c r="C30" s="24">
        <f>'прибыль проектов'!$G$93*4</f>
        <v>-287830.80000000005</v>
      </c>
      <c r="D30" s="24">
        <f t="shared" si="6"/>
        <v>-287830.80000000005</v>
      </c>
      <c r="E30" s="25">
        <f>(1+'исходные данные'!$G$19/100)^(-A30)</f>
        <v>0.61643373818903313</v>
      </c>
      <c r="F30" s="24">
        <f t="shared" si="7"/>
        <v>-177428.61600993999</v>
      </c>
    </row>
    <row r="31" spans="1:6" x14ac:dyDescent="0.25">
      <c r="A31" s="23">
        <v>4</v>
      </c>
      <c r="B31" s="24"/>
      <c r="C31" s="24">
        <f>'прибыль проектов'!$G$93*4</f>
        <v>-287830.80000000005</v>
      </c>
      <c r="D31" s="24">
        <f t="shared" si="6"/>
        <v>-287830.80000000005</v>
      </c>
      <c r="E31" s="25">
        <f>(1+'исходные данные'!$G$19/100)^(-A31)</f>
        <v>0.52462445803321966</v>
      </c>
      <c r="F31" s="24">
        <f t="shared" si="7"/>
        <v>-151003.07745526807</v>
      </c>
    </row>
    <row r="32" spans="1:6" x14ac:dyDescent="0.25">
      <c r="A32" s="23">
        <v>5</v>
      </c>
      <c r="B32" s="24"/>
      <c r="C32" s="24">
        <f>'прибыль проектов'!$G$93*4</f>
        <v>-287830.80000000005</v>
      </c>
      <c r="D32" s="24">
        <f t="shared" si="6"/>
        <v>-287830.80000000005</v>
      </c>
      <c r="E32" s="25">
        <f>(1+'исходные данные'!$G$19/100)^(-A32)</f>
        <v>0.44648890045380391</v>
      </c>
      <c r="F32" s="24">
        <f t="shared" si="7"/>
        <v>-128513.25740873876</v>
      </c>
    </row>
    <row r="33" spans="1:6" x14ac:dyDescent="0.25">
      <c r="A33" s="23">
        <v>6</v>
      </c>
      <c r="B33" s="24"/>
      <c r="C33" s="24">
        <f>'прибыль проектов'!$G$93*4</f>
        <v>-287830.80000000005</v>
      </c>
      <c r="D33" s="24">
        <f t="shared" si="6"/>
        <v>-287830.80000000005</v>
      </c>
      <c r="E33" s="25">
        <f>(1+'исходные данные'!$G$19/100)^(-A33)</f>
        <v>0.37999055357770539</v>
      </c>
      <c r="F33" s="24">
        <f t="shared" si="7"/>
        <v>-109372.98502871383</v>
      </c>
    </row>
    <row r="34" spans="1:6" x14ac:dyDescent="0.25">
      <c r="A34" s="23">
        <v>7</v>
      </c>
      <c r="B34" s="24"/>
      <c r="C34" s="24">
        <f>'прибыль проектов'!$G$93*4</f>
        <v>-287830.80000000005</v>
      </c>
      <c r="D34" s="24">
        <f t="shared" si="6"/>
        <v>-287830.80000000005</v>
      </c>
      <c r="E34" s="25">
        <f>(1+'исходные данные'!$G$19/100)^(-A34)</f>
        <v>0.32339621581081307</v>
      </c>
      <c r="F34" s="24">
        <f>E34*D34</f>
        <v>-93083.391513798982</v>
      </c>
    </row>
    <row r="35" spans="1:6" x14ac:dyDescent="0.25">
      <c r="A35" s="26" t="s">
        <v>43</v>
      </c>
      <c r="B35" s="24">
        <f>SUM(B27:B32)</f>
        <v>-573000</v>
      </c>
      <c r="C35" s="24">
        <f>SUM(C27:C32)</f>
        <v>-1439154.0000000002</v>
      </c>
      <c r="D35" s="24">
        <f>SUM(D27:D32)</f>
        <v>-2012154.0000000002</v>
      </c>
      <c r="E35" s="24"/>
      <c r="F35" s="27">
        <f>SUM(F27:F32)</f>
        <v>-1483385.9576643496</v>
      </c>
    </row>
    <row r="37" spans="1:6" x14ac:dyDescent="0.25">
      <c r="A37" s="20" t="s">
        <v>5</v>
      </c>
      <c r="B37" s="21"/>
      <c r="C37" s="21"/>
      <c r="D37" s="21"/>
      <c r="E37" s="21"/>
      <c r="F37" s="21"/>
    </row>
    <row r="38" spans="1:6" x14ac:dyDescent="0.25">
      <c r="A38" s="22" t="s">
        <v>55</v>
      </c>
      <c r="B38" s="22" t="s">
        <v>56</v>
      </c>
      <c r="C38" s="22" t="s">
        <v>57</v>
      </c>
      <c r="D38" s="22" t="s">
        <v>58</v>
      </c>
      <c r="E38" s="22" t="s">
        <v>59</v>
      </c>
      <c r="F38" s="22" t="s">
        <v>60</v>
      </c>
    </row>
    <row r="39" spans="1:6" x14ac:dyDescent="0.25">
      <c r="A39" s="23">
        <v>0</v>
      </c>
      <c r="B39" s="24">
        <f>-1*'исходные данные'!B6*1000</f>
        <v>-727000</v>
      </c>
      <c r="C39" s="24"/>
      <c r="D39" s="24">
        <f>B39+C39</f>
        <v>-727000</v>
      </c>
      <c r="E39" s="25">
        <f>(1+'исходные данные'!$G$19/100)^(-A39)</f>
        <v>1</v>
      </c>
      <c r="F39" s="24">
        <f>E39*D39</f>
        <v>-727000</v>
      </c>
    </row>
    <row r="40" spans="1:6" x14ac:dyDescent="0.25">
      <c r="A40" s="23">
        <v>1</v>
      </c>
      <c r="B40" s="24"/>
      <c r="C40" s="24">
        <f>'прибыль проектов'!$G$124*4</f>
        <v>194583.19999999995</v>
      </c>
      <c r="D40" s="24">
        <f t="shared" ref="D40:D46" si="8">B40+C40</f>
        <v>194583.19999999995</v>
      </c>
      <c r="E40" s="25">
        <f>(1+'исходные данные'!$G$19/100)^(-A40)</f>
        <v>0.85106382978723405</v>
      </c>
      <c r="F40" s="24">
        <f t="shared" ref="F40:F45" si="9">E40*D40</f>
        <v>165602.72340425529</v>
      </c>
    </row>
    <row r="41" spans="1:6" x14ac:dyDescent="0.25">
      <c r="A41" s="23">
        <v>2</v>
      </c>
      <c r="B41" s="24"/>
      <c r="C41" s="24">
        <f>'прибыль проектов'!$G$124*4</f>
        <v>194583.19999999995</v>
      </c>
      <c r="D41" s="24">
        <f t="shared" si="8"/>
        <v>194583.19999999995</v>
      </c>
      <c r="E41" s="25">
        <f>(1+'исходные данные'!$G$19/100)^(-A41)</f>
        <v>0.72430964237211393</v>
      </c>
      <c r="F41" s="24">
        <f t="shared" si="9"/>
        <v>140938.48800362149</v>
      </c>
    </row>
    <row r="42" spans="1:6" x14ac:dyDescent="0.25">
      <c r="A42" s="23">
        <v>3</v>
      </c>
      <c r="B42" s="24"/>
      <c r="C42" s="24">
        <f>'прибыль проектов'!$G$124*4</f>
        <v>194583.19999999995</v>
      </c>
      <c r="D42" s="24">
        <f t="shared" si="8"/>
        <v>194583.19999999995</v>
      </c>
      <c r="E42" s="25">
        <f>(1+'исходные данные'!$G$19/100)^(-A42)</f>
        <v>0.61643373818903313</v>
      </c>
      <c r="F42" s="24">
        <f t="shared" si="9"/>
        <v>119947.64936478424</v>
      </c>
    </row>
    <row r="43" spans="1:6" x14ac:dyDescent="0.25">
      <c r="A43" s="23">
        <v>4</v>
      </c>
      <c r="B43" s="24"/>
      <c r="C43" s="24">
        <f>'прибыль проектов'!$G$124*4</f>
        <v>194583.19999999995</v>
      </c>
      <c r="D43" s="24">
        <f t="shared" si="8"/>
        <v>194583.19999999995</v>
      </c>
      <c r="E43" s="25">
        <f>(1+'исходные данные'!$G$19/100)^(-A43)</f>
        <v>0.52462445803321966</v>
      </c>
      <c r="F43" s="24">
        <f t="shared" si="9"/>
        <v>102083.10584236956</v>
      </c>
    </row>
    <row r="44" spans="1:6" x14ac:dyDescent="0.25">
      <c r="A44" s="23">
        <v>5</v>
      </c>
      <c r="B44" s="24"/>
      <c r="C44" s="24">
        <f>'прибыль проектов'!$G$124*4</f>
        <v>194583.19999999995</v>
      </c>
      <c r="D44" s="24">
        <f t="shared" si="8"/>
        <v>194583.19999999995</v>
      </c>
      <c r="E44" s="25">
        <f>(1+'исходные данные'!$G$19/100)^(-A44)</f>
        <v>0.44648890045380391</v>
      </c>
      <c r="F44" s="24">
        <f t="shared" si="9"/>
        <v>86879.239014782594</v>
      </c>
    </row>
    <row r="45" spans="1:6" x14ac:dyDescent="0.25">
      <c r="A45" s="23">
        <v>6</v>
      </c>
      <c r="B45" s="24"/>
      <c r="C45" s="24">
        <f>'прибыль проектов'!$G$124*4</f>
        <v>194583.19999999995</v>
      </c>
      <c r="D45" s="24">
        <f t="shared" si="8"/>
        <v>194583.19999999995</v>
      </c>
      <c r="E45" s="25">
        <f>(1+'исходные данные'!$G$19/100)^(-A45)</f>
        <v>0.37999055357770539</v>
      </c>
      <c r="F45" s="24">
        <f t="shared" si="9"/>
        <v>73939.77788492135</v>
      </c>
    </row>
    <row r="46" spans="1:6" x14ac:dyDescent="0.25">
      <c r="A46" s="23">
        <v>7</v>
      </c>
      <c r="B46" s="24"/>
      <c r="C46" s="24">
        <f>'прибыль проектов'!$G$124*4</f>
        <v>194583.19999999995</v>
      </c>
      <c r="D46" s="24">
        <f t="shared" si="8"/>
        <v>194583.19999999995</v>
      </c>
      <c r="E46" s="25">
        <f>(1+'исходные данные'!$G$19/100)^(-A46)</f>
        <v>0.32339621581081307</v>
      </c>
      <c r="F46" s="24">
        <f>E46*D46</f>
        <v>62927.47054035859</v>
      </c>
    </row>
    <row r="47" spans="1:6" x14ac:dyDescent="0.25">
      <c r="A47" s="26" t="s">
        <v>43</v>
      </c>
      <c r="B47" s="24">
        <f>SUM(B39:B44)</f>
        <v>-727000</v>
      </c>
      <c r="C47" s="24">
        <f>SUM(C39:C44)</f>
        <v>972915.99999999977</v>
      </c>
      <c r="D47" s="24">
        <f>SUM(D39:D44)</f>
        <v>245915.99999999977</v>
      </c>
      <c r="E47" s="24"/>
      <c r="F47" s="27">
        <f>SUM(F39:F44)</f>
        <v>-111548.79437018692</v>
      </c>
    </row>
    <row r="49" spans="1:6" x14ac:dyDescent="0.25">
      <c r="A49" s="20" t="s">
        <v>3</v>
      </c>
      <c r="B49" s="21"/>
      <c r="C49" s="21"/>
      <c r="D49" s="21"/>
      <c r="E49" s="21"/>
      <c r="F49" s="21"/>
    </row>
    <row r="50" spans="1:6" x14ac:dyDescent="0.25">
      <c r="A50" s="22" t="s">
        <v>55</v>
      </c>
      <c r="B50" s="22" t="s">
        <v>56</v>
      </c>
      <c r="C50" s="22" t="s">
        <v>57</v>
      </c>
      <c r="D50" s="22" t="s">
        <v>58</v>
      </c>
      <c r="E50" s="22" t="s">
        <v>59</v>
      </c>
      <c r="F50" s="22" t="s">
        <v>60</v>
      </c>
    </row>
    <row r="51" spans="1:6" x14ac:dyDescent="0.25">
      <c r="A51" s="23">
        <v>0</v>
      </c>
      <c r="B51" s="24">
        <f>-1*'исходные данные'!B7*1000</f>
        <v>-899000</v>
      </c>
      <c r="C51" s="24"/>
      <c r="D51" s="24">
        <f>B51+C51</f>
        <v>-899000</v>
      </c>
      <c r="E51" s="25">
        <f>(1+'исходные данные'!$G$19/100)^(-A51)</f>
        <v>1</v>
      </c>
      <c r="F51" s="24">
        <f>E51*D51</f>
        <v>-899000</v>
      </c>
    </row>
    <row r="52" spans="1:6" x14ac:dyDescent="0.25">
      <c r="A52" s="23">
        <v>1</v>
      </c>
      <c r="B52" s="24"/>
      <c r="C52" s="24">
        <f>'прибыль проектов'!$G$155*4</f>
        <v>-70194.799999999814</v>
      </c>
      <c r="D52" s="24">
        <f t="shared" ref="D52:D58" si="10">B52+C52</f>
        <v>-70194.799999999814</v>
      </c>
      <c r="E52" s="25">
        <f>(1+'исходные данные'!$G$19/100)^(-A52)</f>
        <v>0.85106382978723405</v>
      </c>
      <c r="F52" s="24">
        <f t="shared" ref="F52:F57" si="11">E52*D52</f>
        <v>-59740.255319148775</v>
      </c>
    </row>
    <row r="53" spans="1:6" x14ac:dyDescent="0.25">
      <c r="A53" s="23">
        <v>2</v>
      </c>
      <c r="B53" s="24"/>
      <c r="C53" s="24">
        <f>'прибыль проектов'!$G$155*4</f>
        <v>-70194.799999999814</v>
      </c>
      <c r="D53" s="24">
        <f t="shared" si="10"/>
        <v>-70194.799999999814</v>
      </c>
      <c r="E53" s="25">
        <f>(1+'исходные данные'!$G$19/100)^(-A53)</f>
        <v>0.72430964237211393</v>
      </c>
      <c r="F53" s="24">
        <f t="shared" si="11"/>
        <v>-50842.77048438193</v>
      </c>
    </row>
    <row r="54" spans="1:6" x14ac:dyDescent="0.25">
      <c r="A54" s="23">
        <v>3</v>
      </c>
      <c r="B54" s="24"/>
      <c r="C54" s="24">
        <f>'прибыль проектов'!$G$155*4</f>
        <v>-70194.799999999814</v>
      </c>
      <c r="D54" s="24">
        <f t="shared" si="10"/>
        <v>-70194.799999999814</v>
      </c>
      <c r="E54" s="25">
        <f>(1+'исходные данные'!$G$19/100)^(-A54)</f>
        <v>0.61643373818903313</v>
      </c>
      <c r="F54" s="24">
        <f t="shared" si="11"/>
        <v>-43270.44296543143</v>
      </c>
    </row>
    <row r="55" spans="1:6" x14ac:dyDescent="0.25">
      <c r="A55" s="23">
        <v>4</v>
      </c>
      <c r="B55" s="24"/>
      <c r="C55" s="24">
        <f>'прибыль проектов'!$G$155*4</f>
        <v>-70194.799999999814</v>
      </c>
      <c r="D55" s="24">
        <f t="shared" si="10"/>
        <v>-70194.799999999814</v>
      </c>
      <c r="E55" s="25">
        <f>(1+'исходные данные'!$G$19/100)^(-A55)</f>
        <v>0.52462445803321966</v>
      </c>
      <c r="F55" s="24">
        <f t="shared" si="11"/>
        <v>-36825.908906750148</v>
      </c>
    </row>
    <row r="56" spans="1:6" x14ac:dyDescent="0.25">
      <c r="A56" s="23">
        <v>5</v>
      </c>
      <c r="B56" s="24"/>
      <c r="C56" s="24">
        <f>'прибыль проектов'!$G$155*4</f>
        <v>-70194.799999999814</v>
      </c>
      <c r="D56" s="24">
        <f t="shared" si="10"/>
        <v>-70194.799999999814</v>
      </c>
      <c r="E56" s="25">
        <f>(1+'исходные данные'!$G$19/100)^(-A56)</f>
        <v>0.44648890045380391</v>
      </c>
      <c r="F56" s="24">
        <f t="shared" si="11"/>
        <v>-31341.199069574592</v>
      </c>
    </row>
    <row r="57" spans="1:6" x14ac:dyDescent="0.25">
      <c r="A57" s="23">
        <v>6</v>
      </c>
      <c r="B57" s="24"/>
      <c r="C57" s="24">
        <f>'прибыль проектов'!$G$155*4</f>
        <v>-70194.799999999814</v>
      </c>
      <c r="D57" s="24">
        <f t="shared" si="10"/>
        <v>-70194.799999999814</v>
      </c>
      <c r="E57" s="25">
        <f>(1+'исходные данные'!$G$19/100)^(-A57)</f>
        <v>0.37999055357770539</v>
      </c>
      <c r="F57" s="24">
        <f t="shared" si="11"/>
        <v>-26673.360910276242</v>
      </c>
    </row>
    <row r="58" spans="1:6" x14ac:dyDescent="0.25">
      <c r="A58" s="23">
        <v>7</v>
      </c>
      <c r="B58" s="24"/>
      <c r="C58" s="24">
        <f>'прибыль проектов'!$G$155*4</f>
        <v>-70194.799999999814</v>
      </c>
      <c r="D58" s="24">
        <f t="shared" si="10"/>
        <v>-70194.799999999814</v>
      </c>
      <c r="E58" s="25">
        <f>(1+'исходные данные'!$G$19/100)^(-A58)</f>
        <v>0.32339621581081307</v>
      </c>
      <c r="F58" s="24">
        <f>E58*D58</f>
        <v>-22700.7326895968</v>
      </c>
    </row>
    <row r="59" spans="1:6" x14ac:dyDescent="0.25">
      <c r="A59" s="26" t="s">
        <v>43</v>
      </c>
      <c r="B59" s="24">
        <f>SUM(B51:B56)</f>
        <v>-899000</v>
      </c>
      <c r="C59" s="24">
        <f>SUM(C51:C56)</f>
        <v>-350973.99999999907</v>
      </c>
      <c r="D59" s="24">
        <f>SUM(D51:D56)</f>
        <v>-1249973.9999999991</v>
      </c>
      <c r="E59" s="24"/>
      <c r="F59" s="27">
        <f>SUM(F51:F56)</f>
        <v>-1121020.576745287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прибыль проектов</vt:lpstr>
      <vt:lpstr>оптимизация проектов во времени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2015-11-08T11:29:28Z</dcterms:modified>
</cp:coreProperties>
</file>