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F23" i="3" l="1"/>
  <c r="F11" i="3"/>
  <c r="F47" i="3"/>
  <c r="F59" i="3"/>
  <c r="F35" i="3"/>
  <c r="E3" i="3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G17" i="2" l="1"/>
  <c r="G18" i="2"/>
  <c r="G19" i="2"/>
  <c r="G20" i="2"/>
  <c r="G21" i="2"/>
  <c r="G16" i="2"/>
  <c r="D25" i="2" l="1"/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F31" i="2"/>
  <c r="E26" i="2"/>
  <c r="E27" i="2"/>
  <c r="E28" i="2"/>
  <c r="E29" i="2"/>
  <c r="E30" i="2"/>
  <c r="E25" i="2"/>
  <c r="E31" i="2" s="1"/>
  <c r="G31" i="2" s="1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" i="3" l="1"/>
  <c r="D5" i="3" s="1"/>
  <c r="F5" i="3" s="1"/>
  <c r="C9" i="3"/>
  <c r="D9" i="3" s="1"/>
  <c r="C6" i="3"/>
  <c r="D6" i="3" s="1"/>
  <c r="F6" i="3" s="1"/>
  <c r="C4" i="3"/>
  <c r="C11" i="3" s="1"/>
  <c r="C8" i="3"/>
  <c r="D8" i="3" s="1"/>
  <c r="F8" i="3" s="1"/>
  <c r="C10" i="3"/>
  <c r="D10" i="3" s="1"/>
  <c r="F10" i="3" s="1"/>
  <c r="C7" i="3"/>
  <c r="D7" i="3" s="1"/>
  <c r="C59" i="3"/>
  <c r="C47" i="3"/>
  <c r="C35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5" i="3"/>
  <c r="B23" i="3"/>
  <c r="F9" i="3"/>
  <c r="F7" i="3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D4" i="3" l="1"/>
  <c r="F4" i="3" s="1"/>
  <c r="D59" i="3"/>
  <c r="D47" i="3"/>
  <c r="F39" i="3"/>
  <c r="D35" i="3"/>
  <c r="D11" i="3"/>
  <c r="D149" i="2"/>
  <c r="E149" i="2" s="1"/>
  <c r="F140" i="2"/>
  <c r="F109" i="2"/>
  <c r="D87" i="2"/>
  <c r="E87" i="2" s="1"/>
  <c r="F78" i="2"/>
  <c r="A61" i="2"/>
  <c r="E47" i="2"/>
  <c r="D56" i="2" s="1"/>
  <c r="E18" i="2"/>
  <c r="F18" i="2" s="1"/>
  <c r="E56" i="2" l="1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E19" i="2"/>
  <c r="F19" i="2" s="1"/>
  <c r="E57" i="2" l="1"/>
  <c r="G48" i="2"/>
  <c r="F141" i="2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21" i="2"/>
  <c r="F21" i="2" s="1"/>
  <c r="E58" i="2" l="1"/>
  <c r="G49" i="2"/>
  <c r="F111" i="2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l="1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l="1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l="1"/>
  <c r="E62" i="2" s="1"/>
  <c r="G62" i="2" s="1"/>
  <c r="G52" i="2"/>
  <c r="F114" i="2"/>
  <c r="E83" i="2"/>
  <c r="F83" i="2" s="1"/>
  <c r="F52" i="2"/>
  <c r="C17" i="3" l="1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G93" i="2" s="1"/>
  <c r="D16" i="3" l="1"/>
  <c r="C23" i="3"/>
  <c r="D23" i="3" l="1"/>
  <c r="F16" i="3"/>
</calcChain>
</file>

<file path=xl/sharedStrings.xml><?xml version="1.0" encoding="utf-8"?>
<sst xmlns="http://schemas.openxmlformats.org/spreadsheetml/2006/main" count="234" uniqueCount="69">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</sst>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3" fontId="0" fillId="0" borderId="2" xfId="0" applyNumberFormat="1" applyBorder="1"/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6" sqref="C46:D46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30" t="s">
        <v>16</v>
      </c>
      <c r="G2" s="31"/>
      <c r="H2" s="31"/>
      <c r="I2" s="31"/>
      <c r="J2" s="31"/>
      <c r="K2" s="31"/>
    </row>
    <row r="3" spans="1:11" x14ac:dyDescent="0.25">
      <c r="A3" s="6" t="s">
        <v>2</v>
      </c>
      <c r="B3" s="7">
        <v>718</v>
      </c>
      <c r="F3" s="30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30" t="s">
        <v>16</v>
      </c>
      <c r="G8" s="31"/>
      <c r="H8" s="31"/>
      <c r="I8" s="31"/>
      <c r="J8" s="31"/>
      <c r="K8" s="31"/>
    </row>
    <row r="9" spans="1:11" x14ac:dyDescent="0.25">
      <c r="A9" s="11" t="s">
        <v>30</v>
      </c>
      <c r="F9" s="30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5" t="s">
        <v>63</v>
      </c>
      <c r="D19" s="25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5" t="s">
        <v>63</v>
      </c>
      <c r="D28" s="25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5" t="s">
        <v>63</v>
      </c>
      <c r="D37" s="25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5" t="s">
        <v>63</v>
      </c>
      <c r="D46" s="25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16" workbookViewId="0">
      <selection activeCell="I131" sqref="I131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7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 t="shared" ref="E16:E19" si="4">IF(F15&gt;=C16*D16,C16*D16,F15)</f>
        <v>6693.5999999999995</v>
      </c>
      <c r="F16" s="26">
        <f t="shared" ref="F16:F21" si="5"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6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7">VLOOKUP(B17,$A$6:$D$11,4,FALSE)</f>
        <v>2.2000000000000002</v>
      </c>
      <c r="E17" s="26">
        <f t="shared" si="4"/>
        <v>10795.400000000001</v>
      </c>
      <c r="F17" s="26">
        <f t="shared" si="5"/>
        <v>37836</v>
      </c>
      <c r="G17" s="26">
        <f t="shared" ref="G17:G21" si="8">D26</f>
        <v>4907</v>
      </c>
    </row>
    <row r="18" spans="1:7" x14ac:dyDescent="0.25">
      <c r="A18" s="1">
        <v>3</v>
      </c>
      <c r="B18" s="16" t="str">
        <f t="shared" si="6"/>
        <v>F</v>
      </c>
      <c r="C18" s="26">
        <f>VLOOKUP('прибыль проектов'!B18,'исходные данные'!$A$11:$B$16,2,FALSE)</f>
        <v>3093</v>
      </c>
      <c r="D18" s="26">
        <f t="shared" si="7"/>
        <v>2.1</v>
      </c>
      <c r="E18" s="26">
        <f t="shared" si="4"/>
        <v>6495.3</v>
      </c>
      <c r="F18" s="26">
        <f t="shared" si="5"/>
        <v>31340.7</v>
      </c>
      <c r="G18" s="26">
        <f t="shared" si="8"/>
        <v>3093</v>
      </c>
    </row>
    <row r="19" spans="1:7" x14ac:dyDescent="0.25">
      <c r="A19" s="1">
        <v>4</v>
      </c>
      <c r="B19" s="16" t="str">
        <f t="shared" si="6"/>
        <v>E</v>
      </c>
      <c r="C19" s="26">
        <f>VLOOKUP('прибыль проектов'!B19,'исходные данные'!$A$11:$B$16,2,FALSE)</f>
        <v>6649</v>
      </c>
      <c r="D19" s="26">
        <f t="shared" si="7"/>
        <v>2.9</v>
      </c>
      <c r="E19" s="26">
        <f t="shared" si="4"/>
        <v>19282.099999999999</v>
      </c>
      <c r="F19" s="26">
        <f t="shared" si="5"/>
        <v>12058.600000000002</v>
      </c>
      <c r="G19" s="26">
        <f t="shared" si="8"/>
        <v>6649</v>
      </c>
    </row>
    <row r="20" spans="1:7" x14ac:dyDescent="0.25">
      <c r="A20" s="1">
        <v>5</v>
      </c>
      <c r="B20" s="16" t="str">
        <f t="shared" si="6"/>
        <v>D</v>
      </c>
      <c r="C20" s="26">
        <f>VLOOKUP('прибыль проектов'!B20,'исходные данные'!$A$11:$B$16,2,FALSE)</f>
        <v>8282</v>
      </c>
      <c r="D20" s="26">
        <f t="shared" si="7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8"/>
        <v>4019</v>
      </c>
    </row>
    <row r="21" spans="1:7" x14ac:dyDescent="0.25">
      <c r="A21" s="1">
        <v>6</v>
      </c>
      <c r="B21" s="16" t="str">
        <f t="shared" si="6"/>
        <v>B</v>
      </c>
      <c r="C21" s="26">
        <f>VLOOKUP('прибыль проектов'!B21,'исходные данные'!$A$11:$B$16,2,FALSE)</f>
        <v>8460</v>
      </c>
      <c r="D21" s="26">
        <f t="shared" si="7"/>
        <v>3.2</v>
      </c>
      <c r="E21" s="26">
        <f>IF(F20&gt;=C21*D21,C21*D21,F20)</f>
        <v>0</v>
      </c>
      <c r="F21" s="26">
        <f t="shared" si="5"/>
        <v>0</v>
      </c>
      <c r="G21" s="26">
        <f t="shared" si="8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6" t="str">
        <f>B16</f>
        <v>C</v>
      </c>
      <c r="B25" s="26">
        <f>B6</f>
        <v>21.7</v>
      </c>
      <c r="C25" s="26">
        <f>C6</f>
        <v>39.799999999999997</v>
      </c>
      <c r="D25" s="26">
        <f>_xlfn.FLOOR.MATH(E16/D16)</f>
        <v>5578</v>
      </c>
      <c r="E25" s="26">
        <f>(C25-B25)*D25</f>
        <v>100961.79999999999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C30" si="10">B7</f>
        <v>29.8</v>
      </c>
      <c r="C26" s="26">
        <f t="shared" si="10"/>
        <v>40.799999999999997</v>
      </c>
      <c r="D26" s="26">
        <f t="shared" ref="D26:D28" si="11">_xlfn.FLOOR.MATH(E17/D17)</f>
        <v>4907</v>
      </c>
      <c r="E26" s="26">
        <f t="shared" ref="E26:E30" si="12">(C26-B26)*D26</f>
        <v>53976.999999999985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26.9</v>
      </c>
      <c r="C27" s="26">
        <f t="shared" si="10"/>
        <v>41.7</v>
      </c>
      <c r="D27" s="26">
        <f t="shared" si="11"/>
        <v>3093</v>
      </c>
      <c r="E27" s="26">
        <f t="shared" si="12"/>
        <v>45776.400000000016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33.700000000000003</v>
      </c>
      <c r="C28" s="26">
        <f t="shared" si="10"/>
        <v>46.1</v>
      </c>
      <c r="D28" s="26">
        <f t="shared" si="11"/>
        <v>6649</v>
      </c>
      <c r="E28" s="26">
        <f t="shared" si="12"/>
        <v>82447.599999999991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22.7</v>
      </c>
      <c r="C29" s="26">
        <f t="shared" si="10"/>
        <v>36.1</v>
      </c>
      <c r="D29" s="26">
        <f>_xlfn.FLOOR.MATH(E20/D20)</f>
        <v>4019</v>
      </c>
      <c r="E29" s="26">
        <f t="shared" si="12"/>
        <v>53854.600000000006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24.6</v>
      </c>
      <c r="C30" s="26">
        <f t="shared" si="10"/>
        <v>34.5</v>
      </c>
      <c r="D30" s="26">
        <f>_xlfn.FLOOR.MATH(E21/D21)</f>
        <v>0</v>
      </c>
      <c r="E30" s="26">
        <f t="shared" si="12"/>
        <v>0</v>
      </c>
      <c r="F30" s="26"/>
      <c r="G30" s="26"/>
    </row>
    <row r="31" spans="1:7" x14ac:dyDescent="0.25">
      <c r="A31" s="1" t="s">
        <v>43</v>
      </c>
      <c r="B31" s="26"/>
      <c r="C31" s="26"/>
      <c r="D31" s="26"/>
      <c r="E31" s="26">
        <f>SUM(E25:E30)</f>
        <v>337017.4</v>
      </c>
      <c r="F31" s="26">
        <f>'исходные данные'!G4</f>
        <v>319384</v>
      </c>
      <c r="G31" s="27">
        <f>E31-F31</f>
        <v>17633.400000000023</v>
      </c>
    </row>
    <row r="34" spans="1:8" x14ac:dyDescent="0.25">
      <c r="A34" s="17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3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4">C38-B38</f>
        <v>8.3000000000000007</v>
      </c>
      <c r="F38" s="3">
        <f t="shared" ref="F38:F42" si="15">E38/D38</f>
        <v>2.4411764705882355</v>
      </c>
      <c r="G38" s="1">
        <f t="shared" ref="G38:G42" si="16">_xlfn.RANK.EQ(F38,$F$37:$F$42)</f>
        <v>6</v>
      </c>
      <c r="H38" t="str">
        <f t="shared" si="13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4"/>
        <v>15.900000000000002</v>
      </c>
      <c r="F39" s="3">
        <f t="shared" si="15"/>
        <v>4.6764705882352953</v>
      </c>
      <c r="G39" s="1">
        <f t="shared" si="16"/>
        <v>2</v>
      </c>
      <c r="H39" t="str">
        <f t="shared" si="13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4"/>
        <v>19.300000000000004</v>
      </c>
      <c r="F40" s="3">
        <f t="shared" si="15"/>
        <v>6.655172413793105</v>
      </c>
      <c r="G40" s="1">
        <f t="shared" si="16"/>
        <v>1</v>
      </c>
      <c r="H40" t="str">
        <f t="shared" si="13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4"/>
        <v>8.6999999999999993</v>
      </c>
      <c r="F41" s="3">
        <f t="shared" si="15"/>
        <v>4.5789473684210522</v>
      </c>
      <c r="G41" s="1">
        <f t="shared" si="16"/>
        <v>3</v>
      </c>
      <c r="H41" t="str">
        <f t="shared" si="13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4"/>
        <v>9.3000000000000007</v>
      </c>
      <c r="F42" s="3">
        <f t="shared" si="15"/>
        <v>2.90625</v>
      </c>
      <c r="G42" s="1">
        <f t="shared" si="16"/>
        <v>5</v>
      </c>
      <c r="H42" t="str">
        <f t="shared" si="13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2" t="s">
        <v>8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17">IF(F46&gt;=C47*D47,C47*D47,F46)</f>
        <v>12011.8</v>
      </c>
      <c r="F47" s="26">
        <f t="shared" ref="F47:F50" si="18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19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0">VLOOKUP(B48,$A$37:$D$42,4,FALSE)</f>
        <v>3.4</v>
      </c>
      <c r="E48" s="26">
        <f t="shared" si="17"/>
        <v>29495</v>
      </c>
      <c r="F48" s="26">
        <f t="shared" si="18"/>
        <v>33401.199999999997</v>
      </c>
      <c r="G48" s="26">
        <f t="shared" ref="G48:G52" si="21">D57</f>
        <v>8675</v>
      </c>
    </row>
    <row r="49" spans="1:7" x14ac:dyDescent="0.25">
      <c r="A49" s="1">
        <v>3</v>
      </c>
      <c r="B49" s="16" t="str">
        <f t="shared" si="19"/>
        <v>E</v>
      </c>
      <c r="C49" s="28">
        <f>VLOOKUP('прибыль проектов'!B49,'исходные данные'!$A$20:$B$25,2,FALSE)</f>
        <v>8599</v>
      </c>
      <c r="D49" s="26">
        <f t="shared" si="20"/>
        <v>1.9</v>
      </c>
      <c r="E49" s="26">
        <f t="shared" si="17"/>
        <v>16338.099999999999</v>
      </c>
      <c r="F49" s="26">
        <f t="shared" si="18"/>
        <v>17063.099999999999</v>
      </c>
      <c r="G49" s="26">
        <f t="shared" si="21"/>
        <v>8599</v>
      </c>
    </row>
    <row r="50" spans="1:7" x14ac:dyDescent="0.25">
      <c r="A50" s="1">
        <v>4</v>
      </c>
      <c r="B50" s="16" t="str">
        <f t="shared" si="19"/>
        <v>A</v>
      </c>
      <c r="C50" s="28">
        <f>VLOOKUP('прибыль проектов'!B50,'исходные данные'!$A$20:$B$25,2,FALSE)</f>
        <v>5513</v>
      </c>
      <c r="D50" s="26">
        <f t="shared" si="20"/>
        <v>2.1</v>
      </c>
      <c r="E50" s="26">
        <f t="shared" si="17"/>
        <v>11577.300000000001</v>
      </c>
      <c r="F50" s="26">
        <f t="shared" si="18"/>
        <v>5485.7999999999975</v>
      </c>
      <c r="G50" s="26">
        <f t="shared" si="21"/>
        <v>5513</v>
      </c>
    </row>
    <row r="51" spans="1:7" x14ac:dyDescent="0.25">
      <c r="A51" s="1">
        <v>5</v>
      </c>
      <c r="B51" s="16" t="str">
        <f t="shared" si="19"/>
        <v>F</v>
      </c>
      <c r="C51" s="28">
        <f>VLOOKUP('прибыль проектов'!B51,'исходные данные'!$A$20:$B$25,2,FALSE)</f>
        <v>2375</v>
      </c>
      <c r="D51" s="26">
        <f t="shared" si="20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1"/>
        <v>1714</v>
      </c>
    </row>
    <row r="52" spans="1:7" x14ac:dyDescent="0.25">
      <c r="A52" s="1">
        <v>6</v>
      </c>
      <c r="B52" s="16" t="str">
        <f t="shared" si="19"/>
        <v>B</v>
      </c>
      <c r="C52" s="28">
        <f>VLOOKUP('прибыль проектов'!B52,'исходные данные'!$A$20:$B$25,2,FALSE)</f>
        <v>6795</v>
      </c>
      <c r="D52" s="26">
        <f t="shared" si="20"/>
        <v>3.4</v>
      </c>
      <c r="E52" s="26">
        <f>IF(F51&gt;=C52*D52,C52*D52,F51)</f>
        <v>0</v>
      </c>
      <c r="F52" s="26">
        <f t="shared" ref="F52" si="22">IF(F51&gt;=E52,F51-E52,0)</f>
        <v>0</v>
      </c>
      <c r="G52" s="26">
        <f t="shared" si="21"/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8</v>
      </c>
      <c r="E55" s="2" t="s">
        <v>44</v>
      </c>
      <c r="F55" s="2" t="s">
        <v>45</v>
      </c>
      <c r="G55" s="2" t="s">
        <v>46</v>
      </c>
    </row>
    <row r="56" spans="1:7" x14ac:dyDescent="0.25">
      <c r="A56" s="16" t="str">
        <f>B47</f>
        <v>D</v>
      </c>
      <c r="B56" s="1">
        <f>B37</f>
        <v>32.700000000000003</v>
      </c>
      <c r="C56" s="28">
        <f>C37</f>
        <v>40.1</v>
      </c>
      <c r="D56" s="26">
        <f t="shared" ref="D56:D59" si="23">_xlfn.FLOOR.MATH(E47/D47)</f>
        <v>4142</v>
      </c>
      <c r="E56" s="26">
        <f>(C56-B56)*D56</f>
        <v>30650.799999999996</v>
      </c>
      <c r="F56" s="26"/>
      <c r="G56" s="1"/>
    </row>
    <row r="57" spans="1:7" x14ac:dyDescent="0.25">
      <c r="A57" s="16" t="str">
        <f t="shared" ref="A57:A61" si="24">B48</f>
        <v>C</v>
      </c>
      <c r="B57" s="1">
        <f t="shared" ref="B57:C57" si="25">B38</f>
        <v>28.7</v>
      </c>
      <c r="C57" s="28">
        <f t="shared" si="25"/>
        <v>37</v>
      </c>
      <c r="D57" s="26">
        <f t="shared" si="23"/>
        <v>8675</v>
      </c>
      <c r="E57" s="26">
        <f t="shared" ref="E57:E61" si="26">(C57-B57)*D57</f>
        <v>72002.5</v>
      </c>
      <c r="F57" s="26"/>
      <c r="G57" s="1"/>
    </row>
    <row r="58" spans="1:7" x14ac:dyDescent="0.25">
      <c r="A58" s="16" t="str">
        <f t="shared" si="24"/>
        <v>E</v>
      </c>
      <c r="B58" s="1">
        <f t="shared" ref="B58:C58" si="27">B39</f>
        <v>23.7</v>
      </c>
      <c r="C58" s="28">
        <f t="shared" si="27"/>
        <v>39.6</v>
      </c>
      <c r="D58" s="26">
        <f t="shared" si="23"/>
        <v>8599</v>
      </c>
      <c r="E58" s="26">
        <f t="shared" si="26"/>
        <v>136724.1</v>
      </c>
      <c r="F58" s="26"/>
      <c r="G58" s="1"/>
    </row>
    <row r="59" spans="1:7" x14ac:dyDescent="0.25">
      <c r="A59" s="16" t="str">
        <f t="shared" si="24"/>
        <v>A</v>
      </c>
      <c r="B59" s="1">
        <f t="shared" ref="B59:C59" si="28">B40</f>
        <v>34.4</v>
      </c>
      <c r="C59" s="28">
        <f t="shared" si="28"/>
        <v>53.7</v>
      </c>
      <c r="D59" s="26">
        <f t="shared" si="23"/>
        <v>5513</v>
      </c>
      <c r="E59" s="26">
        <f t="shared" si="26"/>
        <v>106400.90000000002</v>
      </c>
      <c r="F59" s="26"/>
      <c r="G59" s="1"/>
    </row>
    <row r="60" spans="1:7" x14ac:dyDescent="0.25">
      <c r="A60" s="16" t="str">
        <f t="shared" si="24"/>
        <v>F</v>
      </c>
      <c r="B60" s="1">
        <f t="shared" ref="B60:C60" si="29">B41</f>
        <v>21.3</v>
      </c>
      <c r="C60" s="28">
        <f t="shared" si="29"/>
        <v>30</v>
      </c>
      <c r="D60" s="26">
        <f>_xlfn.FLOOR.MATH(E51/D51)</f>
        <v>1714</v>
      </c>
      <c r="E60" s="26">
        <f t="shared" si="26"/>
        <v>14911.8</v>
      </c>
      <c r="F60" s="26"/>
      <c r="G60" s="1"/>
    </row>
    <row r="61" spans="1:7" x14ac:dyDescent="0.25">
      <c r="A61" s="16" t="str">
        <f t="shared" si="24"/>
        <v>B</v>
      </c>
      <c r="B61" s="1">
        <f t="shared" ref="B61:C61" si="30">B42</f>
        <v>22.2</v>
      </c>
      <c r="C61" s="28">
        <f t="shared" si="30"/>
        <v>31.5</v>
      </c>
      <c r="D61" s="26">
        <f>_xlfn.FLOOR.MATH(E52/D52)</f>
        <v>0</v>
      </c>
      <c r="E61" s="26">
        <f t="shared" si="26"/>
        <v>0</v>
      </c>
      <c r="F61" s="26"/>
      <c r="G61" s="1"/>
    </row>
    <row r="62" spans="1:7" x14ac:dyDescent="0.25">
      <c r="A62" s="1" t="s">
        <v>43</v>
      </c>
      <c r="B62" s="1"/>
      <c r="C62" s="1"/>
      <c r="D62" s="26"/>
      <c r="E62" s="26">
        <f>SUM(E56:E61)</f>
        <v>360690.10000000003</v>
      </c>
      <c r="F62" s="26">
        <f>'исходные данные'!H4</f>
        <v>312970</v>
      </c>
      <c r="G62" s="27">
        <f>E62-F62</f>
        <v>47720.100000000035</v>
      </c>
    </row>
    <row r="65" spans="1:8" x14ac:dyDescent="0.25">
      <c r="A65" s="17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1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2">C69-B69</f>
        <v>19.199999999999996</v>
      </c>
      <c r="F69" s="26">
        <f t="shared" ref="F69:F73" si="33">E69/D69</f>
        <v>8.7272727272727249</v>
      </c>
      <c r="G69" s="1">
        <f t="shared" ref="G69:G73" si="34">_xlfn.RANK.EQ(F69,$F$68:$F$73)</f>
        <v>2</v>
      </c>
      <c r="H69" t="str">
        <f t="shared" si="31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2"/>
        <v>6.2000000000000028</v>
      </c>
      <c r="F70" s="26">
        <f t="shared" si="33"/>
        <v>5.1666666666666696</v>
      </c>
      <c r="G70" s="1">
        <f t="shared" si="34"/>
        <v>6</v>
      </c>
      <c r="H70" t="str">
        <f t="shared" si="31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2"/>
        <v>10.800000000000004</v>
      </c>
      <c r="F71" s="26">
        <f t="shared" si="33"/>
        <v>7.2000000000000028</v>
      </c>
      <c r="G71" s="1">
        <f t="shared" si="34"/>
        <v>4</v>
      </c>
      <c r="H71" t="str">
        <f t="shared" si="31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2"/>
        <v>18.400000000000002</v>
      </c>
      <c r="F72" s="26">
        <f t="shared" si="33"/>
        <v>16.727272727272727</v>
      </c>
      <c r="G72" s="1">
        <f t="shared" si="34"/>
        <v>1</v>
      </c>
      <c r="H72" t="str">
        <f t="shared" si="31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2"/>
        <v>18.799999999999997</v>
      </c>
      <c r="F73" s="26">
        <f t="shared" si="33"/>
        <v>7.5199999999999987</v>
      </c>
      <c r="G73" s="1">
        <f t="shared" si="34"/>
        <v>3</v>
      </c>
      <c r="H73" t="str">
        <f t="shared" si="31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2" t="s">
        <v>8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5">IF(F77&gt;=C78*D78,C78*D78,F77)</f>
        <v>7395.3</v>
      </c>
      <c r="F78" s="26">
        <f t="shared" ref="F78:F81" si="36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37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38">VLOOKUP(B79,$A$68:$D$73,4,FALSE)</f>
        <v>2.2000000000000002</v>
      </c>
      <c r="E79" s="26">
        <f t="shared" si="35"/>
        <v>18785.800000000003</v>
      </c>
      <c r="F79" s="26">
        <f t="shared" si="36"/>
        <v>11940.899999999998</v>
      </c>
      <c r="G79" s="26">
        <f t="shared" ref="G79:G83" si="39">D88</f>
        <v>8539</v>
      </c>
    </row>
    <row r="80" spans="1:8" x14ac:dyDescent="0.25">
      <c r="A80" s="1">
        <v>3</v>
      </c>
      <c r="B80" s="16" t="str">
        <f t="shared" si="37"/>
        <v>F</v>
      </c>
      <c r="C80" s="26">
        <f>VLOOKUP('прибыль проектов'!B80,'исходные данные'!$A$29:$B$34,2,FALSE)</f>
        <v>8528</v>
      </c>
      <c r="D80" s="26">
        <f t="shared" si="38"/>
        <v>2.5</v>
      </c>
      <c r="E80" s="26">
        <f t="shared" si="35"/>
        <v>11940.899999999998</v>
      </c>
      <c r="F80" s="26">
        <f t="shared" si="36"/>
        <v>0</v>
      </c>
      <c r="G80" s="26">
        <f t="shared" si="39"/>
        <v>4776</v>
      </c>
    </row>
    <row r="81" spans="1:7" x14ac:dyDescent="0.25">
      <c r="A81" s="1">
        <v>4</v>
      </c>
      <c r="B81" s="16" t="str">
        <f t="shared" si="37"/>
        <v>D</v>
      </c>
      <c r="C81" s="26">
        <f>VLOOKUP('прибыль проектов'!B81,'исходные данные'!$A$29:$B$34,2,FALSE)</f>
        <v>7534</v>
      </c>
      <c r="D81" s="26">
        <f t="shared" si="38"/>
        <v>1.5</v>
      </c>
      <c r="E81" s="26">
        <f t="shared" si="35"/>
        <v>0</v>
      </c>
      <c r="F81" s="26">
        <f t="shared" si="36"/>
        <v>0</v>
      </c>
      <c r="G81" s="26">
        <f t="shared" si="39"/>
        <v>0</v>
      </c>
    </row>
    <row r="82" spans="1:7" x14ac:dyDescent="0.25">
      <c r="A82" s="1">
        <v>5</v>
      </c>
      <c r="B82" s="16" t="str">
        <f t="shared" si="37"/>
        <v>A</v>
      </c>
      <c r="C82" s="26">
        <f>VLOOKUP('прибыль проектов'!B82,'исходные данные'!$A$29:$B$34,2,FALSE)</f>
        <v>6631</v>
      </c>
      <c r="D82" s="26">
        <f t="shared" si="38"/>
        <v>1.7</v>
      </c>
      <c r="E82" s="26">
        <f>IF(F81&gt;=C82*D82,C82*D82,F81)</f>
        <v>0</v>
      </c>
      <c r="F82" s="26">
        <f>IF(F81&gt;=E82,F81-E82,0)</f>
        <v>0</v>
      </c>
      <c r="G82" s="26">
        <f t="shared" si="39"/>
        <v>0</v>
      </c>
    </row>
    <row r="83" spans="1:7" x14ac:dyDescent="0.25">
      <c r="A83" s="1">
        <v>6</v>
      </c>
      <c r="B83" s="16" t="str">
        <f t="shared" si="37"/>
        <v>C</v>
      </c>
      <c r="C83" s="26">
        <f>VLOOKUP('прибыль проектов'!B83,'исходные данные'!$A$29:$B$34,2,FALSE)</f>
        <v>3841</v>
      </c>
      <c r="D83" s="26">
        <f t="shared" si="38"/>
        <v>1.2</v>
      </c>
      <c r="E83" s="26">
        <f>IF(F82&gt;=C83*D83,C83*D83,F82)</f>
        <v>0</v>
      </c>
      <c r="F83" s="26">
        <f t="shared" ref="F83" si="40">IF(F82&gt;=E83,F82-E83,0)</f>
        <v>0</v>
      </c>
      <c r="G83" s="26">
        <f t="shared" si="39"/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6" t="str">
        <f>B78</f>
        <v>E</v>
      </c>
      <c r="B87" s="26">
        <f>B68</f>
        <v>25</v>
      </c>
      <c r="C87" s="26">
        <f>C68</f>
        <v>37.1</v>
      </c>
      <c r="D87" s="26">
        <f t="shared" ref="D87:D90" si="41">_xlfn.FLOOR.MATH(E78/D78)</f>
        <v>6723</v>
      </c>
      <c r="E87" s="26">
        <f>(C87-B87)*D87</f>
        <v>81348.3</v>
      </c>
      <c r="F87" s="26"/>
      <c r="G87" s="26"/>
    </row>
    <row r="88" spans="1:7" x14ac:dyDescent="0.25">
      <c r="A88" s="16" t="str">
        <f t="shared" ref="A88:A92" si="42">B79</f>
        <v>B</v>
      </c>
      <c r="B88" s="26">
        <f t="shared" ref="B88:C88" si="43">B69</f>
        <v>34.700000000000003</v>
      </c>
      <c r="C88" s="26">
        <f t="shared" si="43"/>
        <v>53.9</v>
      </c>
      <c r="D88" s="26">
        <f t="shared" si="41"/>
        <v>8539</v>
      </c>
      <c r="E88" s="26">
        <f t="shared" ref="E88:E92" si="44">(C88-B88)*D88</f>
        <v>163948.79999999996</v>
      </c>
      <c r="F88" s="26"/>
      <c r="G88" s="26"/>
    </row>
    <row r="89" spans="1:7" x14ac:dyDescent="0.25">
      <c r="A89" s="16" t="str">
        <f t="shared" si="42"/>
        <v>F</v>
      </c>
      <c r="B89" s="26">
        <f t="shared" ref="B89:C89" si="45">B70</f>
        <v>26.5</v>
      </c>
      <c r="C89" s="26">
        <f t="shared" si="45"/>
        <v>32.700000000000003</v>
      </c>
      <c r="D89" s="26">
        <f t="shared" si="41"/>
        <v>4776</v>
      </c>
      <c r="E89" s="26">
        <f t="shared" si="44"/>
        <v>29611.200000000015</v>
      </c>
      <c r="F89" s="26"/>
      <c r="G89" s="26"/>
    </row>
    <row r="90" spans="1:7" x14ac:dyDescent="0.25">
      <c r="A90" s="16" t="str">
        <f t="shared" si="42"/>
        <v>D</v>
      </c>
      <c r="B90" s="26">
        <f t="shared" ref="B90:C90" si="46">B71</f>
        <v>28.9</v>
      </c>
      <c r="C90" s="26">
        <f t="shared" si="46"/>
        <v>39.700000000000003</v>
      </c>
      <c r="D90" s="26">
        <f t="shared" si="41"/>
        <v>0</v>
      </c>
      <c r="E90" s="26">
        <f t="shared" si="44"/>
        <v>0</v>
      </c>
      <c r="F90" s="26"/>
      <c r="G90" s="26"/>
    </row>
    <row r="91" spans="1:7" x14ac:dyDescent="0.25">
      <c r="A91" s="16" t="str">
        <f t="shared" si="42"/>
        <v>A</v>
      </c>
      <c r="B91" s="26">
        <f t="shared" ref="B91:C91" si="47">B72</f>
        <v>22.8</v>
      </c>
      <c r="C91" s="26">
        <f t="shared" si="47"/>
        <v>41.2</v>
      </c>
      <c r="D91" s="26">
        <f>_xlfn.FLOOR.MATH(E82/D82)</f>
        <v>0</v>
      </c>
      <c r="E91" s="26">
        <f t="shared" si="44"/>
        <v>0</v>
      </c>
      <c r="F91" s="26"/>
      <c r="G91" s="26"/>
    </row>
    <row r="92" spans="1:7" x14ac:dyDescent="0.25">
      <c r="A92" s="16" t="str">
        <f t="shared" si="42"/>
        <v>C</v>
      </c>
      <c r="B92" s="26">
        <f t="shared" ref="B92:C92" si="48">B73</f>
        <v>28.1</v>
      </c>
      <c r="C92" s="26">
        <f t="shared" si="48"/>
        <v>46.9</v>
      </c>
      <c r="D92" s="26">
        <f>_xlfn.FLOOR.MATH(E83/D83)</f>
        <v>0</v>
      </c>
      <c r="E92" s="26">
        <f t="shared" si="44"/>
        <v>0</v>
      </c>
      <c r="F92" s="26"/>
      <c r="G92" s="26"/>
    </row>
    <row r="93" spans="1:7" x14ac:dyDescent="0.25">
      <c r="A93" s="1" t="s">
        <v>43</v>
      </c>
      <c r="B93" s="26"/>
      <c r="C93" s="26"/>
      <c r="D93" s="26"/>
      <c r="E93" s="26">
        <f>SUM(E87:E92)</f>
        <v>274908.3</v>
      </c>
      <c r="F93" s="26">
        <f>'исходные данные'!I4</f>
        <v>346866</v>
      </c>
      <c r="G93" s="27">
        <f>E93-F93</f>
        <v>-71957.700000000012</v>
      </c>
    </row>
    <row r="96" spans="1:7" x14ac:dyDescent="0.25">
      <c r="A96" s="17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49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0">C100-B100</f>
        <v>16.899999999999999</v>
      </c>
      <c r="F100" s="26">
        <f t="shared" ref="F100:F104" si="51">E100/D100</f>
        <v>9.9411764705882355</v>
      </c>
      <c r="G100" s="1">
        <f t="shared" ref="G100:G104" si="52">_xlfn.RANK.EQ(F100,$F$99:$F$104)</f>
        <v>1</v>
      </c>
      <c r="H100" t="str">
        <f t="shared" si="49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0"/>
        <v>17.100000000000001</v>
      </c>
      <c r="F101" s="26">
        <f t="shared" si="51"/>
        <v>8.1428571428571423</v>
      </c>
      <c r="G101" s="1">
        <f t="shared" si="52"/>
        <v>3</v>
      </c>
      <c r="H101" t="str">
        <f t="shared" si="49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0"/>
        <v>17.100000000000001</v>
      </c>
      <c r="F102" s="26">
        <f t="shared" si="51"/>
        <v>9.0000000000000018</v>
      </c>
      <c r="G102" s="1">
        <f t="shared" si="52"/>
        <v>2</v>
      </c>
      <c r="H102" t="str">
        <f t="shared" si="49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0"/>
        <v>14.199999999999996</v>
      </c>
      <c r="F103" s="26">
        <f t="shared" si="51"/>
        <v>4.4374999999999982</v>
      </c>
      <c r="G103" s="1">
        <f t="shared" si="52"/>
        <v>5</v>
      </c>
      <c r="H103" t="str">
        <f t="shared" si="49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0"/>
        <v>7</v>
      </c>
      <c r="F104" s="26">
        <f t="shared" si="51"/>
        <v>2.5925925925925926</v>
      </c>
      <c r="G104" s="1">
        <f t="shared" si="52"/>
        <v>6</v>
      </c>
      <c r="H104" t="str">
        <f t="shared" si="49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2" t="s">
        <v>8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3">IF(F108&gt;=C109*D109,C109*D109,F108)</f>
        <v>8311.2999999999993</v>
      </c>
      <c r="F109" s="26">
        <f t="shared" ref="F109:F112" si="54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5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6">VLOOKUP(B110,$A$99:$D$104,4,FALSE)</f>
        <v>1.9</v>
      </c>
      <c r="E110" s="26">
        <f t="shared" si="53"/>
        <v>3822.7999999999997</v>
      </c>
      <c r="F110" s="26">
        <f t="shared" si="54"/>
        <v>34316.899999999994</v>
      </c>
      <c r="G110" s="26">
        <f t="shared" ref="G110:G114" si="57">D119</f>
        <v>2012</v>
      </c>
    </row>
    <row r="111" spans="1:8" x14ac:dyDescent="0.25">
      <c r="A111" s="1">
        <v>3</v>
      </c>
      <c r="B111" s="16" t="str">
        <f t="shared" si="55"/>
        <v>C</v>
      </c>
      <c r="C111" s="26">
        <f>VLOOKUP('прибыль проектов'!B111,'исходные данные'!$A$38:$B$43,2,FALSE)</f>
        <v>7365</v>
      </c>
      <c r="D111" s="26">
        <f t="shared" si="56"/>
        <v>2.1</v>
      </c>
      <c r="E111" s="26">
        <f t="shared" si="53"/>
        <v>15466.5</v>
      </c>
      <c r="F111" s="26">
        <f t="shared" si="54"/>
        <v>18850.399999999994</v>
      </c>
      <c r="G111" s="26">
        <f t="shared" si="57"/>
        <v>7365</v>
      </c>
    </row>
    <row r="112" spans="1:8" x14ac:dyDescent="0.25">
      <c r="A112" s="1">
        <v>4</v>
      </c>
      <c r="B112" s="16" t="str">
        <f t="shared" si="55"/>
        <v>A</v>
      </c>
      <c r="C112" s="26">
        <f>VLOOKUP('прибыль проектов'!B112,'исходные данные'!$A$38:$B$43,2,FALSE)</f>
        <v>6603</v>
      </c>
      <c r="D112" s="26">
        <f t="shared" si="56"/>
        <v>1.5</v>
      </c>
      <c r="E112" s="26">
        <f t="shared" si="53"/>
        <v>9904.5</v>
      </c>
      <c r="F112" s="26">
        <f t="shared" si="54"/>
        <v>8945.8999999999942</v>
      </c>
      <c r="G112" s="26">
        <f t="shared" si="57"/>
        <v>6603</v>
      </c>
    </row>
    <row r="113" spans="1:7" x14ac:dyDescent="0.25">
      <c r="A113" s="1">
        <v>5</v>
      </c>
      <c r="B113" s="16" t="str">
        <f t="shared" si="55"/>
        <v>E</v>
      </c>
      <c r="C113" s="26">
        <f>VLOOKUP('прибыль проектов'!B113,'исходные данные'!$A$38:$B$43,2,FALSE)</f>
        <v>7387</v>
      </c>
      <c r="D113" s="26">
        <f t="shared" si="56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57"/>
        <v>2795</v>
      </c>
    </row>
    <row r="114" spans="1:7" x14ac:dyDescent="0.25">
      <c r="A114" s="1">
        <v>6</v>
      </c>
      <c r="B114" s="16" t="str">
        <f t="shared" si="55"/>
        <v>F</v>
      </c>
      <c r="C114" s="26">
        <f>VLOOKUP('прибыль проектов'!B114,'исходные данные'!$A$38:$B$43,2,FALSE)</f>
        <v>7181</v>
      </c>
      <c r="D114" s="26">
        <f t="shared" si="56"/>
        <v>2.7</v>
      </c>
      <c r="E114" s="26">
        <f>IF(F113&gt;=C114*D114,C114*D114,F113)</f>
        <v>0</v>
      </c>
      <c r="F114" s="26">
        <f t="shared" ref="F114" si="58">IF(F113&gt;=E114,F113-E114,0)</f>
        <v>0</v>
      </c>
      <c r="G114" s="26">
        <f t="shared" si="57"/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6" t="str">
        <f>B109</f>
        <v>B</v>
      </c>
      <c r="B118" s="26">
        <f>B99</f>
        <v>22</v>
      </c>
      <c r="C118" s="26">
        <f>C99</f>
        <v>28.8</v>
      </c>
      <c r="D118" s="26">
        <f t="shared" ref="D118:D121" si="59">_xlfn.FLOOR.MATH(E109/D109)</f>
        <v>4889</v>
      </c>
      <c r="E118" s="26">
        <f>(C118-B118)*D118</f>
        <v>33245.200000000004</v>
      </c>
      <c r="F118" s="26"/>
      <c r="G118" s="26"/>
    </row>
    <row r="119" spans="1:7" x14ac:dyDescent="0.25">
      <c r="A119" s="16" t="str">
        <f t="shared" ref="A119:A123" si="60">B110</f>
        <v>D</v>
      </c>
      <c r="B119" s="26">
        <f t="shared" ref="B119:C119" si="61">B100</f>
        <v>21</v>
      </c>
      <c r="C119" s="26">
        <f t="shared" si="61"/>
        <v>37.9</v>
      </c>
      <c r="D119" s="26">
        <f t="shared" si="59"/>
        <v>2012</v>
      </c>
      <c r="E119" s="26">
        <f t="shared" ref="E119:E123" si="62">(C119-B119)*D119</f>
        <v>34002.799999999996</v>
      </c>
      <c r="F119" s="26"/>
      <c r="G119" s="26"/>
    </row>
    <row r="120" spans="1:7" x14ac:dyDescent="0.25">
      <c r="A120" s="16" t="str">
        <f t="shared" si="60"/>
        <v>C</v>
      </c>
      <c r="B120" s="26">
        <f t="shared" ref="B120:C120" si="63">B101</f>
        <v>32.799999999999997</v>
      </c>
      <c r="C120" s="26">
        <f t="shared" si="63"/>
        <v>49.9</v>
      </c>
      <c r="D120" s="26">
        <f t="shared" si="59"/>
        <v>7365</v>
      </c>
      <c r="E120" s="26">
        <f t="shared" si="62"/>
        <v>125941.50000000001</v>
      </c>
      <c r="F120" s="26"/>
      <c r="G120" s="26"/>
    </row>
    <row r="121" spans="1:7" x14ac:dyDescent="0.25">
      <c r="A121" s="16" t="str">
        <f t="shared" si="60"/>
        <v>A</v>
      </c>
      <c r="B121" s="26">
        <f t="shared" ref="B121:C121" si="64">B102</f>
        <v>33.799999999999997</v>
      </c>
      <c r="C121" s="26">
        <f t="shared" si="64"/>
        <v>50.9</v>
      </c>
      <c r="D121" s="26">
        <f t="shared" si="59"/>
        <v>6603</v>
      </c>
      <c r="E121" s="26">
        <f t="shared" si="62"/>
        <v>112911.3</v>
      </c>
      <c r="F121" s="26"/>
      <c r="G121" s="26"/>
    </row>
    <row r="122" spans="1:7" x14ac:dyDescent="0.25">
      <c r="A122" s="16" t="str">
        <f t="shared" si="60"/>
        <v>E</v>
      </c>
      <c r="B122" s="26">
        <f t="shared" ref="B122:C122" si="65">B103</f>
        <v>33.6</v>
      </c>
      <c r="C122" s="26">
        <f t="shared" si="65"/>
        <v>47.8</v>
      </c>
      <c r="D122" s="26">
        <f>_xlfn.FLOOR.MATH(E113/D113)</f>
        <v>2795</v>
      </c>
      <c r="E122" s="26">
        <f t="shared" si="62"/>
        <v>39688.999999999985</v>
      </c>
      <c r="F122" s="26"/>
      <c r="G122" s="26"/>
    </row>
    <row r="123" spans="1:7" x14ac:dyDescent="0.25">
      <c r="A123" s="16" t="str">
        <f t="shared" si="60"/>
        <v>F</v>
      </c>
      <c r="B123" s="26">
        <f t="shared" ref="B123:C123" si="66">B104</f>
        <v>24.9</v>
      </c>
      <c r="C123" s="26">
        <f t="shared" si="66"/>
        <v>31.9</v>
      </c>
      <c r="D123" s="26">
        <f>_xlfn.FLOOR.MATH(E114/D114)</f>
        <v>0</v>
      </c>
      <c r="E123" s="26">
        <f t="shared" si="62"/>
        <v>0</v>
      </c>
      <c r="F123" s="26"/>
      <c r="G123" s="26"/>
    </row>
    <row r="124" spans="1:7" x14ac:dyDescent="0.25">
      <c r="A124" s="1" t="s">
        <v>43</v>
      </c>
      <c r="B124" s="26"/>
      <c r="C124" s="26"/>
      <c r="D124" s="26"/>
      <c r="E124" s="26">
        <f>SUM(E118:E123)</f>
        <v>345789.8</v>
      </c>
      <c r="F124" s="26">
        <f>'исходные данные'!J4</f>
        <v>297144</v>
      </c>
      <c r="G124" s="27">
        <f>E124-F124</f>
        <v>48645.799999999988</v>
      </c>
    </row>
    <row r="127" spans="1:7" x14ac:dyDescent="0.25">
      <c r="A127" s="17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2">
        <f>_xlfn.RANK.EQ(F130,$F$130:$F$135)</f>
        <v>6</v>
      </c>
      <c r="H130" t="str">
        <f t="shared" ref="H130:H135" si="67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68">C131-B131</f>
        <v>18.600000000000001</v>
      </c>
      <c r="F131" s="26">
        <f t="shared" ref="F131:F135" si="69">E131/D131</f>
        <v>14.307692307692308</v>
      </c>
      <c r="G131" s="32">
        <f t="shared" ref="G131:G135" si="70">_xlfn.RANK.EQ(F131,$F$130:$F$135)</f>
        <v>2</v>
      </c>
      <c r="H131" t="str">
        <f t="shared" si="67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68"/>
        <v>6.9000000000000021</v>
      </c>
      <c r="F132" s="26">
        <f t="shared" si="69"/>
        <v>6.9000000000000021</v>
      </c>
      <c r="G132" s="32">
        <f t="shared" si="70"/>
        <v>4</v>
      </c>
      <c r="H132" t="str">
        <f t="shared" si="67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68"/>
        <v>18</v>
      </c>
      <c r="F133" s="26">
        <f t="shared" si="69"/>
        <v>20</v>
      </c>
      <c r="G133" s="32">
        <f t="shared" si="70"/>
        <v>1</v>
      </c>
      <c r="H133" t="str">
        <f t="shared" si="67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68"/>
        <v>15.300000000000004</v>
      </c>
      <c r="F134" s="26">
        <f t="shared" si="69"/>
        <v>6.3750000000000018</v>
      </c>
      <c r="G134" s="32">
        <f t="shared" si="70"/>
        <v>5</v>
      </c>
      <c r="H134" t="str">
        <f t="shared" si="67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68"/>
        <v>17.799999999999997</v>
      </c>
      <c r="F135" s="26">
        <f t="shared" si="69"/>
        <v>9.3684210526315788</v>
      </c>
      <c r="G135" s="32">
        <f t="shared" si="70"/>
        <v>3</v>
      </c>
      <c r="H135" t="str">
        <f t="shared" si="67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2" t="s">
        <v>8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1">IF(F139&gt;=C140*D140,C140*D140,F139)</f>
        <v>2850.3</v>
      </c>
      <c r="F140" s="26">
        <f t="shared" ref="F140:F143" si="72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3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4">VLOOKUP(B141,$A$130:$D$135,4,FALSE)</f>
        <v>1.3</v>
      </c>
      <c r="E141" s="26">
        <f t="shared" si="71"/>
        <v>9573.2000000000007</v>
      </c>
      <c r="F141" s="26">
        <f t="shared" si="72"/>
        <v>18774.5</v>
      </c>
      <c r="G141" s="26">
        <f t="shared" ref="G141:G145" si="75">D150</f>
        <v>7364</v>
      </c>
    </row>
    <row r="142" spans="1:8" x14ac:dyDescent="0.25">
      <c r="A142" s="1">
        <v>3</v>
      </c>
      <c r="B142" s="16" t="str">
        <f t="shared" si="73"/>
        <v>F</v>
      </c>
      <c r="C142" s="26">
        <f>VLOOKUP('прибыль проектов'!B142,'исходные данные'!$A$47:$B$52,2,FALSE)</f>
        <v>5706</v>
      </c>
      <c r="D142" s="26">
        <f t="shared" si="74"/>
        <v>1.9</v>
      </c>
      <c r="E142" s="26">
        <f t="shared" si="71"/>
        <v>10841.4</v>
      </c>
      <c r="F142" s="26">
        <f t="shared" si="72"/>
        <v>7933.1</v>
      </c>
      <c r="G142" s="26">
        <f t="shared" si="75"/>
        <v>5706</v>
      </c>
    </row>
    <row r="143" spans="1:8" x14ac:dyDescent="0.25">
      <c r="A143" s="1">
        <v>4</v>
      </c>
      <c r="B143" s="16" t="str">
        <f t="shared" si="73"/>
        <v>C</v>
      </c>
      <c r="C143" s="26">
        <f>VLOOKUP('прибыль проектов'!B143,'исходные данные'!$A$47:$B$52,2,FALSE)</f>
        <v>3478</v>
      </c>
      <c r="D143" s="26">
        <f t="shared" si="74"/>
        <v>1</v>
      </c>
      <c r="E143" s="26">
        <f t="shared" si="71"/>
        <v>3478</v>
      </c>
      <c r="F143" s="26">
        <f t="shared" si="72"/>
        <v>4455.1000000000004</v>
      </c>
      <c r="G143" s="26">
        <f t="shared" si="75"/>
        <v>3478</v>
      </c>
    </row>
    <row r="144" spans="1:8" x14ac:dyDescent="0.25">
      <c r="A144" s="1">
        <v>5</v>
      </c>
      <c r="B144" s="16" t="str">
        <f t="shared" si="73"/>
        <v>E</v>
      </c>
      <c r="C144" s="26">
        <f>VLOOKUP('прибыль проектов'!B144,'исходные данные'!$A$47:$B$52,2,FALSE)</f>
        <v>5662</v>
      </c>
      <c r="D144" s="26">
        <f t="shared" si="74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5"/>
        <v>1856</v>
      </c>
    </row>
    <row r="145" spans="1:7" x14ac:dyDescent="0.25">
      <c r="A145" s="1">
        <v>6</v>
      </c>
      <c r="B145" s="16" t="str">
        <f t="shared" si="73"/>
        <v>A</v>
      </c>
      <c r="C145" s="26">
        <f>VLOOKUP('прибыль проектов'!B145,'исходные данные'!$A$47:$B$52,2,FALSE)</f>
        <v>2245</v>
      </c>
      <c r="D145" s="26">
        <f t="shared" si="74"/>
        <v>1.4</v>
      </c>
      <c r="E145" s="26">
        <f>IF(F144&gt;=C145*D145,C145*D145,F144)</f>
        <v>0</v>
      </c>
      <c r="F145" s="26">
        <f t="shared" ref="F145" si="76">IF(F144&gt;=E145,F144-E145,0)</f>
        <v>0</v>
      </c>
      <c r="G145" s="26">
        <f t="shared" si="75"/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6" t="str">
        <f>B140</f>
        <v>D</v>
      </c>
      <c r="B149" s="26">
        <f>B130</f>
        <v>23.7</v>
      </c>
      <c r="C149" s="26">
        <f>C130</f>
        <v>31.8</v>
      </c>
      <c r="D149" s="26">
        <f t="shared" ref="D149:D152" si="77">_xlfn.FLOOR.MATH(E140/D140)</f>
        <v>3167</v>
      </c>
      <c r="E149" s="26">
        <f>(C149-B149)*D149</f>
        <v>25652.700000000004</v>
      </c>
      <c r="F149" s="26"/>
      <c r="G149" s="26"/>
    </row>
    <row r="150" spans="1:7" x14ac:dyDescent="0.25">
      <c r="A150" s="16" t="str">
        <f t="shared" ref="A150:A154" si="78">B141</f>
        <v>B</v>
      </c>
      <c r="B150" s="26">
        <f t="shared" ref="B150:C150" si="79">B131</f>
        <v>26.6</v>
      </c>
      <c r="C150" s="26">
        <f t="shared" si="79"/>
        <v>45.2</v>
      </c>
      <c r="D150" s="26">
        <f t="shared" si="77"/>
        <v>7364</v>
      </c>
      <c r="E150" s="26">
        <f t="shared" ref="E150:E154" si="80">(C150-B150)*D150</f>
        <v>136970.40000000002</v>
      </c>
      <c r="F150" s="26"/>
      <c r="G150" s="26"/>
    </row>
    <row r="151" spans="1:7" x14ac:dyDescent="0.25">
      <c r="A151" s="16" t="str">
        <f t="shared" si="78"/>
        <v>F</v>
      </c>
      <c r="B151" s="26">
        <f t="shared" ref="B151:C151" si="81">B132</f>
        <v>24.9</v>
      </c>
      <c r="C151" s="26">
        <f t="shared" si="81"/>
        <v>31.8</v>
      </c>
      <c r="D151" s="26">
        <f t="shared" si="77"/>
        <v>5706</v>
      </c>
      <c r="E151" s="26">
        <f t="shared" si="80"/>
        <v>39371.400000000009</v>
      </c>
      <c r="F151" s="26"/>
      <c r="G151" s="26"/>
    </row>
    <row r="152" spans="1:7" x14ac:dyDescent="0.25">
      <c r="A152" s="16" t="str">
        <f t="shared" si="78"/>
        <v>C</v>
      </c>
      <c r="B152" s="26">
        <f t="shared" ref="B152:C152" si="82">B133</f>
        <v>32.9</v>
      </c>
      <c r="C152" s="26">
        <f t="shared" si="82"/>
        <v>50.9</v>
      </c>
      <c r="D152" s="26">
        <f t="shared" si="77"/>
        <v>3478</v>
      </c>
      <c r="E152" s="26">
        <f t="shared" si="80"/>
        <v>62604</v>
      </c>
      <c r="F152" s="26"/>
      <c r="G152" s="26"/>
    </row>
    <row r="153" spans="1:7" x14ac:dyDescent="0.25">
      <c r="A153" s="16" t="str">
        <f t="shared" si="78"/>
        <v>E</v>
      </c>
      <c r="B153" s="26">
        <f t="shared" ref="B153:C153" si="83">B134</f>
        <v>24.9</v>
      </c>
      <c r="C153" s="26">
        <f t="shared" si="83"/>
        <v>40.200000000000003</v>
      </c>
      <c r="D153" s="26">
        <f>_xlfn.FLOOR.MATH(E144/D144)</f>
        <v>1856</v>
      </c>
      <c r="E153" s="26">
        <f t="shared" si="80"/>
        <v>28396.800000000007</v>
      </c>
      <c r="F153" s="26"/>
      <c r="G153" s="26"/>
    </row>
    <row r="154" spans="1:7" x14ac:dyDescent="0.25">
      <c r="A154" s="16" t="str">
        <f t="shared" si="78"/>
        <v>A</v>
      </c>
      <c r="B154" s="26">
        <f t="shared" ref="B154:C154" si="84">B135</f>
        <v>23.1</v>
      </c>
      <c r="C154" s="26">
        <f t="shared" si="84"/>
        <v>40.9</v>
      </c>
      <c r="D154" s="26">
        <f>_xlfn.FLOOR.MATH(E145/D145)</f>
        <v>0</v>
      </c>
      <c r="E154" s="26">
        <f t="shared" si="80"/>
        <v>0</v>
      </c>
      <c r="F154" s="26"/>
      <c r="G154" s="26"/>
    </row>
    <row r="155" spans="1:7" x14ac:dyDescent="0.25">
      <c r="A155" s="1" t="s">
        <v>43</v>
      </c>
      <c r="B155" s="26"/>
      <c r="C155" s="26"/>
      <c r="D155" s="26"/>
      <c r="E155" s="26">
        <f>SUM(E149:E154)</f>
        <v>292995.30000000005</v>
      </c>
      <c r="F155" s="26">
        <f>'исходные данные'!K4</f>
        <v>310544</v>
      </c>
      <c r="G155" s="27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70533.600000000093</v>
      </c>
      <c r="D4" s="22">
        <f t="shared" ref="D4:D8" si="0">B4+C4</f>
        <v>70533.600000000093</v>
      </c>
      <c r="E4" s="23">
        <f>(1+'исходные данные'!$G$19/100)^(-A4)</f>
        <v>0.85106382978723405</v>
      </c>
      <c r="F4" s="22">
        <f t="shared" ref="F4:F8" si="1">E4*D4</f>
        <v>60028.595744680933</v>
      </c>
    </row>
    <row r="5" spans="1:6" x14ac:dyDescent="0.25">
      <c r="A5" s="21">
        <v>2</v>
      </c>
      <c r="B5" s="22"/>
      <c r="C5" s="22">
        <f>'прибыль проектов'!$G$31*4</f>
        <v>70533.600000000093</v>
      </c>
      <c r="D5" s="22">
        <f t="shared" si="0"/>
        <v>70533.600000000093</v>
      </c>
      <c r="E5" s="23">
        <f>(1+'исходные данные'!$G$19/100)^(-A5)</f>
        <v>0.72430964237211393</v>
      </c>
      <c r="F5" s="22">
        <f t="shared" si="1"/>
        <v>51088.1665912178</v>
      </c>
    </row>
    <row r="6" spans="1:6" x14ac:dyDescent="0.25">
      <c r="A6" s="21">
        <v>3</v>
      </c>
      <c r="B6" s="22"/>
      <c r="C6" s="22">
        <f>'прибыль проектов'!$G$31*4</f>
        <v>70533.600000000093</v>
      </c>
      <c r="D6" s="22">
        <f t="shared" si="0"/>
        <v>70533.600000000093</v>
      </c>
      <c r="E6" s="23">
        <f>(1+'исходные данные'!$G$19/100)^(-A6)</f>
        <v>0.61643373818903313</v>
      </c>
      <c r="F6" s="22">
        <f t="shared" si="1"/>
        <v>43479.290715930045</v>
      </c>
    </row>
    <row r="7" spans="1:6" x14ac:dyDescent="0.25">
      <c r="A7" s="21">
        <v>4</v>
      </c>
      <c r="B7" s="22"/>
      <c r="C7" s="22">
        <f>'прибыль проектов'!$G$31*4</f>
        <v>70533.600000000093</v>
      </c>
      <c r="D7" s="22">
        <f t="shared" si="0"/>
        <v>70533.600000000093</v>
      </c>
      <c r="E7" s="23">
        <f>(1+'исходные данные'!$G$19/100)^(-A7)</f>
        <v>0.52462445803321966</v>
      </c>
      <c r="F7" s="22">
        <f t="shared" si="1"/>
        <v>37003.65167313195</v>
      </c>
    </row>
    <row r="8" spans="1:6" x14ac:dyDescent="0.25">
      <c r="A8" s="21">
        <v>5</v>
      </c>
      <c r="B8" s="22"/>
      <c r="C8" s="22">
        <f>'прибыль проектов'!$G$31*4</f>
        <v>70533.600000000093</v>
      </c>
      <c r="D8" s="22">
        <f t="shared" si="0"/>
        <v>70533.600000000093</v>
      </c>
      <c r="E8" s="23">
        <f>(1+'исходные данные'!$G$19/100)^(-A8)</f>
        <v>0.44648890045380391</v>
      </c>
      <c r="F8" s="22">
        <f t="shared" si="1"/>
        <v>31492.469509048464</v>
      </c>
    </row>
    <row r="9" spans="1:6" x14ac:dyDescent="0.25">
      <c r="A9" s="21">
        <v>6</v>
      </c>
      <c r="B9" s="22"/>
      <c r="C9" s="22">
        <f>'прибыль проектов'!$G$31*4</f>
        <v>70533.600000000093</v>
      </c>
      <c r="D9" s="22">
        <f t="shared" ref="D9:D10" si="2">B9+C9</f>
        <v>70533.600000000093</v>
      </c>
      <c r="E9" s="23">
        <f>(1+'исходные данные'!$G$19/100)^(-A9)</f>
        <v>0.37999055357770539</v>
      </c>
      <c r="F9" s="22">
        <f t="shared" ref="F9" si="3">E9*D9</f>
        <v>26802.101709828476</v>
      </c>
    </row>
    <row r="10" spans="1:6" x14ac:dyDescent="0.25">
      <c r="A10" s="21">
        <v>7</v>
      </c>
      <c r="B10" s="22"/>
      <c r="C10" s="22">
        <f>'прибыль проектов'!$G$31*4</f>
        <v>70533.600000000093</v>
      </c>
      <c r="D10" s="22">
        <f t="shared" si="2"/>
        <v>70533.600000000093</v>
      </c>
      <c r="E10" s="23">
        <f>(1+'исходные данные'!$G$19/100)^(-A10)</f>
        <v>0.32339621581081307</v>
      </c>
      <c r="F10" s="22">
        <f>E10*D10</f>
        <v>22810.299327513596</v>
      </c>
    </row>
    <row r="11" spans="1:6" x14ac:dyDescent="0.25">
      <c r="A11" s="24" t="s">
        <v>43</v>
      </c>
      <c r="B11" s="22">
        <f>SUM(B3:B8)</f>
        <v>-718000</v>
      </c>
      <c r="C11" s="22">
        <f>SUM(C3:C8)</f>
        <v>352668.00000000047</v>
      </c>
      <c r="D11" s="22">
        <f>SUM(D3:D8)</f>
        <v>-365331.99999999953</v>
      </c>
      <c r="E11" s="22"/>
      <c r="F11" s="29">
        <f>SUM(F3:F10)</f>
        <v>-445295.42472864862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55</v>
      </c>
      <c r="B14" s="20" t="s">
        <v>56</v>
      </c>
      <c r="C14" s="20" t="s">
        <v>57</v>
      </c>
      <c r="D14" s="20" t="s">
        <v>58</v>
      </c>
      <c r="E14" s="20" t="s">
        <v>59</v>
      </c>
      <c r="F14" s="20" t="s">
        <v>60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190880.40000000014</v>
      </c>
      <c r="D16" s="22">
        <f t="shared" ref="D16:D22" si="4">B16+C16</f>
        <v>190880.40000000014</v>
      </c>
      <c r="E16" s="23">
        <f>(1+'исходные данные'!$G$19/100)^(-A16)</f>
        <v>0.85106382978723405</v>
      </c>
      <c r="F16" s="22">
        <f t="shared" ref="F16:F21" si="5">E16*D16</f>
        <v>162451.40425531927</v>
      </c>
    </row>
    <row r="17" spans="1:6" x14ac:dyDescent="0.25">
      <c r="A17" s="21">
        <v>2</v>
      </c>
      <c r="B17" s="22"/>
      <c r="C17" s="22">
        <f>'прибыль проектов'!$G$62*4</f>
        <v>190880.40000000014</v>
      </c>
      <c r="D17" s="22">
        <f t="shared" si="4"/>
        <v>190880.40000000014</v>
      </c>
      <c r="E17" s="23">
        <f>(1+'исходные данные'!$G$19/100)^(-A17)</f>
        <v>0.72430964237211393</v>
      </c>
      <c r="F17" s="22">
        <f t="shared" si="5"/>
        <v>138256.51425984615</v>
      </c>
    </row>
    <row r="18" spans="1:6" x14ac:dyDescent="0.25">
      <c r="A18" s="21">
        <v>3</v>
      </c>
      <c r="B18" s="22"/>
      <c r="C18" s="22">
        <f>'прибыль проектов'!$G$62*4</f>
        <v>190880.40000000014</v>
      </c>
      <c r="D18" s="22">
        <f t="shared" si="4"/>
        <v>190880.40000000014</v>
      </c>
      <c r="E18" s="23">
        <f>(1+'исходные данные'!$G$19/100)^(-A18)</f>
        <v>0.61643373818903313</v>
      </c>
      <c r="F18" s="22">
        <f t="shared" si="5"/>
        <v>117665.11851901801</v>
      </c>
    </row>
    <row r="19" spans="1:6" x14ac:dyDescent="0.25">
      <c r="A19" s="21">
        <v>4</v>
      </c>
      <c r="B19" s="22"/>
      <c r="C19" s="22">
        <f>'прибыль проектов'!$G$62*4</f>
        <v>190880.40000000014</v>
      </c>
      <c r="D19" s="22">
        <f t="shared" si="4"/>
        <v>190880.40000000014</v>
      </c>
      <c r="E19" s="23">
        <f>(1+'исходные данные'!$G$19/100)^(-A19)</f>
        <v>0.52462445803321966</v>
      </c>
      <c r="F19" s="22">
        <f t="shared" si="5"/>
        <v>100140.52639916426</v>
      </c>
    </row>
    <row r="20" spans="1:6" x14ac:dyDescent="0.25">
      <c r="A20" s="21">
        <v>5</v>
      </c>
      <c r="B20" s="22"/>
      <c r="C20" s="22">
        <f>'прибыль проектов'!$G$62*4</f>
        <v>190880.40000000014</v>
      </c>
      <c r="D20" s="22">
        <f t="shared" si="4"/>
        <v>190880.40000000014</v>
      </c>
      <c r="E20" s="23">
        <f>(1+'исходные данные'!$G$19/100)^(-A20)</f>
        <v>0.44648890045380391</v>
      </c>
      <c r="F20" s="22">
        <f t="shared" si="5"/>
        <v>85225.979914182331</v>
      </c>
    </row>
    <row r="21" spans="1:6" x14ac:dyDescent="0.25">
      <c r="A21" s="21">
        <v>6</v>
      </c>
      <c r="B21" s="22"/>
      <c r="C21" s="22">
        <f>'прибыль проектов'!$G$62*4</f>
        <v>190880.40000000014</v>
      </c>
      <c r="D21" s="22">
        <f t="shared" si="4"/>
        <v>190880.40000000014</v>
      </c>
      <c r="E21" s="23">
        <f>(1+'исходные данные'!$G$19/100)^(-A21)</f>
        <v>0.37999055357770539</v>
      </c>
      <c r="F21" s="22">
        <f t="shared" si="5"/>
        <v>72532.748863133893</v>
      </c>
    </row>
    <row r="22" spans="1:6" x14ac:dyDescent="0.25">
      <c r="A22" s="21">
        <v>7</v>
      </c>
      <c r="B22" s="22"/>
      <c r="C22" s="22">
        <f>'прибыль проектов'!$G$62*4</f>
        <v>190880.40000000014</v>
      </c>
      <c r="D22" s="22">
        <f t="shared" si="4"/>
        <v>190880.40000000014</v>
      </c>
      <c r="E22" s="23">
        <f>(1+'исходные данные'!$G$19/100)^(-A22)</f>
        <v>0.32339621581081307</v>
      </c>
      <c r="F22" s="22">
        <f>E22*D22</f>
        <v>61729.999032454369</v>
      </c>
    </row>
    <row r="23" spans="1:6" x14ac:dyDescent="0.25">
      <c r="A23" s="24" t="s">
        <v>43</v>
      </c>
      <c r="B23" s="22">
        <f>SUM(B15:B20)</f>
        <v>-785000</v>
      </c>
      <c r="C23" s="22">
        <f>SUM(C15:C20)</f>
        <v>954402.0000000007</v>
      </c>
      <c r="D23" s="22">
        <f>SUM(D15:D20)</f>
        <v>169402.0000000007</v>
      </c>
      <c r="E23" s="22"/>
      <c r="F23" s="29">
        <f>SUM(F15:F22)</f>
        <v>-46997.708756881671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55</v>
      </c>
      <c r="B26" s="20" t="s">
        <v>56</v>
      </c>
      <c r="C26" s="20" t="s">
        <v>57</v>
      </c>
      <c r="D26" s="20" t="s">
        <v>58</v>
      </c>
      <c r="E26" s="20" t="s">
        <v>59</v>
      </c>
      <c r="F26" s="20" t="s">
        <v>60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-287830.80000000005</v>
      </c>
      <c r="D28" s="22">
        <f t="shared" ref="D28:D34" si="6">B28+C28</f>
        <v>-287830.80000000005</v>
      </c>
      <c r="E28" s="23">
        <f>(1+'исходные данные'!$G$19/100)^(-A28)</f>
        <v>0.85106382978723405</v>
      </c>
      <c r="F28" s="22">
        <f t="shared" ref="F28:F33" si="7">E28*D28</f>
        <v>-244962.38297872344</v>
      </c>
    </row>
    <row r="29" spans="1:6" x14ac:dyDescent="0.25">
      <c r="A29" s="21">
        <v>2</v>
      </c>
      <c r="B29" s="22"/>
      <c r="C29" s="22">
        <f>'прибыль проектов'!$G$93*4</f>
        <v>-287830.80000000005</v>
      </c>
      <c r="D29" s="22">
        <f t="shared" si="6"/>
        <v>-287830.80000000005</v>
      </c>
      <c r="E29" s="23">
        <f>(1+'исходные данные'!$G$19/100)^(-A29)</f>
        <v>0.72430964237211393</v>
      </c>
      <c r="F29" s="22">
        <f t="shared" si="7"/>
        <v>-208478.62381167948</v>
      </c>
    </row>
    <row r="30" spans="1:6" x14ac:dyDescent="0.25">
      <c r="A30" s="21">
        <v>3</v>
      </c>
      <c r="B30" s="22"/>
      <c r="C30" s="22">
        <f>'прибыль проектов'!$G$93*4</f>
        <v>-287830.80000000005</v>
      </c>
      <c r="D30" s="22">
        <f t="shared" si="6"/>
        <v>-287830.80000000005</v>
      </c>
      <c r="E30" s="23">
        <f>(1+'исходные данные'!$G$19/100)^(-A30)</f>
        <v>0.61643373818903313</v>
      </c>
      <c r="F30" s="22">
        <f t="shared" si="7"/>
        <v>-177428.61600993999</v>
      </c>
    </row>
    <row r="31" spans="1:6" x14ac:dyDescent="0.25">
      <c r="A31" s="21">
        <v>4</v>
      </c>
      <c r="B31" s="22"/>
      <c r="C31" s="22">
        <f>'прибыль проектов'!$G$93*4</f>
        <v>-287830.80000000005</v>
      </c>
      <c r="D31" s="22">
        <f t="shared" si="6"/>
        <v>-287830.80000000005</v>
      </c>
      <c r="E31" s="23">
        <f>(1+'исходные данные'!$G$19/100)^(-A31)</f>
        <v>0.52462445803321966</v>
      </c>
      <c r="F31" s="22">
        <f t="shared" si="7"/>
        <v>-151003.07745526807</v>
      </c>
    </row>
    <row r="32" spans="1:6" x14ac:dyDescent="0.25">
      <c r="A32" s="21">
        <v>5</v>
      </c>
      <c r="B32" s="22"/>
      <c r="C32" s="22">
        <f>'прибыль проектов'!$G$93*4</f>
        <v>-287830.80000000005</v>
      </c>
      <c r="D32" s="22">
        <f t="shared" si="6"/>
        <v>-287830.80000000005</v>
      </c>
      <c r="E32" s="23">
        <f>(1+'исходные данные'!$G$19/100)^(-A32)</f>
        <v>0.44648890045380391</v>
      </c>
      <c r="F32" s="22">
        <f t="shared" si="7"/>
        <v>-128513.25740873876</v>
      </c>
    </row>
    <row r="33" spans="1:6" x14ac:dyDescent="0.25">
      <c r="A33" s="21">
        <v>6</v>
      </c>
      <c r="B33" s="22"/>
      <c r="C33" s="22">
        <f>'прибыль проектов'!$G$93*4</f>
        <v>-287830.80000000005</v>
      </c>
      <c r="D33" s="22">
        <f t="shared" si="6"/>
        <v>-287830.80000000005</v>
      </c>
      <c r="E33" s="23">
        <f>(1+'исходные данные'!$G$19/100)^(-A33)</f>
        <v>0.37999055357770539</v>
      </c>
      <c r="F33" s="22">
        <f t="shared" si="7"/>
        <v>-109372.98502871383</v>
      </c>
    </row>
    <row r="34" spans="1:6" x14ac:dyDescent="0.25">
      <c r="A34" s="21">
        <v>7</v>
      </c>
      <c r="B34" s="22"/>
      <c r="C34" s="22">
        <f>'прибыль проектов'!$G$93*4</f>
        <v>-287830.80000000005</v>
      </c>
      <c r="D34" s="22">
        <f t="shared" si="6"/>
        <v>-287830.80000000005</v>
      </c>
      <c r="E34" s="23">
        <f>(1+'исходные данные'!$G$19/100)^(-A34)</f>
        <v>0.32339621581081307</v>
      </c>
      <c r="F34" s="22">
        <f>E34*D34</f>
        <v>-93083.391513798982</v>
      </c>
    </row>
    <row r="35" spans="1:6" x14ac:dyDescent="0.25">
      <c r="A35" s="24" t="s">
        <v>43</v>
      </c>
      <c r="B35" s="22">
        <f>SUM(B27:B32)</f>
        <v>-573000</v>
      </c>
      <c r="C35" s="22">
        <f>SUM(C27:C32)</f>
        <v>-1439154.0000000002</v>
      </c>
      <c r="D35" s="22">
        <f>SUM(D27:D32)</f>
        <v>-2012154.0000000002</v>
      </c>
      <c r="E35" s="22"/>
      <c r="F35" s="29">
        <f>SUM(F27:F34)</f>
        <v>-1685842.3342068626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55</v>
      </c>
      <c r="B38" s="20" t="s">
        <v>56</v>
      </c>
      <c r="C38" s="20" t="s">
        <v>57</v>
      </c>
      <c r="D38" s="20" t="s">
        <v>58</v>
      </c>
      <c r="E38" s="20" t="s">
        <v>59</v>
      </c>
      <c r="F38" s="20" t="s">
        <v>60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194583.19999999995</v>
      </c>
      <c r="D40" s="22">
        <f t="shared" ref="D40:D46" si="8">B40+C40</f>
        <v>194583.19999999995</v>
      </c>
      <c r="E40" s="23">
        <f>(1+'исходные данные'!$G$19/100)^(-A40)</f>
        <v>0.85106382978723405</v>
      </c>
      <c r="F40" s="22">
        <f t="shared" ref="F40:F45" si="9">E40*D40</f>
        <v>165602.72340425529</v>
      </c>
    </row>
    <row r="41" spans="1:6" x14ac:dyDescent="0.25">
      <c r="A41" s="21">
        <v>2</v>
      </c>
      <c r="B41" s="22"/>
      <c r="C41" s="22">
        <f>'прибыль проектов'!$G$124*4</f>
        <v>194583.19999999995</v>
      </c>
      <c r="D41" s="22">
        <f t="shared" si="8"/>
        <v>194583.19999999995</v>
      </c>
      <c r="E41" s="23">
        <f>(1+'исходные данные'!$G$19/100)^(-A41)</f>
        <v>0.72430964237211393</v>
      </c>
      <c r="F41" s="22">
        <f t="shared" si="9"/>
        <v>140938.48800362149</v>
      </c>
    </row>
    <row r="42" spans="1:6" x14ac:dyDescent="0.25">
      <c r="A42" s="21">
        <v>3</v>
      </c>
      <c r="B42" s="22"/>
      <c r="C42" s="22">
        <f>'прибыль проектов'!$G$124*4</f>
        <v>194583.19999999995</v>
      </c>
      <c r="D42" s="22">
        <f t="shared" si="8"/>
        <v>194583.19999999995</v>
      </c>
      <c r="E42" s="23">
        <f>(1+'исходные данные'!$G$19/100)^(-A42)</f>
        <v>0.61643373818903313</v>
      </c>
      <c r="F42" s="22">
        <f t="shared" si="9"/>
        <v>119947.64936478424</v>
      </c>
    </row>
    <row r="43" spans="1:6" x14ac:dyDescent="0.25">
      <c r="A43" s="21">
        <v>4</v>
      </c>
      <c r="B43" s="22"/>
      <c r="C43" s="22">
        <f>'прибыль проектов'!$G$124*4</f>
        <v>194583.19999999995</v>
      </c>
      <c r="D43" s="22">
        <f t="shared" si="8"/>
        <v>194583.19999999995</v>
      </c>
      <c r="E43" s="23">
        <f>(1+'исходные данные'!$G$19/100)^(-A43)</f>
        <v>0.52462445803321966</v>
      </c>
      <c r="F43" s="22">
        <f t="shared" si="9"/>
        <v>102083.10584236956</v>
      </c>
    </row>
    <row r="44" spans="1:6" x14ac:dyDescent="0.25">
      <c r="A44" s="21">
        <v>5</v>
      </c>
      <c r="B44" s="22"/>
      <c r="C44" s="22">
        <f>'прибыль проектов'!$G$124*4</f>
        <v>194583.19999999995</v>
      </c>
      <c r="D44" s="22">
        <f t="shared" si="8"/>
        <v>194583.19999999995</v>
      </c>
      <c r="E44" s="23">
        <f>(1+'исходные данные'!$G$19/100)^(-A44)</f>
        <v>0.44648890045380391</v>
      </c>
      <c r="F44" s="22">
        <f t="shared" si="9"/>
        <v>86879.239014782594</v>
      </c>
    </row>
    <row r="45" spans="1:6" x14ac:dyDescent="0.25">
      <c r="A45" s="21">
        <v>6</v>
      </c>
      <c r="B45" s="22"/>
      <c r="C45" s="22">
        <f>'прибыль проектов'!$G$124*4</f>
        <v>194583.19999999995</v>
      </c>
      <c r="D45" s="22">
        <f t="shared" si="8"/>
        <v>194583.19999999995</v>
      </c>
      <c r="E45" s="23">
        <f>(1+'исходные данные'!$G$19/100)^(-A45)</f>
        <v>0.37999055357770539</v>
      </c>
      <c r="F45" s="22">
        <f t="shared" si="9"/>
        <v>73939.77788492135</v>
      </c>
    </row>
    <row r="46" spans="1:6" x14ac:dyDescent="0.25">
      <c r="A46" s="21">
        <v>7</v>
      </c>
      <c r="B46" s="22"/>
      <c r="C46" s="22">
        <f>'прибыль проектов'!$G$124*4</f>
        <v>194583.19999999995</v>
      </c>
      <c r="D46" s="22">
        <f t="shared" si="8"/>
        <v>194583.19999999995</v>
      </c>
      <c r="E46" s="23">
        <f>(1+'исходные данные'!$G$19/100)^(-A46)</f>
        <v>0.32339621581081307</v>
      </c>
      <c r="F46" s="22">
        <f>E46*D46</f>
        <v>62927.47054035859</v>
      </c>
    </row>
    <row r="47" spans="1:6" x14ac:dyDescent="0.25">
      <c r="A47" s="24" t="s">
        <v>43</v>
      </c>
      <c r="B47" s="22">
        <f>SUM(B39:B44)</f>
        <v>-727000</v>
      </c>
      <c r="C47" s="22">
        <f>SUM(C39:C44)</f>
        <v>972915.99999999977</v>
      </c>
      <c r="D47" s="22">
        <f>SUM(D39:D44)</f>
        <v>245915.99999999977</v>
      </c>
      <c r="E47" s="22"/>
      <c r="F47" s="29">
        <f>SUM(F39:F46)</f>
        <v>25318.454055093018</v>
      </c>
    </row>
    <row r="49" spans="1:6" x14ac:dyDescent="0.25">
      <c r="A49" s="18" t="s">
        <v>6</v>
      </c>
      <c r="B49" s="19"/>
      <c r="C49" s="19"/>
      <c r="D49" s="19"/>
      <c r="E49" s="19"/>
      <c r="F49" s="19"/>
    </row>
    <row r="50" spans="1:6" x14ac:dyDescent="0.25">
      <c r="A50" s="20" t="s">
        <v>55</v>
      </c>
      <c r="B50" s="20" t="s">
        <v>56</v>
      </c>
      <c r="C50" s="20" t="s">
        <v>57</v>
      </c>
      <c r="D50" s="20" t="s">
        <v>58</v>
      </c>
      <c r="E50" s="20" t="s">
        <v>59</v>
      </c>
      <c r="F50" s="20" t="s">
        <v>60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-70194.799999999814</v>
      </c>
      <c r="D52" s="22">
        <f t="shared" ref="D52:D58" si="10">B52+C52</f>
        <v>-70194.799999999814</v>
      </c>
      <c r="E52" s="23">
        <f>(1+'исходные данные'!$G$19/100)^(-A52)</f>
        <v>0.85106382978723405</v>
      </c>
      <c r="F52" s="22">
        <f t="shared" ref="F52:F57" si="11">E52*D52</f>
        <v>-59740.255319148775</v>
      </c>
    </row>
    <row r="53" spans="1:6" x14ac:dyDescent="0.25">
      <c r="A53" s="21">
        <v>2</v>
      </c>
      <c r="B53" s="22"/>
      <c r="C53" s="22">
        <f>'прибыль проектов'!$G$155*4</f>
        <v>-70194.799999999814</v>
      </c>
      <c r="D53" s="22">
        <f t="shared" si="10"/>
        <v>-70194.799999999814</v>
      </c>
      <c r="E53" s="23">
        <f>(1+'исходные данные'!$G$19/100)^(-A53)</f>
        <v>0.72430964237211393</v>
      </c>
      <c r="F53" s="22">
        <f t="shared" si="11"/>
        <v>-50842.77048438193</v>
      </c>
    </row>
    <row r="54" spans="1:6" x14ac:dyDescent="0.25">
      <c r="A54" s="21">
        <v>3</v>
      </c>
      <c r="B54" s="22"/>
      <c r="C54" s="22">
        <f>'прибыль проектов'!$G$155*4</f>
        <v>-70194.799999999814</v>
      </c>
      <c r="D54" s="22">
        <f t="shared" si="10"/>
        <v>-70194.799999999814</v>
      </c>
      <c r="E54" s="23">
        <f>(1+'исходные данные'!$G$19/100)^(-A54)</f>
        <v>0.61643373818903313</v>
      </c>
      <c r="F54" s="22">
        <f t="shared" si="11"/>
        <v>-43270.44296543143</v>
      </c>
    </row>
    <row r="55" spans="1:6" x14ac:dyDescent="0.25">
      <c r="A55" s="21">
        <v>4</v>
      </c>
      <c r="B55" s="22"/>
      <c r="C55" s="22">
        <f>'прибыль проектов'!$G$155*4</f>
        <v>-70194.799999999814</v>
      </c>
      <c r="D55" s="22">
        <f t="shared" si="10"/>
        <v>-70194.799999999814</v>
      </c>
      <c r="E55" s="23">
        <f>(1+'исходные данные'!$G$19/100)^(-A55)</f>
        <v>0.52462445803321966</v>
      </c>
      <c r="F55" s="22">
        <f t="shared" si="11"/>
        <v>-36825.908906750148</v>
      </c>
    </row>
    <row r="56" spans="1:6" x14ac:dyDescent="0.25">
      <c r="A56" s="21">
        <v>5</v>
      </c>
      <c r="B56" s="22"/>
      <c r="C56" s="22">
        <f>'прибыль проектов'!$G$155*4</f>
        <v>-70194.799999999814</v>
      </c>
      <c r="D56" s="22">
        <f t="shared" si="10"/>
        <v>-70194.799999999814</v>
      </c>
      <c r="E56" s="23">
        <f>(1+'исходные данные'!$G$19/100)^(-A56)</f>
        <v>0.44648890045380391</v>
      </c>
      <c r="F56" s="22">
        <f t="shared" si="11"/>
        <v>-31341.199069574592</v>
      </c>
    </row>
    <row r="57" spans="1:6" x14ac:dyDescent="0.25">
      <c r="A57" s="21">
        <v>6</v>
      </c>
      <c r="B57" s="22"/>
      <c r="C57" s="22">
        <f>'прибыль проектов'!$G$155*4</f>
        <v>-70194.799999999814</v>
      </c>
      <c r="D57" s="22">
        <f t="shared" si="10"/>
        <v>-70194.799999999814</v>
      </c>
      <c r="E57" s="23">
        <f>(1+'исходные данные'!$G$19/100)^(-A57)</f>
        <v>0.37999055357770539</v>
      </c>
      <c r="F57" s="22">
        <f t="shared" si="11"/>
        <v>-26673.360910276242</v>
      </c>
    </row>
    <row r="58" spans="1:6" x14ac:dyDescent="0.25">
      <c r="A58" s="21">
        <v>7</v>
      </c>
      <c r="B58" s="22"/>
      <c r="C58" s="22">
        <f>'прибыль проектов'!$G$155*4</f>
        <v>-70194.799999999814</v>
      </c>
      <c r="D58" s="22">
        <f t="shared" si="10"/>
        <v>-70194.799999999814</v>
      </c>
      <c r="E58" s="23">
        <f>(1+'исходные данные'!$G$19/100)^(-A58)</f>
        <v>0.32339621581081307</v>
      </c>
      <c r="F58" s="22">
        <f>E58*D58</f>
        <v>-22700.7326895968</v>
      </c>
    </row>
    <row r="59" spans="1:6" x14ac:dyDescent="0.25">
      <c r="A59" s="24" t="s">
        <v>43</v>
      </c>
      <c r="B59" s="22">
        <f>SUM(B51:B56)</f>
        <v>-899000</v>
      </c>
      <c r="C59" s="22">
        <f>SUM(C51:C56)</f>
        <v>-350973.99999999907</v>
      </c>
      <c r="D59" s="22">
        <f>SUM(D51:D56)</f>
        <v>-1249973.9999999991</v>
      </c>
      <c r="E59" s="22"/>
      <c r="F59" s="29">
        <f>SUM(F51:F58)</f>
        <v>-1170394.6703451599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2015-11-14T10:34:13Z</dcterms:modified>
</cp:coreProperties>
</file>