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8.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esktop\data analysis\08 Excel Project 2\"/>
    </mc:Choice>
  </mc:AlternateContent>
  <xr:revisionPtr revIDLastSave="0" documentId="13_ncr:1_{76EC0376-DE95-4082-BABF-0F40C1561020}" xr6:coauthVersionLast="47" xr6:coauthVersionMax="47" xr10:uidLastSave="{00000000-0000-0000-0000-000000000000}"/>
  <bookViews>
    <workbookView xWindow="-110" yWindow="-110" windowWidth="19420" windowHeight="10300" tabRatio="696" xr2:uid="{5BBF3846-4C6D-4871-B649-C959D40EA238}"/>
  </bookViews>
  <sheets>
    <sheet name="Brands per Supplier" sheetId="3" r:id="rId1"/>
    <sheet name="HealthMax Growth" sheetId="4" r:id="rId2"/>
    <sheet name="MAT Value Total Category" sheetId="6" r:id="rId3"/>
    <sheet name="Profitability Matrix" sheetId="9" r:id="rId4"/>
    <sheet name="50 ml Shampoo 2024" sheetId="13" r:id="rId5"/>
    <sheet name="Market Share" sheetId="7" r:id="rId6"/>
    <sheet name="New Product Launch" sheetId="12" r:id="rId7"/>
    <sheet name="New Category Opportunity" sheetId="11" r:id="rId8"/>
    <sheet name="Promotion Analysis" sheetId="15" r:id="rId9"/>
    <sheet name="Promotion Graph" sheetId="14" r:id="rId10"/>
    <sheet name="Forecast 2024" sheetId="17" r:id="rId11"/>
    <sheet name="Waterfall " sheetId="18" r:id="rId12"/>
    <sheet name="Sales Up to 2022" sheetId="16" r:id="rId13"/>
    <sheet name="internal_sales_data" sheetId="8" r:id="rId14"/>
    <sheet name="External Data" sheetId="2" r:id="rId15"/>
  </sheets>
  <definedNames>
    <definedName name="_xlchart.v1.0" hidden="1">'Waterfall '!$A$1:$E$1</definedName>
    <definedName name="_xlchart.v1.1" hidden="1">'Waterfall '!$A$2:$E$2</definedName>
    <definedName name="_xlchart.v1.2" hidden="1">'Waterfall '!$A$1:$E$1</definedName>
    <definedName name="_xlchart.v1.3" hidden="1">'Waterfall '!$A$2:$E$2</definedName>
    <definedName name="ExternalData_1" localSheetId="4" hidden="1">'50 ml Shampoo 2024'!$A$1:$H$12</definedName>
    <definedName name="ExternalData_1" localSheetId="13" hidden="1">internal_sales_data!$A$1:$H$11</definedName>
    <definedName name="ExternalData_1" localSheetId="6" hidden="1">'New Product Launch'!$A$1:$I$3</definedName>
    <definedName name="ExternalData_1" localSheetId="8" hidden="1">'Promotion Analysis'!$A$1:$J$5</definedName>
    <definedName name="Slicer_Region">#N/A</definedName>
  </definedNames>
  <calcPr calcId="191029"/>
  <pivotCaches>
    <pivotCache cacheId="32" r:id="rId16"/>
    <pivotCache cacheId="23"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8" l="1"/>
  <c r="D2" i="18"/>
  <c r="C2" i="18"/>
  <c r="B2" i="18"/>
  <c r="A2" i="18"/>
  <c r="F7" i="17"/>
  <c r="F8" i="17"/>
  <c r="G6" i="17"/>
  <c r="F6" i="17"/>
  <c r="H2" i="15"/>
  <c r="F3" i="15"/>
  <c r="H3" i="15" s="1"/>
  <c r="J3" i="15" s="1"/>
  <c r="F4" i="15"/>
  <c r="H4" i="15" s="1"/>
  <c r="J4" i="15" s="1"/>
  <c r="F2" i="15"/>
  <c r="H12" i="13"/>
  <c r="I12" i="13" s="1"/>
  <c r="E12" i="13"/>
  <c r="M12" i="13" s="1"/>
  <c r="J12" i="13"/>
  <c r="L12" i="13"/>
  <c r="M2" i="13"/>
  <c r="M3" i="13"/>
  <c r="M4" i="13"/>
  <c r="M5" i="13"/>
  <c r="M6" i="13"/>
  <c r="M7" i="13"/>
  <c r="M8" i="13"/>
  <c r="M9" i="13"/>
  <c r="M10" i="13"/>
  <c r="M11" i="13"/>
  <c r="J11" i="13"/>
  <c r="K11" i="13" s="1"/>
  <c r="I11" i="13"/>
  <c r="J10" i="13"/>
  <c r="L10" i="13" s="1"/>
  <c r="I10" i="13"/>
  <c r="J9" i="13"/>
  <c r="L9" i="13" s="1"/>
  <c r="I9" i="13"/>
  <c r="J8" i="13"/>
  <c r="K8" i="13" s="1"/>
  <c r="I8" i="13"/>
  <c r="J7" i="13"/>
  <c r="L7" i="13" s="1"/>
  <c r="I7" i="13"/>
  <c r="J6" i="13"/>
  <c r="L6" i="13" s="1"/>
  <c r="I6" i="13"/>
  <c r="J5" i="13"/>
  <c r="L5" i="13" s="1"/>
  <c r="I5" i="13"/>
  <c r="J4" i="13"/>
  <c r="K4" i="13" s="1"/>
  <c r="I4" i="13"/>
  <c r="J3" i="13"/>
  <c r="L3" i="13" s="1"/>
  <c r="I3" i="13"/>
  <c r="J2" i="13"/>
  <c r="L2" i="13" s="1"/>
  <c r="I2" i="13"/>
  <c r="I3" i="12"/>
  <c r="I2" i="12"/>
  <c r="H3" i="12"/>
  <c r="H2" i="12"/>
  <c r="G3" i="12"/>
  <c r="G2" i="12"/>
  <c r="E3" i="12"/>
  <c r="E2" i="12"/>
  <c r="C3" i="12"/>
  <c r="C2" i="12"/>
  <c r="H12" i="8"/>
  <c r="L6" i="8"/>
  <c r="K5" i="8"/>
  <c r="J2" i="8"/>
  <c r="L2" i="8" s="1"/>
  <c r="J3" i="8"/>
  <c r="L3" i="8" s="1"/>
  <c r="J4" i="8"/>
  <c r="K4" i="8" s="1"/>
  <c r="J5" i="8"/>
  <c r="L5" i="8" s="1"/>
  <c r="J6" i="8"/>
  <c r="K6" i="8" s="1"/>
  <c r="J7" i="8"/>
  <c r="K7" i="8" s="1"/>
  <c r="J8" i="8"/>
  <c r="K8" i="8" s="1"/>
  <c r="J9" i="8"/>
  <c r="L9" i="8" s="1"/>
  <c r="J10" i="8"/>
  <c r="L10" i="8" s="1"/>
  <c r="J11" i="8"/>
  <c r="L11" i="8" s="1"/>
  <c r="I2" i="8"/>
  <c r="I12" i="8" s="1"/>
  <c r="I3" i="8"/>
  <c r="I4" i="8"/>
  <c r="I5" i="8"/>
  <c r="I6" i="8"/>
  <c r="I7" i="8"/>
  <c r="I8" i="8"/>
  <c r="I9" i="8"/>
  <c r="I10" i="8"/>
  <c r="I11" i="8"/>
  <c r="C8" i="17"/>
  <c r="C7" i="17"/>
  <c r="G3" i="15"/>
  <c r="G4" i="15"/>
  <c r="G2" i="15"/>
  <c r="B21" i="11"/>
  <c r="J2" i="15" l="1"/>
  <c r="K12" i="13"/>
  <c r="K9" i="13"/>
  <c r="K10" i="13"/>
  <c r="M5" i="8"/>
  <c r="M4" i="8"/>
  <c r="K3" i="8"/>
  <c r="M9" i="8"/>
  <c r="K11" i="8"/>
  <c r="M11" i="8"/>
  <c r="M3" i="8"/>
  <c r="L8" i="8"/>
  <c r="M10" i="8"/>
  <c r="M2" i="8"/>
  <c r="L7" i="8"/>
  <c r="K7" i="13"/>
  <c r="L4" i="13"/>
  <c r="K2" i="13"/>
  <c r="L11" i="13"/>
  <c r="K6" i="13"/>
  <c r="K3" i="13"/>
  <c r="K5" i="13"/>
  <c r="L8" i="13"/>
  <c r="M8" i="8"/>
  <c r="M7" i="8"/>
  <c r="M6" i="8"/>
  <c r="K10" i="8"/>
  <c r="K2" i="8"/>
  <c r="L4" i="8"/>
  <c r="L12" i="8" s="1"/>
  <c r="K9" i="8"/>
  <c r="D7" i="17"/>
  <c r="E8" i="17"/>
  <c r="D8" i="17"/>
  <c r="E7" i="17"/>
  <c r="K12" i="8" l="1"/>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5C23CD-C7C5-407F-B924-43F638769C5D}"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A970BC7E-2CBA-475B-8393-51DBA4AA843F}"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28BA3CFB-6E13-425E-8CD9-5E32C917D535}"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510924C6-A435-40F6-BC74-E9515CDA46C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<sst xmlns="http://schemas.openxmlformats.org/spreadsheetml/2006/main" count="22435" uniqueCount="131">
  <si>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</si>
  <si>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</si>
  <si>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</si>
  <si>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</si>
  <si>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</si>
  <si>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</si>
  <si>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</si>
  <si>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</si>
  <si>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</si>
  <si>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</si>
  <si>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</si>
  <si>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</si>
  <si>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</si>
  <si>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</si>
  <si>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</si>
  <si>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</si>
  <si>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</si>
  <si>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</si>
  <si>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</si>
  <si>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</si>
  <si>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</si>
  <si>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</si>
  <si>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</si>
  <si>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</si>
  <si>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</si>
  <si>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</si>
  <si>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</si>
  <si>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</si>
  <si>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</si>
  <si>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</si>
  <si>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</si>
  <si>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</si>
  <si>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</si>
  <si>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</si>
  <si>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</si>
  <si>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</si>
  <si>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</si>
  <si>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</si>
  <si>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</si>
  <si>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</si>
  <si>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</si>
  <si>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</si>
  <si>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</si>
  <si>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</si>
  <si>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</si>
  <si>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</si>
  <si>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</si>
  <si>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</si>
  <si>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</si>
  <si>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</si>
  <si>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</si>
  <si>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</si>
  <si>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</si>
  <si>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</si>
  <si>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</si>
  <si>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</si>
  <si>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</si>
  <si>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</si>
  <si>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</si>
  <si>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</si>
  <si>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</si>
  <si>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</si>
  <si>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</si>
  <si>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</si>
  <si>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</si>
  <si>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</si>
  <si>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</si>
  <si>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</si>
  <si>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Category</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</si>
  <si>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</si>
  <si>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</si>
  <si>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</si>
  <si>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</si>
  <si>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</si>
  <si>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</si>
  <si>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</si>
  <si>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</si>
  <si>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</si>
  <si>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</si>
  <si>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</si>
  <si>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</si>
  <si>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</si>
  <si>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</si>
  <si>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</si>
  <si>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</si>
  <si>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</si>
  <si>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</si>
  <si>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</si>
  <si>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</si>
  <si>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</si>
  <si>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Net Sales 2022</t>
  </si>
  <si>
    <t>Gross Profit Per Unit</t>
  </si>
  <si>
    <t>Gross Profit Per Product</t>
  </si>
  <si>
    <t>Gross Margin</t>
  </si>
  <si>
    <t>Net Sales Contribution</t>
  </si>
  <si>
    <t>Total</t>
  </si>
  <si>
    <t>Sum of Net Sales Contribution</t>
  </si>
  <si>
    <t>Sum of Units Month</t>
  </si>
  <si>
    <t>Sum of Units MAT</t>
  </si>
  <si>
    <t>Estimated FY'2024 Organic Subcategory Value</t>
  </si>
  <si>
    <t>Estimated Unit Market Share</t>
  </si>
  <si>
    <t>Estimated units sold 2024</t>
  </si>
  <si>
    <t>Net Sales</t>
  </si>
  <si>
    <t>Gross Profit per unit</t>
  </si>
  <si>
    <t>Gross Profit per product</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</si>
  <si>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</si>
  <si>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</si>
  <si>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</si>
  <si>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</si>
  <si>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</si>
  <si>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</si>
  <si>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</si>
  <si>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</si>
  <si>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</si>
  <si>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</si>
  <si>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</si>
  <si>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</si>
  <si>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</si>
  <si>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</si>
  <si>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 xml:space="preserve"> </t>
  </si>
  <si>
    <t>Timeline</t>
  </si>
  <si>
    <t>Values</t>
  </si>
  <si>
    <t>Forecast</t>
  </si>
  <si>
    <t>Lower Confidence Bound</t>
  </si>
  <si>
    <t>Upper Confidence Bound</t>
  </si>
  <si>
    <t>Ratio2</t>
  </si>
  <si>
    <t>Estimated Net Sales 2024</t>
  </si>
  <si>
    <t>Estimated Net Sales 2023</t>
  </si>
  <si>
    <t>Natural Growth</t>
  </si>
  <si>
    <t>Organic Shampoo</t>
  </si>
  <si>
    <t>50 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</si>
</sst>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quot;€&quot;\ * #,##0.00_ ;_ &quot;€&quot;\ * \-#,##0.00_ ;_ &quot;€&quot;\ * &quot;-&quot;??_ ;_ @_ "/>
    <numFmt numFmtId="165" formatCode="_-[$$-409]* #,##0_ ;_-[$$-409]* \-#,##0\ ;_-[$$-409]* &quot;-&quot;??_ ;_-@_ "/>
    <numFmt numFmtId="167" formatCode="0.0%"/>
    <numFmt numFmtId="170" formatCode="&quot;$&quot;#,##0.00"/>
    <numFmt numFmtId="171" formatCode="&quot;$&quot;#,##0.0"/>
    <numFmt numFmtId="174" formatCode="&quot;$&quot;#,##0.0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4">
    <xf numFmtId="0" fontId="0" fillId="0" borderId="0"/>
    <xf numFmtId="164" fontId="1" fillId="0" borderId="0" applyFont="0" applyFill="0" applyBorder="0" applyAlignment="0" applyProtection="0"/>
    <xf numFmtId="43" fontId="1" fillId="0" borderId="0" applyFont="0" applyFill="0" applyBorder="0" applyAlignment="0" applyProtection="0"/>
    <xf numFmtId="0" fontId="1" fillId="2" borderId="0" applyNumberFormat="0" applyBorder="0" applyAlignment="0" applyProtection="0"/>
  </cellStyleXfs>
  <cellXfs count="22">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9" fontId="0" fillId="0" borderId="0" xfId="0" applyNumberFormat="1"/>
    <xf numFmtId="0" fontId="0" fillId="0" borderId="0" xfId="0" applyNumberFormat="1"/>
    <xf numFmtId="167" fontId="0" fillId="0" borderId="0" xfId="0" applyNumberFormat="1"/>
    <xf numFmtId="43" fontId="0" fillId="0" borderId="0" xfId="0" applyNumberFormat="1"/>
    <xf numFmtId="43" fontId="0" fillId="0" borderId="0" xfId="2" applyFont="1"/>
    <xf numFmtId="0" fontId="1" fillId="2" borderId="0" xfId="3"/>
    <xf numFmtId="170" fontId="0" fillId="0" borderId="0" xfId="0" applyNumberFormat="1"/>
    <xf numFmtId="171" fontId="0" fillId="0" borderId="0" xfId="0" applyNumberFormat="1"/>
    <xf numFmtId="0" fontId="0" fillId="0" borderId="0" xfId="0" applyAlignment="1">
      <alignment horizontal="center"/>
    </xf>
    <xf numFmtId="170" fontId="0" fillId="0" borderId="0" xfId="0" applyNumberFormat="1" applyAlignment="1">
      <alignment horizontal="center"/>
    </xf>
    <xf numFmtId="167" fontId="0" fillId="0" borderId="0" xfId="0" applyNumberFormat="1" applyAlignment="1">
      <alignment horizontal="center"/>
    </xf>
    <xf numFmtId="0"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174" fontId="0" fillId="0" borderId="0" xfId="0" applyNumberFormat="1" applyAlignment="1">
      <alignment horizontal="center"/>
    </xf>
  </cellXfs>
  <cellStyles count="4">
    <cellStyle name="40% - Accent1" xfId="3" builtinId="31"/>
    <cellStyle name="Comma" xfId="2" builtinId="3"/>
    <cellStyle name="Currency" xfId="1" builtinId="4"/>
    <cellStyle name="Normal" xfId="0" builtinId="0"/>
  </cellStyles>
  <dxfs count="87">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71" formatCode="&quot;$&quot;#,##0.0"/>
      <alignment horizontal="center" vertical="bottom" textRotation="0" wrapText="0" indent="0" justifyLastLine="0" shrinkToFit="0" readingOrder="0"/>
    </dxf>
    <dxf>
      <numFmt numFmtId="171" formatCode="&quot;$&quot;#,##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quot;$&quot;#,##0.000"/>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numFmt numFmtId="170"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70" formatCode="&quot;$&quot;#,##0.00"/>
    </dxf>
    <dxf>
      <numFmt numFmtId="167" formatCode="0.0%"/>
    </dxf>
    <dxf>
      <numFmt numFmtId="167" formatCode="0.0%"/>
    </dxf>
    <dxf>
      <numFmt numFmtId="171" formatCode="&quot;$&quot;#,##0.0"/>
    </dxf>
    <dxf>
      <numFmt numFmtId="0" formatCode="General"/>
    </dxf>
    <dxf>
      <numFmt numFmtId="171" formatCode="&quot;$&quot;#,##0.0"/>
    </dxf>
    <dxf>
      <numFmt numFmtId="170" formatCode="&quot;$&quot;#,##0.00"/>
    </dxf>
    <dxf>
      <numFmt numFmtId="170" formatCode="&quot;$&quot;#,##0.00"/>
    </dxf>
    <dxf>
      <numFmt numFmtId="0" formatCode="General"/>
    </dxf>
    <dxf>
      <numFmt numFmtId="167" formatCode="0.0%"/>
    </dxf>
    <dxf>
      <numFmt numFmtId="0" formatCode="General"/>
    </dxf>
    <dxf>
      <numFmt numFmtId="35" formatCode="_(* #,##0.00_);_(* \(#,##0.00\);_(* &quot;-&quot;??_);_(@_)"/>
    </dxf>
    <dxf>
      <numFmt numFmtId="167" formatCode="0.0%"/>
    </dxf>
    <dxf>
      <numFmt numFmtId="165" formatCode="_-[$$-409]* #,##0_ ;_-[$$-409]* \-#,##0\ ;_-[$$-409]* &quot;-&quot;??_ ;_-@_ "/>
    </dxf>
    <dxf>
      <numFmt numFmtId="165" formatCode="_-[$$-409]* #,##0_ ;_-[$$-409]* \-#,##0\ ;_-[$$-409]* &quot;-&quot;??_ ;_-@_ "/>
    </dxf>
    <dxf>
      <numFmt numFmtId="165"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gd data.xlsx]HealthMax Growth!PivotTable1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Growth Percentage Compared To 2018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'HealthMax Growth'!$B$3:$B$4</c:f>
              <c:strCache>
                <c:ptCount val="1"/>
                <c:pt idx="0">
                  <c:v>Shinez</c:v>
                </c:pt>
              </c:strCache>
            </c:strRef>
          </c:tx>
          <c:spPr>
            <a:solidFill>
              <a:schemeClr val="accent1"/>
            </a:solidFill>
            <a:ln>
              <a:noFill/>
            </a:ln>
            <a:effectLst/>
          </c:spPr>
          <c:invertIfNegative val="0"/>
          <c:cat>
            <c:strRef>
              <c:f>'HealthMax Growth'!$A$5:$A$10</c:f>
              <c:strCache>
                <c:ptCount val="5"/>
                <c:pt idx="0">
                  <c:v>2018</c:v>
                </c:pt>
                <c:pt idx="1">
                  <c:v>2019</c:v>
                </c:pt>
                <c:pt idx="2">
                  <c:v>2020</c:v>
                </c:pt>
                <c:pt idx="3">
                  <c:v>2021</c:v>
                </c:pt>
                <c:pt idx="4">
                  <c:v>2022</c:v>
                </c:pt>
              </c:strCache>
            </c:strRef>
          </c:cat>
          <c:val>
            <c:numRef>
              <c:f>'HealthMax Growth'!$B$5:$B$10</c:f>
              <c:numCache>
                <c:formatCode>0.00%</c:formatCode>
                <c:ptCount val="5"/>
                <c:pt idx="1">
                  <c:v>-1.8851917463244935E-2</c:v>
                </c:pt>
                <c:pt idx="2">
                  <c:v>7.659905577863356E-2</c:v>
                </c:pt>
                <c:pt idx="3">
                  <c:v>8.9543837962540954E-3</c:v>
                </c:pt>
                <c:pt idx="4">
                  <c:v>6.7382398799515006E-2</c:v>
                </c:pt>
              </c:numCache>
            </c:numRef>
          </c:val>
          <c:extLst>
            <c:ext xmlns:c16="http://schemas.microsoft.com/office/drawing/2014/chart" uri="{C3380CC4-5D6E-409C-BE32-E72D297353CC}">
              <c16:uniqueId val="{00000000-97A1-4BB6-BA51-2012B01CE3DE}"/>
            </c:ext>
          </c:extLst>
        </c:ser>
        <c:ser>
          <c:idx val="1"/>
          <c:order val="1"/>
          <c:tx>
            <c:strRef>
              <c:f>'HealthMax Growth'!$C$3:$C$4</c:f>
              <c:strCache>
                <c:ptCount val="1"/>
                <c:pt idx="0">
                  <c:v>Starbust</c:v>
                </c:pt>
              </c:strCache>
            </c:strRef>
          </c:tx>
          <c:spPr>
            <a:solidFill>
              <a:schemeClr val="accent2"/>
            </a:solidFill>
            <a:ln>
              <a:noFill/>
            </a:ln>
            <a:effectLst/>
          </c:spPr>
          <c:invertIfNegative val="0"/>
          <c:cat>
            <c:strRef>
              <c:f>'HealthMax Growth'!$A$5:$A$10</c:f>
              <c:strCache>
                <c:ptCount val="5"/>
                <c:pt idx="0">
                  <c:v>2018</c:v>
                </c:pt>
                <c:pt idx="1">
                  <c:v>2019</c:v>
                </c:pt>
                <c:pt idx="2">
                  <c:v>2020</c:v>
                </c:pt>
                <c:pt idx="3">
                  <c:v>2021</c:v>
                </c:pt>
                <c:pt idx="4">
                  <c:v>2022</c:v>
                </c:pt>
              </c:strCache>
            </c:strRef>
          </c:cat>
          <c:val>
            <c:numRef>
              <c:f>'HealthMax Growth'!$C$5:$C$10</c:f>
              <c:numCache>
                <c:formatCode>0.00%</c:formatCode>
                <c:ptCount val="5"/>
                <c:pt idx="1">
                  <c:v>-6.0152376717658426E-2</c:v>
                </c:pt>
                <c:pt idx="2">
                  <c:v>1.7745774906480036E-2</c:v>
                </c:pt>
                <c:pt idx="3">
                  <c:v>1.2423428548747735E-2</c:v>
                </c:pt>
                <c:pt idx="4">
                  <c:v>-9.1123767974869612E-5</c:v>
                </c:pt>
              </c:numCache>
            </c:numRef>
          </c:val>
          <c:extLst>
            <c:ext xmlns:c16="http://schemas.microsoft.com/office/drawing/2014/chart" uri="{C3380CC4-5D6E-409C-BE32-E72D297353CC}">
              <c16:uniqueId val="{00000001-97A1-4BB6-BA51-2012B01CE3DE}"/>
            </c:ext>
          </c:extLst>
        </c:ser>
        <c:dLbls>
          <c:showLegendKey val="0"/>
          <c:showVal val="0"/>
          <c:showCatName val="0"/>
          <c:showSerName val="0"/>
          <c:showPercent val="0"/>
          <c:showBubbleSize val="0"/>
        </c:dLbls>
        <c:gapWidth val="182"/>
        <c:axId val="502125903"/>
        <c:axId val="502132143"/>
      </c:barChart>
      <c:catAx>
        <c:axId val="502125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132143"/>
        <c:crosses val="autoZero"/>
        <c:auto val="1"/>
        <c:lblAlgn val="ctr"/>
        <c:lblOffset val="100"/>
        <c:noMultiLvlLbl val="0"/>
      </c:catAx>
      <c:valAx>
        <c:axId val="502132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12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Matrix'!$A$20</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0.0%</c:formatCode>
                <c:ptCount val="10"/>
                <c:pt idx="3">
                  <c:v>0.18619281693140505</c:v>
                </c:pt>
              </c:numCache>
            </c:numRef>
          </c:yVal>
          <c:smooth val="0"/>
          <c:extLst>
            <c:ext xmlns:c16="http://schemas.microsoft.com/office/drawing/2014/chart" uri="{C3380CC4-5D6E-409C-BE32-E72D297353CC}">
              <c16:uniqueId val="{00000000-BC3F-4E51-A210-77FF93CD26B9}"/>
            </c:ext>
          </c:extLst>
        </c:ser>
        <c:ser>
          <c:idx val="1"/>
          <c:order val="1"/>
          <c:tx>
            <c:strRef>
              <c:f>'Profitability Matrix'!$A$21</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0.0%</c:formatCode>
                <c:ptCount val="10"/>
                <c:pt idx="5">
                  <c:v>9.6896202583240873E-2</c:v>
                </c:pt>
              </c:numCache>
            </c:numRef>
          </c:yVal>
          <c:smooth val="0"/>
          <c:extLst>
            <c:ext xmlns:c16="http://schemas.microsoft.com/office/drawing/2014/chart" uri="{C3380CC4-5D6E-409C-BE32-E72D297353CC}">
              <c16:uniqueId val="{00000001-BC3F-4E51-A210-77FF93CD26B9}"/>
            </c:ext>
          </c:extLst>
        </c:ser>
        <c:ser>
          <c:idx val="2"/>
          <c:order val="2"/>
          <c:tx>
            <c:strRef>
              <c:f>'Profitability Matrix'!$A$22</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0.0%</c:formatCode>
                <c:ptCount val="10"/>
                <c:pt idx="7">
                  <c:v>9.6896119578325834E-2</c:v>
                </c:pt>
              </c:numCache>
            </c:numRef>
          </c:yVal>
          <c:smooth val="0"/>
          <c:extLst>
            <c:ext xmlns:c16="http://schemas.microsoft.com/office/drawing/2014/chart" uri="{C3380CC4-5D6E-409C-BE32-E72D297353CC}">
              <c16:uniqueId val="{00000002-BC3F-4E51-A210-77FF93CD26B9}"/>
            </c:ext>
          </c:extLst>
        </c:ser>
        <c:ser>
          <c:idx val="3"/>
          <c:order val="3"/>
          <c:tx>
            <c:strRef>
              <c:f>'Profitability Matrix'!$A$23</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0.0%</c:formatCode>
                <c:ptCount val="10"/>
                <c:pt idx="9">
                  <c:v>6.8397319470522966E-2</c:v>
                </c:pt>
              </c:numCache>
            </c:numRef>
          </c:yVal>
          <c:smooth val="0"/>
          <c:extLst>
            <c:ext xmlns:c16="http://schemas.microsoft.com/office/drawing/2014/chart" uri="{C3380CC4-5D6E-409C-BE32-E72D297353CC}">
              <c16:uniqueId val="{00000003-BC3F-4E51-A210-77FF93CD26B9}"/>
            </c:ext>
          </c:extLst>
        </c:ser>
        <c:ser>
          <c:idx val="4"/>
          <c:order val="4"/>
          <c:tx>
            <c:strRef>
              <c:f>'Profitability Matrix'!$A$24</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0.0%</c:formatCode>
                <c:ptCount val="10"/>
                <c:pt idx="4">
                  <c:v>9.8241009155398171E-2</c:v>
                </c:pt>
              </c:numCache>
            </c:numRef>
          </c:yVal>
          <c:smooth val="0"/>
          <c:extLst>
            <c:ext xmlns:c16="http://schemas.microsoft.com/office/drawing/2014/chart" uri="{C3380CC4-5D6E-409C-BE32-E72D297353CC}">
              <c16:uniqueId val="{00000004-BC3F-4E51-A210-77FF93CD26B9}"/>
            </c:ext>
          </c:extLst>
        </c:ser>
        <c:ser>
          <c:idx val="5"/>
          <c:order val="5"/>
          <c:tx>
            <c:strRef>
              <c:f>'Profitability Matrix'!$A$25</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0.0%</c:formatCode>
                <c:ptCount val="10"/>
                <c:pt idx="0">
                  <c:v>4.7426625718030961E-2</c:v>
                </c:pt>
              </c:numCache>
            </c:numRef>
          </c:yVal>
          <c:smooth val="0"/>
          <c:extLst>
            <c:ext xmlns:c16="http://schemas.microsoft.com/office/drawing/2014/chart" uri="{C3380CC4-5D6E-409C-BE32-E72D297353CC}">
              <c16:uniqueId val="{00000005-BC3F-4E51-A210-77FF93CD26B9}"/>
            </c:ext>
          </c:extLst>
        </c:ser>
        <c:ser>
          <c:idx val="6"/>
          <c:order val="6"/>
          <c:tx>
            <c:strRef>
              <c:f>'Profitability Matrix'!$A$26</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0.0%</c:formatCode>
                <c:ptCount val="10"/>
                <c:pt idx="1">
                  <c:v>4.178071928534096E-2</c:v>
                </c:pt>
              </c:numCache>
            </c:numRef>
          </c:yVal>
          <c:smooth val="0"/>
          <c:extLst>
            <c:ext xmlns:c16="http://schemas.microsoft.com/office/drawing/2014/chart" uri="{C3380CC4-5D6E-409C-BE32-E72D297353CC}">
              <c16:uniqueId val="{00000006-BC3F-4E51-A210-77FF93CD26B9}"/>
            </c:ext>
          </c:extLst>
        </c:ser>
        <c:ser>
          <c:idx val="7"/>
          <c:order val="7"/>
          <c:tx>
            <c:strRef>
              <c:f>'Profitability Matrix'!$A$27</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0.0%</c:formatCode>
                <c:ptCount val="10"/>
                <c:pt idx="8">
                  <c:v>0.17502703482289086</c:v>
                </c:pt>
              </c:numCache>
            </c:numRef>
          </c:yVal>
          <c:smooth val="0"/>
          <c:extLst>
            <c:ext xmlns:c16="http://schemas.microsoft.com/office/drawing/2014/chart" uri="{C3380CC4-5D6E-409C-BE32-E72D297353CC}">
              <c16:uniqueId val="{00000007-BC3F-4E51-A210-77FF93CD26B9}"/>
            </c:ext>
          </c:extLst>
        </c:ser>
        <c:ser>
          <c:idx val="8"/>
          <c:order val="8"/>
          <c:tx>
            <c:strRef>
              <c:f>'Profitability Matrix'!$A$28</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Matrix'!$B$28:$K$28</c:f>
              <c:numCache>
                <c:formatCode>0.0%</c:formatCode>
                <c:ptCount val="10"/>
                <c:pt idx="2">
                  <c:v>0.11856673518754952</c:v>
                </c:pt>
              </c:numCache>
            </c:numRef>
          </c:yVal>
          <c:smooth val="0"/>
          <c:extLst>
            <c:ext xmlns:c16="http://schemas.microsoft.com/office/drawing/2014/chart" uri="{C3380CC4-5D6E-409C-BE32-E72D297353CC}">
              <c16:uniqueId val="{00000008-BC3F-4E51-A210-77FF93CD26B9}"/>
            </c:ext>
          </c:extLst>
        </c:ser>
        <c:ser>
          <c:idx val="9"/>
          <c:order val="9"/>
          <c:tx>
            <c:strRef>
              <c:f>'Profitability Matrix'!$A$29</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Matrix'!$B$19:$K$19</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Matrix'!$B$29:$K$29</c:f>
              <c:numCache>
                <c:formatCode>0.0%</c:formatCode>
                <c:ptCount val="10"/>
                <c:pt idx="6">
                  <c:v>7.0575417267294702E-2</c:v>
                </c:pt>
              </c:numCache>
            </c:numRef>
          </c:yVal>
          <c:smooth val="0"/>
          <c:extLst>
            <c:ext xmlns:c16="http://schemas.microsoft.com/office/drawing/2014/chart" uri="{C3380CC4-5D6E-409C-BE32-E72D297353CC}">
              <c16:uniqueId val="{00000009-BC3F-4E51-A210-77FF93CD26B9}"/>
            </c:ext>
          </c:extLst>
        </c:ser>
        <c:dLbls>
          <c:showLegendKey val="0"/>
          <c:showVal val="0"/>
          <c:showCatName val="0"/>
          <c:showSerName val="0"/>
          <c:showPercent val="0"/>
          <c:showBubbleSize val="0"/>
        </c:dLbls>
        <c:axId val="1949603567"/>
        <c:axId val="1949602607"/>
      </c:scatterChart>
      <c:valAx>
        <c:axId val="1949603567"/>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02607"/>
        <c:crosses val="autoZero"/>
        <c:crossBetween val="midCat"/>
      </c:valAx>
      <c:valAx>
        <c:axId val="194960260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035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gd data.xlsx]Market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gd data.xlsx]Promotion Graph!PivotTable6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a:t>
            </a:r>
            <a:r>
              <a:rPr lang="en-US" baseline="0"/>
              <a:t>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8389-456C-8F21-AAC59E026DF1}"/>
            </c:ext>
          </c:extLst>
        </c:ser>
        <c:dLbls>
          <c:showLegendKey val="0"/>
          <c:showVal val="0"/>
          <c:showCatName val="0"/>
          <c:showSerName val="0"/>
          <c:showPercent val="0"/>
          <c:showBubbleSize val="0"/>
        </c:dLbls>
        <c:smooth val="0"/>
        <c:axId val="467637023"/>
        <c:axId val="467637983"/>
      </c:lineChart>
      <c:catAx>
        <c:axId val="46763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637983"/>
        <c:crosses val="autoZero"/>
        <c:auto val="1"/>
        <c:lblAlgn val="ctr"/>
        <c:lblOffset val="100"/>
        <c:noMultiLvlLbl val="0"/>
      </c:catAx>
      <c:valAx>
        <c:axId val="46763798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637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BA2-4B6B-AE8F-08C6740D86F2}"/>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BA2-4B6B-AE8F-08C6740D86F2}"/>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BA2-4B6B-AE8F-08C6740D86F2}"/>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BA2-4B6B-AE8F-08C6740D86F2}"/>
            </c:ext>
          </c:extLst>
        </c:ser>
        <c:dLbls>
          <c:showLegendKey val="0"/>
          <c:showVal val="0"/>
          <c:showCatName val="0"/>
          <c:showSerName val="0"/>
          <c:showPercent val="0"/>
          <c:showBubbleSize val="0"/>
        </c:dLbls>
        <c:smooth val="0"/>
        <c:axId val="502555231"/>
        <c:axId val="502555711"/>
      </c:lineChart>
      <c:catAx>
        <c:axId val="50255523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555711"/>
        <c:crosses val="autoZero"/>
        <c:auto val="1"/>
        <c:lblAlgn val="ctr"/>
        <c:lblOffset val="100"/>
        <c:noMultiLvlLbl val="0"/>
      </c:catAx>
      <c:valAx>
        <c:axId val="50255571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555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Estimated Net Sales 2024</a:t>
            </a:r>
            <a:r>
              <a:rPr lang="en-US"/>
              <a:t>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F9A8EE8C-D18B-492F-A542-5CB6092754B2}">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231775</xdr:colOff>
      <xdr:row>0</xdr:row>
      <xdr:rowOff>139700</xdr:rowOff>
    </xdr:from>
    <xdr:to>
      <xdr:col>9</xdr:col>
      <xdr:colOff>523875</xdr:colOff>
      <xdr:row>15</xdr:row>
      <xdr:rowOff>120650</xdr:rowOff>
    </xdr:to>
    <xdr:graphicFrame macro="">
      <xdr:nvGraphicFramePr>
        <xdr:cNvPr id="2" name="Chart 1">
          <a:extLst>
            <a:ext uri="{FF2B5EF4-FFF2-40B4-BE49-F238E27FC236}">
              <a16:creationId xmlns:a16="http://schemas.microsoft.com/office/drawing/2014/main" id="{4E575DFA-B293-5394-23B4-8A83ECFE89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400050</xdr:colOff>
      <xdr:row>1</xdr:row>
      <xdr:rowOff>25400</xdr:rowOff>
    </xdr:from>
    <xdr:to>
      <xdr:col>22</xdr:col>
      <xdr:colOff>25400</xdr:colOff>
      <xdr:row>17</xdr:row>
      <xdr:rowOff>133350</xdr:rowOff>
    </xdr:to>
    <xdr:graphicFrame macro="">
      <xdr:nvGraphicFramePr>
        <xdr:cNvPr id="2" name="Chart 1">
          <a:extLst>
            <a:ext uri="{FF2B5EF4-FFF2-40B4-BE49-F238E27FC236}">
              <a16:creationId xmlns:a16="http://schemas.microsoft.com/office/drawing/2014/main" id="{41E9907B-5CEB-A712-FBF4-B121CE67C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xdr:colOff>
      <xdr:row>1</xdr:row>
      <xdr:rowOff>6350</xdr:rowOff>
    </xdr:from>
    <xdr:to>
      <xdr:col>10</xdr:col>
      <xdr:colOff>317500</xdr:colOff>
      <xdr:row>15</xdr:row>
      <xdr:rowOff>171450</xdr:rowOff>
    </xdr:to>
    <xdr:graphicFrame macro="">
      <xdr:nvGraphicFramePr>
        <xdr:cNvPr id="2" name="Chart 1">
          <a:extLst>
            <a:ext uri="{FF2B5EF4-FFF2-40B4-BE49-F238E27FC236}">
              <a16:creationId xmlns:a16="http://schemas.microsoft.com/office/drawing/2014/main" id="{8D959F54-999D-FF0D-B895-28684E744B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9</xdr:row>
      <xdr:rowOff>57150</xdr:rowOff>
    </xdr:from>
    <xdr:to>
      <xdr:col>10</xdr:col>
      <xdr:colOff>501650</xdr:colOff>
      <xdr:row>33</xdr:row>
      <xdr:rowOff>38100</xdr:rowOff>
    </xdr:to>
    <xdr:graphicFrame macro="">
      <xdr:nvGraphicFramePr>
        <xdr:cNvPr id="2" name="Chart 1">
          <a:extLst>
            <a:ext uri="{FF2B5EF4-FFF2-40B4-BE49-F238E27FC236}">
              <a16:creationId xmlns:a16="http://schemas.microsoft.com/office/drawing/2014/main" id="{4C19148E-2265-9B1E-DE1C-3D2D38158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180974</xdr:colOff>
      <xdr:row>3</xdr:row>
      <xdr:rowOff>0</xdr:rowOff>
    </xdr:from>
    <xdr:to>
      <xdr:col>4</xdr:col>
      <xdr:colOff>1511300</xdr:colOff>
      <xdr:row>17</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63E2BE8-7F05-E6C4-4ECC-466C08DD7F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0974" y="552450"/>
              <a:ext cx="5876926"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696851851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5">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5">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5">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76.879238078705" createdVersion="8" refreshedVersion="8" minRefreshableVersion="3" recordCount="10" xr:uid="{CBC77D6B-EBC8-46B6-AFB1-6CBE13457F32}">
  <cacheSource type="worksheet">
    <worksheetSource name="internal_sales_data"/>
  </cacheSource>
  <cacheFields count="14">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0">
      <sharedItems containsSemiMixedTypes="0" containsString="0" containsNumber="1" minValue="5" maxValue="10"/>
    </cacheField>
    <cacheField name="Net Price" numFmtId="0">
      <sharedItems containsSemiMixedTypes="0" containsString="0" containsNumber="1" minValue="2.8" maxValue="6"/>
    </cacheField>
    <cacheField name="COGS" numFmtId="0">
      <sharedItems containsSemiMixedTypes="0" containsString="0" containsNumber="1" minValue="0.9" maxValue="1.7"/>
    </cacheField>
    <cacheField name="Volume 2022" numFmtId="0">
      <sharedItems containsSemiMixedTypes="0" containsString="0" containsNumber="1" containsInteger="1" minValue="231270" maxValue="1156348"/>
    </cacheField>
    <cacheField name="Column1" numFmtId="0">
      <sharedItems/>
    </cacheField>
    <cacheField name="Net Sales 2022" numFmtId="0">
      <sharedItems containsSemiMixedTypes="0" containsString="0" containsNumber="1" minValue="855699" maxValue="3813362"/>
    </cacheField>
    <cacheField name="Gross Profit Per Unit" numFmtId="0">
      <sharedItems containsSemiMixedTypes="0" containsString="0" containsNumber="1" minValue="1.7999999999999998" maxValue="4.3"/>
    </cacheField>
    <cacheField name="Gross Profit Per Product" numFmtId="0">
      <sharedItems containsSemiMixedTypes="0" containsString="0" containsNumber="1" minValue="555048.00000000012" maxValue="2560400.2000000002"/>
    </cacheField>
    <cacheField name="Gross Margin" numFmtId="167">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167">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s v=""/>
    <n v="3584678.8000000003"/>
    <n v="2.2000000000000002"/>
    <n v="2543965.6"/>
    <x v="0"/>
    <n v="0.17502703482289086"/>
  </r>
  <r>
    <s v="Starbust"/>
    <s v="Extra Shiny"/>
    <n v="100"/>
    <x v="1"/>
    <n v="5"/>
    <n v="2.9"/>
    <n v="0.95"/>
    <n v="693809"/>
    <s v=""/>
    <n v="2012046.0999999999"/>
    <n v="1.95"/>
    <n v="1352927.55"/>
    <x v="1"/>
    <n v="9.8241009155398171E-2"/>
  </r>
  <r>
    <s v="Starbust"/>
    <s v="Strong Hair"/>
    <n v="100"/>
    <x v="2"/>
    <n v="5"/>
    <n v="2.8"/>
    <n v="1"/>
    <n v="346904"/>
    <s v=""/>
    <n v="971331.2"/>
    <n v="1.7999999999999998"/>
    <n v="624427.19999999995"/>
    <x v="2"/>
    <n v="4.7426625718030961E-2"/>
  </r>
  <r>
    <s v="Starbust"/>
    <s v="Ultra Soft"/>
    <n v="150"/>
    <x v="3"/>
    <n v="7"/>
    <n v="3.5"/>
    <n v="1.2"/>
    <n v="693809"/>
    <s v=""/>
    <n v="2428331.5"/>
    <n v="2.2999999999999998"/>
    <n v="1595760.7"/>
    <x v="3"/>
    <n v="0.11856673518754952"/>
  </r>
  <r>
    <s v="Starbust"/>
    <s v="Strong Hair"/>
    <n v="150"/>
    <x v="4"/>
    <n v="7.25"/>
    <n v="3.7"/>
    <n v="1.3"/>
    <n v="231270"/>
    <s v=""/>
    <n v="855699"/>
    <n v="2.4000000000000004"/>
    <n v="555048.00000000012"/>
    <x v="4"/>
    <n v="4.178071928534096E-2"/>
  </r>
  <r>
    <s v="Starbust"/>
    <s v="Ultra Soft"/>
    <n v="200"/>
    <x v="5"/>
    <n v="9"/>
    <n v="5"/>
    <n v="1.5"/>
    <n v="289087"/>
    <s v=""/>
    <n v="1445435"/>
    <n v="3.5"/>
    <n v="1011804.5"/>
    <x v="5"/>
    <n v="7.0575417267294702E-2"/>
  </r>
  <r>
    <s v="Shinez"/>
    <s v="Repair"/>
    <n v="100"/>
    <x v="6"/>
    <n v="6"/>
    <n v="3.5"/>
    <n v="1.1499999999999999"/>
    <n v="1089532"/>
    <s v=""/>
    <n v="3813362"/>
    <n v="2.35"/>
    <n v="2560400.2000000002"/>
    <x v="6"/>
    <n v="0.18619281693140505"/>
  </r>
  <r>
    <s v="Shinez"/>
    <s v="Repair"/>
    <n v="125"/>
    <x v="7"/>
    <n v="7"/>
    <n v="4.25"/>
    <n v="1.3"/>
    <n v="466942"/>
    <s v=""/>
    <n v="1984503.5"/>
    <n v="2.95"/>
    <n v="1377478.9000000001"/>
    <x v="7"/>
    <n v="9.6896202583240873E-2"/>
  </r>
  <r>
    <s v="Shinez"/>
    <s v="Repair"/>
    <n v="150"/>
    <x v="8"/>
    <n v="8"/>
    <n v="5.0999999999999996"/>
    <n v="1.5"/>
    <n v="389118"/>
    <s v=""/>
    <n v="1984501.7999999998"/>
    <n v="3.5999999999999996"/>
    <n v="1400824.7999999998"/>
    <x v="8"/>
    <n v="9.6896119578325834E-2"/>
  </r>
  <r>
    <s v="Shinez"/>
    <s v="Repair"/>
    <n v="200"/>
    <x v="9"/>
    <n v="10"/>
    <n v="6"/>
    <n v="1.7"/>
    <n v="233471"/>
    <s v=""/>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5" showAll="0"/>
    <pivotField showAll="0"/>
    <pivotField numFmtId="165" showAll="0"/>
    <pivotField showAll="0"/>
    <pivotField numFmtId="165"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chartFormats count="2">
    <chartFormat chart="0" format="0" series="1">
      <pivotArea type="data" outline="0" fieldPosition="0">
        <references count="2">
          <reference field="4294967294" count="1" selected="0">
            <x v="0"/>
          </reference>
          <reference field="3" count="1" selected="0">
            <x v="18"/>
          </reference>
        </references>
      </pivotArea>
    </chartFormat>
    <chartFormat chart="0" format="1" series="1">
      <pivotArea type="data" outline="0" fieldPosition="0">
        <references count="2">
          <reference field="4294967294" count="1" selected="0">
            <x v="0"/>
          </reference>
          <reference field="3"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showAll="0"/>
    <pivotField dataField="1" numFmtId="165" showAll="0"/>
  </pivotFields>
  <rowItems count="1">
    <i/>
  </rowItems>
  <colItems count="1">
    <i/>
  </colItems>
  <pageFields count="2">
    <pageField fld="5" item="5" hier="-1"/>
    <pageField fld="6" item="2" hier="-1"/>
  </pageFields>
  <dataFields count="1">
    <dataField name="Sum of Values MAT" fld="12" baseField="0" baseItem="0" numFmtId="165"/>
  </dataFields>
  <formats count="1">
    <format dxfId="8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954517-3C0D-4A0E-93D9-948363710995}" name="PivotTable1"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A3:K14" firstHeaderRow="1" firstDataRow="2" firstDataCol="1"/>
  <pivotFields count="14">
    <pivotField showAll="0"/>
    <pivotField showAll="0"/>
    <pivotField showAll="0"/>
    <pivotField axis="axisRow" showAll="0">
      <items count="11">
        <item x="6"/>
        <item x="7"/>
        <item x="8"/>
        <item x="9"/>
        <item x="1"/>
        <item x="2"/>
        <item x="4"/>
        <item x="0"/>
        <item x="3"/>
        <item x="5"/>
        <item t="default"/>
      </items>
    </pivotField>
    <pivotField showAll="0"/>
    <pivotField showAll="0"/>
    <pivotField showAll="0"/>
    <pivotField showAll="0"/>
    <pivotField showAll="0"/>
    <pivotField showAll="0"/>
    <pivotField showAll="0"/>
    <pivotField showAll="0"/>
    <pivotField axis="axisCol" numFmtId="167" showAll="0">
      <items count="11">
        <item x="2"/>
        <item x="4"/>
        <item x="3"/>
        <item x="6"/>
        <item x="1"/>
        <item x="7"/>
        <item x="5"/>
        <item x="8"/>
        <item x="0"/>
        <item x="9"/>
        <item t="default"/>
      </items>
    </pivotField>
    <pivotField dataField="1" numFmtId="167" showAll="0"/>
  </pivotFields>
  <rowFields count="1">
    <field x="3"/>
  </rowFields>
  <rowItems count="10">
    <i>
      <x/>
    </i>
    <i>
      <x v="1"/>
    </i>
    <i>
      <x v="2"/>
    </i>
    <i>
      <x v="3"/>
    </i>
    <i>
      <x v="4"/>
    </i>
    <i>
      <x v="5"/>
    </i>
    <i>
      <x v="6"/>
    </i>
    <i>
      <x v="7"/>
    </i>
    <i>
      <x v="8"/>
    </i>
    <i>
      <x v="9"/>
    </i>
  </rowItems>
  <colFields count="1">
    <field x="12"/>
  </colFields>
  <colItems count="10">
    <i>
      <x/>
    </i>
    <i>
      <x v="1"/>
    </i>
    <i>
      <x v="2"/>
    </i>
    <i>
      <x v="3"/>
    </i>
    <i>
      <x v="4"/>
    </i>
    <i>
      <x v="5"/>
    </i>
    <i>
      <x v="6"/>
    </i>
    <i>
      <x v="7"/>
    </i>
    <i>
      <x v="8"/>
    </i>
    <i>
      <x v="9"/>
    </i>
  </colItems>
  <dataFields count="1">
    <dataField name="Sum of Net Sales Contribution" fld="13"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85">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05C06E-F48B-49E9-AA0A-C8F1160EE343}" name="PivotTable5"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A17:B18"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dataField="1" showAll="0"/>
    <pivotField numFmtId="165"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43"/>
  </dataFields>
  <formats count="1">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02DEC7-48AE-4F6F-89A4-41A5FA878EB4}" name="PivotTable3"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5" showAll="0"/>
    <pivotField showAll="0"/>
    <pivotField numFmtId="165" showAll="0"/>
    <pivotField showAll="0"/>
    <pivotField numFmtId="165"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1">
    <format dxfId="76">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BC79E37-19BD-4EFB-8721-DAB381D20EE4}" name="PivotTable6" cacheId="32"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5" showAll="0"/>
    <pivotField showAll="0"/>
    <pivotField numFmtId="165" showAll="0"/>
    <pivotField showAll="0"/>
    <pivotField numFmtId="165"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7FFD111-0C0F-4118-8EE5-F3E5D8C55802}" name="PivotTable7"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multipleItemSelectionAllowed="1"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6A1F7B8-7246-410A-91DE-C89FE1484EEC}" autoFormatId="16" applyNumberFormats="0" applyBorderFormats="0" applyFontFormats="0" applyPatternFormats="0" applyAlignmentFormats="0" applyWidthHeightFormats="0">
  <queryTableRefresh nextId="16"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5" dataBound="0" tableColumnId="15"/>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D1EAA65-5F0D-4172-BCDC-3FC7F0C4C533}"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3E4788CD-CF24-44A4-A4AA-1EC411CCB1DD}"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4C0CFFE0-1881-40B9-BAE4-501E3F92F671}" autoFormatId="16" applyNumberFormats="0" applyBorderFormats="0" applyFontFormats="0" applyPatternFormats="0" applyAlignmentFormats="0" applyWidthHeightFormats="0">
  <queryTableRefresh nextId="15"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4" dataBound="0" tableColumnId="14"/>
    </queryTableFields>
    <queryTableDeletedFields count="1">
      <deletedField name="Column1"/>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B7AFA7-961E-4003-BAA1-3F8CE42005C3}" name="internal_sales_data5" displayName="internal_sales_data5" ref="A1:M12" tableType="queryTable" headerRowDxfId="60" dataDxfId="58" totalsRowDxfId="59">
  <autoFilter ref="A1:M12" xr:uid="{BD5A9DF2-A72C-4E5F-A911-74FD84525599}"/>
  <tableColumns count="13">
    <tableColumn id="1" xr3:uid="{05356348-A003-42E3-9FD4-45420C8455BE}" uniqueName="1" name="Brand" totalsRowLabel="Total" queryTableFieldId="1" dataDxfId="63"/>
    <tableColumn id="2" xr3:uid="{69F7513E-7A0E-4ADE-84CA-06A3D30D7B20}" uniqueName="2" name="Product" queryTableFieldId="2" dataDxfId="62"/>
    <tableColumn id="3" xr3:uid="{59535D9D-DFD2-4FE2-88AA-B16735CF90EA}" uniqueName="3" name="Pack Size (ml)" queryTableFieldId="3" dataDxfId="61"/>
    <tableColumn id="4" xr3:uid="{58452B7D-6C0F-4DE5-A173-DA0F5D171854}" uniqueName="4" name="ProductID" queryTableFieldId="4" dataDxfId="35"/>
    <tableColumn id="5" xr3:uid="{A1BF9F3D-DF18-4929-BFCB-4DD704ABA4EB}" uniqueName="5" name="Retail Price" queryTableFieldId="5" dataDxfId="34"/>
    <tableColumn id="6" xr3:uid="{E2EF7C80-AB97-45A5-A8AD-0B02882FC862}" uniqueName="6" name="Net Price" queryTableFieldId="6" dataDxfId="30"/>
    <tableColumn id="7" xr3:uid="{24397026-3341-4A2D-8B4B-CD7FA1678EC1}" uniqueName="7" name="COGS" queryTableFieldId="7" dataDxfId="28"/>
    <tableColumn id="8" xr3:uid="{FEA17558-330B-4315-8852-8CFF7DC8E245}" uniqueName="8" name="Volume 2022" totalsRowFunction="sum" queryTableFieldId="8" dataDxfId="29"/>
    <tableColumn id="10" xr3:uid="{A1112A3F-461F-4F87-847A-2422FD7FD1D3}" uniqueName="10" name="Net Sales 2022" totalsRowFunction="sum" queryTableFieldId="10" dataDxfId="33" totalsRowDxfId="64">
      <calculatedColumnFormula>internal_sales_data5[[#This Row],[Net Price]]*internal_sales_data5[[#This Row],[Volume 2022]]</calculatedColumnFormula>
    </tableColumn>
    <tableColumn id="11" xr3:uid="{48833139-331A-4C7A-9A2E-6BE91F80CCD3}" uniqueName="11" name="Gross Profit Per Unit" queryTableFieldId="11" dataDxfId="32">
      <calculatedColumnFormula>internal_sales_data5[[#This Row],[Net Price]]-internal_sales_data5[[#This Row],[COGS]]</calculatedColumnFormula>
    </tableColumn>
    <tableColumn id="12" xr3:uid="{DA4C33C6-CD63-4861-92A2-ADDF760B7A7C}" uniqueName="12" name="Gross Profit Per Product" totalsRowFunction="sum" queryTableFieldId="12" dataDxfId="31">
      <calculatedColumnFormula>internal_sales_data5[[#This Row],[Gross Profit Per Unit]]*internal_sales_data5[[#This Row],[Volume 2022]]</calculatedColumnFormula>
    </tableColumn>
    <tableColumn id="13" xr3:uid="{835EAEBA-0F4E-4B97-8B1E-9AD109C827F7}" uniqueName="13" name="Gross Margin" totalsRowFunction="average" queryTableFieldId="13" dataDxfId="19" totalsRowDxfId="65">
      <calculatedColumnFormula>internal_sales_data5[[#This Row],[Gross Profit Per Unit]]/internal_sales_data5[[#This Row],[Net Price]]</calculatedColumnFormula>
    </tableColumn>
    <tableColumn id="15" xr3:uid="{750F5F58-9AD2-4C3C-A7F0-5D07859E140C}" uniqueName="15" name="Price Per ml" queryTableFieldId="15" dataDxfId="18" totalsRowDxfId="36">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07A387-BDF4-4D8A-B11A-4AD36C3CE88F}" name="new_product_launch" displayName="new_product_launch" ref="A1:I3" tableType="queryTable" totalsRowShown="0">
  <autoFilter ref="A1:I3" xr:uid="{0707A387-BDF4-4D8A-B11A-4AD36C3CE88F}"/>
  <tableColumns count="9">
    <tableColumn id="1" xr3:uid="{0DC79A5B-0899-4046-A39E-B48FC6B9B3BC}" uniqueName="1" name="Product" queryTableFieldId="1" dataDxfId="74"/>
    <tableColumn id="2" xr3:uid="{92B980A9-2075-4F52-9660-A06A592B4B02}" uniqueName="2" name="Estimated Unit Market Share" queryTableFieldId="2" dataDxfId="73"/>
    <tableColumn id="3" xr3:uid="{D86D07A3-C7AC-42C4-A2E0-FEFE5EFF9FF2}" uniqueName="3" name="Estimated units sold 2024" queryTableFieldId="3" dataDxfId="72"/>
    <tableColumn id="4" xr3:uid="{E58485C1-5436-41AF-B97C-B2F067FCB61F}" uniqueName="4" name="Net Price" queryTableFieldId="4" dataDxfId="71"/>
    <tableColumn id="5" xr3:uid="{0EAEA652-B83D-49C2-94AC-E8D8C84826C5}" uniqueName="5" name="Net Sales" queryTableFieldId="5" dataDxfId="69"/>
    <tableColumn id="6" xr3:uid="{FDFC6937-25FD-4A55-BF0B-7C5F3CE12AE7}" uniqueName="6" name="COGS" queryTableFieldId="6" dataDxfId="70"/>
    <tableColumn id="7" xr3:uid="{D9355E3E-800F-419C-9E70-7D21D14C42A7}" uniqueName="7" name="Gross Profit per unit" queryTableFieldId="7" dataDxfId="68"/>
    <tableColumn id="8" xr3:uid="{19CB455B-9D8D-4D4F-A1BE-B9660A4664F0}" uniqueName="8" name="Gross Profit per product" queryTableFieldId="8" dataDxfId="67"/>
    <tableColumn id="9" xr3:uid="{AB2E3476-94D2-492D-ADAA-20F124801827}" uniqueName="9" name="Gross Margin" queryTableFieldId="9" dataDxfId="6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179A64-5B66-4C35-A5FC-4FCFA69EE2DA}" name="promotion_analysis" displayName="promotion_analysis" ref="A1:J5" tableType="queryTable" totalsRowShown="0" headerRowDxfId="7" dataDxfId="6">
  <autoFilter ref="A1:J5" xr:uid="{ED179A64-5B66-4C35-A5FC-4FCFA69EE2DA}"/>
  <tableColumns count="10">
    <tableColumn id="1" xr3:uid="{6F0B45E2-BC9C-4753-A358-E257700D6C8D}" uniqueName="1" name="Promotion " queryTableFieldId="1" dataDxfId="17"/>
    <tableColumn id="2" xr3:uid="{0AB8F221-5AE0-4492-A41D-9316EF03C3B4}" uniqueName="2" name="Mechanism" queryTableFieldId="2" dataDxfId="16"/>
    <tableColumn id="3" xr3:uid="{5AE981D7-7FF7-4509-A3A8-0DC235B49A5F}" uniqueName="3" name="Brand" queryTableFieldId="3" dataDxfId="15"/>
    <tableColumn id="4" xr3:uid="{77F2F907-B422-422F-84F4-EDD27249C969}" uniqueName="4" name="Year" queryTableFieldId="4" dataDxfId="14"/>
    <tableColumn id="5" xr3:uid="{0C4E61F6-0136-404F-B631-2ED3AC85751D}" uniqueName="5" name="Month" queryTableFieldId="5" dataDxfId="13"/>
    <tableColumn id="6" xr3:uid="{024AB579-C308-4840-9B14-0B80478FAB0F}" uniqueName="6" name="Value sales" queryTableFieldId="6" dataDxfId="12"/>
    <tableColumn id="7" xr3:uid="{C69F39BA-05A9-4840-86AF-404C52238B6A}" uniqueName="7" name="Baseline sales " queryTableFieldId="7" dataDxfId="11"/>
    <tableColumn id="8" xr3:uid="{30819A07-E618-477E-B2E8-2315F99CE8AE}" uniqueName="8" name="Uplift" queryTableFieldId="8" dataDxfId="10"/>
    <tableColumn id="9" xr3:uid="{EFEB0E2A-7808-4D6E-B520-D0354F1B54CF}" uniqueName="9" name="Costs" queryTableFieldId="9" dataDxfId="9"/>
    <tableColumn id="10" xr3:uid="{D4A73682-2BBE-4259-96D0-1E51E39F1FA5}" uniqueName="10" name="ROI" queryTableFieldId="10"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2F4B536-37B6-464E-A152-E9D23697A5DC}" name="Table6" displayName="Table6" ref="A1:G8" totalsRowShown="0">
  <autoFilter ref="A1:G8" xr:uid="{F2F4B536-37B6-464E-A152-E9D23697A5DC}"/>
  <tableColumns count="7">
    <tableColumn id="1" xr3:uid="{07A28A1A-A5FA-437C-A5A6-2D6B52FD1CEA}" name="Timeline"/>
    <tableColumn id="2" xr3:uid="{E6E0DD29-E437-4DE5-B6DD-74FC0AC74258}" name="Values" dataDxfId="5"/>
    <tableColumn id="3" xr3:uid="{6A335479-8EA0-40DA-8434-568CD221D04C}" name="Forecast" dataDxfId="4"/>
    <tableColumn id="4" xr3:uid="{10F33D97-FEF3-4774-8348-A3DC03017B07}" name="Lower Confidence Bound" dataDxfId="3"/>
    <tableColumn id="5" xr3:uid="{DCD0D00C-F225-41B1-8541-C2180075271C}" name="Upper Confidence Bound" dataDxfId="2"/>
    <tableColumn id="6" xr3:uid="{6F73568E-2232-4F24-834A-D187392FF3F8}" name="Net Sales" dataDxfId="1">
      <calculatedColumnFormula>internal_sales_data[[#Totals],[Net Sales 2022]]</calculatedColumnFormula>
    </tableColumn>
    <tableColumn id="7" xr3:uid="{C297376F-73B1-49C2-B9F6-90B3EE56B96A}" name="Ratio2" dataDxfId="0">
      <calculatedColumnFormula>Table6[[#This Row],[Net Sales]]/Table6[[#This Row],[Values]]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5A9DF2-A72C-4E5F-A911-74FD84525599}" name="internal_sales_data" displayName="internal_sales_data" ref="A1:M12" tableType="queryTable" totalsRowCount="1" headerRowDxfId="39" dataDxfId="37" totalsRowDxfId="38">
  <autoFilter ref="A1:M11" xr:uid="{BD5A9DF2-A72C-4E5F-A911-74FD84525599}"/>
  <tableColumns count="13">
    <tableColumn id="1" xr3:uid="{96B05C8D-2E3E-4D46-8D31-4A9F1AC8F7B3}" uniqueName="1" name="Brand" totalsRowLabel="Total" queryTableFieldId="1" dataDxfId="57" totalsRowDxfId="56"/>
    <tableColumn id="2" xr3:uid="{3BC24BAD-3384-4E49-8260-C535E287DB48}" uniqueName="2" name="Product" queryTableFieldId="2" dataDxfId="55" totalsRowDxfId="54"/>
    <tableColumn id="3" xr3:uid="{1FDC6F94-6267-4170-AD2D-8C864E8BF367}" uniqueName="3" name="Pack Size (ml)" queryTableFieldId="3" dataDxfId="53" totalsRowDxfId="52"/>
    <tableColumn id="4" xr3:uid="{77808DC5-B1CA-49AA-90A3-420A6BF13624}" uniqueName="4" name="ProductID" queryTableFieldId="4" dataDxfId="23" totalsRowDxfId="51"/>
    <tableColumn id="5" xr3:uid="{02D7D628-5F61-4A19-ABBF-986FEFC3FBED}" uniqueName="5" name="Retail Price" queryTableFieldId="5" dataDxfId="21" totalsRowDxfId="20"/>
    <tableColumn id="6" xr3:uid="{12D2FAA8-0B2C-4114-9D7B-72C15A09ACEB}" uniqueName="6" name="Net Price" queryTableFieldId="6" dataDxfId="22" totalsRowDxfId="24"/>
    <tableColumn id="7" xr3:uid="{409FD3AB-6587-4D15-927F-55013F04ADFC}" uniqueName="7" name="COGS" queryTableFieldId="7" dataDxfId="25" totalsRowDxfId="26"/>
    <tableColumn id="8" xr3:uid="{93F31DC0-C2AF-4649-BABF-379C4D5DAFCC}" uniqueName="8" name="Volume 2022" totalsRowFunction="sum" queryTableFieldId="8" dataDxfId="27" totalsRowDxfId="50"/>
    <tableColumn id="10" xr3:uid="{78BC2EDD-EAD1-45B0-8D87-4A4B4823C1FD}" uniqueName="10" name="Net Sales 2022" totalsRowFunction="sum" queryTableFieldId="10" dataDxfId="49" totalsRowDxfId="48">
      <calculatedColumnFormula>internal_sales_data[[#This Row],[Net Price]]*internal_sales_data[[#This Row],[Volume 2022]]</calculatedColumnFormula>
    </tableColumn>
    <tableColumn id="11" xr3:uid="{E9E6D65F-ABBA-4A5A-9518-D4F57F27D2B4}" uniqueName="11" name="Gross Profit Per Unit" queryTableFieldId="11" dataDxfId="47" totalsRowDxfId="46" dataCellStyle="Currency" totalsRowCellStyle="Currency">
      <calculatedColumnFormula>internal_sales_data[[#This Row],[Net Price]]-internal_sales_data[[#This Row],[COGS]]</calculatedColumnFormula>
    </tableColumn>
    <tableColumn id="12" xr3:uid="{F489DFC3-D2DE-4734-949F-359649C6C2C4}" uniqueName="12" name="Gross Profit Per Product" totalsRowFunction="sum" queryTableFieldId="12" dataDxfId="45" totalsRowDxfId="44" dataCellStyle="Currency" totalsRowCellStyle="Currency">
      <calculatedColumnFormula>internal_sales_data[[#This Row],[Gross Profit Per Unit]]*internal_sales_data[[#This Row],[Volume 2022]]</calculatedColumnFormula>
    </tableColumn>
    <tableColumn id="13" xr3:uid="{15F19DCF-67B9-462A-96E3-FBB2025EF4F4}" uniqueName="13" name="Gross Margin" totalsRowFunction="average" queryTableFieldId="13" dataDxfId="43" totalsRowDxfId="42">
      <calculatedColumnFormula>internal_sales_data[[#This Row],[Gross Profit Per Unit]]/internal_sales_data[[#This Row],[Net Price]]</calculatedColumnFormula>
    </tableColumn>
    <tableColumn id="14" xr3:uid="{3DB3E4C5-1445-428A-9EF5-A4F6D2A61BDC}" uniqueName="14" name="Net Sales Contribution" queryTableFieldId="14" dataDxfId="41" totalsRowDxfId="40">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84"/>
    <tableColumn id="2" xr3:uid="{E62B3F1F-9A15-44B4-B1DD-CAF27CF3C747}" name="Subcategory" dataDxfId="83"/>
    <tableColumn id="3" xr3:uid="{FA4BBA42-4CD5-4FEC-99C8-F3DEA363596F}" name="Supplier" dataDxfId="82"/>
    <tableColumn id="4" xr3:uid="{363950AD-92F1-4B62-BAD5-6C6ED9D314C8}" name="Brand" dataDxfId="81"/>
    <tableColumn id="5" xr3:uid="{278D3098-9E4F-422C-8E1A-9941BBC3EF43}" name="Region" dataDxfId="80"/>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79"/>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78"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77">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5"/>
  <sheetViews>
    <sheetView tabSelected="1" topLeftCell="A10" workbookViewId="0">
      <selection activeCell="A44" sqref="A44"/>
    </sheetView>
  </sheetViews>
  <sheetFormatPr defaultRowHeight="14.5" x14ac:dyDescent="0.35"/>
  <cols>
    <col min="1" max="1" width="21.81640625" bestFit="1" customWidth="1"/>
  </cols>
  <sheetData>
    <row r="3" spans="1:1" x14ac:dyDescent="0.35">
      <c r="A3" s="2" t="s">
        <v>58</v>
      </c>
    </row>
    <row r="4" spans="1:1" x14ac:dyDescent="0.35">
      <c r="A4" s="3" t="s">
        <v>9</v>
      </c>
    </row>
    <row r="5" spans="1:1" x14ac:dyDescent="0.35">
      <c r="A5" s="4" t="s">
        <v>26</v>
      </c>
    </row>
    <row r="6" spans="1:1" x14ac:dyDescent="0.35">
      <c r="A6" s="4" t="s">
        <v>27</v>
      </c>
    </row>
    <row r="7" spans="1:1" x14ac:dyDescent="0.35">
      <c r="A7" s="4" t="s">
        <v>10</v>
      </c>
    </row>
    <row r="8" spans="1:1" x14ac:dyDescent="0.35">
      <c r="A8" s="4" t="s">
        <v>48</v>
      </c>
    </row>
    <row r="9" spans="1:1" x14ac:dyDescent="0.35">
      <c r="A9" s="3" t="s">
        <v>14</v>
      </c>
    </row>
    <row r="10" spans="1:1" x14ac:dyDescent="0.35">
      <c r="A10" s="4" t="s">
        <v>15</v>
      </c>
    </row>
    <row r="11" spans="1:1" x14ac:dyDescent="0.35">
      <c r="A11" s="3" t="s">
        <v>49</v>
      </c>
    </row>
    <row r="12" spans="1:1" x14ac:dyDescent="0.35">
      <c r="A12" s="4" t="s">
        <v>50</v>
      </c>
    </row>
    <row r="13" spans="1:1" x14ac:dyDescent="0.35">
      <c r="A13" s="3" t="s">
        <v>28</v>
      </c>
    </row>
    <row r="14" spans="1:1" x14ac:dyDescent="0.35">
      <c r="A14" s="4" t="s">
        <v>29</v>
      </c>
    </row>
    <row r="15" spans="1:1" x14ac:dyDescent="0.35">
      <c r="A15" s="3" t="s">
        <v>31</v>
      </c>
    </row>
    <row r="16" spans="1:1" x14ac:dyDescent="0.35">
      <c r="A16" s="4" t="s">
        <v>32</v>
      </c>
    </row>
    <row r="17" spans="1:1" x14ac:dyDescent="0.35">
      <c r="A17" s="3" t="s">
        <v>33</v>
      </c>
    </row>
    <row r="18" spans="1:1" x14ac:dyDescent="0.35">
      <c r="A18" s="4" t="s">
        <v>41</v>
      </c>
    </row>
    <row r="19" spans="1:1" x14ac:dyDescent="0.35">
      <c r="A19" s="4" t="s">
        <v>34</v>
      </c>
    </row>
    <row r="20" spans="1:1" x14ac:dyDescent="0.35">
      <c r="A20" s="3" t="s">
        <v>42</v>
      </c>
    </row>
    <row r="21" spans="1:1" x14ac:dyDescent="0.35">
      <c r="A21" s="4" t="s">
        <v>43</v>
      </c>
    </row>
    <row r="22" spans="1:1" x14ac:dyDescent="0.35">
      <c r="A22" s="3" t="s">
        <v>16</v>
      </c>
    </row>
    <row r="23" spans="1:1" x14ac:dyDescent="0.35">
      <c r="A23" s="4" t="s">
        <v>17</v>
      </c>
    </row>
    <row r="24" spans="1:1" x14ac:dyDescent="0.35">
      <c r="A24" s="4" t="s">
        <v>51</v>
      </c>
    </row>
    <row r="25" spans="1:1" x14ac:dyDescent="0.35">
      <c r="A25" s="4" t="s">
        <v>56</v>
      </c>
    </row>
    <row r="26" spans="1:1" x14ac:dyDescent="0.35">
      <c r="A26" s="3" t="s">
        <v>21</v>
      </c>
    </row>
    <row r="27" spans="1:1" x14ac:dyDescent="0.35">
      <c r="A27" s="4" t="s">
        <v>22</v>
      </c>
    </row>
    <row r="28" spans="1:1" x14ac:dyDescent="0.35">
      <c r="A28" s="4" t="s">
        <v>57</v>
      </c>
    </row>
    <row r="29" spans="1:1" x14ac:dyDescent="0.35">
      <c r="A29" s="3" t="s">
        <v>35</v>
      </c>
    </row>
    <row r="30" spans="1:1" x14ac:dyDescent="0.35">
      <c r="A30" s="4" t="s">
        <v>36</v>
      </c>
    </row>
    <row r="31" spans="1:1" x14ac:dyDescent="0.35">
      <c r="A31" s="3" t="s">
        <v>37</v>
      </c>
    </row>
    <row r="32" spans="1:1" x14ac:dyDescent="0.35">
      <c r="A32" s="4" t="s">
        <v>38</v>
      </c>
    </row>
    <row r="33" spans="1:1" x14ac:dyDescent="0.35">
      <c r="A33" s="3" t="s">
        <v>19</v>
      </c>
    </row>
    <row r="34" spans="1:1" x14ac:dyDescent="0.35">
      <c r="A34" s="4" t="s">
        <v>20</v>
      </c>
    </row>
    <row r="35" spans="1:1" x14ac:dyDescent="0.35">
      <c r="A35" s="3" t="s">
        <v>44</v>
      </c>
    </row>
    <row r="36" spans="1:1" x14ac:dyDescent="0.35">
      <c r="A36" s="4" t="s">
        <v>45</v>
      </c>
    </row>
    <row r="37" spans="1:1" x14ac:dyDescent="0.35">
      <c r="A37" s="3" t="s">
        <v>46</v>
      </c>
    </row>
    <row r="38" spans="1:1" x14ac:dyDescent="0.35">
      <c r="A38" s="4" t="s">
        <v>47</v>
      </c>
    </row>
    <row r="39" spans="1:1" x14ac:dyDescent="0.35">
      <c r="A39" s="3" t="s">
        <v>23</v>
      </c>
    </row>
    <row r="40" spans="1:1" x14ac:dyDescent="0.35">
      <c r="A40" s="4" t="s">
        <v>24</v>
      </c>
    </row>
    <row r="41" spans="1:1" x14ac:dyDescent="0.35">
      <c r="A41" s="4" t="s">
        <v>52</v>
      </c>
    </row>
    <row r="42" spans="1:1" x14ac:dyDescent="0.35">
      <c r="A42" s="3" t="s">
        <v>53</v>
      </c>
    </row>
    <row r="43" spans="1:1" x14ac:dyDescent="0.35">
      <c r="A43" s="4" t="s">
        <v>54</v>
      </c>
    </row>
    <row r="44" spans="1:1" x14ac:dyDescent="0.35">
      <c r="A44" s="3" t="s">
        <v>39</v>
      </c>
    </row>
    <row r="45" spans="1:1" x14ac:dyDescent="0.35">
      <c r="A45" s="4"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16" sqref="C16"/>
    </sheetView>
  </sheetViews>
  <sheetFormatPr defaultRowHeight="14.5" x14ac:dyDescent="0.35"/>
  <cols>
    <col min="1" max="1" width="20.26953125" bestFit="1" customWidth="1"/>
    <col min="2" max="2" width="16.26953125" bestFit="1" customWidth="1"/>
    <col min="3" max="3" width="8.26953125" bestFit="1" customWidth="1"/>
    <col min="4" max="4" width="11.26953125" bestFit="1" customWidth="1"/>
    <col min="5" max="5" width="11.54296875" bestFit="1" customWidth="1"/>
    <col min="6" max="6" width="12.1796875" bestFit="1" customWidth="1"/>
    <col min="7" max="7" width="9.54296875" bestFit="1" customWidth="1"/>
    <col min="8" max="8" width="12.54296875" bestFit="1" customWidth="1"/>
    <col min="9" max="9" width="15.453125" bestFit="1" customWidth="1"/>
    <col min="10" max="10" width="12.81640625" bestFit="1" customWidth="1"/>
    <col min="11" max="11" width="9" bestFit="1" customWidth="1"/>
    <col min="12" max="12" width="8" bestFit="1" customWidth="1"/>
    <col min="13" max="13" width="13.26953125" bestFit="1" customWidth="1"/>
    <col min="14" max="14" width="9" bestFit="1" customWidth="1"/>
    <col min="15" max="15" width="12" bestFit="1" customWidth="1"/>
    <col min="16" max="16" width="9" bestFit="1" customWidth="1"/>
    <col min="17" max="17" width="13.7265625" bestFit="1" customWidth="1"/>
    <col min="18" max="18" width="8.7265625" bestFit="1" customWidth="1"/>
    <col min="19" max="19" width="9" bestFit="1" customWidth="1"/>
    <col min="20" max="20" width="10" bestFit="1" customWidth="1"/>
    <col min="21" max="21" width="11" bestFit="1" customWidth="1"/>
    <col min="22" max="22" width="9.81640625" bestFit="1" customWidth="1"/>
    <col min="23" max="23" width="11" bestFit="1" customWidth="1"/>
    <col min="24" max="24" width="9" bestFit="1" customWidth="1"/>
    <col min="25" max="25" width="11.81640625" bestFit="1" customWidth="1"/>
    <col min="26" max="26" width="14.81640625" bestFit="1" customWidth="1"/>
    <col min="27" max="27" width="11.26953125" bestFit="1" customWidth="1"/>
  </cols>
  <sheetData>
    <row r="1" spans="1:4" x14ac:dyDescent="0.35">
      <c r="A1" s="2" t="s">
        <v>1</v>
      </c>
      <c r="B1" t="s">
        <v>21</v>
      </c>
    </row>
    <row r="3" spans="1:4" x14ac:dyDescent="0.35">
      <c r="A3" s="2" t="s">
        <v>61</v>
      </c>
      <c r="B3" s="2" t="s">
        <v>60</v>
      </c>
    </row>
    <row r="4" spans="1:4" x14ac:dyDescent="0.35">
      <c r="A4" s="2" t="s">
        <v>58</v>
      </c>
      <c r="B4" t="s">
        <v>22</v>
      </c>
      <c r="C4" t="s">
        <v>57</v>
      </c>
      <c r="D4" t="s">
        <v>59</v>
      </c>
    </row>
    <row r="5" spans="1:4" x14ac:dyDescent="0.35">
      <c r="A5" s="3">
        <v>2018</v>
      </c>
      <c r="B5" s="5"/>
      <c r="C5" s="5"/>
      <c r="D5" s="5"/>
    </row>
    <row r="6" spans="1:4" x14ac:dyDescent="0.35">
      <c r="A6" s="3">
        <v>2019</v>
      </c>
      <c r="B6" s="5">
        <v>-1.8851917463244935E-2</v>
      </c>
      <c r="C6" s="5">
        <v>-6.0152376717658426E-2</v>
      </c>
      <c r="D6" s="5">
        <v>-4.6397507546699364E-2</v>
      </c>
    </row>
    <row r="7" spans="1:4" x14ac:dyDescent="0.35">
      <c r="A7" s="3">
        <v>2020</v>
      </c>
      <c r="B7" s="5">
        <v>7.659905577863356E-2</v>
      </c>
      <c r="C7" s="5">
        <v>1.7745774906480036E-2</v>
      </c>
      <c r="D7" s="5">
        <v>3.7912688764357619E-2</v>
      </c>
    </row>
    <row r="8" spans="1:4" x14ac:dyDescent="0.35">
      <c r="A8" s="3">
        <v>2021</v>
      </c>
      <c r="B8" s="5">
        <v>8.9543837962540954E-3</v>
      </c>
      <c r="C8" s="5">
        <v>1.2423428548747735E-2</v>
      </c>
      <c r="D8" s="5">
        <v>1.1190403666558416E-2</v>
      </c>
    </row>
    <row r="9" spans="1:4" x14ac:dyDescent="0.35">
      <c r="A9" s="3">
        <v>2022</v>
      </c>
      <c r="B9" s="5">
        <v>6.7382398799515006E-2</v>
      </c>
      <c r="C9" s="5">
        <v>-9.1123767974869612E-5</v>
      </c>
      <c r="D9" s="5">
        <v>2.3838392205789781E-2</v>
      </c>
    </row>
    <row r="10" spans="1:4" x14ac:dyDescent="0.35">
      <c r="A10" s="3" t="s">
        <v>59</v>
      </c>
      <c r="B10" s="5"/>
      <c r="C10" s="5"/>
      <c r="D10" s="5"/>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4.5" x14ac:dyDescent="0.35"/>
  <cols>
    <col min="1" max="1" width="18.453125" bestFit="1" customWidth="1"/>
    <col min="2" max="2" width="7.26953125" bestFit="1" customWidth="1"/>
  </cols>
  <sheetData>
    <row r="1" spans="1:2" x14ac:dyDescent="0.35">
      <c r="A1" s="2" t="s">
        <v>4</v>
      </c>
      <c r="B1" s="3">
        <v>2023</v>
      </c>
    </row>
    <row r="2" spans="1:2" x14ac:dyDescent="0.35">
      <c r="A2" s="2" t="s">
        <v>5</v>
      </c>
      <c r="B2" s="3">
        <v>3</v>
      </c>
    </row>
    <row r="4" spans="1:2" x14ac:dyDescent="0.35">
      <c r="A4" t="s">
        <v>67</v>
      </c>
    </row>
    <row r="5" spans="1:2" x14ac:dyDescent="0.3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07A54-B88B-4634-AB71-43EEB7BE3B43}">
  <dimension ref="A3:K29"/>
  <sheetViews>
    <sheetView topLeftCell="E1" workbookViewId="0">
      <selection activeCell="A19" sqref="A19:K29"/>
    </sheetView>
  </sheetViews>
  <sheetFormatPr defaultRowHeight="14.5" x14ac:dyDescent="0.35"/>
  <cols>
    <col min="1" max="1" width="26.26953125" bestFit="1" customWidth="1"/>
    <col min="2" max="2" width="15.453125" bestFit="1" customWidth="1"/>
    <col min="3" max="11" width="7.81640625" bestFit="1" customWidth="1"/>
    <col min="12" max="12" width="10.7265625" bestFit="1" customWidth="1"/>
  </cols>
  <sheetData>
    <row r="3" spans="1:11" x14ac:dyDescent="0.35">
      <c r="A3" s="2" t="s">
        <v>96</v>
      </c>
      <c r="B3" s="2" t="s">
        <v>60</v>
      </c>
    </row>
    <row r="4" spans="1:11" x14ac:dyDescent="0.35">
      <c r="A4" s="2" t="s">
        <v>58</v>
      </c>
      <c r="B4" s="9">
        <v>0.64285714285714279</v>
      </c>
      <c r="C4" s="9">
        <v>0.64864864864864868</v>
      </c>
      <c r="D4" s="9">
        <v>0.65714285714285714</v>
      </c>
      <c r="E4" s="9">
        <v>0.67142857142857149</v>
      </c>
      <c r="F4" s="9">
        <v>0.67241379310344829</v>
      </c>
      <c r="G4" s="9">
        <v>0.69411764705882362</v>
      </c>
      <c r="H4" s="9">
        <v>0.7</v>
      </c>
      <c r="I4" s="9">
        <v>0.70588235294117641</v>
      </c>
      <c r="J4" s="9">
        <v>0.70967741935483875</v>
      </c>
      <c r="K4" s="9">
        <v>0.71666666666666667</v>
      </c>
    </row>
    <row r="5" spans="1:11" x14ac:dyDescent="0.35">
      <c r="A5" s="3" t="s">
        <v>86</v>
      </c>
      <c r="B5" s="9"/>
      <c r="C5" s="9"/>
      <c r="D5" s="9"/>
      <c r="E5" s="9">
        <v>0.18619281693140505</v>
      </c>
      <c r="F5" s="9"/>
      <c r="G5" s="9"/>
      <c r="H5" s="9"/>
      <c r="I5" s="9"/>
      <c r="J5" s="9"/>
      <c r="K5" s="9"/>
    </row>
    <row r="6" spans="1:11" x14ac:dyDescent="0.35">
      <c r="A6" s="3" t="s">
        <v>87</v>
      </c>
      <c r="B6" s="9"/>
      <c r="C6" s="9"/>
      <c r="D6" s="9"/>
      <c r="E6" s="9"/>
      <c r="F6" s="9"/>
      <c r="G6" s="9">
        <v>9.6896202583240873E-2</v>
      </c>
      <c r="H6" s="9"/>
      <c r="I6" s="9"/>
      <c r="J6" s="9"/>
      <c r="K6" s="9"/>
    </row>
    <row r="7" spans="1:11" x14ac:dyDescent="0.35">
      <c r="A7" s="3" t="s">
        <v>88</v>
      </c>
      <c r="B7" s="9"/>
      <c r="C7" s="9"/>
      <c r="D7" s="9"/>
      <c r="E7" s="9"/>
      <c r="F7" s="9"/>
      <c r="G7" s="9"/>
      <c r="H7" s="9"/>
      <c r="I7" s="9">
        <v>9.6896119578325834E-2</v>
      </c>
      <c r="J7" s="9"/>
      <c r="K7" s="9"/>
    </row>
    <row r="8" spans="1:11" x14ac:dyDescent="0.35">
      <c r="A8" s="3" t="s">
        <v>89</v>
      </c>
      <c r="B8" s="9"/>
      <c r="C8" s="9"/>
      <c r="D8" s="9"/>
      <c r="E8" s="9"/>
      <c r="F8" s="9"/>
      <c r="G8" s="9"/>
      <c r="H8" s="9"/>
      <c r="I8" s="9"/>
      <c r="J8" s="9"/>
      <c r="K8" s="9">
        <v>6.8397319470522966E-2</v>
      </c>
    </row>
    <row r="9" spans="1:11" x14ac:dyDescent="0.35">
      <c r="A9" s="3" t="s">
        <v>79</v>
      </c>
      <c r="B9" s="9"/>
      <c r="C9" s="9"/>
      <c r="D9" s="9"/>
      <c r="E9" s="9"/>
      <c r="F9" s="9">
        <v>9.8241009155398171E-2</v>
      </c>
      <c r="G9" s="9"/>
      <c r="H9" s="9"/>
      <c r="I9" s="9"/>
      <c r="J9" s="9"/>
      <c r="K9" s="9"/>
    </row>
    <row r="10" spans="1:11" x14ac:dyDescent="0.35">
      <c r="A10" s="3" t="s">
        <v>81</v>
      </c>
      <c r="B10" s="9">
        <v>4.7426625718030961E-2</v>
      </c>
      <c r="C10" s="9"/>
      <c r="D10" s="9"/>
      <c r="E10" s="9"/>
      <c r="F10" s="9"/>
      <c r="G10" s="9"/>
      <c r="H10" s="9"/>
      <c r="I10" s="9"/>
      <c r="J10" s="9"/>
      <c r="K10" s="9"/>
    </row>
    <row r="11" spans="1:11" x14ac:dyDescent="0.35">
      <c r="A11" s="3" t="s">
        <v>83</v>
      </c>
      <c r="B11" s="9"/>
      <c r="C11" s="9">
        <v>4.178071928534096E-2</v>
      </c>
      <c r="D11" s="9"/>
      <c r="E11" s="9"/>
      <c r="F11" s="9"/>
      <c r="G11" s="9"/>
      <c r="H11" s="9"/>
      <c r="I11" s="9"/>
      <c r="J11" s="9"/>
      <c r="K11" s="9"/>
    </row>
    <row r="12" spans="1:11" x14ac:dyDescent="0.35">
      <c r="A12" s="3" t="s">
        <v>77</v>
      </c>
      <c r="B12" s="9"/>
      <c r="C12" s="9"/>
      <c r="D12" s="9"/>
      <c r="E12" s="9"/>
      <c r="F12" s="9"/>
      <c r="G12" s="9"/>
      <c r="H12" s="9"/>
      <c r="I12" s="9"/>
      <c r="J12" s="9">
        <v>0.17502703482289086</v>
      </c>
      <c r="K12" s="9"/>
    </row>
    <row r="13" spans="1:11" x14ac:dyDescent="0.35">
      <c r="A13" s="3" t="s">
        <v>82</v>
      </c>
      <c r="B13" s="9"/>
      <c r="C13" s="9"/>
      <c r="D13" s="9">
        <v>0.11856673518754952</v>
      </c>
      <c r="E13" s="9"/>
      <c r="F13" s="9"/>
      <c r="G13" s="9"/>
      <c r="H13" s="9"/>
      <c r="I13" s="9"/>
      <c r="J13" s="9"/>
      <c r="K13" s="9"/>
    </row>
    <row r="14" spans="1:11" x14ac:dyDescent="0.35">
      <c r="A14" s="3" t="s">
        <v>84</v>
      </c>
      <c r="B14" s="9"/>
      <c r="C14" s="9"/>
      <c r="D14" s="9"/>
      <c r="E14" s="9"/>
      <c r="F14" s="9"/>
      <c r="G14" s="9"/>
      <c r="H14" s="9">
        <v>7.0575417267294702E-2</v>
      </c>
      <c r="I14" s="9"/>
      <c r="J14" s="9"/>
      <c r="K14" s="9"/>
    </row>
    <row r="19" spans="1:11" x14ac:dyDescent="0.35">
      <c r="A19" t="s">
        <v>69</v>
      </c>
      <c r="B19" s="9">
        <v>0.64285714285714279</v>
      </c>
      <c r="C19" s="9">
        <v>0.64864864864864868</v>
      </c>
      <c r="D19" s="9">
        <v>0.65714285714285714</v>
      </c>
      <c r="E19" s="9">
        <v>0.67142857142857149</v>
      </c>
      <c r="F19" s="9">
        <v>0.67241379310344829</v>
      </c>
      <c r="G19" s="9">
        <v>0.69411764705882362</v>
      </c>
      <c r="H19" s="9">
        <v>0.7</v>
      </c>
      <c r="I19" s="9">
        <v>0.70588235294117641</v>
      </c>
      <c r="J19" s="9">
        <v>0.70967741935483875</v>
      </c>
      <c r="K19" s="9">
        <v>0.71666666666666667</v>
      </c>
    </row>
    <row r="20" spans="1:11" x14ac:dyDescent="0.35">
      <c r="A20" t="s">
        <v>86</v>
      </c>
      <c r="B20" s="9"/>
      <c r="C20" s="9"/>
      <c r="D20" s="9"/>
      <c r="E20" s="9">
        <v>0.18619281693140505</v>
      </c>
      <c r="F20" s="9"/>
      <c r="G20" s="9"/>
      <c r="H20" s="9"/>
      <c r="I20" s="9"/>
      <c r="J20" s="9"/>
      <c r="K20" s="9"/>
    </row>
    <row r="21" spans="1:11" x14ac:dyDescent="0.35">
      <c r="A21" t="s">
        <v>87</v>
      </c>
      <c r="B21" s="9"/>
      <c r="C21" s="9"/>
      <c r="D21" s="9"/>
      <c r="E21" s="9"/>
      <c r="F21" s="9"/>
      <c r="G21" s="9">
        <v>9.6896202583240873E-2</v>
      </c>
      <c r="H21" s="9"/>
      <c r="I21" s="9"/>
      <c r="J21" s="9"/>
      <c r="K21" s="9"/>
    </row>
    <row r="22" spans="1:11" x14ac:dyDescent="0.35">
      <c r="A22" t="s">
        <v>88</v>
      </c>
      <c r="B22" s="9"/>
      <c r="C22" s="9"/>
      <c r="D22" s="9"/>
      <c r="E22" s="9"/>
      <c r="F22" s="9"/>
      <c r="G22" s="9"/>
      <c r="H22" s="9"/>
      <c r="I22" s="9">
        <v>9.6896119578325834E-2</v>
      </c>
      <c r="J22" s="9"/>
      <c r="K22" s="9"/>
    </row>
    <row r="23" spans="1:11" x14ac:dyDescent="0.35">
      <c r="A23" t="s">
        <v>89</v>
      </c>
      <c r="B23" s="9"/>
      <c r="C23" s="9"/>
      <c r="D23" s="9"/>
      <c r="E23" s="9"/>
      <c r="F23" s="9"/>
      <c r="G23" s="9"/>
      <c r="H23" s="9"/>
      <c r="I23" s="9"/>
      <c r="J23" s="9"/>
      <c r="K23" s="9">
        <v>6.8397319470522966E-2</v>
      </c>
    </row>
    <row r="24" spans="1:11" x14ac:dyDescent="0.35">
      <c r="A24" t="s">
        <v>79</v>
      </c>
      <c r="B24" s="9"/>
      <c r="C24" s="9"/>
      <c r="D24" s="9"/>
      <c r="E24" s="9"/>
      <c r="F24" s="9">
        <v>9.8241009155398171E-2</v>
      </c>
      <c r="G24" s="9"/>
      <c r="H24" s="9"/>
      <c r="I24" s="9"/>
      <c r="J24" s="9"/>
      <c r="K24" s="9"/>
    </row>
    <row r="25" spans="1:11" x14ac:dyDescent="0.35">
      <c r="A25" t="s">
        <v>81</v>
      </c>
      <c r="B25" s="9">
        <v>4.7426625718030961E-2</v>
      </c>
      <c r="C25" s="9"/>
      <c r="D25" s="9"/>
      <c r="E25" s="9"/>
      <c r="F25" s="9"/>
      <c r="G25" s="9"/>
      <c r="H25" s="9"/>
      <c r="I25" s="9"/>
      <c r="J25" s="9"/>
      <c r="K25" s="9"/>
    </row>
    <row r="26" spans="1:11" x14ac:dyDescent="0.35">
      <c r="A26" t="s">
        <v>83</v>
      </c>
      <c r="B26" s="9"/>
      <c r="C26" s="9">
        <v>4.178071928534096E-2</v>
      </c>
      <c r="D26" s="9"/>
      <c r="E26" s="9"/>
      <c r="F26" s="9"/>
      <c r="G26" s="9"/>
      <c r="H26" s="9"/>
      <c r="I26" s="9"/>
      <c r="J26" s="9"/>
      <c r="K26" s="9"/>
    </row>
    <row r="27" spans="1:11" x14ac:dyDescent="0.35">
      <c r="A27" t="s">
        <v>77</v>
      </c>
      <c r="B27" s="9"/>
      <c r="C27" s="9"/>
      <c r="D27" s="9"/>
      <c r="E27" s="9"/>
      <c r="F27" s="9"/>
      <c r="G27" s="9"/>
      <c r="H27" s="9"/>
      <c r="I27" s="9"/>
      <c r="J27" s="9">
        <v>0.17502703482289086</v>
      </c>
      <c r="K27" s="9"/>
    </row>
    <row r="28" spans="1:11" x14ac:dyDescent="0.35">
      <c r="A28" t="s">
        <v>82</v>
      </c>
      <c r="B28" s="9"/>
      <c r="C28" s="9"/>
      <c r="D28" s="9">
        <v>0.11856673518754952</v>
      </c>
      <c r="E28" s="9"/>
      <c r="F28" s="9"/>
      <c r="G28" s="9"/>
      <c r="H28" s="9"/>
      <c r="I28" s="9"/>
      <c r="J28" s="9"/>
      <c r="K28" s="9"/>
    </row>
    <row r="29" spans="1:11" x14ac:dyDescent="0.35">
      <c r="A29" t="s">
        <v>84</v>
      </c>
      <c r="B29" s="9"/>
      <c r="C29" s="9"/>
      <c r="D29" s="9"/>
      <c r="E29" s="9"/>
      <c r="F29" s="9"/>
      <c r="G29" s="9"/>
      <c r="H29" s="9">
        <v>7.0575417267294702E-2</v>
      </c>
      <c r="I29" s="9"/>
      <c r="J29" s="9"/>
      <c r="K29" s="9"/>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F39E3-499C-470A-8145-86385CD31773}">
  <dimension ref="A1:M12"/>
  <sheetViews>
    <sheetView topLeftCell="E1" workbookViewId="0">
      <selection activeCell="H13" sqref="H13"/>
    </sheetView>
  </sheetViews>
  <sheetFormatPr defaultRowHeight="14.5" x14ac:dyDescent="0.35"/>
  <cols>
    <col min="1" max="1" width="10.36328125" style="15" bestFit="1" customWidth="1"/>
    <col min="2" max="2" width="12" style="15" bestFit="1" customWidth="1"/>
    <col min="3" max="3" width="16.7265625" style="15" bestFit="1" customWidth="1"/>
    <col min="4" max="4" width="23.26953125" style="15" bestFit="1" customWidth="1"/>
    <col min="5" max="5" width="14.6328125" style="16" bestFit="1" customWidth="1"/>
    <col min="6" max="6" width="12.90625" style="16" bestFit="1" customWidth="1"/>
    <col min="7" max="7" width="10" style="16" bestFit="1" customWidth="1"/>
    <col min="8" max="8" width="16.26953125" style="15" bestFit="1" customWidth="1"/>
    <col min="9" max="9" width="17.54296875" style="16" bestFit="1" customWidth="1"/>
    <col min="10" max="10" width="22.7265625" style="16" bestFit="1" customWidth="1"/>
    <col min="11" max="11" width="25.90625" style="16" bestFit="1" customWidth="1"/>
    <col min="12" max="12" width="16.453125" style="17" bestFit="1" customWidth="1"/>
    <col min="13" max="13" width="15.26953125" style="15" bestFit="1" customWidth="1"/>
    <col min="14" max="16384" width="8.7265625" style="15"/>
  </cols>
  <sheetData>
    <row r="1" spans="1:13" x14ac:dyDescent="0.35">
      <c r="A1" s="15" t="s">
        <v>2</v>
      </c>
      <c r="B1" s="15" t="s">
        <v>69</v>
      </c>
      <c r="C1" s="15" t="s">
        <v>70</v>
      </c>
      <c r="D1" s="15" t="s">
        <v>71</v>
      </c>
      <c r="E1" s="16" t="s">
        <v>72</v>
      </c>
      <c r="F1" s="16" t="s">
        <v>73</v>
      </c>
      <c r="G1" s="16" t="s">
        <v>74</v>
      </c>
      <c r="H1" s="15" t="s">
        <v>75</v>
      </c>
      <c r="I1" s="16" t="s">
        <v>90</v>
      </c>
      <c r="J1" s="16" t="s">
        <v>91</v>
      </c>
      <c r="K1" s="16" t="s">
        <v>92</v>
      </c>
      <c r="L1" s="17" t="s">
        <v>93</v>
      </c>
      <c r="M1" s="15" t="s">
        <v>107</v>
      </c>
    </row>
    <row r="2" spans="1:13" x14ac:dyDescent="0.35">
      <c r="A2" s="18" t="s">
        <v>57</v>
      </c>
      <c r="B2" s="18" t="s">
        <v>76</v>
      </c>
      <c r="C2" s="15">
        <v>100</v>
      </c>
      <c r="D2" s="18" t="s">
        <v>77</v>
      </c>
      <c r="E2" s="16">
        <v>5</v>
      </c>
      <c r="F2" s="16">
        <v>3.1</v>
      </c>
      <c r="G2" s="16">
        <v>0.9</v>
      </c>
      <c r="H2" s="15">
        <v>1156348</v>
      </c>
      <c r="I2" s="16">
        <f>internal_sales_data5[[#This Row],[Net Price]]*internal_sales_data5[[#This Row],[Volume 2022]]</f>
        <v>3584678.8000000003</v>
      </c>
      <c r="J2" s="16">
        <f>internal_sales_data5[[#This Row],[Net Price]]-internal_sales_data5[[#This Row],[COGS]]</f>
        <v>2.2000000000000002</v>
      </c>
      <c r="K2" s="16">
        <f>internal_sales_data5[[#This Row],[Gross Profit Per Unit]]*internal_sales_data5[[#This Row],[Volume 2022]]</f>
        <v>2543965.6</v>
      </c>
      <c r="L2" s="17">
        <f>internal_sales_data5[[#This Row],[Gross Profit Per Unit]]/internal_sales_data5[[#This Row],[Net Price]]</f>
        <v>0.70967741935483875</v>
      </c>
      <c r="M2" s="21">
        <f>internal_sales_data5[[#This Row],[Retail Price]]/internal_sales_data5[[#This Row],[Pack Size (ml)]]</f>
        <v>0.05</v>
      </c>
    </row>
    <row r="3" spans="1:13" x14ac:dyDescent="0.35">
      <c r="A3" s="18" t="s">
        <v>57</v>
      </c>
      <c r="B3" s="18" t="s">
        <v>78</v>
      </c>
      <c r="C3" s="15">
        <v>100</v>
      </c>
      <c r="D3" s="18" t="s">
        <v>79</v>
      </c>
      <c r="E3" s="16">
        <v>5</v>
      </c>
      <c r="F3" s="16">
        <v>2.9</v>
      </c>
      <c r="G3" s="16">
        <v>0.95</v>
      </c>
      <c r="H3" s="15">
        <v>693809</v>
      </c>
      <c r="I3" s="16">
        <f>internal_sales_data5[[#This Row],[Net Price]]*internal_sales_data5[[#This Row],[Volume 2022]]</f>
        <v>2012046.0999999999</v>
      </c>
      <c r="J3" s="16">
        <f>internal_sales_data5[[#This Row],[Net Price]]-internal_sales_data5[[#This Row],[COGS]]</f>
        <v>1.95</v>
      </c>
      <c r="K3" s="16">
        <f>internal_sales_data5[[#This Row],[Gross Profit Per Unit]]*internal_sales_data5[[#This Row],[Volume 2022]]</f>
        <v>1352927.55</v>
      </c>
      <c r="L3" s="17">
        <f>internal_sales_data5[[#This Row],[Gross Profit Per Unit]]/internal_sales_data5[[#This Row],[Net Price]]</f>
        <v>0.67241379310344829</v>
      </c>
      <c r="M3" s="21">
        <f>internal_sales_data5[[#This Row],[Retail Price]]/internal_sales_data5[[#This Row],[Pack Size (ml)]]</f>
        <v>0.05</v>
      </c>
    </row>
    <row r="4" spans="1:13" x14ac:dyDescent="0.35">
      <c r="A4" s="18" t="s">
        <v>57</v>
      </c>
      <c r="B4" s="18" t="s">
        <v>80</v>
      </c>
      <c r="C4" s="15">
        <v>100</v>
      </c>
      <c r="D4" s="18" t="s">
        <v>81</v>
      </c>
      <c r="E4" s="16">
        <v>5</v>
      </c>
      <c r="F4" s="16">
        <v>2.8</v>
      </c>
      <c r="G4" s="16">
        <v>1</v>
      </c>
      <c r="H4" s="15">
        <v>346904</v>
      </c>
      <c r="I4" s="16">
        <f>internal_sales_data5[[#This Row],[Net Price]]*internal_sales_data5[[#This Row],[Volume 2022]]</f>
        <v>971331.2</v>
      </c>
      <c r="J4" s="16">
        <f>internal_sales_data5[[#This Row],[Net Price]]-internal_sales_data5[[#This Row],[COGS]]</f>
        <v>1.7999999999999998</v>
      </c>
      <c r="K4" s="16">
        <f>internal_sales_data5[[#This Row],[Gross Profit Per Unit]]*internal_sales_data5[[#This Row],[Volume 2022]]</f>
        <v>624427.19999999995</v>
      </c>
      <c r="L4" s="17">
        <f>internal_sales_data5[[#This Row],[Gross Profit Per Unit]]/internal_sales_data5[[#This Row],[Net Price]]</f>
        <v>0.64285714285714279</v>
      </c>
      <c r="M4" s="21">
        <f>internal_sales_data5[[#This Row],[Retail Price]]/internal_sales_data5[[#This Row],[Pack Size (ml)]]</f>
        <v>0.05</v>
      </c>
    </row>
    <row r="5" spans="1:13" x14ac:dyDescent="0.35">
      <c r="A5" s="18" t="s">
        <v>57</v>
      </c>
      <c r="B5" s="18" t="s">
        <v>76</v>
      </c>
      <c r="C5" s="15">
        <v>150</v>
      </c>
      <c r="D5" s="18" t="s">
        <v>82</v>
      </c>
      <c r="E5" s="16">
        <v>7</v>
      </c>
      <c r="F5" s="16">
        <v>3.5</v>
      </c>
      <c r="G5" s="16">
        <v>1.2</v>
      </c>
      <c r="H5" s="15">
        <v>693809</v>
      </c>
      <c r="I5" s="16">
        <f>internal_sales_data5[[#This Row],[Net Price]]*internal_sales_data5[[#This Row],[Volume 2022]]</f>
        <v>2428331.5</v>
      </c>
      <c r="J5" s="16">
        <f>internal_sales_data5[[#This Row],[Net Price]]-internal_sales_data5[[#This Row],[COGS]]</f>
        <v>2.2999999999999998</v>
      </c>
      <c r="K5" s="16">
        <f>internal_sales_data5[[#This Row],[Gross Profit Per Unit]]*internal_sales_data5[[#This Row],[Volume 2022]]</f>
        <v>1595760.7</v>
      </c>
      <c r="L5" s="17">
        <f>internal_sales_data5[[#This Row],[Gross Profit Per Unit]]/internal_sales_data5[[#This Row],[Net Price]]</f>
        <v>0.65714285714285714</v>
      </c>
      <c r="M5" s="21">
        <f>internal_sales_data5[[#This Row],[Retail Price]]/internal_sales_data5[[#This Row],[Pack Size (ml)]]</f>
        <v>4.6666666666666669E-2</v>
      </c>
    </row>
    <row r="6" spans="1:13" x14ac:dyDescent="0.35">
      <c r="A6" s="18" t="s">
        <v>57</v>
      </c>
      <c r="B6" s="18" t="s">
        <v>80</v>
      </c>
      <c r="C6" s="15">
        <v>150</v>
      </c>
      <c r="D6" s="18" t="s">
        <v>83</v>
      </c>
      <c r="E6" s="16">
        <v>7.25</v>
      </c>
      <c r="F6" s="16">
        <v>3.7</v>
      </c>
      <c r="G6" s="16">
        <v>1.3</v>
      </c>
      <c r="H6" s="15">
        <v>231270</v>
      </c>
      <c r="I6" s="16">
        <f>internal_sales_data5[[#This Row],[Net Price]]*internal_sales_data5[[#This Row],[Volume 2022]]</f>
        <v>855699</v>
      </c>
      <c r="J6" s="16">
        <f>internal_sales_data5[[#This Row],[Net Price]]-internal_sales_data5[[#This Row],[COGS]]</f>
        <v>2.4000000000000004</v>
      </c>
      <c r="K6" s="16">
        <f>internal_sales_data5[[#This Row],[Gross Profit Per Unit]]*internal_sales_data5[[#This Row],[Volume 2022]]</f>
        <v>555048.00000000012</v>
      </c>
      <c r="L6" s="17">
        <f>internal_sales_data5[[#This Row],[Gross Profit Per Unit]]/internal_sales_data5[[#This Row],[Net Price]]</f>
        <v>0.64864864864864868</v>
      </c>
      <c r="M6" s="21">
        <f>internal_sales_data5[[#This Row],[Retail Price]]/internal_sales_data5[[#This Row],[Pack Size (ml)]]</f>
        <v>4.8333333333333332E-2</v>
      </c>
    </row>
    <row r="7" spans="1:13" x14ac:dyDescent="0.35">
      <c r="A7" s="18" t="s">
        <v>57</v>
      </c>
      <c r="B7" s="18" t="s">
        <v>76</v>
      </c>
      <c r="C7" s="15">
        <v>200</v>
      </c>
      <c r="D7" s="18" t="s">
        <v>84</v>
      </c>
      <c r="E7" s="16">
        <v>9</v>
      </c>
      <c r="F7" s="16">
        <v>5</v>
      </c>
      <c r="G7" s="16">
        <v>1.5</v>
      </c>
      <c r="H7" s="15">
        <v>289087</v>
      </c>
      <c r="I7" s="16">
        <f>internal_sales_data5[[#This Row],[Net Price]]*internal_sales_data5[[#This Row],[Volume 2022]]</f>
        <v>1445435</v>
      </c>
      <c r="J7" s="16">
        <f>internal_sales_data5[[#This Row],[Net Price]]-internal_sales_data5[[#This Row],[COGS]]</f>
        <v>3.5</v>
      </c>
      <c r="K7" s="16">
        <f>internal_sales_data5[[#This Row],[Gross Profit Per Unit]]*internal_sales_data5[[#This Row],[Volume 2022]]</f>
        <v>1011804.5</v>
      </c>
      <c r="L7" s="17">
        <f>internal_sales_data5[[#This Row],[Gross Profit Per Unit]]/internal_sales_data5[[#This Row],[Net Price]]</f>
        <v>0.7</v>
      </c>
      <c r="M7" s="21">
        <f>internal_sales_data5[[#This Row],[Retail Price]]/internal_sales_data5[[#This Row],[Pack Size (ml)]]</f>
        <v>4.4999999999999998E-2</v>
      </c>
    </row>
    <row r="8" spans="1:13" x14ac:dyDescent="0.35">
      <c r="A8" s="18" t="s">
        <v>22</v>
      </c>
      <c r="B8" s="18" t="s">
        <v>85</v>
      </c>
      <c r="C8" s="15">
        <v>100</v>
      </c>
      <c r="D8" s="18" t="s">
        <v>86</v>
      </c>
      <c r="E8" s="16">
        <v>6</v>
      </c>
      <c r="F8" s="16">
        <v>3.5</v>
      </c>
      <c r="G8" s="16">
        <v>1.1499999999999999</v>
      </c>
      <c r="H8" s="15">
        <v>1089532</v>
      </c>
      <c r="I8" s="16">
        <f>internal_sales_data5[[#This Row],[Net Price]]*internal_sales_data5[[#This Row],[Volume 2022]]</f>
        <v>3813362</v>
      </c>
      <c r="J8" s="16">
        <f>internal_sales_data5[[#This Row],[Net Price]]-internal_sales_data5[[#This Row],[COGS]]</f>
        <v>2.35</v>
      </c>
      <c r="K8" s="16">
        <f>internal_sales_data5[[#This Row],[Gross Profit Per Unit]]*internal_sales_data5[[#This Row],[Volume 2022]]</f>
        <v>2560400.2000000002</v>
      </c>
      <c r="L8" s="17">
        <f>internal_sales_data5[[#This Row],[Gross Profit Per Unit]]/internal_sales_data5[[#This Row],[Net Price]]</f>
        <v>0.67142857142857149</v>
      </c>
      <c r="M8" s="21">
        <f>internal_sales_data5[[#This Row],[Retail Price]]/internal_sales_data5[[#This Row],[Pack Size (ml)]]</f>
        <v>0.06</v>
      </c>
    </row>
    <row r="9" spans="1:13" x14ac:dyDescent="0.35">
      <c r="A9" s="18" t="s">
        <v>22</v>
      </c>
      <c r="B9" s="18" t="s">
        <v>85</v>
      </c>
      <c r="C9" s="15">
        <v>125</v>
      </c>
      <c r="D9" s="18" t="s">
        <v>87</v>
      </c>
      <c r="E9" s="16">
        <v>7</v>
      </c>
      <c r="F9" s="16">
        <v>4.25</v>
      </c>
      <c r="G9" s="16">
        <v>1.3</v>
      </c>
      <c r="H9" s="15">
        <v>466942</v>
      </c>
      <c r="I9" s="16">
        <f>internal_sales_data5[[#This Row],[Net Price]]*internal_sales_data5[[#This Row],[Volume 2022]]</f>
        <v>1984503.5</v>
      </c>
      <c r="J9" s="16">
        <f>internal_sales_data5[[#This Row],[Net Price]]-internal_sales_data5[[#This Row],[COGS]]</f>
        <v>2.95</v>
      </c>
      <c r="K9" s="16">
        <f>internal_sales_data5[[#This Row],[Gross Profit Per Unit]]*internal_sales_data5[[#This Row],[Volume 2022]]</f>
        <v>1377478.9000000001</v>
      </c>
      <c r="L9" s="17">
        <f>internal_sales_data5[[#This Row],[Gross Profit Per Unit]]/internal_sales_data5[[#This Row],[Net Price]]</f>
        <v>0.69411764705882362</v>
      </c>
      <c r="M9" s="21">
        <f>internal_sales_data5[[#This Row],[Retail Price]]/internal_sales_data5[[#This Row],[Pack Size (ml)]]</f>
        <v>5.6000000000000001E-2</v>
      </c>
    </row>
    <row r="10" spans="1:13" x14ac:dyDescent="0.35">
      <c r="A10" s="18" t="s">
        <v>22</v>
      </c>
      <c r="B10" s="18" t="s">
        <v>85</v>
      </c>
      <c r="C10" s="15">
        <v>150</v>
      </c>
      <c r="D10" s="18" t="s">
        <v>88</v>
      </c>
      <c r="E10" s="16">
        <v>8</v>
      </c>
      <c r="F10" s="16">
        <v>5.0999999999999996</v>
      </c>
      <c r="G10" s="16">
        <v>1.5</v>
      </c>
      <c r="H10" s="15">
        <v>389118</v>
      </c>
      <c r="I10" s="16">
        <f>internal_sales_data5[[#This Row],[Net Price]]*internal_sales_data5[[#This Row],[Volume 2022]]</f>
        <v>1984501.7999999998</v>
      </c>
      <c r="J10" s="16">
        <f>internal_sales_data5[[#This Row],[Net Price]]-internal_sales_data5[[#This Row],[COGS]]</f>
        <v>3.5999999999999996</v>
      </c>
      <c r="K10" s="16">
        <f>internal_sales_data5[[#This Row],[Gross Profit Per Unit]]*internal_sales_data5[[#This Row],[Volume 2022]]</f>
        <v>1400824.7999999998</v>
      </c>
      <c r="L10" s="17">
        <f>internal_sales_data5[[#This Row],[Gross Profit Per Unit]]/internal_sales_data5[[#This Row],[Net Price]]</f>
        <v>0.70588235294117641</v>
      </c>
      <c r="M10" s="21">
        <f>internal_sales_data5[[#This Row],[Retail Price]]/internal_sales_data5[[#This Row],[Pack Size (ml)]]</f>
        <v>5.3333333333333337E-2</v>
      </c>
    </row>
    <row r="11" spans="1:13" x14ac:dyDescent="0.35">
      <c r="A11" s="18" t="s">
        <v>22</v>
      </c>
      <c r="B11" s="18" t="s">
        <v>85</v>
      </c>
      <c r="C11" s="15">
        <v>200</v>
      </c>
      <c r="D11" s="18" t="s">
        <v>89</v>
      </c>
      <c r="E11" s="16">
        <v>10</v>
      </c>
      <c r="F11" s="16">
        <v>6</v>
      </c>
      <c r="G11" s="16">
        <v>1.7</v>
      </c>
      <c r="H11" s="15">
        <v>233471</v>
      </c>
      <c r="I11" s="16">
        <f>internal_sales_data5[[#This Row],[Net Price]]*internal_sales_data5[[#This Row],[Volume 2022]]</f>
        <v>1400826</v>
      </c>
      <c r="J11" s="16">
        <f>internal_sales_data5[[#This Row],[Net Price]]-internal_sales_data5[[#This Row],[COGS]]</f>
        <v>4.3</v>
      </c>
      <c r="K11" s="16">
        <f>internal_sales_data5[[#This Row],[Gross Profit Per Unit]]*internal_sales_data5[[#This Row],[Volume 2022]]</f>
        <v>1003925.2999999999</v>
      </c>
      <c r="L11" s="17">
        <f>internal_sales_data5[[#This Row],[Gross Profit Per Unit]]/internal_sales_data5[[#This Row],[Net Price]]</f>
        <v>0.71666666666666667</v>
      </c>
      <c r="M11" s="21">
        <f>internal_sales_data5[[#This Row],[Retail Price]]/internal_sales_data5[[#This Row],[Pack Size (ml)]]</f>
        <v>0.05</v>
      </c>
    </row>
    <row r="12" spans="1:13" x14ac:dyDescent="0.35">
      <c r="A12" s="18" t="s">
        <v>57</v>
      </c>
      <c r="B12" s="18" t="s">
        <v>76</v>
      </c>
      <c r="C12" s="15">
        <v>50</v>
      </c>
      <c r="D12" s="18" t="s">
        <v>108</v>
      </c>
      <c r="E12" s="16">
        <f xml:space="preserve"> M2*internal_sales_data5[[#This Row],[Pack Size (ml)]]*(1+50%)</f>
        <v>3.75</v>
      </c>
      <c r="F12" s="16">
        <v>2.2999999999999998</v>
      </c>
      <c r="G12" s="16">
        <v>0.7</v>
      </c>
      <c r="H12" s="15">
        <f>H2*10%</f>
        <v>115634.8</v>
      </c>
      <c r="I12" s="16">
        <f>internal_sales_data5[[#This Row],[Net Price]]*internal_sales_data5[[#This Row],[Volume 2022]]</f>
        <v>265960.03999999998</v>
      </c>
      <c r="J12" s="16">
        <f>internal_sales_data5[[#This Row],[Net Price]]-internal_sales_data5[[#This Row],[COGS]]</f>
        <v>1.5999999999999999</v>
      </c>
      <c r="K12" s="16">
        <f>internal_sales_data5[[#This Row],[Gross Profit Per Unit]]*internal_sales_data5[[#This Row],[Volume 2022]]</f>
        <v>185015.67999999999</v>
      </c>
      <c r="L12" s="17">
        <f>internal_sales_data5[[#This Row],[Gross Profit Per Unit]]/internal_sales_data5[[#This Row],[Net Price]]</f>
        <v>0.69565217391304346</v>
      </c>
      <c r="M12" s="21">
        <f>internal_sales_data5[[#This Row],[Retail Price]]/internal_sales_data5[[#This Row],[Pack Size (ml)]]</f>
        <v>7.4999999999999997E-2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4.5" x14ac:dyDescent="0.35"/>
  <cols>
    <col min="1" max="1" width="20.26953125" bestFit="1" customWidth="1"/>
    <col min="2" max="2" width="16.26953125" bestFit="1" customWidth="1"/>
    <col min="3" max="3" width="6.81640625" bestFit="1" customWidth="1"/>
    <col min="4" max="4" width="8.26953125" bestFit="1" customWidth="1"/>
    <col min="5" max="5" width="9.54296875" bestFit="1" customWidth="1"/>
    <col min="6" max="6" width="13.26953125" bestFit="1" customWidth="1"/>
    <col min="7" max="7" width="12" bestFit="1" customWidth="1"/>
    <col min="8" max="8" width="12.81640625" bestFit="1" customWidth="1"/>
    <col min="9" max="9" width="8" bestFit="1" customWidth="1"/>
    <col min="10" max="10" width="14.54296875" bestFit="1" customWidth="1"/>
    <col min="11" max="11" width="8.7265625" bestFit="1" customWidth="1"/>
    <col min="12" max="12" width="5.7265625" bestFit="1" customWidth="1"/>
    <col min="13" max="13" width="9.81640625" bestFit="1" customWidth="1"/>
    <col min="14" max="14" width="9" bestFit="1" customWidth="1"/>
    <col min="15" max="15" width="12.54296875" bestFit="1" customWidth="1"/>
    <col min="16" max="16" width="9.1796875" bestFit="1" customWidth="1"/>
    <col min="17" max="17" width="14.81640625" bestFit="1" customWidth="1"/>
    <col min="18" max="18" width="15.453125" bestFit="1" customWidth="1"/>
    <col min="19" max="19" width="13.7265625" bestFit="1" customWidth="1"/>
    <col min="20" max="20" width="8" bestFit="1" customWidth="1"/>
    <col min="21" max="21" width="6.54296875" bestFit="1" customWidth="1"/>
    <col min="22" max="22" width="12.1796875" bestFit="1" customWidth="1"/>
    <col min="23" max="23" width="11.54296875" bestFit="1" customWidth="1"/>
    <col min="24" max="24" width="6.1796875" bestFit="1" customWidth="1"/>
    <col min="25" max="25" width="10.7265625" bestFit="1" customWidth="1"/>
    <col min="26" max="26" width="11.81640625" bestFit="1" customWidth="1"/>
    <col min="27" max="27" width="11.26953125" bestFit="1" customWidth="1"/>
  </cols>
  <sheetData>
    <row r="3" spans="1:27" x14ac:dyDescent="0.35">
      <c r="A3" s="2" t="s">
        <v>61</v>
      </c>
      <c r="B3" s="2" t="s">
        <v>60</v>
      </c>
    </row>
    <row r="4" spans="1:27" x14ac:dyDescent="0.3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3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3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3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3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3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3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3D029-7191-4D88-8F57-2DA05C902423}">
  <dimension ref="A1:I3"/>
  <sheetViews>
    <sheetView workbookViewId="0">
      <selection activeCell="H15" sqref="H15"/>
    </sheetView>
  </sheetViews>
  <sheetFormatPr defaultRowHeight="14.5" x14ac:dyDescent="0.35"/>
  <cols>
    <col min="1" max="1" width="13.08984375" bestFit="1" customWidth="1"/>
    <col min="2" max="2" width="27.7265625" style="9" bestFit="1" customWidth="1"/>
    <col min="3" max="3" width="24.81640625" bestFit="1" customWidth="1"/>
    <col min="4" max="4" width="10.6328125" style="13" bestFit="1" customWidth="1"/>
    <col min="5" max="5" width="12.1796875" style="14" customWidth="1"/>
    <col min="6" max="6" width="7.7265625" style="13" bestFit="1" customWidth="1"/>
    <col min="7" max="7" width="20.26953125" bestFit="1" customWidth="1"/>
    <col min="8" max="8" width="23.6328125" bestFit="1" customWidth="1"/>
    <col min="9" max="9" width="15.36328125" bestFit="1" customWidth="1"/>
  </cols>
  <sheetData>
    <row r="1" spans="1:9" x14ac:dyDescent="0.35">
      <c r="A1" t="s">
        <v>69</v>
      </c>
      <c r="B1" s="9" t="s">
        <v>100</v>
      </c>
      <c r="C1" t="s">
        <v>101</v>
      </c>
      <c r="D1" s="13" t="s">
        <v>73</v>
      </c>
      <c r="E1" s="14" t="s">
        <v>102</v>
      </c>
      <c r="F1" s="13" t="s">
        <v>74</v>
      </c>
      <c r="G1" t="s">
        <v>103</v>
      </c>
      <c r="H1" t="s">
        <v>104</v>
      </c>
      <c r="I1" t="s">
        <v>93</v>
      </c>
    </row>
    <row r="2" spans="1:9" x14ac:dyDescent="0.35">
      <c r="A2" s="8" t="s">
        <v>105</v>
      </c>
      <c r="B2" s="9">
        <v>0.1</v>
      </c>
      <c r="C2" s="10">
        <f>new_product_launch[[#This Row],[Estimated Unit Market Share]]* 'New Category Opportunity'!$B$21</f>
        <v>102089.88</v>
      </c>
      <c r="D2" s="13">
        <v>3.5</v>
      </c>
      <c r="E2" s="14">
        <f>new_product_launch[[#This Row],[Estimated units sold 2024]]*new_product_launch[[#This Row],[Net Price]]</f>
        <v>357314.58</v>
      </c>
      <c r="F2" s="13">
        <v>1.35</v>
      </c>
      <c r="G2" s="13">
        <f xml:space="preserve"> new_product_launch[[#This Row],[Net Price]]-new_product_launch[[#This Row],[COGS]]</f>
        <v>2.15</v>
      </c>
      <c r="H2" s="14">
        <f>new_product_launch[[#This Row],[Estimated units sold 2024]]*new_product_launch[[#This Row],[Gross Profit per unit]]</f>
        <v>219493.242</v>
      </c>
      <c r="I2" s="9">
        <f>new_product_launch[[#This Row],[Gross Profit per product]]/new_product_launch[[#This Row],[Net Sales]]</f>
        <v>0.61428571428571421</v>
      </c>
    </row>
    <row r="3" spans="1:9" x14ac:dyDescent="0.35">
      <c r="A3" s="8" t="s">
        <v>106</v>
      </c>
      <c r="B3" s="9">
        <v>0.12</v>
      </c>
      <c r="C3" s="10">
        <f>new_product_launch[[#This Row],[Estimated Unit Market Share]]* 'New Category Opportunity'!$B$21</f>
        <v>122507.85599999999</v>
      </c>
      <c r="D3" s="13">
        <v>2.75</v>
      </c>
      <c r="E3" s="14">
        <f>new_product_launch[[#This Row],[Estimated units sold 2024]]*new_product_launch[[#This Row],[Net Price]]</f>
        <v>336896.60399999993</v>
      </c>
      <c r="F3" s="13">
        <v>0.9</v>
      </c>
      <c r="G3" s="13">
        <f xml:space="preserve"> new_product_launch[[#This Row],[Net Price]]-new_product_launch[[#This Row],[COGS]]</f>
        <v>1.85</v>
      </c>
      <c r="H3" s="14">
        <f>new_product_launch[[#This Row],[Estimated units sold 2024]]*new_product_launch[[#This Row],[Gross Profit per unit]]</f>
        <v>226639.5336</v>
      </c>
      <c r="I3" s="9">
        <f>new_product_launch[[#This Row],[Gross Profit per product]]/new_product_launch[[#This Row],[Net Sales]]</f>
        <v>0.67272727272727284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5590A-EB0A-485B-B3EF-E67451D2F385}">
  <dimension ref="A3:C22"/>
  <sheetViews>
    <sheetView topLeftCell="A8" workbookViewId="0">
      <selection activeCell="B22" sqref="B22"/>
    </sheetView>
  </sheetViews>
  <sheetFormatPr defaultRowHeight="14.5" x14ac:dyDescent="0.35"/>
  <cols>
    <col min="1" max="1" width="43.08984375" customWidth="1"/>
    <col min="2" max="2" width="15.90625" bestFit="1" customWidth="1"/>
    <col min="3" max="3" width="8.81640625" bestFit="1" customWidth="1"/>
    <col min="4" max="7" width="7.81640625" bestFit="1" customWidth="1"/>
    <col min="8" max="8" width="10.7265625" bestFit="1" customWidth="1"/>
  </cols>
  <sheetData>
    <row r="3" spans="1:3" x14ac:dyDescent="0.35">
      <c r="A3" s="2" t="s">
        <v>97</v>
      </c>
      <c r="B3" s="2" t="s">
        <v>60</v>
      </c>
    </row>
    <row r="4" spans="1:3" x14ac:dyDescent="0.35">
      <c r="A4" s="2" t="s">
        <v>58</v>
      </c>
      <c r="B4">
        <v>2018</v>
      </c>
      <c r="C4">
        <v>2022</v>
      </c>
    </row>
    <row r="5" spans="1:3" x14ac:dyDescent="0.35">
      <c r="A5" s="3" t="s">
        <v>8</v>
      </c>
      <c r="B5" s="5"/>
      <c r="C5" s="9">
        <v>0.11527757342129488</v>
      </c>
    </row>
    <row r="6" spans="1:3" x14ac:dyDescent="0.35">
      <c r="A6" s="3" t="s">
        <v>25</v>
      </c>
      <c r="B6" s="5"/>
      <c r="C6" s="9">
        <v>-0.35222595079829983</v>
      </c>
    </row>
    <row r="7" spans="1:3" x14ac:dyDescent="0.35">
      <c r="A7" s="3" t="s">
        <v>18</v>
      </c>
      <c r="B7" s="5"/>
      <c r="C7" s="9">
        <v>0.19140557343275691</v>
      </c>
    </row>
    <row r="8" spans="1:3" x14ac:dyDescent="0.35">
      <c r="A8" s="3" t="s">
        <v>30</v>
      </c>
      <c r="B8" s="5"/>
      <c r="C8" s="9">
        <v>2.7581984297070781</v>
      </c>
    </row>
    <row r="9" spans="1:3" x14ac:dyDescent="0.35">
      <c r="A9" s="3" t="s">
        <v>55</v>
      </c>
      <c r="B9" s="5"/>
      <c r="C9" s="9">
        <v>-0.11045145375336446</v>
      </c>
    </row>
    <row r="14" spans="1:3" x14ac:dyDescent="0.35">
      <c r="A14" s="2" t="s">
        <v>4</v>
      </c>
      <c r="B14" s="3">
        <v>2023</v>
      </c>
    </row>
    <row r="15" spans="1:3" x14ac:dyDescent="0.35">
      <c r="A15" s="2" t="s">
        <v>5</v>
      </c>
      <c r="B15" s="3">
        <v>3</v>
      </c>
    </row>
    <row r="17" spans="1:2" x14ac:dyDescent="0.35">
      <c r="A17" s="2" t="s">
        <v>58</v>
      </c>
      <c r="B17" t="s">
        <v>98</v>
      </c>
    </row>
    <row r="18" spans="1:2" x14ac:dyDescent="0.35">
      <c r="A18" s="3" t="s">
        <v>30</v>
      </c>
      <c r="B18" s="10">
        <v>850749</v>
      </c>
    </row>
    <row r="21" spans="1:2" x14ac:dyDescent="0.35">
      <c r="A21" s="12" t="s">
        <v>99</v>
      </c>
      <c r="B21" s="11">
        <f>GETPIVOTDATA("Units MAT",$A$17,"Subcategory","Organic")*(1+20%)</f>
        <v>1020898.7999999999</v>
      </c>
    </row>
    <row r="22" spans="1:2" x14ac:dyDescent="0.35">
      <c r="B22"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0CF6-03B9-4991-BEFE-D157AFD293E9}">
  <dimension ref="A1:J5"/>
  <sheetViews>
    <sheetView topLeftCell="B1" workbookViewId="0">
      <selection activeCell="G7" sqref="G7"/>
    </sheetView>
  </sheetViews>
  <sheetFormatPr defaultRowHeight="14.5" x14ac:dyDescent="0.35"/>
  <cols>
    <col min="1" max="1" width="12.54296875" style="15" bestFit="1" customWidth="1"/>
    <col min="2" max="2" width="15.6328125" style="15" bestFit="1" customWidth="1"/>
    <col min="3" max="3" width="8.08984375" style="15" bestFit="1" customWidth="1"/>
    <col min="4" max="4" width="6.81640625" style="15" bestFit="1" customWidth="1"/>
    <col min="5" max="5" width="8.81640625" style="15" bestFit="1" customWidth="1"/>
    <col min="6" max="6" width="12.36328125" style="20" bestFit="1" customWidth="1"/>
    <col min="7" max="7" width="15" style="20" bestFit="1" customWidth="1"/>
    <col min="8" max="8" width="9.81640625" style="15" bestFit="1" customWidth="1"/>
    <col min="9" max="9" width="10.81640625" style="16" bestFit="1" customWidth="1"/>
    <col min="10" max="10" width="8.26953125" style="15" customWidth="1"/>
    <col min="11" max="16384" width="8.7265625" style="15"/>
  </cols>
  <sheetData>
    <row r="1" spans="1:10" x14ac:dyDescent="0.35">
      <c r="A1" s="15" t="s">
        <v>109</v>
      </c>
      <c r="B1" s="15" t="s">
        <v>110</v>
      </c>
      <c r="C1" s="15" t="s">
        <v>2</v>
      </c>
      <c r="D1" s="15" t="s">
        <v>4</v>
      </c>
      <c r="E1" s="15" t="s">
        <v>5</v>
      </c>
      <c r="F1" s="20" t="s">
        <v>111</v>
      </c>
      <c r="G1" s="20" t="s">
        <v>112</v>
      </c>
      <c r="H1" s="15" t="s">
        <v>113</v>
      </c>
      <c r="I1" s="16" t="s">
        <v>114</v>
      </c>
      <c r="J1" s="15" t="s">
        <v>115</v>
      </c>
    </row>
    <row r="2" spans="1:10" x14ac:dyDescent="0.35">
      <c r="A2" s="15">
        <v>1</v>
      </c>
      <c r="B2" s="18" t="s">
        <v>116</v>
      </c>
      <c r="C2" s="18" t="s">
        <v>22</v>
      </c>
      <c r="D2" s="15">
        <v>2022</v>
      </c>
      <c r="E2" s="15">
        <v>4</v>
      </c>
      <c r="F2" s="20">
        <f>VLOOKUP(promotion_analysis[[#This Row],[Month]],'Promotion Graph'!A5:B16, 2, FALSE)</f>
        <v>1445626</v>
      </c>
      <c r="G2" s="20">
        <f>AVERAGE('Promotion Graph'!$B$5:$B$7,'Promotion Graph'!$B$9:$B$11,'Promotion Graph'!$B$13:$B$14,GETPIVOTDATA("Values Month",'Promotion Graph'!$A$4,"Month",12))</f>
        <v>840835.5555555555</v>
      </c>
      <c r="H2" s="20">
        <f>promotion_analysis[[#This Row],[Value sales]]-promotion_analysis[[#This Row],[Baseline sales ]]</f>
        <v>604790.4444444445</v>
      </c>
      <c r="I2" s="16">
        <v>620000</v>
      </c>
      <c r="J2" s="17">
        <f>(promotion_analysis[[#This Row],[Uplift]]-promotion_analysis[[#This Row],[Costs]])/promotion_analysis[[#This Row],[Costs]]</f>
        <v>-2.453154121863791E-2</v>
      </c>
    </row>
    <row r="3" spans="1:10" x14ac:dyDescent="0.35">
      <c r="A3" s="15">
        <v>2</v>
      </c>
      <c r="B3" s="18" t="s">
        <v>117</v>
      </c>
      <c r="C3" s="18" t="s">
        <v>22</v>
      </c>
      <c r="D3" s="15">
        <v>2022</v>
      </c>
      <c r="E3" s="15">
        <v>8</v>
      </c>
      <c r="F3" s="20">
        <f>VLOOKUP(promotion_analysis[[#This Row],[Month]],'Promotion Graph'!A6:B17, 2, FALSE)</f>
        <v>1198708</v>
      </c>
      <c r="G3" s="20">
        <f>AVERAGE('Promotion Graph'!$B$5:$B$7,'Promotion Graph'!$B$9:$B$11,'Promotion Graph'!$B$13:$B$14,GETPIVOTDATA("Values Month",'Promotion Graph'!$A$4,"Month",12))</f>
        <v>840835.5555555555</v>
      </c>
      <c r="H3" s="20">
        <f>promotion_analysis[[#This Row],[Value sales]]-promotion_analysis[[#This Row],[Baseline sales ]]</f>
        <v>357872.4444444445</v>
      </c>
      <c r="I3" s="16">
        <v>320000</v>
      </c>
      <c r="J3" s="17">
        <f>(promotion_analysis[[#This Row],[Uplift]]-promotion_analysis[[#This Row],[Costs]])/promotion_analysis[[#This Row],[Costs]]</f>
        <v>0.11835138888888905</v>
      </c>
    </row>
    <row r="4" spans="1:10" x14ac:dyDescent="0.35">
      <c r="A4" s="15">
        <v>3</v>
      </c>
      <c r="B4" s="18" t="s">
        <v>118</v>
      </c>
      <c r="C4" s="18" t="s">
        <v>22</v>
      </c>
      <c r="D4" s="15">
        <v>2022</v>
      </c>
      <c r="E4" s="15">
        <v>11</v>
      </c>
      <c r="F4" s="20">
        <f>VLOOKUP(promotion_analysis[[#This Row],[Month]],'Promotion Graph'!A7:B18, 2, FALSE)</f>
        <v>1413646</v>
      </c>
      <c r="G4" s="20">
        <f>AVERAGE('Promotion Graph'!$B$5:$B$7,'Promotion Graph'!$B$9:$B$11,'Promotion Graph'!$B$13:$B$14,GETPIVOTDATA("Values Month",'Promotion Graph'!$A$4,"Month",12))</f>
        <v>840835.5555555555</v>
      </c>
      <c r="H4" s="20">
        <f>promotion_analysis[[#This Row],[Value sales]]-promotion_analysis[[#This Row],[Baseline sales ]]</f>
        <v>572810.4444444445</v>
      </c>
      <c r="I4" s="16">
        <v>540000</v>
      </c>
      <c r="J4" s="17">
        <f>(promotion_analysis[[#This Row],[Uplift]]-promotion_analysis[[#This Row],[Costs]])/promotion_analysis[[#This Row],[Costs]]</f>
        <v>6.0760082304526848E-2</v>
      </c>
    </row>
    <row r="5" spans="1:10" x14ac:dyDescent="0.35">
      <c r="B5" s="18"/>
      <c r="C5" s="18"/>
      <c r="H5" s="18"/>
      <c r="J5" s="17" t="s">
        <v>119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01F59-68FC-4DE3-B551-FF8F4551EEBD}">
  <dimension ref="A1:B17"/>
  <sheetViews>
    <sheetView workbookViewId="0">
      <selection activeCell="J18" sqref="J18"/>
    </sheetView>
  </sheetViews>
  <sheetFormatPr defaultRowHeight="14.5" x14ac:dyDescent="0.35"/>
  <cols>
    <col min="1" max="1" width="12.36328125" bestFit="1" customWidth="1"/>
    <col min="2" max="2" width="19" bestFit="1" customWidth="1"/>
  </cols>
  <sheetData>
    <row r="1" spans="1:2" x14ac:dyDescent="0.35">
      <c r="A1" s="2" t="s">
        <v>2</v>
      </c>
      <c r="B1" t="s">
        <v>22</v>
      </c>
    </row>
    <row r="2" spans="1:2" x14ac:dyDescent="0.35">
      <c r="A2" s="2" t="s">
        <v>4</v>
      </c>
      <c r="B2" s="3">
        <v>2022</v>
      </c>
    </row>
    <row r="4" spans="1:2" x14ac:dyDescent="0.35">
      <c r="A4" s="2" t="s">
        <v>58</v>
      </c>
      <c r="B4" t="s">
        <v>61</v>
      </c>
    </row>
    <row r="5" spans="1:2" x14ac:dyDescent="0.35">
      <c r="A5" s="3">
        <v>1</v>
      </c>
      <c r="B5" s="1">
        <v>849590</v>
      </c>
    </row>
    <row r="6" spans="1:2" x14ac:dyDescent="0.35">
      <c r="A6" s="3">
        <v>2</v>
      </c>
      <c r="B6" s="1">
        <v>822290</v>
      </c>
    </row>
    <row r="7" spans="1:2" x14ac:dyDescent="0.35">
      <c r="A7" s="3">
        <v>3</v>
      </c>
      <c r="B7" s="1">
        <v>827649</v>
      </c>
    </row>
    <row r="8" spans="1:2" x14ac:dyDescent="0.35">
      <c r="A8" s="3">
        <v>4</v>
      </c>
      <c r="B8" s="1">
        <v>1445626</v>
      </c>
    </row>
    <row r="9" spans="1:2" x14ac:dyDescent="0.35">
      <c r="A9" s="3">
        <v>5</v>
      </c>
      <c r="B9" s="1">
        <v>874089</v>
      </c>
    </row>
    <row r="10" spans="1:2" x14ac:dyDescent="0.35">
      <c r="A10" s="3">
        <v>6</v>
      </c>
      <c r="B10" s="1">
        <v>876087</v>
      </c>
    </row>
    <row r="11" spans="1:2" x14ac:dyDescent="0.35">
      <c r="A11" s="3">
        <v>7</v>
      </c>
      <c r="B11" s="1">
        <v>842454</v>
      </c>
    </row>
    <row r="12" spans="1:2" x14ac:dyDescent="0.35">
      <c r="A12" s="3">
        <v>8</v>
      </c>
      <c r="B12" s="1">
        <v>1198708</v>
      </c>
    </row>
    <row r="13" spans="1:2" x14ac:dyDescent="0.35">
      <c r="A13" s="3">
        <v>9</v>
      </c>
      <c r="B13" s="1">
        <v>853650</v>
      </c>
    </row>
    <row r="14" spans="1:2" x14ac:dyDescent="0.35">
      <c r="A14" s="3">
        <v>10</v>
      </c>
      <c r="B14" s="1">
        <v>816480</v>
      </c>
    </row>
    <row r="15" spans="1:2" x14ac:dyDescent="0.35">
      <c r="A15" s="3">
        <v>11</v>
      </c>
      <c r="B15" s="1">
        <v>1413646</v>
      </c>
    </row>
    <row r="16" spans="1:2" x14ac:dyDescent="0.35">
      <c r="A16" s="3">
        <v>12</v>
      </c>
      <c r="B16" s="1">
        <v>805231</v>
      </c>
    </row>
    <row r="17" spans="1:2" x14ac:dyDescent="0.35">
      <c r="A17" s="3" t="s">
        <v>59</v>
      </c>
      <c r="B17" s="1">
        <v>11625500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4F05F-68E2-4240-B3B4-E0FD10C19463}">
  <dimension ref="A1:G8"/>
  <sheetViews>
    <sheetView topLeftCell="A13" zoomScale="70" zoomScaleNormal="70" workbookViewId="0">
      <selection activeCell="F7" sqref="F7"/>
    </sheetView>
  </sheetViews>
  <sheetFormatPr defaultRowHeight="14.5" x14ac:dyDescent="0.35"/>
  <cols>
    <col min="1" max="1" width="9.90625" customWidth="1"/>
    <col min="2" max="3" width="11.81640625" bestFit="1" customWidth="1"/>
    <col min="4" max="4" width="23.6328125" customWidth="1"/>
    <col min="5" max="5" width="23.7265625" customWidth="1"/>
    <col min="6" max="6" width="16.81640625" customWidth="1"/>
    <col min="7" max="7" width="10.54296875" customWidth="1"/>
  </cols>
  <sheetData>
    <row r="1" spans="1:7" x14ac:dyDescent="0.35">
      <c r="A1" t="s">
        <v>120</v>
      </c>
      <c r="B1" t="s">
        <v>121</v>
      </c>
      <c r="C1" t="s">
        <v>122</v>
      </c>
      <c r="D1" t="s">
        <v>123</v>
      </c>
      <c r="E1" t="s">
        <v>124</v>
      </c>
      <c r="F1" t="s">
        <v>102</v>
      </c>
      <c r="G1" t="s">
        <v>125</v>
      </c>
    </row>
    <row r="2" spans="1:7" x14ac:dyDescent="0.35">
      <c r="A2">
        <v>2018</v>
      </c>
      <c r="B2" s="1">
        <v>30685269</v>
      </c>
      <c r="F2" s="1"/>
      <c r="G2" s="1"/>
    </row>
    <row r="3" spans="1:7" x14ac:dyDescent="0.35">
      <c r="A3">
        <v>2019</v>
      </c>
      <c r="B3" s="1">
        <v>29261549</v>
      </c>
      <c r="F3" s="1"/>
      <c r="G3" s="1"/>
    </row>
    <row r="4" spans="1:7" x14ac:dyDescent="0.35">
      <c r="A4">
        <v>2020</v>
      </c>
      <c r="B4" s="1">
        <v>30370933</v>
      </c>
      <c r="F4" s="1"/>
      <c r="G4" s="1"/>
    </row>
    <row r="5" spans="1:7" x14ac:dyDescent="0.35">
      <c r="A5">
        <v>2021</v>
      </c>
      <c r="B5" s="1">
        <v>30710796</v>
      </c>
      <c r="F5" s="1"/>
      <c r="G5" s="1"/>
    </row>
    <row r="6" spans="1:7" x14ac:dyDescent="0.35">
      <c r="A6">
        <v>2022</v>
      </c>
      <c r="B6" s="1">
        <v>31442892</v>
      </c>
      <c r="C6" s="1">
        <v>31442892</v>
      </c>
      <c r="D6" s="1">
        <v>31442892</v>
      </c>
      <c r="E6" s="1">
        <v>31442892</v>
      </c>
      <c r="F6" s="1">
        <f>internal_sales_data[[#Totals],[Net Sales 2022]]</f>
        <v>20480714.900000002</v>
      </c>
      <c r="G6" s="7">
        <f>Table6[[#This Row],[Net Sales]]/Table6[[#This Row],[Values]]</f>
        <v>0.65136231425531732</v>
      </c>
    </row>
    <row r="7" spans="1:7" x14ac:dyDescent="0.35">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
    </row>
    <row r="8" spans="1:7" x14ac:dyDescent="0.35">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
    </row>
  </sheetData>
  <pageMargins left="0.7" right="0.7" top="0.75" bottom="0.75" header="0.3" footer="0.3"/>
  <ignoredErrors>
    <ignoredError sqref="F7:F8" calculatedColumn="1"/>
  </ignoredErrors>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AB990-F9DA-4F86-AA71-14E9600AC559}">
  <dimension ref="A1:E2"/>
  <sheetViews>
    <sheetView workbookViewId="0">
      <selection activeCell="F6" sqref="F6"/>
    </sheetView>
  </sheetViews>
  <sheetFormatPr defaultRowHeight="14.5" x14ac:dyDescent="0.35"/>
  <cols>
    <col min="1" max="1" width="21.81640625" style="13" bestFit="1" customWidth="1"/>
    <col min="2" max="2" width="13.81640625" style="13" bestFit="1" customWidth="1"/>
    <col min="3" max="3" width="15.6328125" style="13" bestFit="1" customWidth="1"/>
    <col min="4" max="4" width="13.81640625" style="13" bestFit="1" customWidth="1"/>
    <col min="5" max="5" width="21.81640625" bestFit="1" customWidth="1"/>
  </cols>
  <sheetData>
    <row r="1" spans="1:5" x14ac:dyDescent="0.35">
      <c r="A1" s="13" t="s">
        <v>127</v>
      </c>
      <c r="B1" s="13" t="s">
        <v>128</v>
      </c>
      <c r="C1" s="13" t="s">
        <v>129</v>
      </c>
      <c r="D1" s="13" t="s">
        <v>130</v>
      </c>
      <c r="E1" t="s">
        <v>126</v>
      </c>
    </row>
    <row r="2" spans="1:5" x14ac:dyDescent="0.35">
      <c r="A2" s="13">
        <f>'Forecast 2024'!F7</f>
        <v>20606057.899500884</v>
      </c>
      <c r="B2" s="13">
        <f>'Forecast 2024'!F8-'Forecast 2024'!F7</f>
        <v>202654.24053605273</v>
      </c>
      <c r="C2" s="13">
        <f>'New Product Launch'!E3</f>
        <v>336896.60399999993</v>
      </c>
      <c r="D2" s="13">
        <f>'50 ml Shampoo 2024'!I12</f>
        <v>265960.03999999998</v>
      </c>
      <c r="E2" s="13">
        <f>SUM(A2:D2)</f>
        <v>21411568.784036934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1D054-0F71-46F4-A8DC-480725F91662}">
  <dimension ref="A1:B8"/>
  <sheetViews>
    <sheetView workbookViewId="0">
      <selection activeCell="A4" sqref="A4:B8"/>
    </sheetView>
  </sheetViews>
  <sheetFormatPr defaultRowHeight="14.5" x14ac:dyDescent="0.35"/>
  <cols>
    <col min="1" max="1" width="12.36328125" bestFit="1" customWidth="1"/>
    <col min="2" max="2" width="19" bestFit="1" customWidth="1"/>
  </cols>
  <sheetData>
    <row r="1" spans="1:2" x14ac:dyDescent="0.35">
      <c r="A1" s="2" t="s">
        <v>1</v>
      </c>
      <c r="B1" t="s">
        <v>21</v>
      </c>
    </row>
    <row r="3" spans="1:2" x14ac:dyDescent="0.35">
      <c r="A3" s="2" t="s">
        <v>58</v>
      </c>
      <c r="B3" t="s">
        <v>61</v>
      </c>
    </row>
    <row r="4" spans="1:2" x14ac:dyDescent="0.35">
      <c r="A4" s="3">
        <v>2018</v>
      </c>
      <c r="B4" s="1">
        <v>30685269</v>
      </c>
    </row>
    <row r="5" spans="1:2" x14ac:dyDescent="0.35">
      <c r="A5" s="3">
        <v>2019</v>
      </c>
      <c r="B5" s="1">
        <v>29261549</v>
      </c>
    </row>
    <row r="6" spans="1:2" x14ac:dyDescent="0.35">
      <c r="A6" s="3">
        <v>2020</v>
      </c>
      <c r="B6" s="1">
        <v>30370933</v>
      </c>
    </row>
    <row r="7" spans="1:2" x14ac:dyDescent="0.35">
      <c r="A7" s="3">
        <v>2021</v>
      </c>
      <c r="B7" s="1">
        <v>30710796</v>
      </c>
    </row>
    <row r="8" spans="1:2" x14ac:dyDescent="0.35">
      <c r="A8" s="3">
        <v>2022</v>
      </c>
      <c r="B8" s="1">
        <v>31442892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5BF7-DD64-4169-823E-596980289C10}">
  <dimension ref="A1:M12"/>
  <sheetViews>
    <sheetView workbookViewId="0">
      <selection activeCell="E1" sqref="E1:E1048576"/>
    </sheetView>
  </sheetViews>
  <sheetFormatPr defaultRowHeight="14.5" x14ac:dyDescent="0.35"/>
  <cols>
    <col min="1" max="1" width="10.36328125" style="15" bestFit="1" customWidth="1"/>
    <col min="2" max="2" width="12" style="15" bestFit="1" customWidth="1"/>
    <col min="3" max="3" width="16.7265625" style="15" bestFit="1" customWidth="1"/>
    <col min="4" max="4" width="23.26953125" style="15" bestFit="1" customWidth="1"/>
    <col min="5" max="5" width="14.6328125" style="16" bestFit="1" customWidth="1"/>
    <col min="6" max="6" width="12.90625" style="16" bestFit="1" customWidth="1"/>
    <col min="7" max="7" width="10" style="16" bestFit="1" customWidth="1"/>
    <col min="8" max="8" width="16.26953125" style="15" bestFit="1" customWidth="1"/>
    <col min="9" max="9" width="17.54296875" style="16" bestFit="1" customWidth="1"/>
    <col min="10" max="10" width="22.7265625" style="19" bestFit="1" customWidth="1"/>
    <col min="11" max="11" width="25.90625" style="19" bestFit="1" customWidth="1"/>
    <col min="12" max="12" width="16.453125" style="17" bestFit="1" customWidth="1"/>
    <col min="13" max="13" width="24.36328125" style="17" bestFit="1" customWidth="1"/>
    <col min="14" max="16384" width="8.7265625" style="15"/>
  </cols>
  <sheetData>
    <row r="1" spans="1:13" x14ac:dyDescent="0.35">
      <c r="A1" s="15" t="s">
        <v>2</v>
      </c>
      <c r="B1" s="15" t="s">
        <v>69</v>
      </c>
      <c r="C1" s="15" t="s">
        <v>70</v>
      </c>
      <c r="D1" s="15" t="s">
        <v>71</v>
      </c>
      <c r="E1" s="16" t="s">
        <v>72</v>
      </c>
      <c r="F1" s="16" t="s">
        <v>73</v>
      </c>
      <c r="G1" s="16" t="s">
        <v>74</v>
      </c>
      <c r="H1" s="15" t="s">
        <v>75</v>
      </c>
      <c r="I1" s="16" t="s">
        <v>90</v>
      </c>
      <c r="J1" s="19" t="s">
        <v>91</v>
      </c>
      <c r="K1" s="19" t="s">
        <v>92</v>
      </c>
      <c r="L1" s="17" t="s">
        <v>93</v>
      </c>
      <c r="M1" s="17" t="s">
        <v>94</v>
      </c>
    </row>
    <row r="2" spans="1:13" x14ac:dyDescent="0.35">
      <c r="A2" s="18" t="s">
        <v>57</v>
      </c>
      <c r="B2" s="18" t="s">
        <v>76</v>
      </c>
      <c r="C2" s="15">
        <v>100</v>
      </c>
      <c r="D2" s="18" t="s">
        <v>77</v>
      </c>
      <c r="E2" s="16">
        <v>5</v>
      </c>
      <c r="F2" s="16">
        <v>3.1</v>
      </c>
      <c r="G2" s="16">
        <v>0.9</v>
      </c>
      <c r="H2" s="15">
        <v>1156348</v>
      </c>
      <c r="I2" s="16">
        <f>internal_sales_data[[#This Row],[Net Price]]*internal_sales_data[[#This Row],[Volume 2022]]</f>
        <v>3584678.8000000003</v>
      </c>
      <c r="J2" s="19">
        <f>internal_sales_data[[#This Row],[Net Price]]-internal_sales_data[[#This Row],[COGS]]</f>
        <v>2.2000000000000002</v>
      </c>
      <c r="K2" s="19">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35">
      <c r="A3" s="18" t="s">
        <v>57</v>
      </c>
      <c r="B3" s="18" t="s">
        <v>78</v>
      </c>
      <c r="C3" s="15">
        <v>100</v>
      </c>
      <c r="D3" s="18" t="s">
        <v>79</v>
      </c>
      <c r="E3" s="16">
        <v>5</v>
      </c>
      <c r="F3" s="16">
        <v>2.9</v>
      </c>
      <c r="G3" s="16">
        <v>0.95</v>
      </c>
      <c r="H3" s="15">
        <v>693809</v>
      </c>
      <c r="I3" s="16">
        <f>internal_sales_data[[#This Row],[Net Price]]*internal_sales_data[[#This Row],[Volume 2022]]</f>
        <v>2012046.0999999999</v>
      </c>
      <c r="J3" s="19">
        <f>internal_sales_data[[#This Row],[Net Price]]-internal_sales_data[[#This Row],[COGS]]</f>
        <v>1.95</v>
      </c>
      <c r="K3" s="19">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35">
      <c r="A4" s="18" t="s">
        <v>57</v>
      </c>
      <c r="B4" s="18" t="s">
        <v>80</v>
      </c>
      <c r="C4" s="15">
        <v>100</v>
      </c>
      <c r="D4" s="18" t="s">
        <v>81</v>
      </c>
      <c r="E4" s="16">
        <v>5</v>
      </c>
      <c r="F4" s="16">
        <v>2.8</v>
      </c>
      <c r="G4" s="16">
        <v>1</v>
      </c>
      <c r="H4" s="15">
        <v>346904</v>
      </c>
      <c r="I4" s="16">
        <f>internal_sales_data[[#This Row],[Net Price]]*internal_sales_data[[#This Row],[Volume 2022]]</f>
        <v>971331.2</v>
      </c>
      <c r="J4" s="19">
        <f>internal_sales_data[[#This Row],[Net Price]]-internal_sales_data[[#This Row],[COGS]]</f>
        <v>1.7999999999999998</v>
      </c>
      <c r="K4" s="19">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35">
      <c r="A5" s="18" t="s">
        <v>57</v>
      </c>
      <c r="B5" s="18" t="s">
        <v>76</v>
      </c>
      <c r="C5" s="15">
        <v>150</v>
      </c>
      <c r="D5" s="18" t="s">
        <v>82</v>
      </c>
      <c r="E5" s="16">
        <v>7</v>
      </c>
      <c r="F5" s="16">
        <v>3.5</v>
      </c>
      <c r="G5" s="16">
        <v>1.2</v>
      </c>
      <c r="H5" s="15">
        <v>693809</v>
      </c>
      <c r="I5" s="16">
        <f>internal_sales_data[[#This Row],[Net Price]]*internal_sales_data[[#This Row],[Volume 2022]]</f>
        <v>2428331.5</v>
      </c>
      <c r="J5" s="19">
        <f>internal_sales_data[[#This Row],[Net Price]]-internal_sales_data[[#This Row],[COGS]]</f>
        <v>2.2999999999999998</v>
      </c>
      <c r="K5" s="19">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35">
      <c r="A6" s="18" t="s">
        <v>57</v>
      </c>
      <c r="B6" s="18" t="s">
        <v>80</v>
      </c>
      <c r="C6" s="15">
        <v>150</v>
      </c>
      <c r="D6" s="18" t="s">
        <v>83</v>
      </c>
      <c r="E6" s="16">
        <v>7.25</v>
      </c>
      <c r="F6" s="16">
        <v>3.7</v>
      </c>
      <c r="G6" s="16">
        <v>1.3</v>
      </c>
      <c r="H6" s="15">
        <v>231270</v>
      </c>
      <c r="I6" s="16">
        <f>internal_sales_data[[#This Row],[Net Price]]*internal_sales_data[[#This Row],[Volume 2022]]</f>
        <v>855699</v>
      </c>
      <c r="J6" s="19">
        <f>internal_sales_data[[#This Row],[Net Price]]-internal_sales_data[[#This Row],[COGS]]</f>
        <v>2.4000000000000004</v>
      </c>
      <c r="K6" s="19">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35">
      <c r="A7" s="18" t="s">
        <v>57</v>
      </c>
      <c r="B7" s="18" t="s">
        <v>76</v>
      </c>
      <c r="C7" s="15">
        <v>200</v>
      </c>
      <c r="D7" s="18" t="s">
        <v>84</v>
      </c>
      <c r="E7" s="16">
        <v>9</v>
      </c>
      <c r="F7" s="16">
        <v>5</v>
      </c>
      <c r="G7" s="16">
        <v>1.5</v>
      </c>
      <c r="H7" s="15">
        <v>289087</v>
      </c>
      <c r="I7" s="16">
        <f>internal_sales_data[[#This Row],[Net Price]]*internal_sales_data[[#This Row],[Volume 2022]]</f>
        <v>1445435</v>
      </c>
      <c r="J7" s="19">
        <f>internal_sales_data[[#This Row],[Net Price]]-internal_sales_data[[#This Row],[COGS]]</f>
        <v>3.5</v>
      </c>
      <c r="K7" s="19">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35">
      <c r="A8" s="18" t="s">
        <v>22</v>
      </c>
      <c r="B8" s="18" t="s">
        <v>85</v>
      </c>
      <c r="C8" s="15">
        <v>100</v>
      </c>
      <c r="D8" s="18" t="s">
        <v>86</v>
      </c>
      <c r="E8" s="16">
        <v>6</v>
      </c>
      <c r="F8" s="16">
        <v>3.5</v>
      </c>
      <c r="G8" s="16">
        <v>1.1499999999999999</v>
      </c>
      <c r="H8" s="15">
        <v>1089532</v>
      </c>
      <c r="I8" s="16">
        <f>internal_sales_data[[#This Row],[Net Price]]*internal_sales_data[[#This Row],[Volume 2022]]</f>
        <v>3813362</v>
      </c>
      <c r="J8" s="19">
        <f>internal_sales_data[[#This Row],[Net Price]]-internal_sales_data[[#This Row],[COGS]]</f>
        <v>2.35</v>
      </c>
      <c r="K8" s="19">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35">
      <c r="A9" s="18" t="s">
        <v>22</v>
      </c>
      <c r="B9" s="18" t="s">
        <v>85</v>
      </c>
      <c r="C9" s="15">
        <v>125</v>
      </c>
      <c r="D9" s="18" t="s">
        <v>87</v>
      </c>
      <c r="E9" s="16">
        <v>7</v>
      </c>
      <c r="F9" s="16">
        <v>4.25</v>
      </c>
      <c r="G9" s="16">
        <v>1.3</v>
      </c>
      <c r="H9" s="15">
        <v>466942</v>
      </c>
      <c r="I9" s="16">
        <f>internal_sales_data[[#This Row],[Net Price]]*internal_sales_data[[#This Row],[Volume 2022]]</f>
        <v>1984503.5</v>
      </c>
      <c r="J9" s="19">
        <f>internal_sales_data[[#This Row],[Net Price]]-internal_sales_data[[#This Row],[COGS]]</f>
        <v>2.95</v>
      </c>
      <c r="K9" s="19">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35">
      <c r="A10" s="18" t="s">
        <v>22</v>
      </c>
      <c r="B10" s="18" t="s">
        <v>85</v>
      </c>
      <c r="C10" s="15">
        <v>150</v>
      </c>
      <c r="D10" s="18" t="s">
        <v>88</v>
      </c>
      <c r="E10" s="16">
        <v>8</v>
      </c>
      <c r="F10" s="16">
        <v>5.0999999999999996</v>
      </c>
      <c r="G10" s="16">
        <v>1.5</v>
      </c>
      <c r="H10" s="15">
        <v>389118</v>
      </c>
      <c r="I10" s="16">
        <f>internal_sales_data[[#This Row],[Net Price]]*internal_sales_data[[#This Row],[Volume 2022]]</f>
        <v>1984501.7999999998</v>
      </c>
      <c r="J10" s="19">
        <f>internal_sales_data[[#This Row],[Net Price]]-internal_sales_data[[#This Row],[COGS]]</f>
        <v>3.5999999999999996</v>
      </c>
      <c r="K10" s="19">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35">
      <c r="A11" s="18" t="s">
        <v>22</v>
      </c>
      <c r="B11" s="18" t="s">
        <v>85</v>
      </c>
      <c r="C11" s="15">
        <v>200</v>
      </c>
      <c r="D11" s="18" t="s">
        <v>89</v>
      </c>
      <c r="E11" s="16">
        <v>10</v>
      </c>
      <c r="F11" s="16">
        <v>6</v>
      </c>
      <c r="G11" s="16">
        <v>1.7</v>
      </c>
      <c r="H11" s="15">
        <v>233471</v>
      </c>
      <c r="I11" s="16">
        <f>internal_sales_data[[#This Row],[Net Price]]*internal_sales_data[[#This Row],[Volume 2022]]</f>
        <v>1400826</v>
      </c>
      <c r="J11" s="19">
        <f>internal_sales_data[[#This Row],[Net Price]]-internal_sales_data[[#This Row],[COGS]]</f>
        <v>4.3</v>
      </c>
      <c r="K11" s="19">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35">
      <c r="A12" s="15" t="s">
        <v>95</v>
      </c>
      <c r="H12" s="15">
        <f>SUBTOTAL(109,internal_sales_data[Volume 2022])</f>
        <v>5590290</v>
      </c>
      <c r="I12" s="16">
        <f>SUBTOTAL(109,internal_sales_data[Net Sales 2022])</f>
        <v>20480714.900000002</v>
      </c>
      <c r="K12" s="19">
        <f>SUBTOTAL(109,internal_sales_data[Gross Profit Per Product])</f>
        <v>14026562.75</v>
      </c>
      <c r="L12" s="17">
        <f>SUBTOTAL(101,internal_sales_data[Gross Margin])</f>
        <v>0.6818835099202174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heetViews>
  <sheetFormatPr defaultRowHeight="14.5" x14ac:dyDescent="0.35"/>
  <cols>
    <col min="1" max="1" width="17.81640625" bestFit="1" customWidth="1"/>
    <col min="2" max="2" width="14.1796875" bestFit="1" customWidth="1"/>
    <col min="3" max="3" width="21.453125" bestFit="1" customWidth="1"/>
    <col min="4" max="4" width="15.453125" bestFit="1" customWidth="1"/>
    <col min="5" max="5" width="9.453125" bestFit="1" customWidth="1"/>
    <col min="6" max="6" width="7.26953125" bestFit="1" customWidth="1"/>
    <col min="7" max="7" width="9.26953125" bestFit="1" customWidth="1"/>
    <col min="8" max="8" width="14.81640625" bestFit="1" customWidth="1"/>
    <col min="9" max="9" width="15.81640625" style="1" bestFit="1" customWidth="1"/>
    <col min="11" max="11" width="14.1796875" style="6" bestFit="1" customWidth="1"/>
    <col min="13" max="13" width="14" style="1" bestFit="1" customWidth="1"/>
  </cols>
  <sheetData>
    <row r="1" spans="1:13" x14ac:dyDescent="0.35">
      <c r="A1" t="s">
        <v>68</v>
      </c>
      <c r="B1" t="s">
        <v>0</v>
      </c>
      <c r="C1" t="s">
        <v>1</v>
      </c>
      <c r="D1" t="s">
        <v>2</v>
      </c>
      <c r="E1" t="s">
        <v>3</v>
      </c>
      <c r="F1" t="s">
        <v>4</v>
      </c>
      <c r="G1" t="s">
        <v>5</v>
      </c>
      <c r="H1" t="s">
        <v>62</v>
      </c>
      <c r="I1" s="1" t="s">
        <v>6</v>
      </c>
      <c r="J1" t="s">
        <v>66</v>
      </c>
      <c r="K1" s="6" t="s">
        <v>63</v>
      </c>
      <c r="L1" t="s">
        <v>64</v>
      </c>
      <c r="M1" s="1" t="s">
        <v>65</v>
      </c>
    </row>
    <row r="2" spans="1:13" x14ac:dyDescent="0.3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3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3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3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3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3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3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3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3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3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3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3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3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3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3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3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3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3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3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3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3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3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3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3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3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3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3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3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3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3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3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3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3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3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3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3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3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3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3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3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3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3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3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3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3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3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3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3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3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3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3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3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3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3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3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3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3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3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3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3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3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3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3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3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3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3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3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3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3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3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3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3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3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3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3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3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3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3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3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3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3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3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3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3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3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3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3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3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3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3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3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3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3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3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3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3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3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3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3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3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3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3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3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3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3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3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3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3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3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3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3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3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3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3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3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3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3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3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3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3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3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3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3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3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3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3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3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3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3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3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3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3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3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3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3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3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3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3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3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3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3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3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3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3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3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3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3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3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3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3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3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3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3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3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3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3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3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3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3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3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3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3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3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3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3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3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3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3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3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3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3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3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3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3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3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3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3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3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3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3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3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3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3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3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3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3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3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3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3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3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3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3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3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3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3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3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3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3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3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3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3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3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3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3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3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3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3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3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3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3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3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3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3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3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3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3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3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3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3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3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3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3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3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3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3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3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3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3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3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3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3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3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3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3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3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3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3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3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3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3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3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3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3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3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3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3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3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3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3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3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3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3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3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3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3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3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3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3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3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3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3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3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3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3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3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3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3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3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3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3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3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3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3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3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3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3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3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3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3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3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3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3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3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3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3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3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3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3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3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3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3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3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3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3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3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3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3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3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3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3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3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3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3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3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3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3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3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3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3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3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3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3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3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3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3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3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3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3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3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3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3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3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3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3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3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3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3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3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3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3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3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3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3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3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3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3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3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3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3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3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3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3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3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3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3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3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3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3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3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3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3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3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3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3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3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3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3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3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3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3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3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3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3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3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3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3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3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3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3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3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3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3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3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3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3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3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3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3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3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3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3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3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3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3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3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3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3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3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3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3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3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3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3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3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3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3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3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3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3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3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3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3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3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3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3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3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3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3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3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3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3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3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3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3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3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3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3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3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3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3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3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3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3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3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3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3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3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3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3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3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3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3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3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3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3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3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3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3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3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3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3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3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3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3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3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3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3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3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3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3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3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3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3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3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3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3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3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3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3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3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3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3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3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3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3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3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3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3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3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3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3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3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3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3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3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3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3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3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3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3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3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3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3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3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3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3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3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3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3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3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3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3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3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3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3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3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3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3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3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3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3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3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3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3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3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3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3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3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3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3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3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3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3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3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3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3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3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3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3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3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3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3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3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3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3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3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3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3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3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3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3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3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3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3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3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3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3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3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3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3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3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3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3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3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3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3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3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3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3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3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3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3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3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3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3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3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3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3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3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3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3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3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3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3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3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3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3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3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3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3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3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3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3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3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3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3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3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3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3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3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3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3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3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3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3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3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3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3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3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3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3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3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3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3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3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3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3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3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3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3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3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3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3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3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3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3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3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3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3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3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3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3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3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3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3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3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3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3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3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3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3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3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3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3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3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3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3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3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3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3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3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3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3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3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3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3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3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3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3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3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3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3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3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3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3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3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3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3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3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3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3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3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3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3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3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3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3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3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3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3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3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3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3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3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3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3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3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3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3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3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3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3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3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3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3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3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3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3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3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3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3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3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3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3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3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3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3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3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3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3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3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3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3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3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3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3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3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3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3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3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3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3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3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3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3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3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3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3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3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3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3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3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3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3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3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3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3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3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3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3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3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3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3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3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3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3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3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3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3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3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3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3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3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3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3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3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3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3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3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3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3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3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3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3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3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3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3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3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3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3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3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3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3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3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3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3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3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3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3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3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3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3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3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3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3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3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3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3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3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3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3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3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3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3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3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3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3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3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3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3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3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3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3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3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3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3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3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3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3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3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3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3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3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3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3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3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3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3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3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3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3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3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3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3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3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3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3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3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3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3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3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3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3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3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3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3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3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3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3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3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3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3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3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3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3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3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3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3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3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3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3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3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3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3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3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3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3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3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3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3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3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3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3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3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3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3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3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3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3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3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3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3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3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3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3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3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3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3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3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3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3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3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3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3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3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3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3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3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3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3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3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3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3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3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3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3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3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3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3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3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3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3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3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3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3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3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3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3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3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3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3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3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3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3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3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3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3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3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3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3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3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3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3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3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3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3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3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3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3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3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3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3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3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3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3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3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3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3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3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3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3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3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3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3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3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3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3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3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3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3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3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3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3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3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3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3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3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3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3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3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3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3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3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3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3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3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3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3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3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3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3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3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3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3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3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3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3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3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3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3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3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3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3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3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3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3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3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3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3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3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3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3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3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3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3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3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3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3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3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3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3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3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3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3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3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3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3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3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3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3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3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3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3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3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3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3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3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3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3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3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3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3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3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3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3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3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3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3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3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3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3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3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3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3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3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3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3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3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3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3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3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3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3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3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3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3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3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3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3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3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3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3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3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3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3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3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3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3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3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3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3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3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3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3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3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3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3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3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3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3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3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3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3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3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3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3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3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3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3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3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3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3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3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3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3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3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3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3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3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3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3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3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3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3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3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3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3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3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3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3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3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3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3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3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3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3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3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3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3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3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3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3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3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3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3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3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3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3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3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3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3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3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3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3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3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3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3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3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3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3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3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3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3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3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3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3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3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3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3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3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3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3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3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3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3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3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3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3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3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3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3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3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3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3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3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3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3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3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3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3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3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3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3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3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3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3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3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3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3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3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3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3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3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3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3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3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3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3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3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3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3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3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3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3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3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3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3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3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3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3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3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3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3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3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3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3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3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3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3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3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3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3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3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3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3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3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3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3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3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3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3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3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3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3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3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3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3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3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3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3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3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3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3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3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3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3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3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3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3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3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3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3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3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3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3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3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3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3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3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3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3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3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3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3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3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3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3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3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3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3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3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3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3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3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3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3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3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3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3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3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3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3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3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3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3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3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3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3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3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3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3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3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3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3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3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3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3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3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3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3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3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3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3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3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3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3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3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3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3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3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3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3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3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3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3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3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3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3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3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3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3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3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3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3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3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3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3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3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3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3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3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3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3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3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3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3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3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3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3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3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3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3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3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3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3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3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3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3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3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3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3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3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3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3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3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3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3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3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3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3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3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3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3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3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3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3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3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3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3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3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3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3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3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3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3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3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3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3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3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3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3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3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3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3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3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3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3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3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3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3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3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3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3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3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3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3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3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3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3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3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3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3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3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3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3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3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3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3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3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3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3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3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3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3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3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3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3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3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3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3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3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3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3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3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3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3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3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3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3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3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3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3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3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3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3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3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3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3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3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3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3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3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3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3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3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3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3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3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3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3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3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3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3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3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3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3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3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3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3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3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3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3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3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3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3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3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3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3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3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3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3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3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3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3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3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3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3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3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3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3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3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3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3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3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3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3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3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3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3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3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3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3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3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3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3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3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3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3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3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3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3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3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3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3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3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3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3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3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3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3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3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3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3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3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3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3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3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3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3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3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3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3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3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3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3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3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3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3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3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3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3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3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3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3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3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3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3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3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3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3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3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3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3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3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3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3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3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3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3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3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3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3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3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3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3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3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3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3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3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3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3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3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3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3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3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3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3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3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3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3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3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3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3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3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3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3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3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3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3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3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3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3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3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3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3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3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3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3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3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3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3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3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3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3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3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3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3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3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3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3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3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3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3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3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3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3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3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3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3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3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3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3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3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3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3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3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3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3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3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3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3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3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3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3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3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3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3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3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3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3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3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3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3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3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3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3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3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3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3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3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3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3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3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3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3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3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3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3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3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3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3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3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3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3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3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3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3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3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3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3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3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3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3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3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3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3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3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3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3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3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3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3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3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3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3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3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3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3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3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3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3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3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3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3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3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3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3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3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3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3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3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3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3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3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3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3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3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3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3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3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3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3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3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3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3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3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3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3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3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3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3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3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3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3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3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3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3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3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3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3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3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3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3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3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3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3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3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3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3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3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3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3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3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3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3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3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3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3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3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3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3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3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3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3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3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3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3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3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3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3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3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3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3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3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3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3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3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3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3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3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3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3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3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3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3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3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3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3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3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3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3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3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3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3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3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3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3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3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3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3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3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3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3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3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3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3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3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3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3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3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3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3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3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3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3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3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3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3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3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3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3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3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3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3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3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3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3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3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3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3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3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3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3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3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3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3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3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3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3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3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3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3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3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3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3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3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3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3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3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3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3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3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3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3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3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3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3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3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3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3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3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3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3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3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3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3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3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3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3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3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3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3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3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3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3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3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3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3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3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3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3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3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3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3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3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3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3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3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3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3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3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3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3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3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3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3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3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3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3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3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3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3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3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3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3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3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3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3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3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3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3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3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3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3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3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3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3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3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3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3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3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3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3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3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3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3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3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3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3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3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3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3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3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3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3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3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3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3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3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3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3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3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3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3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3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3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3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3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3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3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3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3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3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3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3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3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3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3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3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3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3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3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3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3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3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3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3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3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3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3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3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3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3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3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3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3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3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3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3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3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3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3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3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3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3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3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3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3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3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3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3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3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3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3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3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3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3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3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3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3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3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3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3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3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3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3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3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3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3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3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3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3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3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3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3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3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3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3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3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3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3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3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3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3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3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3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3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3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3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3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3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3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3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3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3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3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3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3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3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3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3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3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3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3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3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3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3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3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3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3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3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3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3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3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3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3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3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3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3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3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3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3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3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3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3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3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3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3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3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3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3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3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3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3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3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3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3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3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3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3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3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3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3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3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3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3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3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3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3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3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3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3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3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3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3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3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3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3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3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3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3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3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3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3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3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3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3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3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3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3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3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3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3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3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3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3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3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3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3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3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3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3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3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3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3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3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3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3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3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3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3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3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3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3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3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3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3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3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3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3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3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3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3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3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3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3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3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3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3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3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3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3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3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3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3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3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3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3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3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3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3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3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3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3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3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3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3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3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3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3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3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3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3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3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3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3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3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3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3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3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3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3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3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3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3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3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3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3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3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3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3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3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3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3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3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3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3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3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3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3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3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3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3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3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3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3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3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3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3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3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3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3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3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3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3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3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3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3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3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3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3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3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3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3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3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3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3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3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3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3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3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3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3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3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3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3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3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3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3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3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3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3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3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3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3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3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3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3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3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3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3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3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3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3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3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3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3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3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3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3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3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3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3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3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3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3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3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3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3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3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3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3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3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3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3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3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3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3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3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3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3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3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3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3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3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3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3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3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3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3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3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3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3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3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3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3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3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3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3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3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3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3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3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3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3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3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3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3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3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3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3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3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3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3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3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3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3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3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3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3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3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3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3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3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3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3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3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3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3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3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3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3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3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3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3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3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3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3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3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3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3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3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3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3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3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3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3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3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3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3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3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3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3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3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3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3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3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3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3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3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3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3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3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3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3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3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3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3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3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3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3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3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3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3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3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3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3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3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3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3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3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3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3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3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3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3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3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3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3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3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3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3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3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3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3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3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3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3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3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3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3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3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3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3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3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3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3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3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3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3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3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3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3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3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3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3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3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3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3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3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3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3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3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3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3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3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3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3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3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3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3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3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3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3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3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3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3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3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3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3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3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3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3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3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3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3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3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3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3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3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3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3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3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3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3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3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3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3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3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3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3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3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3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3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3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3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3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3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3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3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3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3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3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3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3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3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3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3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3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3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3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3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3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3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3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3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3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3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3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3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3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3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3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3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3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3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3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3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3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3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3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3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3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3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3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3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3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3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3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3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3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3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3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3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3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3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3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3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3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3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3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3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3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3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3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3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3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3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3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3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3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3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3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3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3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3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3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3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3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3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3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3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3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3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3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3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3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3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3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3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3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3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3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3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3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3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3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3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3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3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3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3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3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3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3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3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3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3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3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3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3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3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3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3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3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3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3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3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3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3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3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3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3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3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3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3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3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3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3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3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3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3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3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3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3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3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3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3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3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3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3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3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3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3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3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3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3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3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3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3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3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3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3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3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3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3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3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3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3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3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3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3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3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3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3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3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3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3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3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3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3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3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3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3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3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3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3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3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3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3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3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3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3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3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3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3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3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3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3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3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3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3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3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3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3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3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3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3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3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3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3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3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3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3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3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3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3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3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3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3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3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3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3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3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3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3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3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3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3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3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3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3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3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3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3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3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3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3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3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3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3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3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3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3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3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3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3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3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3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3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3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3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3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3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3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3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3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3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3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3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3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3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3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3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3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3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3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3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3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3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3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3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3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3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3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3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3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3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3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3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3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3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3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3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3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3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3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3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3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3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3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3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3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3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3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3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3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3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3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3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3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3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3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3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3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3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3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3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3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3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3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3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3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3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3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3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3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3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3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3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3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3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3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3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3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3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3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3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3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3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3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3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3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3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3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3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3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3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3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3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3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3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3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3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3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3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3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3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3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3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3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3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3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3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3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3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3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3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3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3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3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3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3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3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3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3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3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3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3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3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3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3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3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3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3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3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3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3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3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3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3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3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3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3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3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3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3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3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3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3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3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3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3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3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3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3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3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3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3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3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3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3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3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3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3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3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3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3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3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3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3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3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3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3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3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3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3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3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3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3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3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3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3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3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3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3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3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3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3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3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3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3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3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3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3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3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3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3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3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3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3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3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3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3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3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3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3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3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3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3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3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3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3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3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3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3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3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3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3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3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3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3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3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3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3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3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3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3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3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3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3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3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3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3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3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3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3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3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3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3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3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3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3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3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3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3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3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3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3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3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3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3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3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3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3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3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3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3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3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3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3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3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3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3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3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3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3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3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3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3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3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3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3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3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3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3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3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3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3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3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3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3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3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3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3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3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3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3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3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3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3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3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3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3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3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3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3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3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3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3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3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3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3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3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3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3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3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3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3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3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3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3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3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3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3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3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3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3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3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3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3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3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3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3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3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3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3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3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3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3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3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3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3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3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3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3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3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3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3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3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3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3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3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3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3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3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3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3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3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3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3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3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3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3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3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3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3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3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3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3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3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3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3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3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3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3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3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3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3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3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3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3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3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3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3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3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3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3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3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3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3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3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3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3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3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3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3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3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3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3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3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3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3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3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3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3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3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3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3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3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3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3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3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3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3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3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3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3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3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3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3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3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3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3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3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3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3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3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3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3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3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3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3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3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3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3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3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3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3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3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3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3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3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3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3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3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3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3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3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3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3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3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3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3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3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3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3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3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3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3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3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3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3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3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3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3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3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3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3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3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3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3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3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3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3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3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3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3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3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3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3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3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3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3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3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3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3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3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3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3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3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3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3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3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3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3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3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3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3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3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3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3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3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3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3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3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3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3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3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3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3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3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3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3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3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3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3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3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3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3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3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3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3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3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3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3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3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3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3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3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3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3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3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3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3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3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3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3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3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3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3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3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3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3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3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3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3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3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3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3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3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3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3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3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3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3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3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3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3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3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3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3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3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3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3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3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3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3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3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3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3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3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3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3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3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3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3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3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3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3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3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3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3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3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3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3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3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3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3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3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3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3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3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3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3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3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3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3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3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3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3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3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3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3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3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3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3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3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3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3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3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3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3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3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3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3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3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3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3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3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3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3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3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3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3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3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3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3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3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3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3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3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3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3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3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3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3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3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3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3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3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3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3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3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3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3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3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3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3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3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3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3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3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3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3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3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3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3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3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3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3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3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3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3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3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3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3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3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3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3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3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3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3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3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3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3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3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3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3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3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3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3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3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3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3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3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3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3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3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3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3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3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3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3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3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3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3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3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3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3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3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3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3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3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3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3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3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3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3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3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3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3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3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3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3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3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3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3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3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3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3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3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3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3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3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3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3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3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3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3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3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3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3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3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3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3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3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3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3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3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3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3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3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3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3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3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3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3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3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3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3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3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3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3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3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3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3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3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3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3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3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3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3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3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3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3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3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3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3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3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3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3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3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3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3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3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3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3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3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3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3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3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3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3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3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3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3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3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3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3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3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3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3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3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3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3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3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3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3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3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3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3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3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3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3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3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3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3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3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3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3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3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3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3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3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3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3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3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3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3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3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3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3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3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3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3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3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3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3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3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3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3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3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3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3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3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3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3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3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3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3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3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3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3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3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3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3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3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3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3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3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3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3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3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3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3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3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3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3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3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3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3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3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3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3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3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3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3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3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3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3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3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3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3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3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3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3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3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3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3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3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3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3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3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3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3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3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3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3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3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3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3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3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3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3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3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3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3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3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3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3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3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3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3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3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3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3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3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3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3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3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3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3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3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3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3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3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3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3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3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3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3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3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3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3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3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3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3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3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3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3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3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3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3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3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3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3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3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3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3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3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3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3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3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3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3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3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3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3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3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3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3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3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3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3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3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3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3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3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3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3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3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3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3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3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3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3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3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3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3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3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3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3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3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3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3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3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3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3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3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3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3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3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3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3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3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3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3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3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3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3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3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3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3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3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3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3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3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3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3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3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3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3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3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3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3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3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3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3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3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3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3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3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3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3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3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3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3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3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3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3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3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3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3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3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3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3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3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3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3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3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3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3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3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3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3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3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3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3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3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3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3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3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3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3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3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3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3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3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3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3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3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3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3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3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3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3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3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3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3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3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3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3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3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3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3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3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3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3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3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3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3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3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3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3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3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3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3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3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3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3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3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3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3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3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3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3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3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3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3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3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3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3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3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3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3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3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3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3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3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3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3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3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3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3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3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3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3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3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3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3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3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3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3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3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3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3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3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3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3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3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3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3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3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3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3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3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3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3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3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3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3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3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3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3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3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3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3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3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3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3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3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3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3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3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3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3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3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3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3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3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3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3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3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3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3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3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3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3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3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3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3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3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3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3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3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3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3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3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3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3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3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3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3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3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3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3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3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3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3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3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3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3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3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3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3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3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3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3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3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3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3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3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3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3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3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3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3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3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3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3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3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3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3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3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3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3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3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3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3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3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3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3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3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3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3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3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3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3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3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3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3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3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3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3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3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3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3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3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3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3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3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3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3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3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3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3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3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3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3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3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3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3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3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3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3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3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3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3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3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3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3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3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3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3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3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3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3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3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3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3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3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3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3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3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3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3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3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3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3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3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3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3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3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3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3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3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3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3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3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3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3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3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3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3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3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3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3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3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3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3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3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3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3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3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3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3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3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3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3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3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3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3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3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3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3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3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3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3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3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3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3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3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3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3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3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3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3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3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3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3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3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3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3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3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3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3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3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3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3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3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3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3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3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3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3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3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3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3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3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3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3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3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3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3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3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3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3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3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3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3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3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3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3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3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3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3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3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3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3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3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3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3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3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3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3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3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3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3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3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3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3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3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3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3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3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3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3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3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3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3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3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3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3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3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3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3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3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3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3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3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3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3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3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3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3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3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3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3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3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3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3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3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3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3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3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3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3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3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3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3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3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3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3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3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3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3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3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3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3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3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3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3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3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3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3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3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3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3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3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3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3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3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3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E6CEF64-09CA-4AB0-A2E8-FD845B36EAD2}">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2.xml><?xml version="1.0" encoding="utf-8"?>
<ds:datastoreItem xmlns:ds="http://schemas.openxmlformats.org/officeDocument/2006/customXml" ds:itemID="{320AE3DB-4F54-4253-B353-00368129B75D}">
  <ds:schemaRefs>
    <ds:schemaRef ds:uri="http://schemas.microsoft.com/sharepoint/v3/contenttype/forms"/>
  </ds:schemaRefs>
</ds:datastoreItem>
</file>

<file path=customXml/itemProps3.xml><?xml version="1.0" encoding="utf-8"?>
<ds:datastoreItem xmlns:ds="http://schemas.openxmlformats.org/officeDocument/2006/customXml" ds:itemID="{E97BC1AA-A6B1-4CCD-A2B7-6069CD54F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Profitability Matrix</vt:lpstr>
      <vt:lpstr>50 ml Shampoo 2024</vt:lpstr>
      <vt:lpstr>Market Share</vt:lpstr>
      <vt:lpstr>New Product Launch</vt:lpstr>
      <vt:lpstr>New Category Opportunity</vt:lpstr>
      <vt:lpstr>Promotion Analysis</vt:lpstr>
      <vt:lpstr>Promotion Graph</vt:lpstr>
      <vt:lpstr>Forecast 2024</vt:lpstr>
      <vt:lpstr>Waterfall </vt:lpstr>
      <vt:lpstr>Sales Up to 2022</vt:lpstr>
      <vt:lpstr>internal_sales_data</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Rahaf Almomani</cp:lastModifiedBy>
  <dcterms:created xsi:type="dcterms:W3CDTF">2022-06-08T14:08:07Z</dcterms:created>
  <dcterms:modified xsi:type="dcterms:W3CDTF">2025-04-29T22:10:05Z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