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RAHAM-SKILLOVILLA\CAPSTONE -DRONE skillovilla PROJECT\"/>
    </mc:Choice>
  </mc:AlternateContent>
  <xr:revisionPtr revIDLastSave="0" documentId="13_ncr:1_{2E571BE0-1F9C-45B3-9F70-68646F364F2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revious Year Numbers" sheetId="9" r:id="rId1"/>
    <sheet name="Proposed System Numbers" sheetId="10" r:id="rId2"/>
    <sheet name="Revenue breakdown" sheetId="7" r:id="rId3"/>
    <sheet name="Projected Growth" sheetId="1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9" l="1"/>
  <c r="C30" i="9"/>
  <c r="C29" i="9"/>
  <c r="C28" i="9"/>
  <c r="R25" i="7" l="1"/>
  <c r="U21" i="7"/>
  <c r="L2" i="7"/>
  <c r="B7" i="7"/>
  <c r="C7" i="7"/>
  <c r="D7" i="7"/>
  <c r="D10" i="7" s="1"/>
  <c r="E7" i="7"/>
  <c r="E10" i="7" s="1"/>
  <c r="F7" i="7"/>
  <c r="F10" i="7" s="1"/>
  <c r="G7" i="7"/>
  <c r="G10" i="7" s="1"/>
  <c r="J9" i="7"/>
  <c r="K9" i="7"/>
  <c r="L9" i="7"/>
  <c r="M9" i="7"/>
  <c r="N9" i="7"/>
  <c r="O9" i="7"/>
  <c r="B10" i="7"/>
  <c r="C10" i="7"/>
  <c r="B12" i="7"/>
  <c r="C12" i="7"/>
  <c r="C13" i="7" s="1"/>
  <c r="K5" i="7" s="1"/>
  <c r="B13" i="7"/>
  <c r="J5" i="7" s="1"/>
  <c r="D13" i="7"/>
  <c r="L5" i="7" s="1"/>
  <c r="E13" i="7"/>
  <c r="M5" i="7" s="1"/>
  <c r="M6" i="7" s="1"/>
  <c r="F13" i="7"/>
  <c r="N5" i="7" s="1"/>
  <c r="G13" i="7"/>
  <c r="G18" i="7" s="1"/>
  <c r="E14" i="7"/>
  <c r="E15" i="7" s="1"/>
  <c r="E16" i="7" s="1"/>
  <c r="E21" i="7" s="1"/>
  <c r="F14" i="7"/>
  <c r="F19" i="7" s="1"/>
  <c r="G14" i="7"/>
  <c r="G15" i="7" s="1"/>
  <c r="G16" i="7" s="1"/>
  <c r="G21" i="7" s="1"/>
  <c r="B17" i="7"/>
  <c r="C17" i="7"/>
  <c r="D17" i="7"/>
  <c r="D18" i="7" s="1"/>
  <c r="E17" i="7"/>
  <c r="E18" i="7" s="1"/>
  <c r="F17" i="7"/>
  <c r="F18" i="7" s="1"/>
  <c r="G17" i="7"/>
  <c r="L17" i="7"/>
  <c r="L20" i="7" s="1"/>
  <c r="E19" i="7"/>
  <c r="G19" i="7"/>
  <c r="J24" i="7"/>
  <c r="K24" i="7"/>
  <c r="L24" i="7"/>
  <c r="M24" i="7"/>
  <c r="N24" i="7"/>
  <c r="O24" i="7"/>
  <c r="D27" i="7"/>
  <c r="D28" i="7" s="1"/>
  <c r="I39" i="7" s="1"/>
  <c r="D35" i="7"/>
  <c r="D36" i="7" s="1"/>
  <c r="D38" i="7"/>
  <c r="B42" i="7"/>
  <c r="B43" i="7" s="1"/>
  <c r="U7" i="7"/>
  <c r="U14" i="7"/>
  <c r="U15" i="7" s="1"/>
  <c r="U17" i="7"/>
  <c r="U20" i="7"/>
  <c r="U26" i="7"/>
  <c r="U27" i="7" s="1"/>
  <c r="U39" i="7"/>
  <c r="E20" i="7" l="1"/>
  <c r="D14" i="7"/>
  <c r="D15" i="7" s="1"/>
  <c r="D16" i="7" s="1"/>
  <c r="D21" i="7" s="1"/>
  <c r="D20" i="7"/>
  <c r="K6" i="7"/>
  <c r="K20" i="7"/>
  <c r="K10" i="7"/>
  <c r="J10" i="7"/>
  <c r="J6" i="7"/>
  <c r="J20" i="7"/>
  <c r="L21" i="7"/>
  <c r="L25" i="7"/>
  <c r="N6" i="7"/>
  <c r="N10" i="7"/>
  <c r="M11" i="7"/>
  <c r="M7" i="7"/>
  <c r="L6" i="7"/>
  <c r="L10" i="7"/>
  <c r="D29" i="7"/>
  <c r="R14" i="7" s="1"/>
  <c r="G20" i="7"/>
  <c r="C18" i="7"/>
  <c r="F15" i="7"/>
  <c r="M10" i="7"/>
  <c r="O5" i="7"/>
  <c r="D19" i="7"/>
  <c r="B18" i="7"/>
  <c r="C14" i="7"/>
  <c r="C15" i="7" s="1"/>
  <c r="C16" i="7" s="1"/>
  <c r="C21" i="7" s="1"/>
  <c r="D40" i="7"/>
  <c r="N20" i="7"/>
  <c r="B14" i="7"/>
  <c r="B15" i="7" s="1"/>
  <c r="B16" i="7" s="1"/>
  <c r="B21" i="7" s="1"/>
  <c r="M20" i="7"/>
  <c r="U30" i="7"/>
  <c r="U31" i="7"/>
  <c r="U32" i="7" s="1"/>
  <c r="U40" i="7"/>
  <c r="U42" i="7" s="1"/>
  <c r="R24" i="7"/>
  <c r="U41" i="7"/>
  <c r="B20" i="7" l="1"/>
  <c r="K21" i="7"/>
  <c r="K25" i="7"/>
  <c r="C20" i="7"/>
  <c r="B22" i="7" s="1"/>
  <c r="O10" i="7"/>
  <c r="O20" i="7"/>
  <c r="O6" i="7"/>
  <c r="L11" i="7"/>
  <c r="L7" i="7"/>
  <c r="L22" i="7"/>
  <c r="L26" i="7"/>
  <c r="N11" i="7"/>
  <c r="N7" i="7"/>
  <c r="U33" i="7"/>
  <c r="U34" i="7" s="1"/>
  <c r="U35" i="7" s="1"/>
  <c r="J11" i="7"/>
  <c r="J7" i="7"/>
  <c r="M25" i="7"/>
  <c r="M21" i="7"/>
  <c r="B19" i="7"/>
  <c r="M8" i="7"/>
  <c r="M13" i="7" s="1"/>
  <c r="M12" i="7"/>
  <c r="J21" i="7"/>
  <c r="J25" i="7"/>
  <c r="N25" i="7"/>
  <c r="N21" i="7"/>
  <c r="F16" i="7"/>
  <c r="F21" i="7" s="1"/>
  <c r="F20" i="7"/>
  <c r="C19" i="7"/>
  <c r="K11" i="7"/>
  <c r="K7" i="7"/>
  <c r="M22" i="7" l="1"/>
  <c r="M26" i="7"/>
  <c r="N22" i="7"/>
  <c r="N26" i="7"/>
  <c r="L23" i="7"/>
  <c r="L28" i="7" s="1"/>
  <c r="L27" i="7"/>
  <c r="L8" i="7"/>
  <c r="L13" i="7" s="1"/>
  <c r="L12" i="7"/>
  <c r="J8" i="7"/>
  <c r="J13" i="7" s="1"/>
  <c r="J12" i="7"/>
  <c r="K8" i="7"/>
  <c r="K13" i="7" s="1"/>
  <c r="K12" i="7"/>
  <c r="J22" i="7"/>
  <c r="J26" i="7"/>
  <c r="O7" i="7"/>
  <c r="O11" i="7"/>
  <c r="O21" i="7"/>
  <c r="O25" i="7"/>
  <c r="N8" i="7"/>
  <c r="N13" i="7" s="1"/>
  <c r="N12" i="7"/>
  <c r="K22" i="7"/>
  <c r="K26" i="7"/>
  <c r="N23" i="7" l="1"/>
  <c r="N28" i="7" s="1"/>
  <c r="N27" i="7"/>
  <c r="O22" i="7"/>
  <c r="O26" i="7"/>
  <c r="M23" i="7"/>
  <c r="M28" i="7" s="1"/>
  <c r="M27" i="7"/>
  <c r="O8" i="7"/>
  <c r="O13" i="7" s="1"/>
  <c r="O12" i="7"/>
  <c r="J14" i="7" s="1"/>
  <c r="J29" i="7" s="1"/>
  <c r="R13" i="7" s="1"/>
  <c r="R15" i="7" s="1"/>
  <c r="X6" i="7" s="1"/>
  <c r="K23" i="7"/>
  <c r="K28" i="7" s="1"/>
  <c r="K27" i="7"/>
  <c r="J23" i="7"/>
  <c r="J28" i="7" s="1"/>
  <c r="J27" i="7"/>
  <c r="O23" i="7" l="1"/>
  <c r="O28" i="7" s="1"/>
  <c r="O27" i="7"/>
  <c r="R23" i="7"/>
  <c r="J38" i="10" l="1"/>
  <c r="J16" i="10"/>
  <c r="B24" i="10"/>
  <c r="J22" i="10"/>
  <c r="K29" i="10"/>
  <c r="L29" i="10"/>
  <c r="M29" i="10"/>
  <c r="N29" i="10"/>
  <c r="O29" i="10"/>
  <c r="J29" i="10"/>
  <c r="C16" i="10"/>
  <c r="D16" i="10"/>
  <c r="E16" i="10"/>
  <c r="E17" i="10" s="1"/>
  <c r="F16" i="10"/>
  <c r="G16" i="10"/>
  <c r="G17" i="10" s="1"/>
  <c r="B16" i="10"/>
  <c r="K5" i="10"/>
  <c r="K25" i="10" s="1"/>
  <c r="M5" i="10"/>
  <c r="M9" i="10" s="1"/>
  <c r="J2" i="10"/>
  <c r="E13" i="10"/>
  <c r="E14" i="10" s="1"/>
  <c r="E15" i="10" s="1"/>
  <c r="D13" i="10"/>
  <c r="D14" i="10" s="1"/>
  <c r="D15" i="10" s="1"/>
  <c r="G12" i="10"/>
  <c r="G13" i="10" s="1"/>
  <c r="F12" i="10"/>
  <c r="N5" i="10" s="1"/>
  <c r="N9" i="10" s="1"/>
  <c r="E12" i="10"/>
  <c r="D12" i="10"/>
  <c r="L5" i="10" s="1"/>
  <c r="L25" i="10" s="1"/>
  <c r="C11" i="10"/>
  <c r="C12" i="10" s="1"/>
  <c r="B11" i="10"/>
  <c r="B12" i="10" s="1"/>
  <c r="F9" i="10"/>
  <c r="E9" i="10"/>
  <c r="D9" i="10"/>
  <c r="G6" i="10"/>
  <c r="G9" i="10" s="1"/>
  <c r="F6" i="10"/>
  <c r="E6" i="10"/>
  <c r="D6" i="10"/>
  <c r="C6" i="10"/>
  <c r="C9" i="10" s="1"/>
  <c r="B6" i="10"/>
  <c r="B9" i="10" s="1"/>
  <c r="C24" i="9"/>
  <c r="C22" i="9"/>
  <c r="B16" i="9"/>
  <c r="B14" i="9"/>
  <c r="C8" i="9"/>
  <c r="B8" i="9"/>
  <c r="E7" i="9"/>
  <c r="D7" i="9"/>
  <c r="C6" i="9"/>
  <c r="E6" i="9" s="1"/>
  <c r="E5" i="9"/>
  <c r="D5" i="9"/>
  <c r="E4" i="9"/>
  <c r="D4" i="9"/>
  <c r="E3" i="9"/>
  <c r="D3" i="9"/>
  <c r="U48" i="7"/>
  <c r="U49" i="7" s="1"/>
  <c r="U45" i="7"/>
  <c r="U46" i="7"/>
  <c r="B13" i="10" l="1"/>
  <c r="J5" i="10"/>
  <c r="J6" i="10" s="1"/>
  <c r="J10" i="10" s="1"/>
  <c r="G14" i="10"/>
  <c r="G18" i="10"/>
  <c r="B19" i="10"/>
  <c r="F13" i="10"/>
  <c r="F14" i="10" s="1"/>
  <c r="F17" i="10"/>
  <c r="O5" i="10"/>
  <c r="D18" i="10"/>
  <c r="C20" i="10"/>
  <c r="M6" i="10"/>
  <c r="M10" i="10" s="1"/>
  <c r="C18" i="10"/>
  <c r="F19" i="10"/>
  <c r="L30" i="10"/>
  <c r="L26" i="10"/>
  <c r="L31" i="10" s="1"/>
  <c r="K30" i="10"/>
  <c r="K26" i="10"/>
  <c r="K31" i="10" s="1"/>
  <c r="E18" i="10"/>
  <c r="N6" i="10"/>
  <c r="N10" i="10" s="1"/>
  <c r="N25" i="10"/>
  <c r="K9" i="10"/>
  <c r="M25" i="10"/>
  <c r="E20" i="10"/>
  <c r="L9" i="10"/>
  <c r="D17" i="10"/>
  <c r="D20" i="10"/>
  <c r="C17" i="10"/>
  <c r="D19" i="10"/>
  <c r="C19" i="10"/>
  <c r="B20" i="10"/>
  <c r="B17" i="10"/>
  <c r="B18" i="10"/>
  <c r="K6" i="10"/>
  <c r="K10" i="10" s="1"/>
  <c r="M7" i="10"/>
  <c r="M11" i="10" s="1"/>
  <c r="L6" i="10"/>
  <c r="L10" i="10" s="1"/>
  <c r="E19" i="10"/>
  <c r="C13" i="10"/>
  <c r="C14" i="10" s="1"/>
  <c r="C15" i="10" s="1"/>
  <c r="B14" i="10"/>
  <c r="B15" i="10" s="1"/>
  <c r="C23" i="10"/>
  <c r="B18" i="9"/>
  <c r="E8" i="9"/>
  <c r="D6" i="9"/>
  <c r="D8" i="9" s="1"/>
  <c r="U50" i="7"/>
  <c r="K27" i="10" l="1"/>
  <c r="K32" i="10" s="1"/>
  <c r="L27" i="10"/>
  <c r="L32" i="10" s="1"/>
  <c r="D23" i="10"/>
  <c r="F15" i="10"/>
  <c r="F20" i="10" s="1"/>
  <c r="F18" i="10"/>
  <c r="G19" i="10"/>
  <c r="E23" i="10"/>
  <c r="G15" i="10"/>
  <c r="G20" i="10" s="1"/>
  <c r="J9" i="10"/>
  <c r="J25" i="10"/>
  <c r="O6" i="10"/>
  <c r="O25" i="10"/>
  <c r="O9" i="10"/>
  <c r="N26" i="10"/>
  <c r="N30" i="10"/>
  <c r="N7" i="10"/>
  <c r="N11" i="10" s="1"/>
  <c r="M26" i="10"/>
  <c r="M30" i="10"/>
  <c r="K28" i="10"/>
  <c r="K33" i="10" s="1"/>
  <c r="L28" i="10"/>
  <c r="L33" i="10" s="1"/>
  <c r="J7" i="10"/>
  <c r="J11" i="10" s="1"/>
  <c r="L7" i="10"/>
  <c r="L11" i="10" s="1"/>
  <c r="M8" i="10"/>
  <c r="M12" i="10" s="1"/>
  <c r="K15" i="10"/>
  <c r="K7" i="10"/>
  <c r="K11" i="10" s="1"/>
  <c r="L15" i="10" l="1"/>
  <c r="N8" i="10"/>
  <c r="N12" i="10" s="1"/>
  <c r="J30" i="10"/>
  <c r="J26" i="10"/>
  <c r="O30" i="10"/>
  <c r="O26" i="10"/>
  <c r="O10" i="10"/>
  <c r="O7" i="10"/>
  <c r="M27" i="10"/>
  <c r="K36" i="10" s="1"/>
  <c r="M31" i="10"/>
  <c r="N31" i="10"/>
  <c r="N27" i="10"/>
  <c r="L36" i="10" s="1"/>
  <c r="J15" i="10"/>
  <c r="J8" i="10"/>
  <c r="J12" i="10" s="1"/>
  <c r="L8" i="10"/>
  <c r="L12" i="10" s="1"/>
  <c r="K8" i="10"/>
  <c r="K12" i="10" s="1"/>
  <c r="B23" i="10"/>
  <c r="B25" i="10" s="1"/>
  <c r="M15" i="10" l="1"/>
  <c r="O8" i="10"/>
  <c r="O12" i="10" s="1"/>
  <c r="O11" i="10"/>
  <c r="J17" i="10"/>
  <c r="O31" i="10"/>
  <c r="O27" i="10"/>
  <c r="M36" i="10" s="1"/>
  <c r="J31" i="10"/>
  <c r="J27" i="10"/>
  <c r="J36" i="10" s="1"/>
  <c r="J37" i="10" s="1"/>
  <c r="N32" i="10"/>
  <c r="N28" i="10"/>
  <c r="N33" i="10" s="1"/>
  <c r="M32" i="10"/>
  <c r="M28" i="10"/>
  <c r="M33" i="10" s="1"/>
  <c r="J32" i="10" l="1"/>
  <c r="J28" i="10"/>
  <c r="J33" i="10" s="1"/>
  <c r="O32" i="10"/>
  <c r="O28" i="10"/>
  <c r="O33" i="10" s="1"/>
  <c r="U51" i="7"/>
  <c r="U52" i="7" l="1"/>
</calcChain>
</file>

<file path=xl/sharedStrings.xml><?xml version="1.0" encoding="utf-8"?>
<sst xmlns="http://schemas.openxmlformats.org/spreadsheetml/2006/main" count="233" uniqueCount="157">
  <si>
    <t>Battery Cost</t>
  </si>
  <si>
    <t>?</t>
  </si>
  <si>
    <t>Number of orders received by each cx to rest.</t>
  </si>
  <si>
    <t>Distance from hub to restaurant (in km)</t>
  </si>
  <si>
    <t>Distance from restaurant to cx home</t>
  </si>
  <si>
    <t>Distance from cx home to nearest hub</t>
  </si>
  <si>
    <t>Total Revenue</t>
  </si>
  <si>
    <t>FLight time (mins)</t>
  </si>
  <si>
    <t>Avg speed (km/hr)</t>
  </si>
  <si>
    <t>Time taken to delivery order for each km</t>
  </si>
  <si>
    <t>Cost of each drone</t>
  </si>
  <si>
    <t>Max orders 1 drone can delivery for each flight in 30 mins</t>
  </si>
  <si>
    <t>No of deliveries done by each drone in 60 mins</t>
  </si>
  <si>
    <t xml:space="preserve">Per day </t>
  </si>
  <si>
    <t>No of battery required per drone</t>
  </si>
  <si>
    <t>Per week</t>
  </si>
  <si>
    <t>Cost of batteries per drone</t>
  </si>
  <si>
    <t>Per Month</t>
  </si>
  <si>
    <t>Per Year</t>
  </si>
  <si>
    <t>Maintenance per month</t>
  </si>
  <si>
    <t>Revenue Per order</t>
  </si>
  <si>
    <t>Revenue per day</t>
  </si>
  <si>
    <t>Salary of per pilot per month</t>
  </si>
  <si>
    <t>Revenue per week</t>
  </si>
  <si>
    <t>Hub maintenance per month</t>
  </si>
  <si>
    <t>Revenue per month</t>
  </si>
  <si>
    <t>Revenue per year</t>
  </si>
  <si>
    <t>Master control center</t>
  </si>
  <si>
    <t>Avg monthly orders for 2022 using straight line trend (Time series)</t>
  </si>
  <si>
    <t>Year</t>
  </si>
  <si>
    <t>y</t>
  </si>
  <si>
    <t>x(year -mid year)</t>
  </si>
  <si>
    <t>x^2</t>
  </si>
  <si>
    <t>xy</t>
  </si>
  <si>
    <t>Total</t>
  </si>
  <si>
    <t>y=a+bx</t>
  </si>
  <si>
    <t>a=y/n</t>
  </si>
  <si>
    <t>b=xy/x^2</t>
  </si>
  <si>
    <t>Orders And Revenue Per Drone</t>
  </si>
  <si>
    <t>Orders And Revenue Per Hub</t>
  </si>
  <si>
    <t>Number Of Drones</t>
  </si>
  <si>
    <t>Order Per Day</t>
  </si>
  <si>
    <t>Per Week</t>
  </si>
  <si>
    <t>Number of hubs</t>
  </si>
  <si>
    <t>Orders Per day</t>
  </si>
  <si>
    <t>Number Of Drone Per Hub</t>
  </si>
  <si>
    <t>Number Of Hubs</t>
  </si>
  <si>
    <t>Revenue Per Order</t>
  </si>
  <si>
    <t>Bangalore Numbers In 2022</t>
  </si>
  <si>
    <t>Orders Per month</t>
  </si>
  <si>
    <t>Per Day</t>
  </si>
  <si>
    <t>During Peak hours</t>
  </si>
  <si>
    <t>Revenue during peak hours</t>
  </si>
  <si>
    <t>Delivery Executive Numbers</t>
  </si>
  <si>
    <t>Fixed Salary(per month)</t>
  </si>
  <si>
    <t>Bonus(Per Order)</t>
  </si>
  <si>
    <t>Monthly Total Salary( Inc Bonus)</t>
  </si>
  <si>
    <t>Yearly Total Salary</t>
  </si>
  <si>
    <t>Average Orders (per month)</t>
  </si>
  <si>
    <t>By Drone</t>
  </si>
  <si>
    <t>By Current Model</t>
  </si>
  <si>
    <t>Per Day Revenue(Peak hrs)</t>
  </si>
  <si>
    <t>Deficit</t>
  </si>
  <si>
    <t>Total Delivery Executives for monthly orders(peak hrs)</t>
  </si>
  <si>
    <t>Per day orders during peak hours</t>
  </si>
  <si>
    <t>Max range of drone (km) ( one delivery cycle)</t>
  </si>
  <si>
    <t>total monthly revenue</t>
  </si>
  <si>
    <t>total monthly revenue(for 10 hubs)</t>
  </si>
  <si>
    <t>Orders And Revenue For Total Hubs(10)</t>
  </si>
  <si>
    <t>Fixed Expenditure</t>
  </si>
  <si>
    <t>Variable Cost</t>
  </si>
  <si>
    <t>Marketing cost</t>
  </si>
  <si>
    <t>One time investment</t>
  </si>
  <si>
    <t>Cost of drone</t>
  </si>
  <si>
    <t>Number of drones per hub</t>
  </si>
  <si>
    <t>Cost of drones for 10 hubs</t>
  </si>
  <si>
    <t>Drone License per master pilot</t>
  </si>
  <si>
    <t>For 20 person</t>
  </si>
  <si>
    <t>Yearly Total Salary(per exect.)</t>
  </si>
  <si>
    <t>Drone maintenance cost</t>
  </si>
  <si>
    <t>Hub maintenance per year</t>
  </si>
  <si>
    <t>Total monthly revenue</t>
  </si>
  <si>
    <t>Total Number of drones required</t>
  </si>
  <si>
    <t>Total Number of batteries required</t>
  </si>
  <si>
    <t>Total batteries cost</t>
  </si>
  <si>
    <t>Salaries for 20 pilots(per year)</t>
  </si>
  <si>
    <t>Pilots required</t>
  </si>
  <si>
    <t>Salaries for 20 pilots(per month)</t>
  </si>
  <si>
    <t>Operational Cost for Current System</t>
  </si>
  <si>
    <t>Operational Cost for Drone Delivery System</t>
  </si>
  <si>
    <t>Avg orders per day</t>
  </si>
  <si>
    <t>Number of orders during peak hrs</t>
  </si>
  <si>
    <t>Total Delivery Executives for monthly orders</t>
  </si>
  <si>
    <t>Profit</t>
  </si>
  <si>
    <t>total bonus per month(during peak hrs)</t>
  </si>
  <si>
    <t>For total executives(during peak hrs)</t>
  </si>
  <si>
    <t>Hub maintenance per month(10 hubs)</t>
  </si>
  <si>
    <t>operational cost</t>
  </si>
  <si>
    <t>Hub setup(per hub)</t>
  </si>
  <si>
    <t>Hub setup(10 hubs)</t>
  </si>
  <si>
    <t>for 80 drones</t>
  </si>
  <si>
    <t>Monthly orders</t>
  </si>
  <si>
    <t>Projected 5 year growth rate considering 25% annual growth rate(source Skillovilla pdf)</t>
  </si>
  <si>
    <t>Previous Year Numbers</t>
  </si>
  <si>
    <t>Avg monthly orders,revenue generated per order,</t>
  </si>
  <si>
    <t>Current Year Number</t>
  </si>
  <si>
    <t>drone order and revenue</t>
  </si>
  <si>
    <t>comparison b/w current and proposed</t>
  </si>
  <si>
    <t>5 year estimation and graph</t>
  </si>
  <si>
    <t>No of orders in 2022</t>
  </si>
  <si>
    <t xml:space="preserve">Total Number of Orders </t>
  </si>
  <si>
    <t>Overall Numbers (2022)</t>
  </si>
  <si>
    <t>No. of orders received by each customer to restaurant</t>
  </si>
  <si>
    <t>Distance from restaurant to customer home</t>
  </si>
  <si>
    <t>Distance from Hub to Restaurant (in km)</t>
  </si>
  <si>
    <t>Distance from Customer home to nearest Hub</t>
  </si>
  <si>
    <t>Distance covered by Drone in 1 delivery</t>
  </si>
  <si>
    <t>Flight time (In minutes)</t>
  </si>
  <si>
    <t>Average speed (km/hr)</t>
  </si>
  <si>
    <t>Time taken to delivery order</t>
  </si>
  <si>
    <t>Max orders drone can deliver for each flight in 30 mins</t>
  </si>
  <si>
    <t>No. of deliveries in 60 mins</t>
  </si>
  <si>
    <t>No. of deliveries per Month</t>
  </si>
  <si>
    <t>No. of deliveries per Year</t>
  </si>
  <si>
    <t>No. of deliveries per Week</t>
  </si>
  <si>
    <t xml:space="preserve">No. of deliveries per Day </t>
  </si>
  <si>
    <t>Distribution of orders received</t>
  </si>
  <si>
    <t>Total Orders (considering distribution of Orders)</t>
  </si>
  <si>
    <t xml:space="preserve">Total Revenue </t>
  </si>
  <si>
    <t>Revenue per order</t>
  </si>
  <si>
    <t>Revenue per Day</t>
  </si>
  <si>
    <t>Revenue per Week</t>
  </si>
  <si>
    <t>Revenue per Month</t>
  </si>
  <si>
    <t>Revenue per Year</t>
  </si>
  <si>
    <t>Profit per month</t>
  </si>
  <si>
    <t>RPO for the last 5 years is as follows:</t>
  </si>
  <si>
    <t>RPO (Rs)</t>
  </si>
  <si>
    <t>Annual growth rate (%)</t>
  </si>
  <si>
    <t>Annual growth rate = ((Revenue per order in current year/ Revenue per order in pervious year)-1)*100%</t>
  </si>
  <si>
    <t>Annual growth rate in 2018 = ((62/52)-1)*100%=19.23%</t>
  </si>
  <si>
    <t>Annual growth rate in 2019 = ((64/62)-1)*100%=3.23%</t>
  </si>
  <si>
    <t>Annual growth rate in 2020 =((65/64)-1)*100% =1.56%</t>
  </si>
  <si>
    <t>Annual growth rate in 2021 = ((70/65)-1)*100% = 7.69%</t>
  </si>
  <si>
    <t>Revenue per order in 2022 = Revenue per order in 2021 *(1+Average annual growth rate)</t>
  </si>
  <si>
    <t>Revenue per order in 2022 = 70*(1+7.18%)</t>
  </si>
  <si>
    <r>
      <t>Avg Annual growth rate = (19.23+3.23+1.66+7.69)/4 =</t>
    </r>
    <r>
      <rPr>
        <sz val="11"/>
        <color rgb="FFFF0000"/>
        <rFont val="Arial"/>
        <family val="2"/>
        <scheme val="minor"/>
      </rPr>
      <t>7.18%</t>
    </r>
  </si>
  <si>
    <t>Rs. 75.15</t>
  </si>
  <si>
    <t>2027-28</t>
  </si>
  <si>
    <t>2026-27</t>
  </si>
  <si>
    <t>2025-26</t>
  </si>
  <si>
    <t>2024-25</t>
  </si>
  <si>
    <t>2023-24</t>
  </si>
  <si>
    <t>Revenue</t>
  </si>
  <si>
    <t>Total Investment</t>
  </si>
  <si>
    <t>Orders Per Day</t>
  </si>
  <si>
    <t>Orders Per Day During Peak hours</t>
  </si>
  <si>
    <t>Revenue During Peak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</si>
</sst>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&quot;₹&quot;\ #,##0;[Red]&quot;₹&quot;\ \-#,##0"/>
    <numFmt numFmtId="164" formatCode="_-* #,##0.00_-;\-* #,##0.00_-;_-* &quot;-&quot;??_-;_-@_-"/>
    <numFmt numFmtId="165" formatCode="_-* #,##0_-;\-* #,##0_-;_-* &quot;-&quot;??_-;_-@_-"/>
  </numFmts>
  <fonts count="22">
    <font>
      <sz val="10"/>
      <color rgb="FF000000"/>
      <name val="Arial"/>
      <scheme val="minor"/>
    </font>
    <font>
      <sz val="12"/>
      <color theme="1"/>
      <name val="Ultra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0"/>
      <color theme="1"/>
      <name val="Ultra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theme="1"/>
      <name val="Bree Serif"/>
    </font>
    <font>
      <sz val="12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theme="1"/>
      <name val="Ultra"/>
    </font>
    <font>
      <b/>
      <sz val="11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8"/>
      <name val="Times New Roman"/>
      <family val="1"/>
    </font>
    <font>
      <sz val="14"/>
      <color rgb="FF000000"/>
      <name val="Times New Roman"/>
      <family val="1"/>
    </font>
    <font>
      <sz val="10"/>
      <color rgb="FF000000"/>
      <name val="Times New Roman"/>
      <family val="1"/>
    </font>
    <font>
      <b/>
      <sz val="14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/>
      <diagonal/>
    </border>
  </borders>
  <cellStyleXfs count="4">
    <xf numFmtId="0" fontId="0" fillId="0" borderId="0"/>
    <xf numFmtId="164" fontId="8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</cellStyleXfs>
  <cellXfs count="70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horizontal="center" vertical="center"/>
    </xf>
    <xf numFmtId="0" fontId="6" fillId="0" borderId="0" xfId="0" applyFont="1"/>
    <xf numFmtId="1" fontId="0" fillId="0" borderId="0" xfId="0" applyNumberFormat="1"/>
    <xf numFmtId="9" fontId="0" fillId="0" borderId="0" xfId="0" applyNumberFormat="1"/>
    <xf numFmtId="0" fontId="0" fillId="3" borderId="0" xfId="0" applyFill="1"/>
    <xf numFmtId="0" fontId="0" fillId="0" borderId="0" xfId="0" applyAlignment="1">
      <alignment horizontal="center"/>
    </xf>
    <xf numFmtId="0" fontId="7" fillId="3" borderId="0" xfId="0" applyFont="1" applyFill="1"/>
    <xf numFmtId="0" fontId="0" fillId="4" borderId="0" xfId="0" applyFill="1"/>
    <xf numFmtId="165" fontId="0" fillId="5" borderId="0" xfId="0" applyNumberFormat="1" applyFill="1"/>
    <xf numFmtId="165" fontId="0" fillId="5" borderId="0" xfId="1" applyNumberFormat="1" applyFont="1" applyFill="1" applyAlignment="1"/>
    <xf numFmtId="0" fontId="6" fillId="5" borderId="0" xfId="0" applyFont="1" applyFill="1"/>
    <xf numFmtId="0" fontId="0" fillId="5" borderId="0" xfId="0" applyFill="1"/>
    <xf numFmtId="0" fontId="12" fillId="7" borderId="0" xfId="0" applyFont="1" applyFill="1" applyAlignment="1">
      <alignment vertical="center"/>
    </xf>
    <xf numFmtId="3" fontId="11" fillId="0" borderId="0" xfId="0" applyNumberFormat="1" applyFont="1"/>
    <xf numFmtId="0" fontId="13" fillId="0" borderId="0" xfId="0" applyFont="1"/>
    <xf numFmtId="0" fontId="10" fillId="0" borderId="3" xfId="0" applyFont="1" applyBorder="1"/>
    <xf numFmtId="3" fontId="10" fillId="0" borderId="3" xfId="0" applyNumberFormat="1" applyFont="1" applyBorder="1"/>
    <xf numFmtId="165" fontId="10" fillId="0" borderId="3" xfId="1" applyNumberFormat="1" applyFont="1" applyBorder="1" applyAlignment="1">
      <alignment horizontal="right" vertical="center"/>
    </xf>
    <xf numFmtId="0" fontId="0" fillId="8" borderId="0" xfId="0" applyFill="1"/>
    <xf numFmtId="0" fontId="6" fillId="8" borderId="0" xfId="0" applyFont="1" applyFill="1"/>
    <xf numFmtId="9" fontId="0" fillId="9" borderId="0" xfId="0" applyNumberFormat="1" applyFill="1"/>
    <xf numFmtId="165" fontId="0" fillId="0" borderId="0" xfId="1" applyNumberFormat="1" applyFont="1" applyFill="1" applyAlignment="1"/>
    <xf numFmtId="9" fontId="14" fillId="2" borderId="0" xfId="0" applyNumberFormat="1" applyFont="1" applyFill="1"/>
    <xf numFmtId="0" fontId="14" fillId="2" borderId="0" xfId="0" applyFont="1" applyFill="1" applyAlignment="1">
      <alignment horizontal="center"/>
    </xf>
    <xf numFmtId="0" fontId="0" fillId="10" borderId="0" xfId="0" applyFill="1"/>
    <xf numFmtId="0" fontId="11" fillId="0" borderId="0" xfId="0" applyFont="1"/>
    <xf numFmtId="0" fontId="11" fillId="0" borderId="3" xfId="0" applyFont="1" applyBorder="1" applyAlignment="1">
      <alignment horizontal="right"/>
    </xf>
    <xf numFmtId="0" fontId="11" fillId="0" borderId="3" xfId="0" applyFont="1" applyBorder="1" applyAlignment="1">
      <alignment horizontal="center"/>
    </xf>
    <xf numFmtId="0" fontId="6" fillId="0" borderId="0" xfId="2"/>
    <xf numFmtId="0" fontId="16" fillId="0" borderId="0" xfId="0" applyFont="1"/>
    <xf numFmtId="0" fontId="17" fillId="3" borderId="0" xfId="0" applyFont="1" applyFill="1"/>
    <xf numFmtId="0" fontId="16" fillId="3" borderId="0" xfId="0" applyFont="1" applyFill="1"/>
    <xf numFmtId="165" fontId="16" fillId="0" borderId="0" xfId="0" applyNumberFormat="1" applyFont="1"/>
    <xf numFmtId="165" fontId="16" fillId="0" borderId="0" xfId="1" applyNumberFormat="1" applyFont="1" applyAlignment="1"/>
    <xf numFmtId="9" fontId="16" fillId="0" borderId="0" xfId="0" applyNumberFormat="1" applyFont="1"/>
    <xf numFmtId="0" fontId="18" fillId="0" borderId="0" xfId="0" applyFont="1"/>
    <xf numFmtId="0" fontId="16" fillId="0" borderId="3" xfId="0" applyFont="1" applyBorder="1"/>
    <xf numFmtId="165" fontId="16" fillId="0" borderId="3" xfId="1" applyNumberFormat="1" applyFont="1" applyBorder="1" applyAlignment="1"/>
    <xf numFmtId="165" fontId="16" fillId="6" borderId="3" xfId="1" applyNumberFormat="1" applyFont="1" applyFill="1" applyBorder="1" applyAlignment="1"/>
    <xf numFmtId="165" fontId="16" fillId="5" borderId="3" xfId="1" applyNumberFormat="1" applyFont="1" applyFill="1" applyBorder="1" applyAlignment="1"/>
    <xf numFmtId="0" fontId="20" fillId="0" borderId="0" xfId="2" applyFont="1"/>
    <xf numFmtId="0" fontId="21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6" fontId="19" fillId="0" borderId="3" xfId="2" applyNumberFormat="1" applyFont="1" applyBorder="1" applyAlignment="1">
      <alignment horizontal="center" vertical="center" wrapText="1"/>
    </xf>
    <xf numFmtId="165" fontId="16" fillId="0" borderId="3" xfId="0" applyNumberFormat="1" applyFont="1" applyBorder="1" applyAlignment="1">
      <alignment horizontal="right"/>
    </xf>
    <xf numFmtId="165" fontId="16" fillId="0" borderId="3" xfId="1" applyNumberFormat="1" applyFont="1" applyBorder="1" applyAlignment="1">
      <alignment horizontal="right"/>
    </xf>
    <xf numFmtId="0" fontId="16" fillId="0" borderId="3" xfId="0" applyFont="1" applyBorder="1" applyAlignment="1">
      <alignment horizontal="right"/>
    </xf>
    <xf numFmtId="0" fontId="16" fillId="0" borderId="3" xfId="1" applyNumberFormat="1" applyFont="1" applyBorder="1" applyAlignment="1">
      <alignment horizontal="right"/>
    </xf>
    <xf numFmtId="0" fontId="13" fillId="3" borderId="0" xfId="0" applyFont="1" applyFill="1" applyAlignment="1">
      <alignment horizontal="center"/>
    </xf>
    <xf numFmtId="0" fontId="9" fillId="3" borderId="2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/>
    </xf>
    <xf numFmtId="0" fontId="10" fillId="0" borderId="3" xfId="0" applyFont="1" applyBorder="1" applyAlignment="1">
      <alignment horizontal="left"/>
    </xf>
    <xf numFmtId="0" fontId="7" fillId="2" borderId="0" xfId="0" applyFont="1" applyFill="1" applyAlignment="1">
      <alignment horizontal="center"/>
    </xf>
    <xf numFmtId="9" fontId="0" fillId="9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165" fontId="17" fillId="2" borderId="3" xfId="1" applyNumberFormat="1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0" fontId="17" fillId="4" borderId="3" xfId="0" applyFont="1" applyFill="1" applyBorder="1" applyAlignment="1">
      <alignment horizontal="center"/>
    </xf>
    <xf numFmtId="0" fontId="19" fillId="11" borderId="4" xfId="2" applyFont="1" applyFill="1" applyBorder="1" applyAlignment="1">
      <alignment horizontal="center" vertical="center" wrapText="1"/>
    </xf>
    <xf numFmtId="0" fontId="19" fillId="11" borderId="0" xfId="2" applyFont="1" applyFill="1" applyAlignment="1">
      <alignment horizontal="center" vertical="center" wrapText="1"/>
    </xf>
  </cellXfs>
  <cellStyles count="4">
    <cellStyle name="Comma" xfId="1" builtinId="3"/>
    <cellStyle name="Comma 2" xfId="3" xr:uid="{D21CC2C0-1A6C-4328-8E93-09829F631FC7}"/>
    <cellStyle name="Normal" xfId="0" builtinId="0"/>
    <cellStyle name="Normal 2" xfId="2" xr:uid="{4733E216-7E77-4D48-89B2-8013D9A915E3}"/>
  </cellStyles>
  <dxfs count="0"/>
  <tableStyles count="1" defaultTableStyle="TableStyleMedium2" defaultPivotStyle="PivotStyleLight16">
    <tableStyle name="Invisible" pivot="0" table="0" count="0" xr9:uid="{7F8B5DFA-A683-408F-92FD-A66F4D100D6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Projected Growth for 5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'Projected Growth'!$C$5:$C$9</c:f>
              <c:strCache>
                <c:ptCount val="5"/>
                <c:pt idx="0">
                  <c:v>2023-24</c:v>
                </c:pt>
                <c:pt idx="1">
                  <c:v>2024-25</c:v>
                </c:pt>
                <c:pt idx="2">
                  <c:v>2025-26</c:v>
                </c:pt>
                <c:pt idx="3">
                  <c:v>2026-27</c:v>
                </c:pt>
                <c:pt idx="4">
                  <c:v>2027-28</c:v>
                </c:pt>
              </c:strCache>
            </c:strRef>
          </c:cat>
          <c:val>
            <c:numRef>
              <c:f>'Projected Growth'!$D$5:$D$9</c:f>
              <c:numCache>
                <c:formatCode>"₹"#,##0_);[Red]\("₹"#,##0\)</c:formatCode>
                <c:ptCount val="5"/>
                <c:pt idx="0">
                  <c:v>3206208000</c:v>
                </c:pt>
                <c:pt idx="1">
                  <c:v>4007760000</c:v>
                </c:pt>
                <c:pt idx="2">
                  <c:v>5009700000</c:v>
                </c:pt>
                <c:pt idx="3">
                  <c:v>6262125000</c:v>
                </c:pt>
                <c:pt idx="4">
                  <c:v>7827656250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B-4EC2-8DD6-2C02C764F8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0950047"/>
        <c:axId val="1981723567"/>
      </c:lineChart>
      <c:dateAx>
        <c:axId val="19809500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23567"/>
        <c:crosses val="autoZero"/>
        <c:auto val="0"/>
        <c:lblOffset val="100"/>
        <c:baseTimeUnit val="days"/>
      </c:dateAx>
      <c:valAx>
        <c:axId val="19817235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 (INR)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,#00,,\ 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500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5994</xdr:colOff>
      <xdr:row>0</xdr:row>
      <xdr:rowOff>7471</xdr:rowOff>
    </xdr:from>
    <xdr:ext cx="5051594" cy="3018118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7E067892-AF86-49E7-BB29-388E0B5FC97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90465" y="7471"/>
          <a:ext cx="5051594" cy="301811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12</xdr:col>
      <xdr:colOff>46033</xdr:colOff>
      <xdr:row>19</xdr:row>
      <xdr:rowOff>20360</xdr:rowOff>
    </xdr:from>
    <xdr:to>
      <xdr:col>20</xdr:col>
      <xdr:colOff>46029</xdr:colOff>
      <xdr:row>33</xdr:row>
      <xdr:rowOff>92149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1F015B-DE9B-E894-857A-5391CB534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51937" y="3784456"/>
          <a:ext cx="4896381" cy="261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261470</xdr:colOff>
      <xdr:row>0</xdr:row>
      <xdr:rowOff>0</xdr:rowOff>
    </xdr:from>
    <xdr:ext cx="5016501" cy="4871358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C4BD6E28-167E-49D6-BDDF-969013CD1EF9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18501" t="10074" r="22740" b="10074"/>
        <a:stretch/>
      </xdr:blipFill>
      <xdr:spPr>
        <a:xfrm>
          <a:off x="13327529" y="0"/>
          <a:ext cx="5016501" cy="4871358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609930</xdr:colOff>
      <xdr:row>2</xdr:row>
      <xdr:rowOff>3628</xdr:rowOff>
    </xdr:from>
    <xdr:to>
      <xdr:col>19</xdr:col>
      <xdr:colOff>143823</xdr:colOff>
      <xdr:row>12</xdr:row>
      <xdr:rowOff>34637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497F7-1BFA-4A3D-923F-F2A22E1A6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3021-74EC-4DC9-919C-25985F8DB4B1}">
  <sheetPr>
    <tabColor theme="6" tint="0.59999389629810485"/>
  </sheetPr>
  <dimension ref="A1:K42"/>
  <sheetViews>
    <sheetView zoomScale="86" zoomScaleNormal="100" workbookViewId="0">
      <selection activeCell="E40" sqref="E40"/>
    </sheetView>
  </sheetViews>
  <sheetFormatPr defaultRowHeight="12.5"/>
  <cols>
    <col min="2" max="2" width="26.453125" customWidth="1"/>
    <col min="3" max="3" width="20.81640625" bestFit="1" customWidth="1"/>
    <col min="4" max="4" width="10.26953125" bestFit="1" customWidth="1"/>
    <col min="5" max="5" width="29.453125" customWidth="1"/>
    <col min="6" max="6" width="9.453125" bestFit="1" customWidth="1"/>
  </cols>
  <sheetData>
    <row r="1" spans="1:5" ht="15.5">
      <c r="A1" s="57" t="s">
        <v>28</v>
      </c>
      <c r="B1" s="57"/>
      <c r="C1" s="57"/>
      <c r="D1" s="57"/>
      <c r="E1" s="57"/>
    </row>
    <row r="2" spans="1:5" ht="17.5" customHeight="1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</row>
    <row r="3" spans="1:5" ht="18">
      <c r="A3" s="2">
        <v>2017</v>
      </c>
      <c r="B3" s="3">
        <v>2000000</v>
      </c>
      <c r="C3" s="2">
        <v>-2</v>
      </c>
      <c r="D3" s="2">
        <f t="shared" ref="D3:D7" si="0">C3*C3</f>
        <v>4</v>
      </c>
      <c r="E3" s="3">
        <f t="shared" ref="E3:E7" si="1">B3*C3</f>
        <v>-4000000</v>
      </c>
    </row>
    <row r="4" spans="1:5" ht="18">
      <c r="A4" s="2">
        <v>2018</v>
      </c>
      <c r="B4" s="3">
        <v>2500000</v>
      </c>
      <c r="C4" s="2">
        <v>-1</v>
      </c>
      <c r="D4" s="2">
        <f t="shared" si="0"/>
        <v>1</v>
      </c>
      <c r="E4" s="3">
        <f t="shared" si="1"/>
        <v>-2500000</v>
      </c>
    </row>
    <row r="5" spans="1:5" ht="18">
      <c r="A5" s="2">
        <v>2019</v>
      </c>
      <c r="B5" s="3">
        <v>3000000</v>
      </c>
      <c r="C5" s="2">
        <v>0</v>
      </c>
      <c r="D5" s="2">
        <f t="shared" si="0"/>
        <v>0</v>
      </c>
      <c r="E5" s="3">
        <f t="shared" si="1"/>
        <v>0</v>
      </c>
    </row>
    <row r="6" spans="1:5" ht="18">
      <c r="A6" s="2">
        <v>2020</v>
      </c>
      <c r="B6" s="3">
        <v>5200000</v>
      </c>
      <c r="C6" s="2">
        <f>1</f>
        <v>1</v>
      </c>
      <c r="D6" s="2">
        <f t="shared" si="0"/>
        <v>1</v>
      </c>
      <c r="E6" s="3">
        <f t="shared" si="1"/>
        <v>5200000</v>
      </c>
    </row>
    <row r="7" spans="1:5" ht="18">
      <c r="A7" s="2">
        <v>2021</v>
      </c>
      <c r="B7" s="3">
        <v>7600000</v>
      </c>
      <c r="C7" s="2">
        <v>2</v>
      </c>
      <c r="D7" s="2">
        <f t="shared" si="0"/>
        <v>4</v>
      </c>
      <c r="E7" s="3">
        <f t="shared" si="1"/>
        <v>15200000</v>
      </c>
    </row>
    <row r="8" spans="1:5" ht="17.5">
      <c r="A8" s="4" t="s">
        <v>34</v>
      </c>
      <c r="B8" s="5">
        <f t="shared" ref="B8:E8" si="2">SUM(B3:B7)</f>
        <v>20300000</v>
      </c>
      <c r="C8" s="5">
        <f t="shared" si="2"/>
        <v>0</v>
      </c>
      <c r="D8" s="5">
        <f t="shared" si="2"/>
        <v>10</v>
      </c>
      <c r="E8" s="5">
        <f t="shared" si="2"/>
        <v>13900000</v>
      </c>
    </row>
    <row r="12" spans="1:5" ht="12.65" customHeight="1"/>
    <row r="13" spans="1:5" ht="14">
      <c r="A13" s="56" t="s">
        <v>35</v>
      </c>
      <c r="B13" s="56"/>
      <c r="C13" s="56"/>
    </row>
    <row r="14" spans="1:5" ht="15.5">
      <c r="A14" s="8" t="s">
        <v>36</v>
      </c>
      <c r="B14" s="6">
        <f>B8/5</f>
        <v>4060000</v>
      </c>
      <c r="C14" s="7"/>
    </row>
    <row r="15" spans="1:5" ht="15.5">
      <c r="A15" s="8"/>
      <c r="B15" s="6"/>
      <c r="C15" s="7"/>
    </row>
    <row r="16" spans="1:5" ht="15.5">
      <c r="A16" s="8" t="s">
        <v>37</v>
      </c>
      <c r="B16" s="6">
        <f>E8/D8</f>
        <v>1390000</v>
      </c>
      <c r="C16" s="7"/>
    </row>
    <row r="17" spans="1:11" ht="15.5">
      <c r="A17" s="8"/>
      <c r="B17" s="6"/>
      <c r="C17" s="7"/>
    </row>
    <row r="18" spans="1:11" ht="15.5">
      <c r="A18" s="8" t="s">
        <v>35</v>
      </c>
      <c r="B18" s="6">
        <f>B14+(B16*3)</f>
        <v>8230000</v>
      </c>
      <c r="C18" s="20" t="s">
        <v>109</v>
      </c>
    </row>
    <row r="21" spans="1:11" ht="14">
      <c r="A21" s="56" t="s">
        <v>111</v>
      </c>
      <c r="B21" s="56"/>
      <c r="C21" s="56"/>
      <c r="D21" s="22"/>
    </row>
    <row r="22" spans="1:11" ht="15.5">
      <c r="A22" s="23" t="s">
        <v>110</v>
      </c>
      <c r="B22" s="23"/>
      <c r="C22" s="24">
        <f>B18</f>
        <v>8230000</v>
      </c>
      <c r="D22" s="21"/>
    </row>
    <row r="23" spans="1:11" ht="15.5">
      <c r="A23" s="23" t="s">
        <v>47</v>
      </c>
      <c r="B23" s="23"/>
      <c r="C23" s="23">
        <v>75</v>
      </c>
      <c r="E23" s="33" t="s">
        <v>138</v>
      </c>
      <c r="F23" s="33"/>
      <c r="G23" s="33"/>
      <c r="H23" s="33"/>
      <c r="I23" s="33"/>
      <c r="J23" s="33"/>
      <c r="K23" s="33"/>
    </row>
    <row r="24" spans="1:11" ht="15.5">
      <c r="A24" s="23" t="s">
        <v>6</v>
      </c>
      <c r="B24" s="23"/>
      <c r="C24" s="25">
        <f>C22*C23</f>
        <v>617250000</v>
      </c>
    </row>
    <row r="27" spans="1:11" ht="14.5" customHeight="1">
      <c r="A27" s="56" t="s">
        <v>48</v>
      </c>
      <c r="B27" s="56"/>
      <c r="C27" s="56"/>
      <c r="E27" s="33" t="s">
        <v>139</v>
      </c>
      <c r="F27" s="33"/>
      <c r="G27" s="33"/>
    </row>
    <row r="28" spans="1:11" ht="15.5">
      <c r="A28" s="60" t="s">
        <v>49</v>
      </c>
      <c r="B28" s="60"/>
      <c r="C28" s="23">
        <f>(C22*24)/100</f>
        <v>1975200</v>
      </c>
      <c r="E28" s="33" t="s">
        <v>140</v>
      </c>
      <c r="F28" s="33"/>
      <c r="G28" s="33"/>
    </row>
    <row r="29" spans="1:11" ht="15.5">
      <c r="A29" s="60" t="s">
        <v>154</v>
      </c>
      <c r="B29" s="60"/>
      <c r="C29" s="23">
        <f>C28/30</f>
        <v>65840</v>
      </c>
      <c r="E29" s="33" t="s">
        <v>141</v>
      </c>
      <c r="F29" s="33"/>
      <c r="G29" s="33"/>
    </row>
    <row r="30" spans="1:11" ht="15.5">
      <c r="A30" s="60" t="s">
        <v>155</v>
      </c>
      <c r="B30" s="60"/>
      <c r="C30" s="23">
        <f>(C29*70)/100</f>
        <v>46088</v>
      </c>
      <c r="E30" s="33" t="s">
        <v>142</v>
      </c>
      <c r="F30" s="33"/>
      <c r="G30" s="33"/>
    </row>
    <row r="31" spans="1:11" ht="14.15" customHeight="1">
      <c r="A31" s="60" t="s">
        <v>156</v>
      </c>
      <c r="B31" s="60"/>
      <c r="C31" s="23">
        <f>75*C30</f>
        <v>3456600</v>
      </c>
      <c r="E31" s="59" t="s">
        <v>145</v>
      </c>
      <c r="F31" s="59"/>
      <c r="G31" s="59"/>
      <c r="H31" s="59"/>
    </row>
    <row r="33" spans="1:10" ht="14">
      <c r="E33" s="33" t="s">
        <v>143</v>
      </c>
      <c r="F33" s="33"/>
      <c r="G33" s="33"/>
      <c r="H33" s="33"/>
      <c r="I33" s="33"/>
      <c r="J33" s="33"/>
    </row>
    <row r="34" spans="1:10" ht="14">
      <c r="E34" s="33" t="s">
        <v>144</v>
      </c>
      <c r="F34" s="33"/>
      <c r="G34" s="33"/>
      <c r="H34" s="33"/>
      <c r="I34" s="33"/>
      <c r="J34" s="33"/>
    </row>
    <row r="35" spans="1:10" ht="15.5">
      <c r="A35" s="58" t="s">
        <v>135</v>
      </c>
      <c r="B35" s="58"/>
      <c r="C35" s="58"/>
      <c r="F35" s="33" t="s">
        <v>146</v>
      </c>
    </row>
    <row r="36" spans="1:10" ht="14">
      <c r="A36" s="35" t="s">
        <v>29</v>
      </c>
      <c r="B36" s="35" t="s">
        <v>136</v>
      </c>
      <c r="C36" s="35" t="s">
        <v>137</v>
      </c>
    </row>
    <row r="37" spans="1:10" ht="14">
      <c r="A37" s="35">
        <v>2017</v>
      </c>
      <c r="B37" s="34">
        <v>52</v>
      </c>
      <c r="C37" s="34">
        <v>19.23</v>
      </c>
    </row>
    <row r="38" spans="1:10" ht="14">
      <c r="A38" s="35">
        <v>2018</v>
      </c>
      <c r="B38" s="34">
        <v>62</v>
      </c>
      <c r="C38" s="34">
        <v>3.23</v>
      </c>
    </row>
    <row r="39" spans="1:10" ht="14">
      <c r="A39" s="35">
        <v>2019</v>
      </c>
      <c r="B39" s="34">
        <v>64</v>
      </c>
      <c r="C39" s="34">
        <v>1.56</v>
      </c>
    </row>
    <row r="40" spans="1:10" ht="14">
      <c r="A40" s="35">
        <v>2020</v>
      </c>
      <c r="B40" s="34">
        <v>65</v>
      </c>
      <c r="C40" s="34">
        <v>7.69</v>
      </c>
    </row>
    <row r="41" spans="1:10" ht="14">
      <c r="A41" s="35">
        <v>2021</v>
      </c>
      <c r="B41" s="34">
        <v>70</v>
      </c>
      <c r="C41" s="34">
        <v>7.18</v>
      </c>
    </row>
    <row r="42" spans="1:10" ht="14">
      <c r="A42" s="35">
        <v>2022</v>
      </c>
      <c r="B42" s="34" t="s">
        <v>1</v>
      </c>
      <c r="C42" s="34" t="s">
        <v>1</v>
      </c>
    </row>
  </sheetData>
  <mergeCells count="10">
    <mergeCell ref="A21:C21"/>
    <mergeCell ref="A1:E1"/>
    <mergeCell ref="A13:C13"/>
    <mergeCell ref="A35:C35"/>
    <mergeCell ref="E31:H31"/>
    <mergeCell ref="A27:C27"/>
    <mergeCell ref="A28:B28"/>
    <mergeCell ref="A29:B29"/>
    <mergeCell ref="A30:B30"/>
    <mergeCell ref="A31:B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426C-59E6-4EB6-9705-6F07FEB1A652}">
  <sheetPr>
    <tabColor rgb="FFFFFF00"/>
  </sheetPr>
  <dimension ref="A1:O38"/>
  <sheetViews>
    <sheetView tabSelected="1" zoomScale="87" zoomScaleNormal="87" workbookViewId="0">
      <selection activeCell="G26" sqref="G26"/>
    </sheetView>
  </sheetViews>
  <sheetFormatPr defaultRowHeight="12.5"/>
  <cols>
    <col min="1" max="1" width="45.1796875" bestFit="1" customWidth="1"/>
    <col min="2" max="2" width="7.81640625" bestFit="1" customWidth="1"/>
    <col min="3" max="7" width="6.81640625" bestFit="1" customWidth="1"/>
    <col min="8" max="8" width="5.54296875" customWidth="1"/>
    <col min="9" max="9" width="41.26953125" bestFit="1" customWidth="1"/>
    <col min="10" max="10" width="10.1796875" bestFit="1" customWidth="1"/>
    <col min="11" max="15" width="8.81640625" bestFit="1" customWidth="1"/>
    <col min="17" max="17" width="23.54296875" bestFit="1" customWidth="1"/>
  </cols>
  <sheetData>
    <row r="1" spans="1:15" ht="13">
      <c r="A1" s="61" t="s">
        <v>38</v>
      </c>
      <c r="B1" s="61"/>
      <c r="C1" s="61"/>
      <c r="D1" s="61"/>
      <c r="E1" s="61"/>
      <c r="F1" s="61"/>
      <c r="G1" s="61"/>
      <c r="I1" s="61" t="s">
        <v>39</v>
      </c>
      <c r="J1" s="61"/>
      <c r="K1" s="61"/>
      <c r="L1" s="61"/>
      <c r="M1" s="61"/>
      <c r="N1" s="61"/>
      <c r="O1" s="61"/>
    </row>
    <row r="2" spans="1:15">
      <c r="A2" s="9" t="s">
        <v>112</v>
      </c>
      <c r="B2" s="62">
        <v>0.4</v>
      </c>
      <c r="C2" s="64"/>
      <c r="D2" s="64"/>
      <c r="E2" s="28">
        <v>0.35</v>
      </c>
      <c r="F2" s="28">
        <v>0.2</v>
      </c>
      <c r="G2" s="28">
        <v>0.05</v>
      </c>
      <c r="I2" s="12" t="s">
        <v>40</v>
      </c>
      <c r="J2" s="63">
        <f>B29</f>
        <v>8</v>
      </c>
      <c r="K2" s="63"/>
      <c r="L2" s="63"/>
      <c r="M2" s="63"/>
      <c r="N2" s="63"/>
      <c r="O2" s="63"/>
    </row>
    <row r="3" spans="1:15">
      <c r="A3" s="9" t="s">
        <v>113</v>
      </c>
      <c r="B3" s="26">
        <v>1</v>
      </c>
      <c r="C3">
        <v>2</v>
      </c>
      <c r="D3" s="26">
        <v>3</v>
      </c>
      <c r="E3">
        <v>4</v>
      </c>
      <c r="F3" s="26">
        <v>5</v>
      </c>
      <c r="G3">
        <v>6</v>
      </c>
      <c r="I3" t="s">
        <v>2</v>
      </c>
      <c r="J3" s="62">
        <v>0.4</v>
      </c>
      <c r="K3" s="62"/>
      <c r="L3" s="62"/>
      <c r="M3" s="28">
        <v>0.35</v>
      </c>
      <c r="N3" s="28">
        <v>0.2</v>
      </c>
      <c r="O3" s="28">
        <v>0.05</v>
      </c>
    </row>
    <row r="4" spans="1:15">
      <c r="A4" s="9" t="s">
        <v>114</v>
      </c>
      <c r="B4" s="26">
        <v>2.5</v>
      </c>
      <c r="C4">
        <v>2.5</v>
      </c>
      <c r="D4" s="26">
        <v>2.5</v>
      </c>
      <c r="E4">
        <v>2.5</v>
      </c>
      <c r="F4" s="26">
        <v>2.5</v>
      </c>
      <c r="G4">
        <v>2.5</v>
      </c>
      <c r="I4" s="9" t="s">
        <v>113</v>
      </c>
      <c r="J4" s="32">
        <v>1</v>
      </c>
      <c r="K4">
        <v>2</v>
      </c>
      <c r="L4" s="32">
        <v>3</v>
      </c>
      <c r="M4">
        <v>4</v>
      </c>
      <c r="N4" s="32">
        <v>5</v>
      </c>
      <c r="O4">
        <v>6</v>
      </c>
    </row>
    <row r="5" spans="1:15">
      <c r="A5" s="9" t="s">
        <v>115</v>
      </c>
      <c r="B5" s="26">
        <v>2.5</v>
      </c>
      <c r="C5">
        <v>2.5</v>
      </c>
      <c r="D5" s="26">
        <v>2.5</v>
      </c>
      <c r="E5">
        <v>2.5</v>
      </c>
      <c r="F5" s="26">
        <v>2.5</v>
      </c>
      <c r="G5">
        <v>2.5</v>
      </c>
      <c r="I5" s="9" t="s">
        <v>125</v>
      </c>
      <c r="J5" s="32">
        <f t="shared" ref="J5:O5" si="0">B12*$B$29</f>
        <v>288</v>
      </c>
      <c r="K5">
        <f t="shared" si="0"/>
        <v>192</v>
      </c>
      <c r="L5" s="32">
        <f t="shared" si="0"/>
        <v>192</v>
      </c>
      <c r="M5">
        <f t="shared" si="0"/>
        <v>192</v>
      </c>
      <c r="N5" s="32">
        <f t="shared" si="0"/>
        <v>96</v>
      </c>
      <c r="O5">
        <f t="shared" si="0"/>
        <v>96</v>
      </c>
    </row>
    <row r="6" spans="1:15">
      <c r="A6" s="9" t="s">
        <v>116</v>
      </c>
      <c r="B6" s="27">
        <f>B5+B4+B3</f>
        <v>6</v>
      </c>
      <c r="C6">
        <f>C4+C3+C5</f>
        <v>7</v>
      </c>
      <c r="D6" s="26">
        <f>D4+D3+D5</f>
        <v>8</v>
      </c>
      <c r="E6">
        <f>E4+E3+E5</f>
        <v>9</v>
      </c>
      <c r="F6" s="26">
        <f>F4+F3+F5</f>
        <v>10</v>
      </c>
      <c r="G6">
        <f>G4+G3+G5</f>
        <v>11</v>
      </c>
      <c r="I6" s="9" t="s">
        <v>124</v>
      </c>
      <c r="J6" s="32">
        <f>7*J5</f>
        <v>2016</v>
      </c>
      <c r="K6">
        <f t="shared" ref="K6:O6" si="1">7*K5</f>
        <v>1344</v>
      </c>
      <c r="L6" s="32">
        <f t="shared" si="1"/>
        <v>1344</v>
      </c>
      <c r="M6">
        <f t="shared" si="1"/>
        <v>1344</v>
      </c>
      <c r="N6" s="32">
        <f t="shared" si="1"/>
        <v>672</v>
      </c>
      <c r="O6">
        <f t="shared" si="1"/>
        <v>672</v>
      </c>
    </row>
    <row r="7" spans="1:15">
      <c r="A7" s="9" t="s">
        <v>117</v>
      </c>
      <c r="B7" s="27">
        <v>30</v>
      </c>
      <c r="C7">
        <v>30</v>
      </c>
      <c r="D7" s="26">
        <v>30</v>
      </c>
      <c r="E7">
        <v>30</v>
      </c>
      <c r="F7" s="26">
        <v>30</v>
      </c>
      <c r="G7">
        <v>30</v>
      </c>
      <c r="I7" s="9" t="s">
        <v>122</v>
      </c>
      <c r="J7" s="32">
        <f>4*J6</f>
        <v>8064</v>
      </c>
      <c r="K7">
        <f t="shared" ref="K7:O7" si="2">4*K6</f>
        <v>5376</v>
      </c>
      <c r="L7" s="32">
        <f t="shared" si="2"/>
        <v>5376</v>
      </c>
      <c r="M7">
        <f t="shared" si="2"/>
        <v>5376</v>
      </c>
      <c r="N7" s="32">
        <f t="shared" si="2"/>
        <v>2688</v>
      </c>
      <c r="O7">
        <f t="shared" si="2"/>
        <v>2688</v>
      </c>
    </row>
    <row r="8" spans="1:15">
      <c r="A8" s="9" t="s">
        <v>118</v>
      </c>
      <c r="B8" s="27">
        <v>40</v>
      </c>
      <c r="C8">
        <v>40</v>
      </c>
      <c r="D8" s="26">
        <v>40</v>
      </c>
      <c r="E8">
        <v>40</v>
      </c>
      <c r="F8" s="26">
        <v>40</v>
      </c>
      <c r="G8">
        <v>40</v>
      </c>
      <c r="I8" s="9" t="s">
        <v>123</v>
      </c>
      <c r="J8" s="32">
        <f>12*J7</f>
        <v>96768</v>
      </c>
      <c r="K8">
        <f t="shared" ref="K8:O8" si="3">12*K7</f>
        <v>64512</v>
      </c>
      <c r="L8" s="32">
        <f t="shared" si="3"/>
        <v>64512</v>
      </c>
      <c r="M8">
        <f t="shared" si="3"/>
        <v>64512</v>
      </c>
      <c r="N8" s="32">
        <f t="shared" si="3"/>
        <v>32256</v>
      </c>
      <c r="O8">
        <f t="shared" si="3"/>
        <v>32256</v>
      </c>
    </row>
    <row r="9" spans="1:15">
      <c r="A9" s="9" t="s">
        <v>119</v>
      </c>
      <c r="B9" s="26">
        <f>ROUNDUP((B6/B8)*60,0)</f>
        <v>9</v>
      </c>
      <c r="C9">
        <f>ROUNDUP((C6/C8)*60,0)</f>
        <v>11</v>
      </c>
      <c r="D9" s="26">
        <f>(D6/D8)*60</f>
        <v>12</v>
      </c>
      <c r="E9">
        <f t="shared" ref="E9:G9" si="4">(E6/E8)*60</f>
        <v>13.5</v>
      </c>
      <c r="F9" s="26">
        <f t="shared" si="4"/>
        <v>15</v>
      </c>
      <c r="G9">
        <f t="shared" si="4"/>
        <v>16.5</v>
      </c>
      <c r="I9" s="9" t="s">
        <v>130</v>
      </c>
      <c r="J9" s="32">
        <f t="shared" ref="J9:O12" si="5">J5*$B$31</f>
        <v>28800</v>
      </c>
      <c r="K9">
        <f t="shared" si="5"/>
        <v>19200</v>
      </c>
      <c r="L9" s="32">
        <f t="shared" si="5"/>
        <v>19200</v>
      </c>
      <c r="M9">
        <f t="shared" si="5"/>
        <v>19200</v>
      </c>
      <c r="N9" s="32">
        <f t="shared" si="5"/>
        <v>9600</v>
      </c>
      <c r="O9">
        <f t="shared" si="5"/>
        <v>9600</v>
      </c>
    </row>
    <row r="10" spans="1:15">
      <c r="A10" s="9" t="s">
        <v>120</v>
      </c>
      <c r="B10" s="26">
        <v>3</v>
      </c>
      <c r="C10">
        <v>2</v>
      </c>
      <c r="D10" s="26">
        <v>2</v>
      </c>
      <c r="E10">
        <v>2</v>
      </c>
      <c r="F10" s="26">
        <v>1</v>
      </c>
      <c r="G10">
        <v>1</v>
      </c>
      <c r="I10" s="9" t="s">
        <v>131</v>
      </c>
      <c r="J10" s="32">
        <f t="shared" si="5"/>
        <v>201600</v>
      </c>
      <c r="K10">
        <f t="shared" si="5"/>
        <v>134400</v>
      </c>
      <c r="L10" s="32">
        <f t="shared" si="5"/>
        <v>134400</v>
      </c>
      <c r="M10">
        <f t="shared" si="5"/>
        <v>134400</v>
      </c>
      <c r="N10" s="32">
        <f t="shared" si="5"/>
        <v>67200</v>
      </c>
      <c r="O10">
        <f t="shared" si="5"/>
        <v>67200</v>
      </c>
    </row>
    <row r="11" spans="1:15">
      <c r="A11" s="9" t="s">
        <v>121</v>
      </c>
      <c r="B11" s="26">
        <f>2*B10</f>
        <v>6</v>
      </c>
      <c r="C11">
        <f>2*C10</f>
        <v>4</v>
      </c>
      <c r="D11" s="26">
        <v>4</v>
      </c>
      <c r="E11">
        <v>4</v>
      </c>
      <c r="F11" s="26">
        <v>2</v>
      </c>
      <c r="G11">
        <v>2</v>
      </c>
      <c r="I11" s="9" t="s">
        <v>132</v>
      </c>
      <c r="J11" s="32">
        <f t="shared" si="5"/>
        <v>806400</v>
      </c>
      <c r="K11">
        <f t="shared" si="5"/>
        <v>537600</v>
      </c>
      <c r="L11" s="32">
        <f t="shared" si="5"/>
        <v>537600</v>
      </c>
      <c r="M11">
        <f t="shared" si="5"/>
        <v>537600</v>
      </c>
      <c r="N11" s="32">
        <f t="shared" si="5"/>
        <v>268800</v>
      </c>
      <c r="O11">
        <f t="shared" si="5"/>
        <v>268800</v>
      </c>
    </row>
    <row r="12" spans="1:15">
      <c r="A12" s="9" t="s">
        <v>125</v>
      </c>
      <c r="B12" s="26">
        <f>6*B11</f>
        <v>36</v>
      </c>
      <c r="C12">
        <f>6*C11</f>
        <v>24</v>
      </c>
      <c r="D12" s="26">
        <f>6*D11</f>
        <v>24</v>
      </c>
      <c r="E12">
        <f t="shared" ref="E12:G12" si="6">6*E11</f>
        <v>24</v>
      </c>
      <c r="F12" s="26">
        <f t="shared" si="6"/>
        <v>12</v>
      </c>
      <c r="G12">
        <f t="shared" si="6"/>
        <v>12</v>
      </c>
      <c r="I12" s="9" t="s">
        <v>133</v>
      </c>
      <c r="J12" s="32">
        <f t="shared" si="5"/>
        <v>9676800</v>
      </c>
      <c r="K12">
        <f t="shared" si="5"/>
        <v>6451200</v>
      </c>
      <c r="L12" s="32">
        <f t="shared" si="5"/>
        <v>6451200</v>
      </c>
      <c r="M12">
        <f t="shared" si="5"/>
        <v>6451200</v>
      </c>
      <c r="N12" s="32">
        <f t="shared" si="5"/>
        <v>3225600</v>
      </c>
      <c r="O12">
        <f t="shared" si="5"/>
        <v>3225600</v>
      </c>
    </row>
    <row r="13" spans="1:15">
      <c r="A13" s="9" t="s">
        <v>124</v>
      </c>
      <c r="B13" s="26">
        <f>7*B12</f>
        <v>252</v>
      </c>
      <c r="C13">
        <f>7*C12</f>
        <v>168</v>
      </c>
      <c r="D13" s="26">
        <f>7*D12</f>
        <v>168</v>
      </c>
      <c r="E13">
        <f t="shared" ref="E13:G13" si="7">7*E12</f>
        <v>168</v>
      </c>
      <c r="F13" s="26">
        <f t="shared" si="7"/>
        <v>84</v>
      </c>
      <c r="G13">
        <f t="shared" si="7"/>
        <v>84</v>
      </c>
      <c r="J13" s="29"/>
    </row>
    <row r="14" spans="1:15" ht="13">
      <c r="A14" s="9" t="s">
        <v>122</v>
      </c>
      <c r="B14" s="26">
        <f>4*B13</f>
        <v>1008</v>
      </c>
      <c r="C14">
        <f>4*C13</f>
        <v>672</v>
      </c>
      <c r="D14" s="26">
        <f>4*D13</f>
        <v>672</v>
      </c>
      <c r="E14">
        <f t="shared" ref="E14:G14" si="8">4*E13</f>
        <v>672</v>
      </c>
      <c r="F14" s="26">
        <f t="shared" si="8"/>
        <v>336</v>
      </c>
      <c r="G14">
        <f t="shared" si="8"/>
        <v>336</v>
      </c>
      <c r="I14" s="31" t="s">
        <v>126</v>
      </c>
      <c r="J14" s="30">
        <v>0.4</v>
      </c>
      <c r="K14" s="30">
        <v>0.35</v>
      </c>
      <c r="L14" s="30">
        <v>0.2</v>
      </c>
      <c r="M14" s="30">
        <v>0.05</v>
      </c>
    </row>
    <row r="15" spans="1:15">
      <c r="A15" s="9" t="s">
        <v>123</v>
      </c>
      <c r="B15" s="26">
        <f>12*B14</f>
        <v>12096</v>
      </c>
      <c r="C15">
        <f>12*C14</f>
        <v>8064</v>
      </c>
      <c r="D15" s="26">
        <f>12*D14</f>
        <v>8064</v>
      </c>
      <c r="E15">
        <f t="shared" ref="E15:G15" si="9">12*E14</f>
        <v>8064</v>
      </c>
      <c r="F15" s="26">
        <f t="shared" si="9"/>
        <v>4032</v>
      </c>
      <c r="G15">
        <f t="shared" si="9"/>
        <v>4032</v>
      </c>
      <c r="I15" s="9" t="s">
        <v>101</v>
      </c>
      <c r="J15">
        <f>AVERAGE(J7:L7)</f>
        <v>6272</v>
      </c>
      <c r="K15">
        <f>M7</f>
        <v>5376</v>
      </c>
      <c r="L15">
        <f>N7</f>
        <v>2688</v>
      </c>
      <c r="M15">
        <f>O7</f>
        <v>2688</v>
      </c>
    </row>
    <row r="16" spans="1:15">
      <c r="A16" s="9" t="s">
        <v>129</v>
      </c>
      <c r="B16" s="26">
        <f t="shared" ref="B16:G16" si="10">$B$31</f>
        <v>100</v>
      </c>
      <c r="C16">
        <f t="shared" si="10"/>
        <v>100</v>
      </c>
      <c r="D16" s="26">
        <f t="shared" si="10"/>
        <v>100</v>
      </c>
      <c r="E16">
        <f t="shared" si="10"/>
        <v>100</v>
      </c>
      <c r="F16" s="26">
        <f t="shared" si="10"/>
        <v>100</v>
      </c>
      <c r="G16">
        <f t="shared" si="10"/>
        <v>100</v>
      </c>
      <c r="I16" s="9" t="s">
        <v>127</v>
      </c>
      <c r="J16" s="10">
        <f>ROUNDUP(SUMPRODUCT(J15:M15,J14:M14)/SUM(J14:M14),)</f>
        <v>5063</v>
      </c>
    </row>
    <row r="17" spans="1:15">
      <c r="A17" s="9" t="s">
        <v>130</v>
      </c>
      <c r="B17" s="26">
        <f>B16*B12</f>
        <v>3600</v>
      </c>
      <c r="C17">
        <f>C16*C12</f>
        <v>2400</v>
      </c>
      <c r="D17" s="26">
        <f>D16*D12</f>
        <v>2400</v>
      </c>
      <c r="E17">
        <f t="shared" ref="E17:G17" si="11">E16*E12</f>
        <v>2400</v>
      </c>
      <c r="F17" s="26">
        <f t="shared" si="11"/>
        <v>1200</v>
      </c>
      <c r="G17">
        <f t="shared" si="11"/>
        <v>1200</v>
      </c>
      <c r="I17" s="9" t="s">
        <v>6</v>
      </c>
      <c r="J17">
        <f>B31*J16</f>
        <v>506300</v>
      </c>
    </row>
    <row r="18" spans="1:15">
      <c r="A18" s="9" t="s">
        <v>131</v>
      </c>
      <c r="B18" s="26">
        <f>B16*B13</f>
        <v>25200</v>
      </c>
      <c r="C18">
        <f>C16*C13</f>
        <v>16800</v>
      </c>
      <c r="D18" s="26">
        <f>D16*D13</f>
        <v>16800</v>
      </c>
      <c r="E18">
        <f t="shared" ref="E18:G18" si="12">E16*E13</f>
        <v>16800</v>
      </c>
      <c r="F18" s="26">
        <f t="shared" si="12"/>
        <v>8400</v>
      </c>
      <c r="G18">
        <f t="shared" si="12"/>
        <v>8400</v>
      </c>
    </row>
    <row r="19" spans="1:15">
      <c r="A19" s="9" t="s">
        <v>132</v>
      </c>
      <c r="B19" s="26">
        <f>B16*B14</f>
        <v>100800</v>
      </c>
      <c r="C19">
        <f>C16*C14</f>
        <v>67200</v>
      </c>
      <c r="D19" s="26">
        <f>D16*D14</f>
        <v>67200</v>
      </c>
      <c r="E19">
        <f t="shared" ref="E19:G19" si="13">E16*E14</f>
        <v>67200</v>
      </c>
      <c r="F19" s="26">
        <f t="shared" si="13"/>
        <v>33600</v>
      </c>
      <c r="G19">
        <f t="shared" si="13"/>
        <v>33600</v>
      </c>
    </row>
    <row r="20" spans="1:15">
      <c r="A20" s="9" t="s">
        <v>133</v>
      </c>
      <c r="B20" s="26">
        <f>B16*B15</f>
        <v>1209600</v>
      </c>
      <c r="C20">
        <f>C16*C15</f>
        <v>806400</v>
      </c>
      <c r="D20" s="26">
        <f>D16*D15</f>
        <v>806400</v>
      </c>
      <c r="E20">
        <f t="shared" ref="E20:G20" si="14">E16*E15</f>
        <v>806400</v>
      </c>
      <c r="F20" s="26">
        <f t="shared" si="14"/>
        <v>403200</v>
      </c>
      <c r="G20">
        <f t="shared" si="14"/>
        <v>403200</v>
      </c>
    </row>
    <row r="21" spans="1:15" ht="13">
      <c r="A21" s="9"/>
      <c r="B21" s="29"/>
      <c r="I21" s="61" t="s">
        <v>68</v>
      </c>
      <c r="J21" s="61"/>
      <c r="K21" s="61"/>
      <c r="L21" s="61"/>
      <c r="M21" s="61"/>
      <c r="N21" s="61"/>
      <c r="O21" s="61"/>
    </row>
    <row r="22" spans="1:15" ht="13">
      <c r="A22" s="31" t="s">
        <v>126</v>
      </c>
      <c r="B22" s="30">
        <v>0.4</v>
      </c>
      <c r="C22" s="30">
        <v>0.35</v>
      </c>
      <c r="D22" s="30">
        <v>0.2</v>
      </c>
      <c r="E22" s="30">
        <v>0.05</v>
      </c>
      <c r="I22" s="12" t="s">
        <v>43</v>
      </c>
      <c r="J22" s="63">
        <f>B30</f>
        <v>10</v>
      </c>
      <c r="K22" s="63"/>
      <c r="L22" s="63"/>
      <c r="M22" s="63"/>
      <c r="N22" s="63"/>
      <c r="O22" s="63"/>
    </row>
    <row r="23" spans="1:15">
      <c r="A23" s="9" t="s">
        <v>101</v>
      </c>
      <c r="B23">
        <f>AVERAGE(B14:D14)</f>
        <v>784</v>
      </c>
      <c r="C23">
        <f>E14</f>
        <v>672</v>
      </c>
      <c r="D23">
        <f>F14</f>
        <v>336</v>
      </c>
      <c r="E23">
        <f>G14</f>
        <v>336</v>
      </c>
      <c r="I23" t="s">
        <v>2</v>
      </c>
      <c r="J23" s="62">
        <v>0.4</v>
      </c>
      <c r="K23" s="62"/>
      <c r="L23" s="62"/>
      <c r="M23" s="28">
        <v>0.35</v>
      </c>
      <c r="N23" s="28">
        <v>0.2</v>
      </c>
      <c r="O23" s="28">
        <v>0.05</v>
      </c>
    </row>
    <row r="24" spans="1:15">
      <c r="A24" s="9" t="s">
        <v>127</v>
      </c>
      <c r="B24">
        <f>ROUNDUP(SUMPRODUCT(B23:E23,B22:E22)/SUM(B22:E22),)</f>
        <v>633</v>
      </c>
      <c r="I24" s="9" t="s">
        <v>113</v>
      </c>
      <c r="J24" s="32">
        <v>1</v>
      </c>
      <c r="K24">
        <v>2</v>
      </c>
      <c r="L24" s="32">
        <v>3</v>
      </c>
      <c r="M24">
        <v>4</v>
      </c>
      <c r="N24" s="32">
        <v>5</v>
      </c>
      <c r="O24">
        <v>6</v>
      </c>
    </row>
    <row r="25" spans="1:15">
      <c r="A25" s="9" t="s">
        <v>128</v>
      </c>
      <c r="B25">
        <f>B24*$B$31</f>
        <v>63300</v>
      </c>
      <c r="F25" s="13"/>
      <c r="G25" s="13"/>
      <c r="I25" s="9" t="s">
        <v>125</v>
      </c>
      <c r="J25" s="32">
        <f t="shared" ref="J25:O25" si="15">10*J5</f>
        <v>2880</v>
      </c>
      <c r="K25">
        <f t="shared" si="15"/>
        <v>1920</v>
      </c>
      <c r="L25" s="32">
        <f t="shared" si="15"/>
        <v>1920</v>
      </c>
      <c r="M25">
        <f t="shared" si="15"/>
        <v>1920</v>
      </c>
      <c r="N25" s="32">
        <f t="shared" si="15"/>
        <v>960</v>
      </c>
      <c r="O25">
        <f t="shared" si="15"/>
        <v>960</v>
      </c>
    </row>
    <row r="26" spans="1:15">
      <c r="I26" s="9" t="s">
        <v>124</v>
      </c>
      <c r="J26" s="32">
        <f>7*J25</f>
        <v>20160</v>
      </c>
      <c r="K26">
        <f>7*K25</f>
        <v>13440</v>
      </c>
      <c r="L26" s="32">
        <f>7*L25</f>
        <v>13440</v>
      </c>
      <c r="M26">
        <f t="shared" ref="M26:O26" si="16">7*M25</f>
        <v>13440</v>
      </c>
      <c r="N26" s="32">
        <f t="shared" si="16"/>
        <v>6720</v>
      </c>
      <c r="O26">
        <f t="shared" si="16"/>
        <v>6720</v>
      </c>
    </row>
    <row r="27" spans="1:15">
      <c r="I27" s="9" t="s">
        <v>122</v>
      </c>
      <c r="J27" s="32">
        <f t="shared" ref="J27:K27" si="17">4*J26</f>
        <v>80640</v>
      </c>
      <c r="K27">
        <f t="shared" si="17"/>
        <v>53760</v>
      </c>
      <c r="L27" s="32">
        <f>4*L26</f>
        <v>53760</v>
      </c>
      <c r="M27">
        <f t="shared" ref="M27:O27" si="18">4*M26</f>
        <v>53760</v>
      </c>
      <c r="N27" s="32">
        <f t="shared" si="18"/>
        <v>26880</v>
      </c>
      <c r="O27">
        <f t="shared" si="18"/>
        <v>26880</v>
      </c>
    </row>
    <row r="28" spans="1:15">
      <c r="I28" s="9" t="s">
        <v>123</v>
      </c>
      <c r="J28" s="32">
        <f t="shared" ref="J28:K28" si="19">12*J27</f>
        <v>967680</v>
      </c>
      <c r="K28">
        <f t="shared" si="19"/>
        <v>645120</v>
      </c>
      <c r="L28" s="32">
        <f>12*L27</f>
        <v>645120</v>
      </c>
      <c r="M28">
        <f t="shared" ref="M28:O28" si="20">12*M27</f>
        <v>645120</v>
      </c>
      <c r="N28" s="32">
        <f t="shared" si="20"/>
        <v>322560</v>
      </c>
      <c r="O28">
        <f t="shared" si="20"/>
        <v>322560</v>
      </c>
    </row>
    <row r="29" spans="1:15" ht="13">
      <c r="A29" s="14" t="s">
        <v>45</v>
      </c>
      <c r="B29" s="14">
        <v>8</v>
      </c>
      <c r="I29" s="9" t="s">
        <v>129</v>
      </c>
      <c r="J29" s="32">
        <f t="shared" ref="J29:O29" si="21">$B$31</f>
        <v>100</v>
      </c>
      <c r="K29">
        <f t="shared" si="21"/>
        <v>100</v>
      </c>
      <c r="L29" s="32">
        <f t="shared" si="21"/>
        <v>100</v>
      </c>
      <c r="M29">
        <f t="shared" si="21"/>
        <v>100</v>
      </c>
      <c r="N29" s="32">
        <f t="shared" si="21"/>
        <v>100</v>
      </c>
      <c r="O29">
        <f t="shared" si="21"/>
        <v>100</v>
      </c>
    </row>
    <row r="30" spans="1:15" ht="13">
      <c r="A30" s="14" t="s">
        <v>46</v>
      </c>
      <c r="B30" s="14">
        <v>10</v>
      </c>
      <c r="I30" s="9" t="s">
        <v>130</v>
      </c>
      <c r="J30" s="32">
        <f t="shared" ref="J30:O33" si="22">$B$31*J25</f>
        <v>288000</v>
      </c>
      <c r="K30">
        <f t="shared" si="22"/>
        <v>192000</v>
      </c>
      <c r="L30" s="32">
        <f t="shared" si="22"/>
        <v>192000</v>
      </c>
      <c r="M30">
        <f t="shared" si="22"/>
        <v>192000</v>
      </c>
      <c r="N30" s="32">
        <f t="shared" si="22"/>
        <v>96000</v>
      </c>
      <c r="O30">
        <f t="shared" si="22"/>
        <v>96000</v>
      </c>
    </row>
    <row r="31" spans="1:15" ht="13">
      <c r="A31" s="14" t="s">
        <v>47</v>
      </c>
      <c r="B31" s="14">
        <v>100</v>
      </c>
      <c r="I31" s="9" t="s">
        <v>131</v>
      </c>
      <c r="J31" s="32">
        <f t="shared" si="22"/>
        <v>2016000</v>
      </c>
      <c r="K31">
        <f t="shared" si="22"/>
        <v>1344000</v>
      </c>
      <c r="L31" s="32">
        <f t="shared" si="22"/>
        <v>1344000</v>
      </c>
      <c r="M31">
        <f t="shared" si="22"/>
        <v>1344000</v>
      </c>
      <c r="N31" s="32">
        <f t="shared" si="22"/>
        <v>672000</v>
      </c>
      <c r="O31">
        <f t="shared" si="22"/>
        <v>672000</v>
      </c>
    </row>
    <row r="32" spans="1:15" ht="13">
      <c r="A32" s="14"/>
      <c r="B32" s="14"/>
      <c r="I32" s="9" t="s">
        <v>132</v>
      </c>
      <c r="J32" s="32">
        <f t="shared" si="22"/>
        <v>8064000</v>
      </c>
      <c r="K32">
        <f t="shared" si="22"/>
        <v>5376000</v>
      </c>
      <c r="L32" s="32">
        <f t="shared" si="22"/>
        <v>5376000</v>
      </c>
      <c r="M32">
        <f t="shared" si="22"/>
        <v>5376000</v>
      </c>
      <c r="N32" s="32">
        <f t="shared" si="22"/>
        <v>2688000</v>
      </c>
      <c r="O32">
        <f t="shared" si="22"/>
        <v>2688000</v>
      </c>
    </row>
    <row r="33" spans="9:15">
      <c r="I33" s="9" t="s">
        <v>133</v>
      </c>
      <c r="J33" s="32">
        <f t="shared" si="22"/>
        <v>96768000</v>
      </c>
      <c r="K33">
        <f t="shared" si="22"/>
        <v>64512000</v>
      </c>
      <c r="L33" s="32">
        <f t="shared" si="22"/>
        <v>64512000</v>
      </c>
      <c r="M33">
        <f t="shared" si="22"/>
        <v>64512000</v>
      </c>
      <c r="N33" s="32">
        <f t="shared" si="22"/>
        <v>32256000</v>
      </c>
      <c r="O33">
        <f t="shared" si="22"/>
        <v>32256000</v>
      </c>
    </row>
    <row r="35" spans="9:15" ht="13">
      <c r="I35" s="31" t="s">
        <v>126</v>
      </c>
      <c r="J35" s="30">
        <v>0.4</v>
      </c>
      <c r="K35" s="30">
        <v>0.35</v>
      </c>
      <c r="L35" s="30">
        <v>0.2</v>
      </c>
      <c r="M35" s="30">
        <v>0.05</v>
      </c>
    </row>
    <row r="36" spans="9:15">
      <c r="I36" s="9" t="s">
        <v>101</v>
      </c>
      <c r="J36">
        <f>AVERAGE(J27:L27)</f>
        <v>62720</v>
      </c>
      <c r="K36">
        <f>M27</f>
        <v>53760</v>
      </c>
      <c r="L36">
        <f t="shared" ref="L36:M36" si="23">N27</f>
        <v>26880</v>
      </c>
      <c r="M36">
        <f t="shared" si="23"/>
        <v>26880</v>
      </c>
    </row>
    <row r="37" spans="9:15">
      <c r="I37" s="9" t="s">
        <v>127</v>
      </c>
      <c r="J37" s="10">
        <f>SUMPRODUCT(J36:M36,J35:M35)/SUM(J35:M35)</f>
        <v>50624</v>
      </c>
    </row>
    <row r="38" spans="9:15">
      <c r="I38" t="s">
        <v>6</v>
      </c>
      <c r="J38">
        <f>J37*B31</f>
        <v>5062400</v>
      </c>
    </row>
  </sheetData>
  <mergeCells count="8">
    <mergeCell ref="I21:O21"/>
    <mergeCell ref="J23:L23"/>
    <mergeCell ref="J2:O2"/>
    <mergeCell ref="J22:O22"/>
    <mergeCell ref="A1:G1"/>
    <mergeCell ref="B2:D2"/>
    <mergeCell ref="I1:O1"/>
    <mergeCell ref="J3:L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453F8-17EC-4BC0-8844-8D19F8669884}">
  <sheetPr>
    <tabColor theme="8" tint="-0.249977111117893"/>
  </sheetPr>
  <dimension ref="A1:X55"/>
  <sheetViews>
    <sheetView topLeftCell="P9" zoomScale="104" zoomScaleNormal="104" workbookViewId="0">
      <selection activeCell="S27" sqref="S27"/>
    </sheetView>
  </sheetViews>
  <sheetFormatPr defaultRowHeight="15.5"/>
  <cols>
    <col min="1" max="13" width="9" hidden="1" customWidth="1"/>
    <col min="14" max="14" width="8.81640625" hidden="1" customWidth="1"/>
    <col min="15" max="15" width="9" hidden="1" customWidth="1"/>
    <col min="16" max="16" width="4.54296875" customWidth="1"/>
    <col min="17" max="17" width="24.54296875" style="37" bestFit="1" customWidth="1"/>
    <col min="18" max="18" width="13.26953125" style="37" bestFit="1" customWidth="1"/>
    <col min="19" max="19" width="8.7265625" style="37"/>
    <col min="20" max="20" width="32.26953125" style="37" bestFit="1" customWidth="1"/>
    <col min="21" max="21" width="18.81640625" style="37" bestFit="1" customWidth="1"/>
    <col min="22" max="22" width="6.81640625" style="37" bestFit="1" customWidth="1"/>
    <col min="23" max="23" width="31.54296875" style="37" bestFit="1" customWidth="1"/>
    <col min="24" max="24" width="13.81640625" style="37" bestFit="1" customWidth="1"/>
  </cols>
  <sheetData>
    <row r="1" spans="1:24">
      <c r="A1" s="61" t="s">
        <v>38</v>
      </c>
      <c r="B1" s="61"/>
      <c r="C1" s="61"/>
      <c r="D1" s="61"/>
      <c r="E1" s="61"/>
      <c r="F1" s="61"/>
      <c r="G1" s="61"/>
      <c r="I1" s="61" t="s">
        <v>39</v>
      </c>
      <c r="J1" s="61"/>
      <c r="K1" s="61"/>
      <c r="L1" s="61"/>
      <c r="M1" s="61"/>
      <c r="N1" s="61"/>
      <c r="O1" s="61"/>
    </row>
    <row r="2" spans="1:24">
      <c r="A2" t="s">
        <v>2</v>
      </c>
      <c r="D2" s="11">
        <v>0.4</v>
      </c>
      <c r="E2" s="11">
        <v>0.35</v>
      </c>
      <c r="F2" s="11">
        <v>0.2</v>
      </c>
      <c r="G2" s="11">
        <v>0.05</v>
      </c>
      <c r="I2" t="s">
        <v>40</v>
      </c>
      <c r="L2">
        <f>R2</f>
        <v>8</v>
      </c>
      <c r="Q2" s="38" t="s">
        <v>45</v>
      </c>
      <c r="R2" s="39">
        <v>8</v>
      </c>
      <c r="T2" s="66" t="s">
        <v>69</v>
      </c>
      <c r="U2" s="66"/>
      <c r="W2" s="66" t="s">
        <v>70</v>
      </c>
      <c r="X2" s="66"/>
    </row>
    <row r="3" spans="1:24">
      <c r="A3" t="s">
        <v>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I3" t="s">
        <v>2</v>
      </c>
      <c r="L3" s="11">
        <v>0.4</v>
      </c>
      <c r="M3" s="11">
        <v>0.35</v>
      </c>
      <c r="N3" s="11">
        <v>0.2</v>
      </c>
      <c r="O3" s="11">
        <v>0.05</v>
      </c>
      <c r="T3" s="44" t="s">
        <v>10</v>
      </c>
      <c r="U3" s="45">
        <v>130000</v>
      </c>
      <c r="W3" s="44" t="s">
        <v>14</v>
      </c>
      <c r="X3" s="45">
        <v>4</v>
      </c>
    </row>
    <row r="4" spans="1:24">
      <c r="A4" t="s">
        <v>3</v>
      </c>
      <c r="B4">
        <v>2.5</v>
      </c>
      <c r="C4">
        <v>2.5</v>
      </c>
      <c r="D4">
        <v>2.5</v>
      </c>
      <c r="E4">
        <v>2.5</v>
      </c>
      <c r="F4">
        <v>2.5</v>
      </c>
      <c r="G4">
        <v>2.5</v>
      </c>
      <c r="I4" t="s">
        <v>4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Q4" s="38" t="s">
        <v>46</v>
      </c>
      <c r="R4" s="39">
        <v>10</v>
      </c>
      <c r="T4" s="44" t="s">
        <v>0</v>
      </c>
      <c r="U4" s="45">
        <v>13000</v>
      </c>
      <c r="W4" s="44" t="s">
        <v>16</v>
      </c>
      <c r="X4" s="45">
        <v>52000</v>
      </c>
    </row>
    <row r="5" spans="1:24">
      <c r="I5" t="s">
        <v>41</v>
      </c>
      <c r="J5">
        <f>$R$2*B13</f>
        <v>288</v>
      </c>
      <c r="K5">
        <f t="shared" ref="K5:O5" si="0">$R$2*C13</f>
        <v>192</v>
      </c>
      <c r="L5">
        <f t="shared" si="0"/>
        <v>192</v>
      </c>
      <c r="M5">
        <f t="shared" si="0"/>
        <v>192</v>
      </c>
      <c r="N5">
        <f t="shared" si="0"/>
        <v>96</v>
      </c>
      <c r="O5">
        <f t="shared" si="0"/>
        <v>96</v>
      </c>
      <c r="T5" s="44" t="s">
        <v>19</v>
      </c>
      <c r="U5" s="45">
        <v>6500</v>
      </c>
      <c r="W5" s="44" t="s">
        <v>24</v>
      </c>
      <c r="X5" s="45">
        <v>50000</v>
      </c>
    </row>
    <row r="6" spans="1:24">
      <c r="A6" t="s">
        <v>5</v>
      </c>
      <c r="B6">
        <v>2.5</v>
      </c>
      <c r="C6">
        <v>2.5</v>
      </c>
      <c r="D6">
        <v>2.5</v>
      </c>
      <c r="E6">
        <v>2.5</v>
      </c>
      <c r="F6">
        <v>2.5</v>
      </c>
      <c r="G6">
        <v>2.5</v>
      </c>
      <c r="I6" t="s">
        <v>42</v>
      </c>
      <c r="J6">
        <f>7*J5</f>
        <v>2016</v>
      </c>
      <c r="K6">
        <f t="shared" ref="K6:O6" si="1">7*K5</f>
        <v>1344</v>
      </c>
      <c r="L6">
        <f t="shared" si="1"/>
        <v>1344</v>
      </c>
      <c r="M6">
        <f t="shared" si="1"/>
        <v>1344</v>
      </c>
      <c r="N6">
        <f t="shared" si="1"/>
        <v>672</v>
      </c>
      <c r="O6">
        <f t="shared" si="1"/>
        <v>672</v>
      </c>
      <c r="Q6" s="38" t="s">
        <v>47</v>
      </c>
      <c r="R6" s="39">
        <v>120</v>
      </c>
      <c r="T6" s="44" t="s">
        <v>22</v>
      </c>
      <c r="U6" s="45">
        <v>35000</v>
      </c>
      <c r="W6" s="44" t="s">
        <v>71</v>
      </c>
      <c r="X6" s="45">
        <f>-(R15*12)/100</f>
        <v>5262264</v>
      </c>
    </row>
    <row r="7" spans="1:24">
      <c r="A7" s="9" t="s">
        <v>65</v>
      </c>
      <c r="B7" s="9">
        <f>B6+B4+B3</f>
        <v>6</v>
      </c>
      <c r="C7">
        <f>C4+C3+C6</f>
        <v>7</v>
      </c>
      <c r="D7">
        <f>D4+D3+D6</f>
        <v>8</v>
      </c>
      <c r="E7">
        <f>E4+E3+E6</f>
        <v>9</v>
      </c>
      <c r="F7">
        <f>F4+F3+F6</f>
        <v>10</v>
      </c>
      <c r="G7">
        <f>G4+G3+G6</f>
        <v>11</v>
      </c>
      <c r="I7" t="s">
        <v>17</v>
      </c>
      <c r="J7">
        <f>4*J6</f>
        <v>8064</v>
      </c>
      <c r="K7">
        <f t="shared" ref="K7:O7" si="2">4*K6</f>
        <v>5376</v>
      </c>
      <c r="L7">
        <f t="shared" si="2"/>
        <v>5376</v>
      </c>
      <c r="M7">
        <f t="shared" si="2"/>
        <v>5376</v>
      </c>
      <c r="N7">
        <f t="shared" si="2"/>
        <v>2688</v>
      </c>
      <c r="O7">
        <f t="shared" si="2"/>
        <v>2688</v>
      </c>
      <c r="T7" s="44" t="s">
        <v>77</v>
      </c>
      <c r="U7" s="45">
        <f>20*U6</f>
        <v>700000</v>
      </c>
    </row>
    <row r="8" spans="1:24">
      <c r="A8" t="s">
        <v>7</v>
      </c>
      <c r="B8" s="9">
        <v>30</v>
      </c>
      <c r="C8">
        <v>30</v>
      </c>
      <c r="D8">
        <v>30</v>
      </c>
      <c r="E8">
        <v>30</v>
      </c>
      <c r="F8">
        <v>30</v>
      </c>
      <c r="G8">
        <v>30</v>
      </c>
      <c r="I8" t="s">
        <v>18</v>
      </c>
      <c r="J8">
        <f>12*J7</f>
        <v>96768</v>
      </c>
      <c r="K8">
        <f t="shared" ref="K8:O8" si="3">12*K7</f>
        <v>64512</v>
      </c>
      <c r="L8">
        <f t="shared" si="3"/>
        <v>64512</v>
      </c>
      <c r="M8">
        <f t="shared" si="3"/>
        <v>64512</v>
      </c>
      <c r="N8">
        <f t="shared" si="3"/>
        <v>32256</v>
      </c>
      <c r="O8">
        <f t="shared" si="3"/>
        <v>32256</v>
      </c>
    </row>
    <row r="9" spans="1:24">
      <c r="A9" t="s">
        <v>8</v>
      </c>
      <c r="B9" s="9">
        <v>40</v>
      </c>
      <c r="C9">
        <v>40</v>
      </c>
      <c r="D9">
        <v>40</v>
      </c>
      <c r="E9">
        <v>40</v>
      </c>
      <c r="F9">
        <v>40</v>
      </c>
      <c r="G9">
        <v>40</v>
      </c>
      <c r="I9" t="s">
        <v>20</v>
      </c>
      <c r="J9">
        <f>$R$6</f>
        <v>120</v>
      </c>
      <c r="K9">
        <f t="shared" ref="K9:O9" si="4">$R$6</f>
        <v>120</v>
      </c>
      <c r="L9">
        <f t="shared" si="4"/>
        <v>120</v>
      </c>
      <c r="M9">
        <f t="shared" si="4"/>
        <v>120</v>
      </c>
      <c r="N9">
        <f t="shared" si="4"/>
        <v>120</v>
      </c>
      <c r="O9">
        <f t="shared" si="4"/>
        <v>120</v>
      </c>
    </row>
    <row r="10" spans="1:24">
      <c r="A10" t="s">
        <v>9</v>
      </c>
      <c r="B10">
        <f>ROUNDUP((B7/B9)*60,0)</f>
        <v>9</v>
      </c>
      <c r="C10">
        <f>ROUNDUP((C7/C9)*60,0)</f>
        <v>11</v>
      </c>
      <c r="D10">
        <f>(D7/D9)*60</f>
        <v>12</v>
      </c>
      <c r="E10">
        <f t="shared" ref="E10:G10" si="5">(E7/E9)*60</f>
        <v>13.5</v>
      </c>
      <c r="F10">
        <f t="shared" si="5"/>
        <v>15</v>
      </c>
      <c r="G10">
        <f t="shared" si="5"/>
        <v>16.5</v>
      </c>
      <c r="I10" t="s">
        <v>21</v>
      </c>
      <c r="J10">
        <f>$R$6*J5</f>
        <v>34560</v>
      </c>
      <c r="K10">
        <f t="shared" ref="K10:O10" si="6">$R$6*K5</f>
        <v>23040</v>
      </c>
      <c r="L10">
        <f t="shared" si="6"/>
        <v>23040</v>
      </c>
      <c r="M10">
        <f t="shared" si="6"/>
        <v>23040</v>
      </c>
      <c r="N10">
        <f t="shared" si="6"/>
        <v>11520</v>
      </c>
      <c r="O10">
        <f t="shared" si="6"/>
        <v>11520</v>
      </c>
    </row>
    <row r="11" spans="1:24">
      <c r="A11" t="s">
        <v>11</v>
      </c>
      <c r="B11">
        <v>3</v>
      </c>
      <c r="C11">
        <v>2</v>
      </c>
      <c r="D11">
        <v>2</v>
      </c>
      <c r="E11">
        <v>2</v>
      </c>
      <c r="F11">
        <v>1</v>
      </c>
      <c r="G11">
        <v>1</v>
      </c>
      <c r="I11" t="s">
        <v>23</v>
      </c>
      <c r="J11">
        <f>$R$6*J6</f>
        <v>241920</v>
      </c>
      <c r="K11">
        <f t="shared" ref="K11:O11" si="7">$R$6*K6</f>
        <v>161280</v>
      </c>
      <c r="L11">
        <f t="shared" si="7"/>
        <v>161280</v>
      </c>
      <c r="M11">
        <f t="shared" si="7"/>
        <v>161280</v>
      </c>
      <c r="N11">
        <f t="shared" si="7"/>
        <v>80640</v>
      </c>
      <c r="O11">
        <f t="shared" si="7"/>
        <v>80640</v>
      </c>
    </row>
    <row r="12" spans="1:24">
      <c r="A12" t="s">
        <v>12</v>
      </c>
      <c r="B12">
        <f>2*B11</f>
        <v>6</v>
      </c>
      <c r="C12">
        <f>2*C11</f>
        <v>4</v>
      </c>
      <c r="D12">
        <v>4</v>
      </c>
      <c r="E12">
        <v>4</v>
      </c>
      <c r="F12">
        <v>2</v>
      </c>
      <c r="G12">
        <v>2</v>
      </c>
      <c r="I12" t="s">
        <v>25</v>
      </c>
      <c r="J12">
        <f>$R$6*J7</f>
        <v>967680</v>
      </c>
      <c r="K12">
        <f t="shared" ref="K12:O12" si="8">$R$6*K7</f>
        <v>645120</v>
      </c>
      <c r="L12">
        <f t="shared" si="8"/>
        <v>645120</v>
      </c>
      <c r="M12">
        <f t="shared" si="8"/>
        <v>645120</v>
      </c>
      <c r="N12">
        <f t="shared" si="8"/>
        <v>322560</v>
      </c>
      <c r="O12">
        <f t="shared" si="8"/>
        <v>322560</v>
      </c>
      <c r="Q12" s="67" t="s">
        <v>61</v>
      </c>
      <c r="R12" s="67"/>
      <c r="T12" s="65" t="s">
        <v>72</v>
      </c>
      <c r="U12" s="65"/>
    </row>
    <row r="13" spans="1:24">
      <c r="A13" t="s">
        <v>13</v>
      </c>
      <c r="B13">
        <f>6*B12</f>
        <v>36</v>
      </c>
      <c r="C13">
        <f>6*C12</f>
        <v>24</v>
      </c>
      <c r="D13">
        <f>6*D12</f>
        <v>24</v>
      </c>
      <c r="E13">
        <f t="shared" ref="E13:G13" si="9">6*E12</f>
        <v>24</v>
      </c>
      <c r="F13">
        <f t="shared" si="9"/>
        <v>12</v>
      </c>
      <c r="G13">
        <f t="shared" si="9"/>
        <v>12</v>
      </c>
      <c r="I13" t="s">
        <v>26</v>
      </c>
      <c r="J13">
        <f>$R$6*J8</f>
        <v>11612160</v>
      </c>
      <c r="K13">
        <f t="shared" ref="K13:O13" si="10">$R$6*K8</f>
        <v>7741440</v>
      </c>
      <c r="L13">
        <f t="shared" si="10"/>
        <v>7741440</v>
      </c>
      <c r="M13">
        <f t="shared" si="10"/>
        <v>7741440</v>
      </c>
      <c r="N13">
        <f t="shared" si="10"/>
        <v>3870720</v>
      </c>
      <c r="O13">
        <f t="shared" si="10"/>
        <v>3870720</v>
      </c>
      <c r="Q13" s="44" t="s">
        <v>59</v>
      </c>
      <c r="R13" s="52">
        <f>J29</f>
        <v>47308800</v>
      </c>
      <c r="T13" s="45" t="s">
        <v>73</v>
      </c>
      <c r="U13" s="45">
        <v>130000</v>
      </c>
    </row>
    <row r="14" spans="1:24">
      <c r="A14" t="s">
        <v>15</v>
      </c>
      <c r="B14">
        <f>7*B13</f>
        <v>252</v>
      </c>
      <c r="C14">
        <f>7*C13</f>
        <v>168</v>
      </c>
      <c r="D14">
        <f>7*D13</f>
        <v>168</v>
      </c>
      <c r="E14">
        <f t="shared" ref="E14:G14" si="11">7*E13</f>
        <v>168</v>
      </c>
      <c r="F14">
        <f t="shared" si="11"/>
        <v>84</v>
      </c>
      <c r="G14">
        <f t="shared" si="11"/>
        <v>84</v>
      </c>
      <c r="I14" s="19" t="s">
        <v>66</v>
      </c>
      <c r="J14" s="17">
        <f>(AVERAGE(J12:O12))*R2</f>
        <v>4730880</v>
      </c>
      <c r="Q14" s="44" t="s">
        <v>60</v>
      </c>
      <c r="R14" s="53">
        <f>D29</f>
        <v>3456600</v>
      </c>
      <c r="T14" s="45" t="s">
        <v>74</v>
      </c>
      <c r="U14" s="45">
        <f>R2</f>
        <v>8</v>
      </c>
    </row>
    <row r="15" spans="1:24">
      <c r="A15" t="s">
        <v>17</v>
      </c>
      <c r="B15">
        <f>4*B14</f>
        <v>1008</v>
      </c>
      <c r="C15">
        <f>4*C14</f>
        <v>672</v>
      </c>
      <c r="D15">
        <f>4*D14</f>
        <v>672</v>
      </c>
      <c r="E15">
        <f t="shared" ref="E15:G15" si="12">4*E14</f>
        <v>672</v>
      </c>
      <c r="F15">
        <f t="shared" si="12"/>
        <v>336</v>
      </c>
      <c r="G15">
        <f t="shared" si="12"/>
        <v>336</v>
      </c>
      <c r="Q15" s="44" t="s">
        <v>62</v>
      </c>
      <c r="R15" s="54">
        <f>R14-R13</f>
        <v>-43852200</v>
      </c>
      <c r="T15" s="45" t="s">
        <v>75</v>
      </c>
      <c r="U15" s="45">
        <f>U14*U13*R4</f>
        <v>10400000</v>
      </c>
    </row>
    <row r="16" spans="1:24">
      <c r="A16" t="s">
        <v>18</v>
      </c>
      <c r="B16">
        <f>12*B15</f>
        <v>12096</v>
      </c>
      <c r="C16">
        <f>12*C15</f>
        <v>8064</v>
      </c>
      <c r="D16">
        <f>12*D15</f>
        <v>8064</v>
      </c>
      <c r="E16">
        <f t="shared" ref="E16:G16" si="13">12*E15</f>
        <v>8064</v>
      </c>
      <c r="F16">
        <f t="shared" si="13"/>
        <v>4032</v>
      </c>
      <c r="G16">
        <f t="shared" si="13"/>
        <v>4032</v>
      </c>
      <c r="I16" s="61" t="s">
        <v>68</v>
      </c>
      <c r="J16" s="61"/>
      <c r="K16" s="61"/>
      <c r="L16" s="61"/>
      <c r="M16" s="61"/>
      <c r="N16" s="61"/>
      <c r="O16" s="61"/>
      <c r="T16" s="45" t="s">
        <v>98</v>
      </c>
      <c r="U16" s="45">
        <v>300000</v>
      </c>
    </row>
    <row r="17" spans="1:21">
      <c r="A17" t="s">
        <v>20</v>
      </c>
      <c r="B17">
        <f>$R$6</f>
        <v>120</v>
      </c>
      <c r="C17">
        <f t="shared" ref="C17:G17" si="14">$R$6</f>
        <v>120</v>
      </c>
      <c r="D17">
        <f t="shared" si="14"/>
        <v>120</v>
      </c>
      <c r="E17">
        <f t="shared" si="14"/>
        <v>120</v>
      </c>
      <c r="F17">
        <f t="shared" si="14"/>
        <v>120</v>
      </c>
      <c r="G17">
        <f t="shared" si="14"/>
        <v>120</v>
      </c>
      <c r="I17" t="s">
        <v>43</v>
      </c>
      <c r="L17">
        <f>R4</f>
        <v>10</v>
      </c>
      <c r="T17" s="45" t="s">
        <v>99</v>
      </c>
      <c r="U17" s="45">
        <f>10*U16</f>
        <v>3000000</v>
      </c>
    </row>
    <row r="18" spans="1:21">
      <c r="A18" t="s">
        <v>21</v>
      </c>
      <c r="B18">
        <f>B17*B13</f>
        <v>4320</v>
      </c>
      <c r="C18">
        <f>C17*C13</f>
        <v>2880</v>
      </c>
      <c r="D18">
        <f>D17*D13</f>
        <v>2880</v>
      </c>
      <c r="E18">
        <f t="shared" ref="E18:G18" si="15">E17*E13</f>
        <v>2880</v>
      </c>
      <c r="F18">
        <f t="shared" si="15"/>
        <v>1440</v>
      </c>
      <c r="G18">
        <f t="shared" si="15"/>
        <v>1440</v>
      </c>
      <c r="I18" t="s">
        <v>2</v>
      </c>
      <c r="L18" s="11">
        <v>0.4</v>
      </c>
      <c r="M18" s="11">
        <v>0.35</v>
      </c>
      <c r="N18" s="11">
        <v>0.2</v>
      </c>
      <c r="O18" s="11">
        <v>0.05</v>
      </c>
      <c r="R18" s="42"/>
      <c r="T18" s="45" t="s">
        <v>27</v>
      </c>
      <c r="U18" s="45">
        <v>500000</v>
      </c>
    </row>
    <row r="19" spans="1:21">
      <c r="A19" t="s">
        <v>23</v>
      </c>
      <c r="B19">
        <f>B17*B14</f>
        <v>30240</v>
      </c>
      <c r="C19">
        <f>C17*C14</f>
        <v>20160</v>
      </c>
      <c r="D19">
        <f>D17*D14</f>
        <v>20160</v>
      </c>
      <c r="E19">
        <f t="shared" ref="E19:G19" si="16">E17*E14</f>
        <v>20160</v>
      </c>
      <c r="F19">
        <f t="shared" si="16"/>
        <v>10080</v>
      </c>
      <c r="G19">
        <f t="shared" si="16"/>
        <v>10080</v>
      </c>
      <c r="I19" t="s">
        <v>4</v>
      </c>
      <c r="J19">
        <v>1</v>
      </c>
      <c r="K19">
        <v>2</v>
      </c>
      <c r="L19">
        <v>3</v>
      </c>
      <c r="M19">
        <v>4</v>
      </c>
      <c r="N19">
        <v>5</v>
      </c>
      <c r="O19">
        <v>6</v>
      </c>
      <c r="T19" s="45" t="s">
        <v>76</v>
      </c>
      <c r="U19" s="45">
        <v>1000</v>
      </c>
    </row>
    <row r="20" spans="1:21">
      <c r="A20" t="s">
        <v>25</v>
      </c>
      <c r="B20">
        <f>B17*B15</f>
        <v>120960</v>
      </c>
      <c r="C20">
        <f>C17*C15</f>
        <v>80640</v>
      </c>
      <c r="D20">
        <f>D17*D15</f>
        <v>80640</v>
      </c>
      <c r="E20">
        <f t="shared" ref="E20:G20" si="17">E17*E15</f>
        <v>80640</v>
      </c>
      <c r="F20">
        <f t="shared" si="17"/>
        <v>40320</v>
      </c>
      <c r="G20">
        <f t="shared" si="17"/>
        <v>40320</v>
      </c>
      <c r="I20" t="s">
        <v>44</v>
      </c>
      <c r="J20">
        <f t="shared" ref="J20:O20" si="18">$L$17*J5</f>
        <v>2880</v>
      </c>
      <c r="K20">
        <f t="shared" si="18"/>
        <v>1920</v>
      </c>
      <c r="L20">
        <f t="shared" si="18"/>
        <v>1920</v>
      </c>
      <c r="M20">
        <f t="shared" si="18"/>
        <v>1920</v>
      </c>
      <c r="N20">
        <f t="shared" si="18"/>
        <v>960</v>
      </c>
      <c r="O20">
        <f t="shared" si="18"/>
        <v>960</v>
      </c>
      <c r="T20" s="46" t="s">
        <v>100</v>
      </c>
      <c r="U20" s="46">
        <f>80*U19</f>
        <v>80000</v>
      </c>
    </row>
    <row r="21" spans="1:21">
      <c r="A21" t="s">
        <v>26</v>
      </c>
      <c r="B21">
        <f>B17*B16</f>
        <v>1451520</v>
      </c>
      <c r="C21">
        <f>C17*C16</f>
        <v>967680</v>
      </c>
      <c r="D21">
        <f>D17*D16</f>
        <v>967680</v>
      </c>
      <c r="E21">
        <f t="shared" ref="E21:G21" si="19">E17*E16</f>
        <v>967680</v>
      </c>
      <c r="F21">
        <f t="shared" si="19"/>
        <v>483840</v>
      </c>
      <c r="G21">
        <f t="shared" si="19"/>
        <v>483840</v>
      </c>
      <c r="I21" t="s">
        <v>42</v>
      </c>
      <c r="J21">
        <f>7*J20</f>
        <v>20160</v>
      </c>
      <c r="K21">
        <f>7*K20</f>
        <v>13440</v>
      </c>
      <c r="L21">
        <f>7*L20</f>
        <v>13440</v>
      </c>
      <c r="M21">
        <f t="shared" ref="M21:O21" si="20">7*M20</f>
        <v>13440</v>
      </c>
      <c r="N21">
        <f t="shared" si="20"/>
        <v>6720</v>
      </c>
      <c r="O21">
        <f t="shared" si="20"/>
        <v>6720</v>
      </c>
      <c r="T21" s="45" t="s">
        <v>153</v>
      </c>
      <c r="U21" s="45">
        <f>U15+U17+U18+U20</f>
        <v>13980000</v>
      </c>
    </row>
    <row r="22" spans="1:21">
      <c r="A22" s="18" t="s">
        <v>81</v>
      </c>
      <c r="B22" s="17">
        <f>(AVERAGE(B20:G20))</f>
        <v>73920</v>
      </c>
      <c r="I22" t="s">
        <v>17</v>
      </c>
      <c r="J22">
        <f t="shared" ref="J22:K22" si="21">4*J21</f>
        <v>80640</v>
      </c>
      <c r="K22">
        <f t="shared" si="21"/>
        <v>53760</v>
      </c>
      <c r="L22">
        <f>4*L21</f>
        <v>53760</v>
      </c>
      <c r="M22">
        <f t="shared" ref="M22:O22" si="22">4*M21</f>
        <v>53760</v>
      </c>
      <c r="N22">
        <f t="shared" si="22"/>
        <v>26880</v>
      </c>
      <c r="O22">
        <f t="shared" si="22"/>
        <v>26880</v>
      </c>
      <c r="Q22" s="67" t="s">
        <v>64</v>
      </c>
      <c r="R22" s="67"/>
    </row>
    <row r="23" spans="1:21">
      <c r="I23" t="s">
        <v>18</v>
      </c>
      <c r="J23">
        <f t="shared" ref="J23:K23" si="23">12*J22</f>
        <v>967680</v>
      </c>
      <c r="K23">
        <f t="shared" si="23"/>
        <v>645120</v>
      </c>
      <c r="L23">
        <f>12*L22</f>
        <v>645120</v>
      </c>
      <c r="M23">
        <f t="shared" ref="M23:O23" si="24">12*M22</f>
        <v>645120</v>
      </c>
      <c r="N23">
        <f t="shared" si="24"/>
        <v>322560</v>
      </c>
      <c r="O23">
        <f t="shared" si="24"/>
        <v>322560</v>
      </c>
      <c r="Q23" s="44" t="s">
        <v>59</v>
      </c>
      <c r="R23" s="45">
        <f>AVERAGE(J22:O22)</f>
        <v>49280</v>
      </c>
    </row>
    <row r="24" spans="1:21">
      <c r="I24" t="s">
        <v>20</v>
      </c>
      <c r="J24">
        <f t="shared" ref="J24:K24" si="25">$R$6</f>
        <v>120</v>
      </c>
      <c r="K24">
        <f t="shared" si="25"/>
        <v>120</v>
      </c>
      <c r="L24">
        <f>$R$6</f>
        <v>120</v>
      </c>
      <c r="M24">
        <f t="shared" ref="M24:O24" si="26">$R$6</f>
        <v>120</v>
      </c>
      <c r="N24">
        <f t="shared" si="26"/>
        <v>120</v>
      </c>
      <c r="O24">
        <f t="shared" si="26"/>
        <v>120</v>
      </c>
      <c r="Q24" s="44" t="s">
        <v>60</v>
      </c>
      <c r="R24" s="45">
        <f>D28</f>
        <v>46088</v>
      </c>
      <c r="T24" s="65" t="s">
        <v>88</v>
      </c>
      <c r="U24" s="65"/>
    </row>
    <row r="25" spans="1:21">
      <c r="A25" s="61" t="s">
        <v>48</v>
      </c>
      <c r="B25" s="61"/>
      <c r="C25" s="61"/>
      <c r="D25" s="61"/>
      <c r="E25" s="13"/>
      <c r="F25" s="13"/>
      <c r="G25" s="13"/>
      <c r="I25" t="s">
        <v>21</v>
      </c>
      <c r="J25">
        <f>$R$6*J20</f>
        <v>345600</v>
      </c>
      <c r="K25">
        <f t="shared" ref="K25:O25" si="27">$R$6*K20</f>
        <v>230400</v>
      </c>
      <c r="L25">
        <f t="shared" si="27"/>
        <v>230400</v>
      </c>
      <c r="M25">
        <f t="shared" si="27"/>
        <v>230400</v>
      </c>
      <c r="N25">
        <f t="shared" si="27"/>
        <v>115200</v>
      </c>
      <c r="O25">
        <f t="shared" si="27"/>
        <v>115200</v>
      </c>
      <c r="Q25" s="44" t="s">
        <v>62</v>
      </c>
      <c r="R25" s="55">
        <f>R24-R23</f>
        <v>-3192</v>
      </c>
      <c r="T25" s="45" t="s">
        <v>58</v>
      </c>
      <c r="U25" s="45">
        <v>425</v>
      </c>
    </row>
    <row r="26" spans="1:21">
      <c r="A26" t="s">
        <v>49</v>
      </c>
      <c r="D26">
        <v>1975200</v>
      </c>
      <c r="I26" t="s">
        <v>23</v>
      </c>
      <c r="J26">
        <f t="shared" ref="J26:O26" si="28">$R$6*J21</f>
        <v>2419200</v>
      </c>
      <c r="K26">
        <f t="shared" si="28"/>
        <v>1612800</v>
      </c>
      <c r="L26">
        <f t="shared" si="28"/>
        <v>1612800</v>
      </c>
      <c r="M26">
        <f t="shared" si="28"/>
        <v>1612800</v>
      </c>
      <c r="N26">
        <f t="shared" si="28"/>
        <v>806400</v>
      </c>
      <c r="O26">
        <f t="shared" si="28"/>
        <v>806400</v>
      </c>
      <c r="T26" s="45" t="s">
        <v>90</v>
      </c>
      <c r="U26" s="45">
        <f>ROUNDUP(U25/30,)</f>
        <v>15</v>
      </c>
    </row>
    <row r="27" spans="1:21">
      <c r="A27" t="s">
        <v>50</v>
      </c>
      <c r="D27">
        <f>D26/30</f>
        <v>65840</v>
      </c>
      <c r="I27" t="s">
        <v>25</v>
      </c>
      <c r="J27">
        <f t="shared" ref="J27:O27" si="29">$R$6*J22</f>
        <v>9676800</v>
      </c>
      <c r="K27">
        <f t="shared" si="29"/>
        <v>6451200</v>
      </c>
      <c r="L27">
        <f t="shared" si="29"/>
        <v>6451200</v>
      </c>
      <c r="M27">
        <f t="shared" si="29"/>
        <v>6451200</v>
      </c>
      <c r="N27">
        <f t="shared" si="29"/>
        <v>3225600</v>
      </c>
      <c r="O27">
        <f t="shared" si="29"/>
        <v>3225600</v>
      </c>
      <c r="T27" s="45" t="s">
        <v>91</v>
      </c>
      <c r="U27" s="45">
        <f>ROUNDUP((U26*70)/100,)</f>
        <v>11</v>
      </c>
    </row>
    <row r="28" spans="1:21">
      <c r="A28" t="s">
        <v>51</v>
      </c>
      <c r="D28">
        <f>(D27*70)/100</f>
        <v>46088</v>
      </c>
      <c r="I28" t="s">
        <v>26</v>
      </c>
      <c r="J28">
        <f t="shared" ref="J28:O28" si="30">$R$6*J23</f>
        <v>116121600</v>
      </c>
      <c r="K28">
        <f t="shared" si="30"/>
        <v>77414400</v>
      </c>
      <c r="L28">
        <f t="shared" si="30"/>
        <v>77414400</v>
      </c>
      <c r="M28">
        <f t="shared" si="30"/>
        <v>77414400</v>
      </c>
      <c r="N28">
        <f t="shared" si="30"/>
        <v>38707200</v>
      </c>
      <c r="O28">
        <f t="shared" si="30"/>
        <v>38707200</v>
      </c>
      <c r="T28" s="45" t="s">
        <v>54</v>
      </c>
      <c r="U28" s="45">
        <v>4000</v>
      </c>
    </row>
    <row r="29" spans="1:21">
      <c r="A29" t="s">
        <v>52</v>
      </c>
      <c r="D29">
        <f>75*D28</f>
        <v>3456600</v>
      </c>
      <c r="I29" s="19" t="s">
        <v>67</v>
      </c>
      <c r="J29" s="16">
        <f>J14*10</f>
        <v>47308800</v>
      </c>
      <c r="T29" s="45" t="s">
        <v>55</v>
      </c>
      <c r="U29" s="45">
        <v>55</v>
      </c>
    </row>
    <row r="30" spans="1:21">
      <c r="T30" s="45" t="s">
        <v>94</v>
      </c>
      <c r="U30" s="45">
        <f>U29*U27</f>
        <v>605</v>
      </c>
    </row>
    <row r="31" spans="1:21">
      <c r="A31" s="61" t="s">
        <v>53</v>
      </c>
      <c r="B31" s="61"/>
      <c r="C31" s="61"/>
      <c r="D31" s="61"/>
      <c r="T31" s="45" t="s">
        <v>56</v>
      </c>
      <c r="U31" s="45">
        <f>U28+U29*U27</f>
        <v>4605</v>
      </c>
    </row>
    <row r="32" spans="1:21">
      <c r="A32" t="s">
        <v>58</v>
      </c>
      <c r="D32">
        <v>425</v>
      </c>
      <c r="I32" s="9"/>
      <c r="J32" s="9"/>
      <c r="K32" s="9"/>
      <c r="T32" s="45" t="s">
        <v>78</v>
      </c>
      <c r="U32" s="45">
        <f>U31*12</f>
        <v>55260</v>
      </c>
    </row>
    <row r="33" spans="1:23">
      <c r="A33" t="s">
        <v>54</v>
      </c>
      <c r="D33">
        <v>4000</v>
      </c>
      <c r="T33" s="45" t="s">
        <v>95</v>
      </c>
      <c r="U33" s="45">
        <f>D40*U32</f>
        <v>231539400</v>
      </c>
      <c r="W33" s="40"/>
    </row>
    <row r="34" spans="1:23">
      <c r="A34" t="s">
        <v>55</v>
      </c>
      <c r="D34">
        <v>55</v>
      </c>
      <c r="T34" s="45" t="s">
        <v>93</v>
      </c>
      <c r="U34" s="47">
        <f>(R14*365)-U33</f>
        <v>1030119600</v>
      </c>
    </row>
    <row r="35" spans="1:23">
      <c r="A35" t="s">
        <v>56</v>
      </c>
      <c r="D35">
        <f>D33+D34*D32</f>
        <v>27375</v>
      </c>
      <c r="T35" s="45" t="s">
        <v>134</v>
      </c>
      <c r="U35" s="45">
        <f>U34/30</f>
        <v>34337320</v>
      </c>
      <c r="W35" s="43"/>
    </row>
    <row r="36" spans="1:23">
      <c r="A36" t="s">
        <v>57</v>
      </c>
      <c r="D36">
        <f>D35*12</f>
        <v>328500</v>
      </c>
    </row>
    <row r="38" spans="1:23">
      <c r="A38" t="s">
        <v>92</v>
      </c>
      <c r="D38" s="10">
        <f>D26/D32</f>
        <v>4647.5294117647063</v>
      </c>
      <c r="T38" s="65" t="s">
        <v>89</v>
      </c>
      <c r="U38" s="65"/>
    </row>
    <row r="39" spans="1:23">
      <c r="I39" s="15">
        <f>(D28*40)/100</f>
        <v>18435.2</v>
      </c>
      <c r="J39" s="15"/>
      <c r="K39" s="15"/>
      <c r="T39" s="45" t="s">
        <v>82</v>
      </c>
      <c r="U39" s="45">
        <f>R2*R4</f>
        <v>80</v>
      </c>
    </row>
    <row r="40" spans="1:23">
      <c r="A40" t="s">
        <v>63</v>
      </c>
      <c r="D40">
        <f>ROUNDUP((D28/B43),)</f>
        <v>4190</v>
      </c>
      <c r="T40" s="45" t="s">
        <v>83</v>
      </c>
      <c r="U40" s="45">
        <f>3*U39</f>
        <v>240</v>
      </c>
    </row>
    <row r="41" spans="1:23">
      <c r="T41" s="45" t="s">
        <v>79</v>
      </c>
      <c r="U41" s="45">
        <f>U39*6500</f>
        <v>520000</v>
      </c>
      <c r="W41" s="41"/>
    </row>
    <row r="42" spans="1:23">
      <c r="A42" t="s">
        <v>90</v>
      </c>
      <c r="B42">
        <f>ROUNDUP(D32/30,)</f>
        <v>15</v>
      </c>
      <c r="T42" s="45" t="s">
        <v>84</v>
      </c>
      <c r="U42" s="45">
        <f>U40*13000*4</f>
        <v>12480000</v>
      </c>
      <c r="W42" s="40"/>
    </row>
    <row r="43" spans="1:23">
      <c r="A43" t="s">
        <v>91</v>
      </c>
      <c r="B43">
        <f>ROUNDUP((B42*70)/100,)</f>
        <v>11</v>
      </c>
      <c r="T43" s="45" t="s">
        <v>22</v>
      </c>
      <c r="U43" s="45">
        <v>35000</v>
      </c>
    </row>
    <row r="44" spans="1:23">
      <c r="T44" s="45" t="s">
        <v>86</v>
      </c>
      <c r="U44" s="45">
        <v>20</v>
      </c>
    </row>
    <row r="45" spans="1:23">
      <c r="T45" s="45" t="s">
        <v>87</v>
      </c>
      <c r="U45" s="45">
        <f>20*U43</f>
        <v>700000</v>
      </c>
    </row>
    <row r="46" spans="1:23">
      <c r="F46" s="9"/>
      <c r="G46" s="9"/>
      <c r="T46" s="45" t="s">
        <v>85</v>
      </c>
      <c r="U46" s="45">
        <f>20*U43*12</f>
        <v>8400000</v>
      </c>
    </row>
    <row r="47" spans="1:23">
      <c r="T47" s="45" t="s">
        <v>24</v>
      </c>
      <c r="U47" s="45">
        <v>50000</v>
      </c>
    </row>
    <row r="48" spans="1:23">
      <c r="T48" s="45" t="s">
        <v>96</v>
      </c>
      <c r="U48" s="45">
        <f>10*U47</f>
        <v>500000</v>
      </c>
    </row>
    <row r="49" spans="9:21">
      <c r="T49" s="45" t="s">
        <v>80</v>
      </c>
      <c r="U49" s="45">
        <f>12*U48</f>
        <v>6000000</v>
      </c>
    </row>
    <row r="50" spans="9:21">
      <c r="T50" s="45" t="s">
        <v>97</v>
      </c>
      <c r="U50" s="45">
        <f>U41+U42+U46+U49</f>
        <v>27400000</v>
      </c>
    </row>
    <row r="51" spans="9:21">
      <c r="T51" s="45" t="s">
        <v>93</v>
      </c>
      <c r="U51" s="45">
        <f>(R13*365)-U50</f>
        <v>17240312000</v>
      </c>
    </row>
    <row r="52" spans="9:21">
      <c r="T52" s="45" t="s">
        <v>134</v>
      </c>
      <c r="U52" s="45">
        <f>U51/30</f>
        <v>574677066.66666663</v>
      </c>
    </row>
    <row r="53" spans="9:21">
      <c r="I53" s="9" t="s">
        <v>103</v>
      </c>
      <c r="J53" s="9" t="s">
        <v>104</v>
      </c>
    </row>
    <row r="54" spans="9:21">
      <c r="I54" s="9" t="s">
        <v>105</v>
      </c>
      <c r="J54" s="9" t="s">
        <v>106</v>
      </c>
    </row>
    <row r="55" spans="9:21">
      <c r="I55" s="9" t="s">
        <v>107</v>
      </c>
      <c r="J55" s="9" t="s">
        <v>108</v>
      </c>
    </row>
  </sheetData>
  <mergeCells count="12">
    <mergeCell ref="A25:D25"/>
    <mergeCell ref="A31:D31"/>
    <mergeCell ref="Q12:R12"/>
    <mergeCell ref="A1:G1"/>
    <mergeCell ref="I1:O1"/>
    <mergeCell ref="I16:O16"/>
    <mergeCell ref="Q22:R22"/>
    <mergeCell ref="T38:U38"/>
    <mergeCell ref="T2:U2"/>
    <mergeCell ref="W2:X2"/>
    <mergeCell ref="T12:U12"/>
    <mergeCell ref="T24:U2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FFFC-08FC-4357-B9CF-53DB2D9A14EE}">
  <sheetPr>
    <tabColor theme="9" tint="0.59999389629810485"/>
  </sheetPr>
  <dimension ref="C3:G9"/>
  <sheetViews>
    <sheetView zoomScale="85" zoomScaleNormal="85" workbookViewId="0">
      <selection activeCell="D19" sqref="D19"/>
    </sheetView>
  </sheetViews>
  <sheetFormatPr defaultColWidth="8.7265625" defaultRowHeight="12.5"/>
  <cols>
    <col min="1" max="2" width="8.7265625" style="36"/>
    <col min="3" max="3" width="15.81640625" style="36" customWidth="1"/>
    <col min="4" max="4" width="24.54296875" style="36" customWidth="1"/>
    <col min="5" max="16384" width="8.7265625" style="36"/>
  </cols>
  <sheetData>
    <row r="3" spans="3:7" ht="45" customHeight="1">
      <c r="C3" s="68" t="s">
        <v>102</v>
      </c>
      <c r="D3" s="69"/>
      <c r="E3" s="69"/>
      <c r="F3" s="69"/>
      <c r="G3" s="69"/>
    </row>
    <row r="4" spans="3:7" ht="45" customHeight="1">
      <c r="C4" s="49" t="s">
        <v>29</v>
      </c>
      <c r="D4" s="49" t="s">
        <v>152</v>
      </c>
      <c r="E4" s="48"/>
      <c r="F4" s="48"/>
      <c r="G4" s="48"/>
    </row>
    <row r="5" spans="3:7" ht="45" customHeight="1">
      <c r="C5" s="50" t="s">
        <v>151</v>
      </c>
      <c r="D5" s="51">
        <v>3206208000</v>
      </c>
      <c r="E5" s="48"/>
      <c r="F5" s="48"/>
      <c r="G5" s="48"/>
    </row>
    <row r="6" spans="3:7" ht="45" customHeight="1">
      <c r="C6" s="50" t="s">
        <v>150</v>
      </c>
      <c r="D6" s="51">
        <v>4007760000</v>
      </c>
      <c r="E6" s="48"/>
      <c r="F6" s="48"/>
      <c r="G6" s="48"/>
    </row>
    <row r="7" spans="3:7" ht="45" customHeight="1">
      <c r="C7" s="50" t="s">
        <v>149</v>
      </c>
      <c r="D7" s="51">
        <v>5009700000</v>
      </c>
      <c r="E7" s="48"/>
      <c r="F7" s="48"/>
      <c r="G7" s="48"/>
    </row>
    <row r="8" spans="3:7" ht="45" customHeight="1">
      <c r="C8" s="50" t="s">
        <v>148</v>
      </c>
      <c r="D8" s="51">
        <v>6262125000</v>
      </c>
      <c r="E8" s="48"/>
      <c r="F8" s="48"/>
      <c r="G8" s="48"/>
    </row>
    <row r="9" spans="3:7" ht="45" customHeight="1">
      <c r="C9" s="50" t="s">
        <v>147</v>
      </c>
      <c r="D9" s="51">
        <v>7827656250</v>
      </c>
      <c r="E9" s="48"/>
      <c r="F9" s="48"/>
      <c r="G9" s="48"/>
    </row>
  </sheetData>
  <mergeCells count="1">
    <mergeCell ref="C3:G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Previous Year Numbers</vt:lpstr>
      <vt:lpstr>Proposed System Numbers</vt:lpstr>
      <vt:lpstr>Revenue breakdown</vt:lpstr>
      <vt:lpstr>Projected Growth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2023-05-04T06:38:23Z</dcterms:created>
  <dcterms:modified xsi:type="dcterms:W3CDTF">2023-11-04T05:59:55Z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2023-05-03T20:03:44Z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7b93258b-72fc-4926-852e-ce05b9a03ad6</vt:lpwstr>
  </property>
  <property fmtid="{D5CDD505-2E9C-101B-9397-08002B2CF9AE}" pid="8" name="MSIP_Label_55818d02-8d25-4bb9-b27c-e4db64670887_ContentBits">
    <vt:lpwstr>0</vt:lpwstr>
  </property>
</Properties>
</file>