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odiam\Docs\BusinessPlanning\"/>
    </mc:Choice>
  </mc:AlternateContent>
  <bookViews>
    <workbookView xWindow="0" yWindow="0" windowWidth="20490" windowHeight="7755" activeTab="3"/>
  </bookViews>
  <sheets>
    <sheet name="Cover Sheet" sheetId="1" r:id="rId1"/>
    <sheet name="OrganizationalFinPlan" sheetId="3" r:id="rId2"/>
    <sheet name="PartnerPayoutStructure" sheetId="4" r:id="rId3"/>
    <sheet name="Graph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2" i="4" l="1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H14" i="4"/>
  <c r="H15" i="4"/>
  <c r="H16" i="4"/>
  <c r="H13" i="4"/>
  <c r="P42" i="4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41" i="4"/>
  <c r="P28" i="4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27" i="4"/>
  <c r="P12" i="4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11" i="4"/>
  <c r="P10" i="4"/>
  <c r="P5" i="4"/>
  <c r="P6" i="4" s="1"/>
  <c r="P7" i="4" s="1"/>
  <c r="P8" i="4" s="1"/>
  <c r="P9" i="4" s="1"/>
  <c r="P4" i="4"/>
  <c r="AB49" i="4"/>
  <c r="AB50" i="4"/>
  <c r="AB51" i="4"/>
  <c r="AB52" i="4"/>
  <c r="AB53" i="4"/>
  <c r="AB54" i="4"/>
  <c r="AB55" i="4"/>
  <c r="AB56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Q4" i="4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AJ5" i="4"/>
  <c r="AC55" i="4" s="1"/>
  <c r="C3" i="4"/>
  <c r="C13" i="4" s="1"/>
  <c r="C14" i="4" s="1"/>
  <c r="C15" i="4" s="1"/>
  <c r="C16" i="4" s="1"/>
  <c r="C6" i="3"/>
  <c r="H6" i="4"/>
  <c r="F11" i="4"/>
  <c r="AD55" i="4" l="1"/>
  <c r="AC56" i="4"/>
  <c r="AD56" i="4" s="1"/>
  <c r="N53" i="4"/>
  <c r="R53" i="4" s="1"/>
  <c r="N47" i="4"/>
  <c r="R47" i="4" s="1"/>
  <c r="N52" i="4"/>
  <c r="R52" i="4" s="1"/>
  <c r="N51" i="4"/>
  <c r="R51" i="4" s="1"/>
  <c r="N50" i="4"/>
  <c r="R50" i="4" s="1"/>
  <c r="N46" i="4"/>
  <c r="R46" i="4" s="1"/>
  <c r="N42" i="4"/>
  <c r="R42" i="4" s="1"/>
  <c r="N54" i="4"/>
  <c r="R54" i="4" s="1"/>
  <c r="N55" i="4"/>
  <c r="R55" i="4" s="1"/>
  <c r="N43" i="4"/>
  <c r="R43" i="4" s="1"/>
  <c r="N41" i="4"/>
  <c r="R41" i="4" s="1"/>
  <c r="N49" i="4"/>
  <c r="R49" i="4" s="1"/>
  <c r="N48" i="4"/>
  <c r="R48" i="4" s="1"/>
  <c r="N45" i="4"/>
  <c r="R45" i="4" s="1"/>
  <c r="N44" i="4"/>
  <c r="R44" i="4" s="1"/>
  <c r="N39" i="4"/>
  <c r="R39" i="4" s="1"/>
  <c r="N37" i="4"/>
  <c r="R37" i="4" s="1"/>
  <c r="N40" i="4"/>
  <c r="R40" i="4" s="1"/>
  <c r="N38" i="4"/>
  <c r="R38" i="4" s="1"/>
  <c r="N36" i="4"/>
  <c r="R36" i="4" s="1"/>
  <c r="N28" i="4"/>
  <c r="R28" i="4" s="1"/>
  <c r="N26" i="4"/>
  <c r="R26" i="4" s="1"/>
  <c r="N33" i="4"/>
  <c r="R33" i="4" s="1"/>
  <c r="N32" i="4"/>
  <c r="R32" i="4" s="1"/>
  <c r="N29" i="4"/>
  <c r="R29" i="4" s="1"/>
  <c r="N27" i="4"/>
  <c r="R27" i="4" s="1"/>
  <c r="N35" i="4"/>
  <c r="R35" i="4" s="1"/>
  <c r="N34" i="4"/>
  <c r="R34" i="4" s="1"/>
  <c r="N31" i="4"/>
  <c r="R31" i="4" s="1"/>
  <c r="N30" i="4"/>
  <c r="R30" i="4" s="1"/>
  <c r="N21" i="4"/>
  <c r="R21" i="4" s="1"/>
  <c r="N9" i="4"/>
  <c r="R9" i="4" s="1"/>
  <c r="N23" i="4"/>
  <c r="R23" i="4" s="1"/>
  <c r="N20" i="4"/>
  <c r="R20" i="4" s="1"/>
  <c r="N8" i="4"/>
  <c r="R8" i="4" s="1"/>
  <c r="N4" i="4"/>
  <c r="R4" i="4" s="1"/>
  <c r="N22" i="4"/>
  <c r="R22" i="4" s="1"/>
  <c r="N18" i="4"/>
  <c r="R18" i="4" s="1"/>
  <c r="N15" i="4"/>
  <c r="R15" i="4" s="1"/>
  <c r="R11" i="4"/>
  <c r="N7" i="4"/>
  <c r="R7" i="4" s="1"/>
  <c r="N25" i="4"/>
  <c r="R25" i="4" s="1"/>
  <c r="N19" i="4"/>
  <c r="R19" i="4" s="1"/>
  <c r="N17" i="4"/>
  <c r="R17" i="4" s="1"/>
  <c r="N14" i="4"/>
  <c r="R14" i="4" s="1"/>
  <c r="N10" i="4"/>
  <c r="R10" i="4" s="1"/>
  <c r="N6" i="4"/>
  <c r="R6" i="4" s="1"/>
  <c r="N12" i="4"/>
  <c r="R12" i="4" s="1"/>
  <c r="N24" i="4"/>
  <c r="R24" i="4" s="1"/>
  <c r="N16" i="4"/>
  <c r="R16" i="4" s="1"/>
  <c r="N13" i="4"/>
  <c r="R13" i="4" s="1"/>
  <c r="N5" i="4"/>
  <c r="R5" i="4" s="1"/>
  <c r="C6" i="4"/>
  <c r="C7" i="4" s="1"/>
  <c r="C8" i="4" s="1"/>
  <c r="E13" i="4"/>
  <c r="E14" i="4" s="1"/>
  <c r="E15" i="4" s="1"/>
  <c r="E16" i="4" s="1"/>
  <c r="F16" i="4" s="1"/>
  <c r="G16" i="4" s="1"/>
  <c r="I11" i="3"/>
  <c r="S4" i="4" l="1"/>
  <c r="F13" i="4"/>
  <c r="G13" i="4" s="1"/>
  <c r="F15" i="4"/>
  <c r="G15" i="4" s="1"/>
  <c r="F14" i="4"/>
  <c r="G14" i="4" s="1"/>
  <c r="G21" i="3"/>
  <c r="G22" i="3"/>
  <c r="G23" i="3"/>
  <c r="G20" i="3"/>
  <c r="AP14" i="3"/>
  <c r="AO20" i="3"/>
  <c r="BC20" i="3" s="1"/>
  <c r="W14" i="3"/>
  <c r="V20" i="3"/>
  <c r="AL20" i="3" s="1"/>
  <c r="H11" i="3"/>
  <c r="V4" i="4" l="1"/>
  <c r="U4" i="4"/>
  <c r="T4" i="4"/>
  <c r="S5" i="4"/>
  <c r="V5" i="4" s="1"/>
  <c r="C21" i="3"/>
  <c r="D20" i="3" s="1"/>
  <c r="AW20" i="3"/>
  <c r="BE20" i="3"/>
  <c r="AS20" i="3"/>
  <c r="AY20" i="3"/>
  <c r="BG20" i="3"/>
  <c r="AQ20" i="3"/>
  <c r="BA20" i="3"/>
  <c r="AU20" i="3"/>
  <c r="Z20" i="3"/>
  <c r="X20" i="3"/>
  <c r="AF20" i="3"/>
  <c r="AH20" i="3"/>
  <c r="AB20" i="3"/>
  <c r="AJ20" i="3"/>
  <c r="AD20" i="3"/>
  <c r="D9" i="3"/>
  <c r="U5" i="4" l="1"/>
  <c r="S6" i="4"/>
  <c r="T5" i="4"/>
  <c r="J20" i="3"/>
  <c r="C22" i="3"/>
  <c r="C23" i="3" s="1"/>
  <c r="K23" i="3" s="1"/>
  <c r="D10" i="3"/>
  <c r="D11" i="3" s="1"/>
  <c r="O21" i="3" s="1"/>
  <c r="W20" i="3"/>
  <c r="Y20" i="3" s="1"/>
  <c r="AP20" i="3"/>
  <c r="K21" i="3"/>
  <c r="K20" i="3"/>
  <c r="L20" i="3"/>
  <c r="S7" i="4" l="1"/>
  <c r="U7" i="4" s="1"/>
  <c r="V6" i="4"/>
  <c r="AG4" i="4" s="1"/>
  <c r="U6" i="4"/>
  <c r="Z4" i="4" s="1"/>
  <c r="T6" i="4"/>
  <c r="T7" i="4"/>
  <c r="H20" i="3"/>
  <c r="K22" i="3"/>
  <c r="D21" i="3"/>
  <c r="L21" i="3" s="1"/>
  <c r="C24" i="3"/>
  <c r="M24" i="3" s="1"/>
  <c r="D22" i="3"/>
  <c r="V21" i="3"/>
  <c r="AJ21" i="3" s="1"/>
  <c r="AC20" i="3"/>
  <c r="AM20" i="3"/>
  <c r="AG20" i="3"/>
  <c r="AI20" i="3"/>
  <c r="AA20" i="3"/>
  <c r="AE20" i="3"/>
  <c r="AK20" i="3"/>
  <c r="BB20" i="3"/>
  <c r="AO21" i="3"/>
  <c r="AS21" i="3" s="1"/>
  <c r="AT20" i="3"/>
  <c r="BH20" i="3"/>
  <c r="AZ20" i="3"/>
  <c r="BF20" i="3"/>
  <c r="AX20" i="3"/>
  <c r="BD20" i="3"/>
  <c r="AV20" i="3"/>
  <c r="AR20" i="3"/>
  <c r="AH21" i="3"/>
  <c r="M20" i="3"/>
  <c r="M21" i="3"/>
  <c r="M23" i="3"/>
  <c r="M22" i="3"/>
  <c r="N20" i="3"/>
  <c r="S8" i="4" l="1"/>
  <c r="V7" i="4"/>
  <c r="AC16" i="4"/>
  <c r="AB10" i="4"/>
  <c r="AA4" i="4"/>
  <c r="AD4" i="4" s="1"/>
  <c r="T8" i="4"/>
  <c r="X21" i="3"/>
  <c r="N21" i="3"/>
  <c r="J21" i="3"/>
  <c r="AL21" i="3"/>
  <c r="L22" i="3"/>
  <c r="J22" i="3"/>
  <c r="N22" i="3"/>
  <c r="AD21" i="3"/>
  <c r="Z21" i="3"/>
  <c r="AF21" i="3"/>
  <c r="W21" i="3"/>
  <c r="AB21" i="3"/>
  <c r="D23" i="3"/>
  <c r="K24" i="3"/>
  <c r="BE21" i="3"/>
  <c r="BC21" i="3"/>
  <c r="AW21" i="3"/>
  <c r="BA21" i="3"/>
  <c r="AY21" i="3"/>
  <c r="AU21" i="3"/>
  <c r="AQ21" i="3"/>
  <c r="BG21" i="3"/>
  <c r="AP21" i="3"/>
  <c r="D12" i="3"/>
  <c r="D13" i="3" s="1"/>
  <c r="O23" i="3"/>
  <c r="O20" i="3"/>
  <c r="O22" i="3"/>
  <c r="O24" i="3"/>
  <c r="P23" i="3"/>
  <c r="P21" i="3"/>
  <c r="P22" i="3"/>
  <c r="P20" i="3"/>
  <c r="S9" i="4" l="1"/>
  <c r="T9" i="4" s="1"/>
  <c r="V8" i="4"/>
  <c r="AG5" i="4" s="1"/>
  <c r="U8" i="4"/>
  <c r="Z5" i="4" s="1"/>
  <c r="AB11" i="4" s="1"/>
  <c r="AM21" i="3"/>
  <c r="AA21" i="3"/>
  <c r="H21" i="3"/>
  <c r="J23" i="3"/>
  <c r="AG21" i="3"/>
  <c r="Y21" i="3"/>
  <c r="AI21" i="3"/>
  <c r="V22" i="3"/>
  <c r="AH22" i="3" s="1"/>
  <c r="AC21" i="3"/>
  <c r="AK21" i="3"/>
  <c r="AE21" i="3"/>
  <c r="L23" i="3"/>
  <c r="N23" i="3"/>
  <c r="AT21" i="3"/>
  <c r="AV21" i="3"/>
  <c r="AR21" i="3"/>
  <c r="BF21" i="3"/>
  <c r="BD21" i="3"/>
  <c r="AX21" i="3"/>
  <c r="AO22" i="3"/>
  <c r="AS22" i="3" s="1"/>
  <c r="AZ21" i="3"/>
  <c r="BH21" i="3"/>
  <c r="BB21" i="3"/>
  <c r="AL22" i="3"/>
  <c r="Q23" i="3"/>
  <c r="R23" i="3"/>
  <c r="Q20" i="3"/>
  <c r="Q22" i="3"/>
  <c r="Q24" i="3"/>
  <c r="Q21" i="3"/>
  <c r="R21" i="3"/>
  <c r="R22" i="3"/>
  <c r="R20" i="3"/>
  <c r="AC17" i="4" l="1"/>
  <c r="AA5" i="4"/>
  <c r="AD5" i="4" s="1"/>
  <c r="V9" i="4"/>
  <c r="AG6" i="4" s="1"/>
  <c r="U9" i="4"/>
  <c r="Z6" i="4" s="1"/>
  <c r="AC18" i="4" s="1"/>
  <c r="S10" i="4"/>
  <c r="AD22" i="3"/>
  <c r="AB22" i="3"/>
  <c r="W22" i="3"/>
  <c r="AF22" i="3"/>
  <c r="X22" i="3"/>
  <c r="AJ22" i="3"/>
  <c r="Z22" i="3"/>
  <c r="AP22" i="3"/>
  <c r="AV22" i="3" s="1"/>
  <c r="AY22" i="3"/>
  <c r="BE22" i="3"/>
  <c r="AW22" i="3"/>
  <c r="AQ22" i="3"/>
  <c r="BG22" i="3"/>
  <c r="BA22" i="3"/>
  <c r="AU22" i="3"/>
  <c r="BC22" i="3"/>
  <c r="D14" i="3"/>
  <c r="S20" i="3"/>
  <c r="S22" i="3"/>
  <c r="T23" i="3"/>
  <c r="S24" i="3"/>
  <c r="S21" i="3"/>
  <c r="S23" i="3"/>
  <c r="T22" i="3"/>
  <c r="T20" i="3"/>
  <c r="T21" i="3"/>
  <c r="AA6" i="4" l="1"/>
  <c r="AD6" i="4" s="1"/>
  <c r="AB12" i="4"/>
  <c r="S11" i="4"/>
  <c r="V10" i="4"/>
  <c r="U10" i="4"/>
  <c r="T10" i="4"/>
  <c r="V23" i="3"/>
  <c r="W23" i="3" s="1"/>
  <c r="AI23" i="3" s="1"/>
  <c r="H22" i="3"/>
  <c r="AE22" i="3"/>
  <c r="AM22" i="3"/>
  <c r="AG22" i="3"/>
  <c r="AI22" i="3"/>
  <c r="Y22" i="3"/>
  <c r="AC22" i="3"/>
  <c r="AK22" i="3"/>
  <c r="AA22" i="3"/>
  <c r="X23" i="3"/>
  <c r="AZ22" i="3"/>
  <c r="AT22" i="3"/>
  <c r="BF22" i="3"/>
  <c r="BH22" i="3"/>
  <c r="BB22" i="3"/>
  <c r="AR22" i="3"/>
  <c r="AO23" i="3"/>
  <c r="BD22" i="3"/>
  <c r="AX22" i="3"/>
  <c r="S12" i="4" l="1"/>
  <c r="V11" i="4"/>
  <c r="U11" i="4"/>
  <c r="T11" i="4"/>
  <c r="Y23" i="3"/>
  <c r="AL23" i="3"/>
  <c r="Z23" i="3"/>
  <c r="AC23" i="3"/>
  <c r="V24" i="3"/>
  <c r="AE23" i="3"/>
  <c r="AK23" i="3"/>
  <c r="AG23" i="3"/>
  <c r="AH23" i="3"/>
  <c r="AB23" i="3"/>
  <c r="AA23" i="3"/>
  <c r="AM23" i="3"/>
  <c r="AF23" i="3"/>
  <c r="AD23" i="3"/>
  <c r="AJ23" i="3"/>
  <c r="BC23" i="3"/>
  <c r="AW23" i="3"/>
  <c r="AS23" i="3"/>
  <c r="AQ23" i="3"/>
  <c r="AP23" i="3"/>
  <c r="H23" i="3" s="1"/>
  <c r="BG23" i="3"/>
  <c r="BA23" i="3"/>
  <c r="BE23" i="3"/>
  <c r="AY23" i="3"/>
  <c r="AU23" i="3"/>
  <c r="S13" i="4" l="1"/>
  <c r="V12" i="4"/>
  <c r="AG7" i="4" s="1"/>
  <c r="U12" i="4"/>
  <c r="Z7" i="4" s="1"/>
  <c r="T12" i="4"/>
  <c r="Z24" i="3"/>
  <c r="AH24" i="3"/>
  <c r="AL24" i="3"/>
  <c r="AJ24" i="3"/>
  <c r="AB24" i="3"/>
  <c r="X24" i="3"/>
  <c r="AD24" i="3"/>
  <c r="AF24" i="3"/>
  <c r="BH23" i="3"/>
  <c r="AV23" i="3"/>
  <c r="BB23" i="3"/>
  <c r="BF23" i="3"/>
  <c r="AX23" i="3"/>
  <c r="AT23" i="3"/>
  <c r="BD23" i="3"/>
  <c r="AZ23" i="3"/>
  <c r="AR23" i="3"/>
  <c r="AO24" i="3"/>
  <c r="AA7" i="4" l="1"/>
  <c r="AD7" i="4" s="1"/>
  <c r="AC19" i="4"/>
  <c r="AB13" i="4"/>
  <c r="S14" i="4"/>
  <c r="V13" i="4"/>
  <c r="AG8" i="4" s="1"/>
  <c r="U13" i="4"/>
  <c r="Z8" i="4" s="1"/>
  <c r="T13" i="4"/>
  <c r="BG24" i="3"/>
  <c r="BA24" i="3"/>
  <c r="AY24" i="3"/>
  <c r="AU24" i="3"/>
  <c r="AQ24" i="3"/>
  <c r="AS24" i="3"/>
  <c r="BE24" i="3"/>
  <c r="BC24" i="3"/>
  <c r="AW24" i="3"/>
  <c r="AC20" i="4" l="1"/>
  <c r="AB14" i="4"/>
  <c r="AA8" i="4"/>
  <c r="AD8" i="4" s="1"/>
  <c r="S15" i="4"/>
  <c r="V14" i="4"/>
  <c r="AG9" i="4" s="1"/>
  <c r="U14" i="4"/>
  <c r="Z9" i="4" s="1"/>
  <c r="T14" i="4"/>
  <c r="AA9" i="4" l="1"/>
  <c r="AD9" i="4" s="1"/>
  <c r="AC21" i="4"/>
  <c r="AB15" i="4"/>
  <c r="S16" i="4"/>
  <c r="V15" i="4"/>
  <c r="AG10" i="4" s="1"/>
  <c r="U15" i="4"/>
  <c r="Z10" i="4" s="1"/>
  <c r="T15" i="4"/>
  <c r="S17" i="4" l="1"/>
  <c r="V16" i="4"/>
  <c r="AG11" i="4" s="1"/>
  <c r="U16" i="4"/>
  <c r="Z11" i="4" s="1"/>
  <c r="T16" i="4"/>
  <c r="AB16" i="4"/>
  <c r="AC22" i="4"/>
  <c r="AA10" i="4"/>
  <c r="AD10" i="4" s="1"/>
  <c r="T17" i="4"/>
  <c r="AB17" i="4" l="1"/>
  <c r="AA11" i="4"/>
  <c r="AD11" i="4" s="1"/>
  <c r="AC23" i="4"/>
  <c r="S18" i="4"/>
  <c r="T18" i="4" s="1"/>
  <c r="V17" i="4"/>
  <c r="AG12" i="4" s="1"/>
  <c r="U17" i="4"/>
  <c r="Z12" i="4" s="1"/>
  <c r="S19" i="4" l="1"/>
  <c r="V18" i="4"/>
  <c r="AG13" i="4" s="1"/>
  <c r="U18" i="4"/>
  <c r="Z13" i="4" s="1"/>
  <c r="AA12" i="4"/>
  <c r="AD12" i="4" s="1"/>
  <c r="AB18" i="4"/>
  <c r="AC24" i="4"/>
  <c r="U19" i="4"/>
  <c r="Z14" i="4" s="1"/>
  <c r="AB19" i="4" l="1"/>
  <c r="AC25" i="4"/>
  <c r="AA13" i="4"/>
  <c r="AD13" i="4" s="1"/>
  <c r="S20" i="4"/>
  <c r="V19" i="4"/>
  <c r="AG14" i="4" s="1"/>
  <c r="AA14" i="4"/>
  <c r="AD14" i="4" s="1"/>
  <c r="AC26" i="4"/>
  <c r="AB20" i="4"/>
  <c r="T19" i="4"/>
  <c r="S21" i="4" l="1"/>
  <c r="V20" i="4"/>
  <c r="U20" i="4"/>
  <c r="T20" i="4"/>
  <c r="S22" i="4" l="1"/>
  <c r="U22" i="4" s="1"/>
  <c r="Z16" i="4" s="1"/>
  <c r="V21" i="4"/>
  <c r="AG15" i="4" s="1"/>
  <c r="T21" i="4"/>
  <c r="U21" i="4"/>
  <c r="Z15" i="4" s="1"/>
  <c r="S23" i="4" l="1"/>
  <c r="V22" i="4"/>
  <c r="AG16" i="4" s="1"/>
  <c r="AA15" i="4"/>
  <c r="AD15" i="4" s="1"/>
  <c r="AB21" i="4"/>
  <c r="AC27" i="4"/>
  <c r="AB22" i="4"/>
  <c r="AC28" i="4"/>
  <c r="AA16" i="4"/>
  <c r="AD16" i="4" s="1"/>
  <c r="U23" i="4"/>
  <c r="T22" i="4"/>
  <c r="S24" i="4" l="1"/>
  <c r="U24" i="4" s="1"/>
  <c r="Z17" i="4" s="1"/>
  <c r="V23" i="4"/>
  <c r="T23" i="4"/>
  <c r="S25" i="4" l="1"/>
  <c r="V24" i="4"/>
  <c r="AG17" i="4" s="1"/>
  <c r="AC29" i="4"/>
  <c r="AB23" i="4"/>
  <c r="AA17" i="4"/>
  <c r="AD17" i="4" s="1"/>
  <c r="T24" i="4"/>
  <c r="S26" i="4" l="1"/>
  <c r="V25" i="4"/>
  <c r="U25" i="4"/>
  <c r="T25" i="4"/>
  <c r="S27" i="4" l="1"/>
  <c r="V26" i="4"/>
  <c r="AG18" i="4" s="1"/>
  <c r="T26" i="4"/>
  <c r="U26" i="4"/>
  <c r="Z18" i="4" s="1"/>
  <c r="S28" i="4" l="1"/>
  <c r="V27" i="4"/>
  <c r="AG19" i="4" s="1"/>
  <c r="AC30" i="4"/>
  <c r="AB24" i="4"/>
  <c r="AA18" i="4"/>
  <c r="AD18" i="4" s="1"/>
  <c r="T27" i="4"/>
  <c r="U27" i="4"/>
  <c r="Z19" i="4" s="1"/>
  <c r="S29" i="4" l="1"/>
  <c r="V28" i="4"/>
  <c r="AG20" i="4" s="1"/>
  <c r="AB25" i="4"/>
  <c r="AA19" i="4"/>
  <c r="AD19" i="4" s="1"/>
  <c r="AC31" i="4"/>
  <c r="U28" i="4"/>
  <c r="Z20" i="4" s="1"/>
  <c r="T28" i="4"/>
  <c r="S30" i="4" l="1"/>
  <c r="V29" i="4"/>
  <c r="AG21" i="4" s="1"/>
  <c r="T29" i="4"/>
  <c r="U29" i="4"/>
  <c r="Z21" i="4" s="1"/>
  <c r="AC32" i="4"/>
  <c r="AB26" i="4"/>
  <c r="AA20" i="4"/>
  <c r="AD20" i="4" s="1"/>
  <c r="AB27" i="4" l="1"/>
  <c r="AA21" i="4"/>
  <c r="AD21" i="4" s="1"/>
  <c r="AC33" i="4"/>
  <c r="V30" i="4"/>
  <c r="AG22" i="4" s="1"/>
  <c r="U30" i="4"/>
  <c r="Z22" i="4" s="1"/>
  <c r="T30" i="4"/>
  <c r="S31" i="4"/>
  <c r="V31" i="4" l="1"/>
  <c r="AG23" i="4" s="1"/>
  <c r="S32" i="4"/>
  <c r="U31" i="4"/>
  <c r="Z23" i="4" s="1"/>
  <c r="T31" i="4"/>
  <c r="AB28" i="4"/>
  <c r="AC34" i="4"/>
  <c r="AA22" i="4"/>
  <c r="AD22" i="4" s="1"/>
  <c r="AA23" i="4" l="1"/>
  <c r="AD23" i="4" s="1"/>
  <c r="AB29" i="4"/>
  <c r="AC35" i="4"/>
  <c r="V32" i="4"/>
  <c r="AG24" i="4" s="1"/>
  <c r="T32" i="4"/>
  <c r="S33" i="4"/>
  <c r="U32" i="4"/>
  <c r="Z24" i="4" s="1"/>
  <c r="AA24" i="4" l="1"/>
  <c r="AD24" i="4" s="1"/>
  <c r="AC36" i="4"/>
  <c r="AB30" i="4"/>
  <c r="V33" i="4"/>
  <c r="AG25" i="4" s="1"/>
  <c r="T33" i="4"/>
  <c r="U33" i="4"/>
  <c r="Z25" i="4" s="1"/>
  <c r="S34" i="4"/>
  <c r="V34" i="4" l="1"/>
  <c r="AG26" i="4" s="1"/>
  <c r="S35" i="4"/>
  <c r="T34" i="4"/>
  <c r="U34" i="4"/>
  <c r="Z26" i="4" s="1"/>
  <c r="AB31" i="4"/>
  <c r="AC37" i="4"/>
  <c r="AA25" i="4"/>
  <c r="AD25" i="4" s="1"/>
  <c r="V35" i="4" l="1"/>
  <c r="T35" i="4"/>
  <c r="S36" i="4"/>
  <c r="U35" i="4"/>
  <c r="AC38" i="4"/>
  <c r="AA26" i="4"/>
  <c r="AD26" i="4" s="1"/>
  <c r="AB32" i="4"/>
  <c r="V36" i="4" l="1"/>
  <c r="AG27" i="4" s="1"/>
  <c r="T36" i="4"/>
  <c r="U36" i="4"/>
  <c r="Z27" i="4" s="1"/>
  <c r="S37" i="4"/>
  <c r="V37" i="4" l="1"/>
  <c r="AG28" i="4" s="1"/>
  <c r="S38" i="4"/>
  <c r="U37" i="4"/>
  <c r="Z28" i="4" s="1"/>
  <c r="T37" i="4"/>
  <c r="AC39" i="4"/>
  <c r="AB33" i="4"/>
  <c r="AA27" i="4"/>
  <c r="AD27" i="4" s="1"/>
  <c r="AB34" i="4" l="1"/>
  <c r="AA28" i="4"/>
  <c r="AD28" i="4" s="1"/>
  <c r="AC40" i="4"/>
  <c r="V38" i="4"/>
  <c r="AG29" i="4" s="1"/>
  <c r="T38" i="4"/>
  <c r="S39" i="4"/>
  <c r="U38" i="4"/>
  <c r="Z29" i="4" s="1"/>
  <c r="AC41" i="4" l="1"/>
  <c r="AA29" i="4"/>
  <c r="AD29" i="4" s="1"/>
  <c r="AB35" i="4"/>
  <c r="V39" i="4"/>
  <c r="S40" i="4"/>
  <c r="T39" i="4"/>
  <c r="U39" i="4"/>
  <c r="V40" i="4" l="1"/>
  <c r="AG30" i="4" s="1"/>
  <c r="T40" i="4"/>
  <c r="S41" i="4"/>
  <c r="U40" i="4"/>
  <c r="Z30" i="4" s="1"/>
  <c r="AB36" i="4" l="1"/>
  <c r="AA30" i="4"/>
  <c r="AD30" i="4" s="1"/>
  <c r="AC42" i="4"/>
  <c r="V41" i="4"/>
  <c r="AG31" i="4" s="1"/>
  <c r="S42" i="4"/>
  <c r="T41" i="4"/>
  <c r="U41" i="4"/>
  <c r="Z31" i="4" s="1"/>
  <c r="AB37" i="4" l="1"/>
  <c r="AC43" i="4"/>
  <c r="AA31" i="4"/>
  <c r="AD31" i="4" s="1"/>
  <c r="V42" i="4"/>
  <c r="T42" i="4"/>
  <c r="S43" i="4"/>
  <c r="U42" i="4"/>
  <c r="V43" i="4" l="1"/>
  <c r="AG32" i="4" s="1"/>
  <c r="S44" i="4"/>
  <c r="U43" i="4"/>
  <c r="Z32" i="4" s="1"/>
  <c r="T43" i="4"/>
  <c r="AA32" i="4" l="1"/>
  <c r="AD32" i="4" s="1"/>
  <c r="AC44" i="4"/>
  <c r="AB38" i="4"/>
  <c r="V44" i="4"/>
  <c r="AG33" i="4" s="1"/>
  <c r="T44" i="4"/>
  <c r="U44" i="4"/>
  <c r="Z33" i="4" s="1"/>
  <c r="S45" i="4"/>
  <c r="V45" i="4" l="1"/>
  <c r="AG34" i="4" s="1"/>
  <c r="S46" i="4"/>
  <c r="U45" i="4"/>
  <c r="Z34" i="4" s="1"/>
  <c r="T45" i="4"/>
  <c r="AB39" i="4"/>
  <c r="AC45" i="4"/>
  <c r="AA33" i="4"/>
  <c r="AD33" i="4" s="1"/>
  <c r="AB40" i="4" l="1"/>
  <c r="AA34" i="4"/>
  <c r="AD34" i="4" s="1"/>
  <c r="AC46" i="4"/>
  <c r="V46" i="4"/>
  <c r="AG35" i="4" s="1"/>
  <c r="U46" i="4"/>
  <c r="Z35" i="4" s="1"/>
  <c r="T46" i="4"/>
  <c r="S47" i="4"/>
  <c r="V47" i="4" l="1"/>
  <c r="AG36" i="4" s="1"/>
  <c r="S48" i="4"/>
  <c r="U47" i="4"/>
  <c r="Z36" i="4" s="1"/>
  <c r="T47" i="4"/>
  <c r="AB41" i="4"/>
  <c r="AC47" i="4"/>
  <c r="AA35" i="4"/>
  <c r="AD35" i="4" s="1"/>
  <c r="AC48" i="4" l="1"/>
  <c r="AB42" i="4"/>
  <c r="AA36" i="4"/>
  <c r="AD36" i="4" s="1"/>
  <c r="V48" i="4"/>
  <c r="AG37" i="4" s="1"/>
  <c r="S49" i="4"/>
  <c r="T48" i="4"/>
  <c r="U48" i="4"/>
  <c r="Z37" i="4" s="1"/>
  <c r="AC49" i="4" l="1"/>
  <c r="AD49" i="4" s="1"/>
  <c r="AA37" i="4"/>
  <c r="AD37" i="4" s="1"/>
  <c r="AB43" i="4"/>
  <c r="AD43" i="4" s="1"/>
  <c r="V49" i="4"/>
  <c r="AG38" i="4" s="1"/>
  <c r="U49" i="4"/>
  <c r="Z38" i="4" s="1"/>
  <c r="T49" i="4"/>
  <c r="S50" i="4"/>
  <c r="V50" i="4" l="1"/>
  <c r="S51" i="4"/>
  <c r="T50" i="4"/>
  <c r="U50" i="4"/>
  <c r="AC50" i="4"/>
  <c r="AD50" i="4" s="1"/>
  <c r="AB44" i="4"/>
  <c r="AD44" i="4" s="1"/>
  <c r="AA38" i="4"/>
  <c r="AD38" i="4" s="1"/>
  <c r="V51" i="4" l="1"/>
  <c r="AG39" i="4" s="1"/>
  <c r="T51" i="4"/>
  <c r="S52" i="4"/>
  <c r="U51" i="4"/>
  <c r="Z39" i="4" s="1"/>
  <c r="AC51" i="4" l="1"/>
  <c r="AD51" i="4" s="1"/>
  <c r="AA39" i="4"/>
  <c r="AD39" i="4" s="1"/>
  <c r="AB45" i="4"/>
  <c r="AD45" i="4" s="1"/>
  <c r="V52" i="4"/>
  <c r="AG40" i="4" s="1"/>
  <c r="U52" i="4"/>
  <c r="Z40" i="4" s="1"/>
  <c r="T52" i="4"/>
  <c r="S53" i="4"/>
  <c r="V53" i="4" l="1"/>
  <c r="AG41" i="4" s="1"/>
  <c r="U53" i="4"/>
  <c r="Z41" i="4" s="1"/>
  <c r="S54" i="4"/>
  <c r="T53" i="4"/>
  <c r="AA40" i="4"/>
  <c r="AD40" i="4" s="1"/>
  <c r="AC52" i="4"/>
  <c r="AD52" i="4" s="1"/>
  <c r="AB46" i="4"/>
  <c r="AD46" i="4" s="1"/>
  <c r="AA41" i="4" l="1"/>
  <c r="AD41" i="4" s="1"/>
  <c r="AB47" i="4"/>
  <c r="AD47" i="4" s="1"/>
  <c r="AC53" i="4"/>
  <c r="AD53" i="4" s="1"/>
  <c r="V54" i="4"/>
  <c r="S55" i="4"/>
  <c r="T54" i="4"/>
  <c r="U54" i="4"/>
  <c r="V55" i="4" l="1"/>
  <c r="AG42" i="4" s="1"/>
  <c r="T55" i="4"/>
  <c r="U55" i="4"/>
  <c r="Z42" i="4" s="1"/>
  <c r="AB48" i="4" l="1"/>
  <c r="AD48" i="4" s="1"/>
  <c r="AC54" i="4"/>
  <c r="AD54" i="4" s="1"/>
  <c r="AA42" i="4"/>
  <c r="AD42" i="4" s="1"/>
</calcChain>
</file>

<file path=xl/comments1.xml><?xml version="1.0" encoding="utf-8"?>
<comments xmlns="http://schemas.openxmlformats.org/spreadsheetml/2006/main">
  <authors>
    <author>Sydney</author>
  </authors>
  <commentList>
    <comment ref="B23" authorId="0" shapeId="0">
      <text>
        <r>
          <rPr>
            <b/>
            <sz val="12"/>
            <color indexed="81"/>
            <rFont val="Tahoma"/>
            <family val="2"/>
          </rPr>
          <t xml:space="preserve">Anirban: </t>
        </r>
        <r>
          <rPr>
            <sz val="12"/>
            <color indexed="81"/>
            <rFont val="Tahoma"/>
            <family val="2"/>
          </rPr>
          <t>We consider a course to be in matured or steady state when it reaches the end of Star level (satisfying the values and criteria specified in this row) and is also securing a consistant customer rating of 4.5 or above.</t>
        </r>
      </text>
    </comment>
  </commentList>
</comments>
</file>

<file path=xl/comments2.xml><?xml version="1.0" encoding="utf-8"?>
<comments xmlns="http://schemas.openxmlformats.org/spreadsheetml/2006/main">
  <authors>
    <author>Sydney</author>
  </authors>
  <commentList>
    <comment ref="B16" authorId="0" shapeId="0">
      <text>
        <r>
          <rPr>
            <b/>
            <sz val="12"/>
            <color indexed="81"/>
            <rFont val="Tahoma"/>
            <family val="2"/>
          </rPr>
          <t xml:space="preserve">Anirban: </t>
        </r>
        <r>
          <rPr>
            <sz val="12"/>
            <color indexed="81"/>
            <rFont val="Tahoma"/>
            <family val="2"/>
          </rPr>
          <t>We consider a course to be in matured or steady state when it reaches the end of Star level (satisfying the values and criteria specified in this row) and is also securing a consistant customer rating of 4.5 or above.</t>
        </r>
      </text>
    </comment>
  </commentList>
</comments>
</file>

<file path=xl/sharedStrings.xml><?xml version="1.0" encoding="utf-8"?>
<sst xmlns="http://schemas.openxmlformats.org/spreadsheetml/2006/main" count="348" uniqueCount="135">
  <si>
    <t>Max Price</t>
  </si>
  <si>
    <t>USD</t>
  </si>
  <si>
    <t>Min Price</t>
  </si>
  <si>
    <t>Target Median Price</t>
  </si>
  <si>
    <t>Target Q1 Price</t>
  </si>
  <si>
    <t>Target Q3 Price</t>
  </si>
  <si>
    <t>Upper Outlier</t>
  </si>
  <si>
    <t>Unlimited</t>
  </si>
  <si>
    <t>Unit Price</t>
  </si>
  <si>
    <t>Launcher</t>
  </si>
  <si>
    <t>Celebrity</t>
  </si>
  <si>
    <t>Super Star</t>
  </si>
  <si>
    <t>Starlet</t>
  </si>
  <si>
    <t>Star</t>
  </si>
  <si>
    <t>Surge</t>
  </si>
  <si>
    <t>Discount %</t>
  </si>
  <si>
    <t>%</t>
  </si>
  <si>
    <t>Currency</t>
  </si>
  <si>
    <t>Currency Multiplier</t>
  </si>
  <si>
    <t>Max Revenue</t>
  </si>
  <si>
    <t>Min Revenue</t>
  </si>
  <si>
    <t>Min Amount</t>
  </si>
  <si>
    <t>Max Amount</t>
  </si>
  <si>
    <t>Q1 Price</t>
  </si>
  <si>
    <t>Q3 Price</t>
  </si>
  <si>
    <t>Med Price</t>
  </si>
  <si>
    <t>From</t>
  </si>
  <si>
    <t>To</t>
  </si>
  <si>
    <t>Student Strength When Sold @</t>
  </si>
  <si>
    <t>Revenue %</t>
  </si>
  <si>
    <t>Teacher</t>
  </si>
  <si>
    <t>Academic Reviewer</t>
  </si>
  <si>
    <t>Videographer</t>
  </si>
  <si>
    <t>Film Director</t>
  </si>
  <si>
    <t>Film Editor</t>
  </si>
  <si>
    <t>Film Reviewer</t>
  </si>
  <si>
    <t>Admin / Manager</t>
  </si>
  <si>
    <t>Office &amp; Misc</t>
  </si>
  <si>
    <t>Min</t>
  </si>
  <si>
    <t>Max</t>
  </si>
  <si>
    <t>Required Student Strength Per Level</t>
  </si>
  <si>
    <t>Asst. Teachers</t>
  </si>
  <si>
    <t>IT Development</t>
  </si>
  <si>
    <t>Legal Team</t>
  </si>
  <si>
    <t>Colud Infra</t>
  </si>
  <si>
    <t>Sales &amp; Marketing</t>
  </si>
  <si>
    <t>HR &amp; Recruitment</t>
  </si>
  <si>
    <t>Others</t>
  </si>
  <si>
    <t>Corporate Management</t>
  </si>
  <si>
    <t>Platform Support Budget % Share Among Cost Centers</t>
  </si>
  <si>
    <t>Finance Team</t>
  </si>
  <si>
    <t>Percentage Budget Share Among Key Partners</t>
  </si>
  <si>
    <t>Buffer</t>
  </si>
  <si>
    <t>Value</t>
  </si>
  <si>
    <t>Anodiam</t>
  </si>
  <si>
    <t>Rolling Versions</t>
  </si>
  <si>
    <t>Version</t>
  </si>
  <si>
    <t>Editor</t>
  </si>
  <si>
    <t>Reviewer</t>
  </si>
  <si>
    <t>Date</t>
  </si>
  <si>
    <t>Note</t>
  </si>
  <si>
    <t>AC</t>
  </si>
  <si>
    <t>Initial version</t>
  </si>
  <si>
    <t>Financial Plan</t>
  </si>
  <si>
    <t>Organizational Profitability</t>
  </si>
  <si>
    <t>Organizational Financial Planning Per Course Basis (in USD/INR/AUD/GBP/CNY)</t>
  </si>
  <si>
    <t>Product Pricing - Sales Target Levels - Required Sales Numbers - Stakeholder Profits - Cost Centre Budgets - Buffers (20%) - Organizational Profitability (40-50% at steady state)</t>
  </si>
  <si>
    <t>Product Pricing</t>
  </si>
  <si>
    <t>Sales Target Levels of Courses</t>
  </si>
  <si>
    <t>Expected Mean Unit Price</t>
  </si>
  <si>
    <t>0.02</t>
  </si>
  <si>
    <t>0.01</t>
  </si>
  <si>
    <r>
      <t xml:space="preserve">OrganizationalFinPlan:
</t>
    </r>
    <r>
      <rPr>
        <sz val="8"/>
        <color theme="1"/>
        <rFont val="Arial"/>
        <family val="2"/>
      </rPr>
      <t>&gt; Product Pricing
&gt; Sales Target Levels
&gt; Required Sales Numbers
&gt; Stakeholder Profits
&gt; Cost Centre Budgets
&gt; Buffers (20%)
&gt; Organizational Profitability (40-50% at steady state)</t>
    </r>
  </si>
  <si>
    <t>0.03</t>
  </si>
  <si>
    <t>Payout Structure</t>
  </si>
  <si>
    <t>Target Revenue</t>
  </si>
  <si>
    <t>Levels</t>
  </si>
  <si>
    <t>Sales Targets</t>
  </si>
  <si>
    <t>Total Percentage for All Partners</t>
  </si>
  <si>
    <t>Total % for All Cost Center Expenses</t>
  </si>
  <si>
    <t>Partner Type</t>
  </si>
  <si>
    <t>Amount</t>
  </si>
  <si>
    <t>CNY</t>
  </si>
  <si>
    <t>INR</t>
  </si>
  <si>
    <r>
      <t xml:space="preserve">Rate </t>
    </r>
    <r>
      <rPr>
        <sz val="11"/>
        <color theme="1"/>
        <rFont val="Calibri"/>
        <family val="2"/>
        <scheme val="minor"/>
      </rPr>
      <t>(1 USD =?)</t>
    </r>
  </si>
  <si>
    <t>AUD</t>
  </si>
  <si>
    <t>GBP</t>
  </si>
  <si>
    <t>EUR</t>
  </si>
  <si>
    <t>JPY</t>
  </si>
  <si>
    <t>Partner Payout Structure</t>
  </si>
  <si>
    <t>Target Median</t>
  </si>
  <si>
    <t>Partner Share</t>
  </si>
  <si>
    <r>
      <rPr>
        <b/>
        <sz val="11"/>
        <color theme="1"/>
        <rFont val="Calibri"/>
        <family val="2"/>
        <scheme val="minor"/>
      </rPr>
      <t>Individual share</t>
    </r>
    <r>
      <rPr>
        <sz val="11"/>
        <color theme="1"/>
        <rFont val="Calibri"/>
        <family val="2"/>
        <scheme val="minor"/>
      </rPr>
      <t xml:space="preserve"> (In case there are multiple parthers of same type in a course. E.g. multiple teachers, each individual will get a certain %)</t>
    </r>
  </si>
  <si>
    <t>Individual Share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</si>
  <si>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</si>
  <si>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</si>
  <si>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</si>
  <si>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</si>
  <si>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</si>
  <si>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</si>
  <si>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</si>
  <si>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</si>
  <si>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</si>
  <si>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</si>
  <si>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</si>
  <si>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</si>
  <si>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% for All Partners</t>
  </si>
  <si>
    <t>Year</t>
  </si>
  <si>
    <t>Month</t>
  </si>
  <si>
    <t>PriceXNumSold</t>
  </si>
  <si>
    <t>SalesTargetLevel</t>
  </si>
  <si>
    <t>CumulativeRevenue</t>
  </si>
  <si>
    <t>PriceUSD</t>
  </si>
  <si>
    <t>SL#</t>
  </si>
  <si>
    <t>Price in Currency</t>
  </si>
  <si>
    <t>NumSold (e.g.)</t>
  </si>
  <si>
    <t>Student Strength</t>
  </si>
  <si>
    <t>PartnerPayout</t>
  </si>
  <si>
    <t>PartnerPay</t>
  </si>
  <si>
    <t>Instant Insatllment</t>
  </si>
  <si>
    <t>SixMonthInstallment</t>
  </si>
  <si>
    <t>OneYearInstallment</t>
  </si>
  <si>
    <t>TotalPayout</t>
  </si>
  <si>
    <t>Six Month Installment %</t>
  </si>
  <si>
    <t>OneYearInstallment %</t>
  </si>
  <si>
    <t>Partner Pay Table</t>
  </si>
  <si>
    <t>Consolidated Sales Table</t>
  </si>
  <si>
    <t>Instant Installment %</t>
  </si>
  <si>
    <t>Cloud Infra</t>
  </si>
  <si>
    <t>Cumulative Sales</t>
  </si>
  <si>
    <t>`</t>
  </si>
  <si>
    <t>Profitability</t>
  </si>
  <si>
    <t>Profit Margin</t>
  </si>
  <si>
    <t>Sales Volume Vs Profit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</si>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</sst>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rgb="FF000000"/>
      <name val="Arial"/>
      <family val="2"/>
    </font>
    <font>
      <b/>
      <sz val="24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FF00"/>
      <name val="Calibri"/>
      <family val="2"/>
      <scheme val="minor"/>
    </font>
    <font>
      <sz val="24"/>
      <color rgb="FFFFFF00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8"/>
      <color theme="1"/>
      <name val="Arial"/>
      <family val="2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8">
    <xf numFmtId="0" fontId="0" fillId="0" borderId="0" xfId="0"/>
    <xf numFmtId="3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3" borderId="6" xfId="0" applyNumberFormat="1" applyFill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/>
    <xf numFmtId="3" fontId="0" fillId="0" borderId="18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3" fontId="0" fillId="3" borderId="20" xfId="0" applyNumberForma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3" fontId="0" fillId="0" borderId="33" xfId="0" applyNumberForma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3" fontId="0" fillId="3" borderId="14" xfId="0" applyNumberFormat="1" applyFill="1" applyBorder="1" applyAlignment="1">
      <alignment horizontal="center" vertical="center" wrapText="1"/>
    </xf>
    <xf numFmtId="3" fontId="0" fillId="3" borderId="18" xfId="0" applyNumberFormat="1" applyFill="1" applyBorder="1" applyAlignment="1">
      <alignment horizontal="center" vertical="center" wrapText="1"/>
    </xf>
    <xf numFmtId="3" fontId="1" fillId="2" borderId="17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9" xfId="0" applyBorder="1"/>
    <xf numFmtId="0" fontId="0" fillId="0" borderId="31" xfId="0" applyBorder="1"/>
    <xf numFmtId="3" fontId="0" fillId="2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vertical="center" wrapText="1"/>
    </xf>
    <xf numFmtId="3" fontId="0" fillId="2" borderId="18" xfId="0" applyNumberFormat="1" applyFont="1" applyFill="1" applyBorder="1" applyAlignment="1">
      <alignment horizontal="center" vertical="center" wrapText="1"/>
    </xf>
    <xf numFmtId="3" fontId="0" fillId="2" borderId="6" xfId="0" applyNumberFormat="1" applyFont="1" applyFill="1" applyBorder="1" applyAlignment="1">
      <alignment horizontal="center" vertical="center" wrapText="1"/>
    </xf>
    <xf numFmtId="3" fontId="0" fillId="2" borderId="17" xfId="0" applyNumberFormat="1" applyFont="1" applyFill="1" applyBorder="1" applyAlignment="1">
      <alignment horizontal="center" vertical="center" wrapText="1"/>
    </xf>
    <xf numFmtId="3" fontId="1" fillId="4" borderId="17" xfId="0" applyNumberFormat="1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3" fontId="0" fillId="2" borderId="19" xfId="0" applyNumberFormat="1" applyFont="1" applyFill="1" applyBorder="1" applyAlignment="1">
      <alignment horizontal="center" vertical="center" wrapText="1"/>
    </xf>
    <xf numFmtId="3" fontId="0" fillId="4" borderId="19" xfId="0" applyNumberFormat="1" applyFont="1" applyFill="1" applyBorder="1" applyAlignment="1">
      <alignment horizontal="center" vertical="center" wrapText="1"/>
    </xf>
    <xf numFmtId="3" fontId="0" fillId="2" borderId="20" xfId="0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47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17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3" fontId="0" fillId="0" borderId="49" xfId="0" applyNumberFormat="1" applyBorder="1" applyAlignment="1">
      <alignment horizontal="center" vertical="center"/>
    </xf>
    <xf numFmtId="0" fontId="3" fillId="0" borderId="38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3" fontId="0" fillId="3" borderId="29" xfId="0" applyNumberFormat="1" applyFill="1" applyBorder="1" applyAlignment="1">
      <alignment horizontal="center" vertical="center" wrapText="1"/>
    </xf>
    <xf numFmtId="3" fontId="0" fillId="3" borderId="10" xfId="0" applyNumberFormat="1" applyFill="1" applyBorder="1" applyAlignment="1">
      <alignment horizontal="center" vertical="center" wrapText="1"/>
    </xf>
    <xf numFmtId="3" fontId="1" fillId="3" borderId="24" xfId="0" applyNumberFormat="1" applyFont="1" applyFill="1" applyBorder="1" applyAlignment="1">
      <alignment horizontal="center" vertical="center" wrapText="1"/>
    </xf>
    <xf numFmtId="3" fontId="0" fillId="3" borderId="18" xfId="0" applyNumberFormat="1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4" fontId="0" fillId="5" borderId="13" xfId="0" applyNumberFormat="1" applyFill="1" applyBorder="1" applyAlignment="1">
      <alignment horizontal="center" vertical="center" wrapText="1"/>
    </xf>
    <xf numFmtId="4" fontId="0" fillId="5" borderId="1" xfId="0" applyNumberFormat="1" applyFill="1" applyBorder="1" applyAlignment="1">
      <alignment horizontal="center" vertical="center" wrapText="1"/>
    </xf>
    <xf numFmtId="4" fontId="0" fillId="5" borderId="17" xfId="0" applyNumberForma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3" fontId="0" fillId="2" borderId="29" xfId="0" applyNumberFormat="1" applyFont="1" applyFill="1" applyBorder="1" applyAlignment="1">
      <alignment horizontal="center" vertical="center" wrapText="1"/>
    </xf>
    <xf numFmtId="3" fontId="0" fillId="2" borderId="10" xfId="0" applyNumberFormat="1" applyFont="1" applyFill="1" applyBorder="1" applyAlignment="1">
      <alignment horizontal="center" vertical="center" wrapText="1"/>
    </xf>
    <xf numFmtId="3" fontId="0" fillId="2" borderId="24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25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3" fontId="3" fillId="0" borderId="49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0" fontId="0" fillId="0" borderId="0" xfId="0" applyFont="1" applyAlignment="1"/>
    <xf numFmtId="49" fontId="9" fillId="0" borderId="52" xfId="0" applyNumberFormat="1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 wrapText="1"/>
    </xf>
    <xf numFmtId="49" fontId="10" fillId="0" borderId="52" xfId="0" applyNumberFormat="1" applyFont="1" applyBorder="1" applyAlignment="1">
      <alignment horizontal="right" vertical="top" wrapText="1"/>
    </xf>
    <xf numFmtId="0" fontId="10" fillId="0" borderId="52" xfId="0" applyFont="1" applyBorder="1" applyAlignment="1">
      <alignment vertical="top" wrapText="1"/>
    </xf>
    <xf numFmtId="0" fontId="11" fillId="0" borderId="52" xfId="0" applyFont="1" applyBorder="1" applyAlignment="1">
      <alignment horizontal="left" vertical="top" wrapText="1"/>
    </xf>
    <xf numFmtId="14" fontId="10" fillId="0" borderId="52" xfId="0" applyNumberFormat="1" applyFont="1" applyBorder="1" applyAlignment="1">
      <alignment vertical="top" wrapText="1"/>
    </xf>
    <xf numFmtId="14" fontId="11" fillId="0" borderId="52" xfId="0" applyNumberFormat="1" applyFont="1" applyBorder="1" applyAlignment="1">
      <alignment horizontal="right" vertical="top" wrapText="1"/>
    </xf>
    <xf numFmtId="3" fontId="1" fillId="3" borderId="25" xfId="0" applyNumberFormat="1" applyFont="1" applyFill="1" applyBorder="1" applyAlignment="1">
      <alignment horizontal="center" vertical="center"/>
    </xf>
    <xf numFmtId="3" fontId="1" fillId="3" borderId="15" xfId="0" applyNumberFormat="1" applyFont="1" applyFill="1" applyBorder="1" applyAlignment="1">
      <alignment horizontal="center" vertical="center"/>
    </xf>
    <xf numFmtId="3" fontId="1" fillId="3" borderId="16" xfId="0" applyNumberFormat="1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 wrapText="1"/>
    </xf>
    <xf numFmtId="3" fontId="3" fillId="3" borderId="6" xfId="0" applyNumberFormat="1" applyFont="1" applyFill="1" applyBorder="1" applyAlignment="1">
      <alignment horizontal="center" vertical="center" wrapText="1"/>
    </xf>
    <xf numFmtId="3" fontId="12" fillId="7" borderId="11" xfId="0" applyNumberFormat="1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14" fillId="10" borderId="21" xfId="0" applyFont="1" applyFill="1" applyBorder="1" applyAlignment="1">
      <alignment horizontal="center" vertical="center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53" xfId="0" applyFont="1" applyFill="1" applyBorder="1" applyAlignment="1">
      <alignment horizontal="center" vertical="center" wrapText="1"/>
    </xf>
    <xf numFmtId="0" fontId="13" fillId="6" borderId="0" xfId="0" applyFont="1" applyFill="1" applyBorder="1" applyAlignment="1">
      <alignment horizontal="center" vertical="center" wrapText="1"/>
    </xf>
    <xf numFmtId="0" fontId="13" fillId="6" borderId="54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3" fontId="3" fillId="2" borderId="5" xfId="0" applyNumberFormat="1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2" fillId="9" borderId="35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 wrapText="1"/>
    </xf>
    <xf numFmtId="0" fontId="2" fillId="8" borderId="12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2" borderId="22" xfId="0" applyFont="1" applyFill="1" applyBorder="1" applyAlignment="1">
      <alignment horizontal="center"/>
    </xf>
    <xf numFmtId="0" fontId="2" fillId="12" borderId="23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 vertical="center" wrapText="1"/>
    </xf>
    <xf numFmtId="0" fontId="2" fillId="6" borderId="4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0" fontId="2" fillId="11" borderId="40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3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 wrapText="1"/>
    </xf>
    <xf numFmtId="0" fontId="2" fillId="7" borderId="46" xfId="0" applyFont="1" applyFill="1" applyBorder="1" applyAlignment="1">
      <alignment horizontal="center" vertical="center" wrapText="1"/>
    </xf>
    <xf numFmtId="0" fontId="2" fillId="7" borderId="44" xfId="0" applyFont="1" applyFill="1" applyBorder="1" applyAlignment="1">
      <alignment horizontal="center" vertical="center" wrapText="1"/>
    </xf>
    <xf numFmtId="0" fontId="2" fillId="7" borderId="5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44" xfId="0" applyFont="1" applyFill="1" applyBorder="1" applyAlignment="1">
      <alignment horizontal="center" vertical="center" wrapText="1"/>
    </xf>
    <xf numFmtId="0" fontId="2" fillId="6" borderId="4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2" fillId="9" borderId="43" xfId="0" applyFont="1" applyFill="1" applyBorder="1" applyAlignment="1">
      <alignment horizontal="center"/>
    </xf>
    <xf numFmtId="0" fontId="2" fillId="9" borderId="41" xfId="0" applyFont="1" applyFill="1" applyBorder="1" applyAlignment="1">
      <alignment horizontal="center"/>
    </xf>
    <xf numFmtId="0" fontId="2" fillId="9" borderId="42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0" fillId="0" borderId="28" xfId="0" applyBorder="1" applyAlignment="1"/>
    <xf numFmtId="0" fontId="0" fillId="0" borderId="29" xfId="0" applyBorder="1" applyAlignment="1"/>
    <xf numFmtId="0" fontId="0" fillId="0" borderId="26" xfId="0" applyBorder="1" applyAlignment="1"/>
    <xf numFmtId="0" fontId="0" fillId="0" borderId="10" xfId="0" applyBorder="1" applyAlignment="1"/>
    <xf numFmtId="0" fontId="0" fillId="3" borderId="55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0" fontId="0" fillId="3" borderId="58" xfId="0" applyFill="1" applyBorder="1" applyAlignment="1">
      <alignment horizontal="center" vertical="center"/>
    </xf>
    <xf numFmtId="0" fontId="0" fillId="0" borderId="56" xfId="0" applyBorder="1" applyAlignment="1"/>
    <xf numFmtId="0" fontId="0" fillId="0" borderId="55" xfId="0" applyBorder="1" applyAlignment="1"/>
    <xf numFmtId="0" fontId="0" fillId="0" borderId="57" xfId="0" applyBorder="1" applyAlignment="1"/>
    <xf numFmtId="0" fontId="0" fillId="0" borderId="27" xfId="0" applyBorder="1" applyAlignment="1"/>
    <xf numFmtId="0" fontId="0" fillId="0" borderId="58" xfId="0" applyBorder="1" applyAlignment="1"/>
    <xf numFmtId="0" fontId="2" fillId="3" borderId="30" xfId="0" applyFont="1" applyFill="1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4" fillId="14" borderId="3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4" borderId="53" xfId="0" applyFont="1" applyFill="1" applyBorder="1" applyAlignment="1">
      <alignment horizontal="center" vertical="center"/>
    </xf>
    <xf numFmtId="0" fontId="14" fillId="14" borderId="0" xfId="0" applyFont="1" applyFill="1" applyBorder="1" applyAlignment="1">
      <alignment horizontal="center" vertical="center"/>
    </xf>
    <xf numFmtId="0" fontId="14" fillId="14" borderId="54" xfId="0" applyFont="1" applyFill="1" applyBorder="1" applyAlignment="1">
      <alignment horizontal="center" vertical="center"/>
    </xf>
    <xf numFmtId="0" fontId="14" fillId="14" borderId="7" xfId="0" applyFont="1" applyFill="1" applyBorder="1" applyAlignment="1">
      <alignment horizontal="center" vertical="center"/>
    </xf>
    <xf numFmtId="0" fontId="14" fillId="14" borderId="8" xfId="0" applyFont="1" applyFill="1" applyBorder="1" applyAlignment="1">
      <alignment horizontal="center" vertical="center"/>
    </xf>
    <xf numFmtId="0" fontId="14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2" fontId="0" fillId="3" borderId="14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2" fontId="0" fillId="3" borderId="18" xfId="0" applyNumberFormat="1" applyFill="1" applyBorder="1" applyAlignment="1">
      <alignment horizontal="center" vertical="center"/>
    </xf>
    <xf numFmtId="0" fontId="2" fillId="8" borderId="56" xfId="0" applyFont="1" applyFill="1" applyBorder="1" applyAlignment="1">
      <alignment horizontal="center" vertical="center" wrapText="1"/>
    </xf>
    <xf numFmtId="0" fontId="2" fillId="8" borderId="55" xfId="0" applyFont="1" applyFill="1" applyBorder="1" applyAlignment="1">
      <alignment horizontal="center" vertical="center" wrapText="1"/>
    </xf>
    <xf numFmtId="0" fontId="19" fillId="5" borderId="21" xfId="0" applyFont="1" applyFill="1" applyBorder="1" applyAlignment="1">
      <alignment horizontal="center"/>
    </xf>
    <xf numFmtId="0" fontId="19" fillId="5" borderId="22" xfId="0" applyFont="1" applyFill="1" applyBorder="1" applyAlignment="1">
      <alignment horizontal="center"/>
    </xf>
    <xf numFmtId="0" fontId="19" fillId="5" borderId="23" xfId="0" applyFont="1" applyFill="1" applyBorder="1" applyAlignment="1">
      <alignment horizontal="center"/>
    </xf>
    <xf numFmtId="0" fontId="2" fillId="8" borderId="60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3" fontId="3" fillId="3" borderId="60" xfId="0" applyNumberFormat="1" applyFont="1" applyFill="1" applyBorder="1" applyAlignment="1">
      <alignment horizontal="center" vertical="center"/>
    </xf>
    <xf numFmtId="3" fontId="3" fillId="3" borderId="38" xfId="0" applyNumberFormat="1" applyFont="1" applyFill="1" applyBorder="1" applyAlignment="1">
      <alignment horizontal="center" vertical="center"/>
    </xf>
    <xf numFmtId="3" fontId="3" fillId="3" borderId="61" xfId="0" applyNumberFormat="1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vertical="center"/>
    </xf>
    <xf numFmtId="0" fontId="3" fillId="5" borderId="59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3" fontId="0" fillId="9" borderId="13" xfId="0" applyNumberForma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" fillId="0" borderId="15" xfId="0" applyNumberFormat="1" applyFont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3" fontId="0" fillId="9" borderId="1" xfId="0" applyNumberFormat="1" applyFill="1" applyBorder="1" applyAlignment="1">
      <alignment horizontal="center" vertical="center"/>
    </xf>
    <xf numFmtId="3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 vertical="center"/>
    </xf>
    <xf numFmtId="3" fontId="2" fillId="0" borderId="16" xfId="0" applyNumberFormat="1" applyFont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3" fontId="0" fillId="15" borderId="1" xfId="0" applyNumberFormat="1" applyFill="1" applyBorder="1" applyAlignment="1">
      <alignment horizontal="center" vertical="center"/>
    </xf>
    <xf numFmtId="3" fontId="1" fillId="15" borderId="6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1" fillId="3" borderId="6" xfId="0" applyNumberFormat="1" applyFont="1" applyFill="1" applyBorder="1" applyAlignment="1">
      <alignment horizontal="center" vertical="center"/>
    </xf>
    <xf numFmtId="3" fontId="1" fillId="9" borderId="6" xfId="0" applyNumberFormat="1" applyFont="1" applyFill="1" applyBorder="1" applyAlignment="1">
      <alignment horizontal="center" vertical="center"/>
    </xf>
    <xf numFmtId="0" fontId="0" fillId="13" borderId="1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1" fillId="13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1" fillId="3" borderId="17" xfId="0" applyNumberFormat="1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3" fontId="1" fillId="3" borderId="13" xfId="0" applyNumberFormat="1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3" fontId="1" fillId="9" borderId="13" xfId="0" applyNumberFormat="1" applyFon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3" fontId="0" fillId="9" borderId="19" xfId="0" applyNumberFormat="1" applyFill="1" applyBorder="1" applyAlignment="1">
      <alignment horizontal="center" vertical="center"/>
    </xf>
    <xf numFmtId="3" fontId="1" fillId="9" borderId="19" xfId="0" applyNumberFormat="1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3" fontId="0" fillId="16" borderId="1" xfId="0" applyNumberFormat="1" applyFill="1" applyBorder="1" applyAlignment="1">
      <alignment horizontal="center" vertical="center"/>
    </xf>
    <xf numFmtId="3" fontId="1" fillId="16" borderId="6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3" fontId="0" fillId="13" borderId="17" xfId="0" applyNumberFormat="1" applyFill="1" applyBorder="1" applyAlignment="1">
      <alignment horizontal="center" vertical="center"/>
    </xf>
    <xf numFmtId="3" fontId="1" fillId="13" borderId="17" xfId="0" applyNumberFormat="1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13" borderId="18" xfId="0" applyFont="1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3" fontId="0" fillId="16" borderId="17" xfId="0" applyNumberFormat="1" applyFill="1" applyBorder="1" applyAlignment="1">
      <alignment horizontal="center" vertical="center"/>
    </xf>
    <xf numFmtId="3" fontId="1" fillId="16" borderId="18" xfId="0" applyNumberFormat="1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/>
    </xf>
    <xf numFmtId="0" fontId="19" fillId="0" borderId="22" xfId="0" applyFont="1" applyFill="1" applyBorder="1" applyAlignment="1">
      <alignment horizontal="center"/>
    </xf>
    <xf numFmtId="0" fontId="19" fillId="0" borderId="23" xfId="0" applyFont="1" applyFill="1" applyBorder="1" applyAlignment="1">
      <alignment horizontal="center"/>
    </xf>
    <xf numFmtId="3" fontId="1" fillId="9" borderId="20" xfId="0" applyNumberFormat="1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3" fontId="1" fillId="15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Partner Payout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[FinancialPlanning.xlsx]PartnerPayoutStructure!$X$4:$Z$42</c:f>
              <c:multiLvlStrCache>
                <c:ptCount val="39"/>
                <c:lvl>
                  <c:pt idx="0">
                    <c:v>21,272</c:v>
                  </c:pt>
                  <c:pt idx="1">
                    <c:v>27,507</c:v>
                  </c:pt>
                  <c:pt idx="2">
                    <c:v>2,201</c:v>
                  </c:pt>
                  <c:pt idx="3">
                    <c:v>52,821</c:v>
                  </c:pt>
                  <c:pt idx="4">
                    <c:v>23,228</c:v>
                  </c:pt>
                  <c:pt idx="5">
                    <c:v>30,563</c:v>
                  </c:pt>
                  <c:pt idx="6">
                    <c:v>25,673</c:v>
                  </c:pt>
                  <c:pt idx="7">
                    <c:v>22,923</c:v>
                  </c:pt>
                  <c:pt idx="8">
                    <c:v>19,866</c:v>
                  </c:pt>
                  <c:pt idx="9">
                    <c:v>13,754</c:v>
                  </c:pt>
                  <c:pt idx="10">
                    <c:v>24,451</c:v>
                  </c:pt>
                  <c:pt idx="11">
                    <c:v>38,204</c:v>
                  </c:pt>
                  <c:pt idx="12">
                    <c:v>45,845</c:v>
                  </c:pt>
                  <c:pt idx="13">
                    <c:v>67,239</c:v>
                  </c:pt>
                  <c:pt idx="14">
                    <c:v>15,282</c:v>
                  </c:pt>
                  <c:pt idx="15">
                    <c:v>80,687</c:v>
                  </c:pt>
                  <c:pt idx="16">
                    <c:v>95,358</c:v>
                  </c:pt>
                  <c:pt idx="17">
                    <c:v>84,355</c:v>
                  </c:pt>
                  <c:pt idx="18">
                    <c:v>69,685</c:v>
                  </c:pt>
                  <c:pt idx="19">
                    <c:v>55,014</c:v>
                  </c:pt>
                  <c:pt idx="20">
                    <c:v>51,347</c:v>
                  </c:pt>
                  <c:pt idx="21">
                    <c:v>51,347</c:v>
                  </c:pt>
                  <c:pt idx="22">
                    <c:v>47,679</c:v>
                  </c:pt>
                  <c:pt idx="23">
                    <c:v>68,462</c:v>
                  </c:pt>
                  <c:pt idx="24">
                    <c:v>82,521</c:v>
                  </c:pt>
                  <c:pt idx="25">
                    <c:v>137,535</c:v>
                  </c:pt>
                  <c:pt idx="26">
                    <c:v>27,507</c:v>
                  </c:pt>
                  <c:pt idx="27">
                    <c:v>126,647</c:v>
                  </c:pt>
                  <c:pt idx="28">
                    <c:v>241,833</c:v>
                  </c:pt>
                  <c:pt idx="29">
                    <c:v>121,031</c:v>
                  </c:pt>
                  <c:pt idx="30">
                    <c:v>110,028</c:v>
                  </c:pt>
                  <c:pt idx="31">
                    <c:v>96,275</c:v>
                  </c:pt>
                  <c:pt idx="32">
                    <c:v>89,398</c:v>
                  </c:pt>
                  <c:pt idx="33">
                    <c:v>48,687</c:v>
                  </c:pt>
                  <c:pt idx="34">
                    <c:v>59,599</c:v>
                  </c:pt>
                  <c:pt idx="35">
                    <c:v>105,444</c:v>
                  </c:pt>
                  <c:pt idx="36">
                    <c:v>206,303</c:v>
                  </c:pt>
                  <c:pt idx="37">
                    <c:v>275,071</c:v>
                  </c:pt>
                  <c:pt idx="38">
                    <c:v>46,945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  <c:pt idx="32">
                    <c:v>2024</c:v>
                  </c:pt>
                  <c:pt idx="33">
                    <c:v>2024</c:v>
                  </c:pt>
                  <c:pt idx="34">
                    <c:v>2024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2025</c:v>
                  </c:pt>
                  <c:pt idx="38">
                    <c:v>2025</c:v>
                  </c:pt>
                </c:lvl>
              </c:multiLvlStrCache>
            </c:multiLvlStrRef>
          </c:xVal>
          <c:yVal>
            <c:numRef>
              <c:f>PartnerPayoutStructure!$AD$4:$AD$42</c:f>
              <c:numCache>
                <c:formatCode>#,##0</c:formatCode>
                <c:ptCount val="39"/>
                <c:pt idx="0">
                  <c:v>10636.063200000001</c:v>
                </c:pt>
                <c:pt idx="1">
                  <c:v>13753.53</c:v>
                </c:pt>
                <c:pt idx="2">
                  <c:v>1100.2824000000001</c:v>
                </c:pt>
                <c:pt idx="3">
                  <c:v>26410.524000000005</c:v>
                </c:pt>
                <c:pt idx="4">
                  <c:v>11614.092000000001</c:v>
                </c:pt>
                <c:pt idx="5">
                  <c:v>15281.7</c:v>
                </c:pt>
                <c:pt idx="6">
                  <c:v>18154.659599999999</c:v>
                </c:pt>
                <c:pt idx="7">
                  <c:v>18338.039999999997</c:v>
                </c:pt>
                <c:pt idx="8">
                  <c:v>10483.246199999998</c:v>
                </c:pt>
                <c:pt idx="9">
                  <c:v>20082.026999999998</c:v>
                </c:pt>
                <c:pt idx="10">
                  <c:v>18032.405999999995</c:v>
                </c:pt>
                <c:pt idx="11">
                  <c:v>26742.974999999999</c:v>
                </c:pt>
                <c:pt idx="12">
                  <c:v>34658.895599999996</c:v>
                </c:pt>
                <c:pt idx="13">
                  <c:v>46227.142500000002</c:v>
                </c:pt>
                <c:pt idx="14">
                  <c:v>13157.5437</c:v>
                </c:pt>
                <c:pt idx="15">
                  <c:v>56987.332500000004</c:v>
                </c:pt>
                <c:pt idx="16">
                  <c:v>59598.630000000005</c:v>
                </c:pt>
                <c:pt idx="17">
                  <c:v>59369.404499999997</c:v>
                </c:pt>
                <c:pt idx="18">
                  <c:v>52721.864999999998</c:v>
                </c:pt>
                <c:pt idx="19">
                  <c:v>50047.567500000005</c:v>
                </c:pt>
                <c:pt idx="20">
                  <c:v>34460.233500000002</c:v>
                </c:pt>
                <c:pt idx="21">
                  <c:v>49283.482500000006</c:v>
                </c:pt>
                <c:pt idx="22">
                  <c:v>53791.584000000003</c:v>
                </c:pt>
                <c:pt idx="23">
                  <c:v>64870.816500000001</c:v>
                </c:pt>
                <c:pt idx="24">
                  <c:v>70143.002999999982</c:v>
                </c:pt>
                <c:pt idx="25">
                  <c:v>99331.049999999988</c:v>
                </c:pt>
                <c:pt idx="26">
                  <c:v>30410.583000000002</c:v>
                </c:pt>
                <c:pt idx="27">
                  <c:v>96332.016374999992</c:v>
                </c:pt>
                <c:pt idx="28">
                  <c:v>156675.62924999997</c:v>
                </c:pt>
                <c:pt idx="29">
                  <c:v>98719.781999999992</c:v>
                </c:pt>
                <c:pt idx="30">
                  <c:v>93065.552999999985</c:v>
                </c:pt>
                <c:pt idx="31">
                  <c:v>96274.709999999992</c:v>
                </c:pt>
                <c:pt idx="32">
                  <c:v>64412.3655</c:v>
                </c:pt>
                <c:pt idx="33">
                  <c:v>68842.148287499993</c:v>
                </c:pt>
                <c:pt idx="34">
                  <c:v>102177.26662499999</c:v>
                </c:pt>
                <c:pt idx="35">
                  <c:v>100095.13500000001</c:v>
                </c:pt>
                <c:pt idx="36">
                  <c:v>151288.82999999999</c:v>
                </c:pt>
                <c:pt idx="37">
                  <c:v>195987.80249999999</c:v>
                </c:pt>
                <c:pt idx="38">
                  <c:v>52698.942450000002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325056"/>
        <c:axId val="1494325600"/>
      </c:scatterChart>
      <c:valAx>
        <c:axId val="149432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25600"/>
        <c:crosses val="autoZero"/>
        <c:crossBetween val="midCat"/>
      </c:valAx>
      <c:valAx>
        <c:axId val="14943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2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Profit Margin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PartnerPayoutStructure!$AG$3</c:f>
              <c:strCache>
                <c:ptCount val="1"/>
                <c:pt idx="0">
                  <c:v>Profit Margin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[FinancialPlanning.xlsx]PartnerPayoutStructure!$X$4:$Z$42</c:f>
              <c:multiLvlStrCache>
                <c:ptCount val="39"/>
                <c:lvl>
                  <c:pt idx="0">
                    <c:v>21,272</c:v>
                  </c:pt>
                  <c:pt idx="1">
                    <c:v>27,507</c:v>
                  </c:pt>
                  <c:pt idx="2">
                    <c:v>2,201</c:v>
                  </c:pt>
                  <c:pt idx="3">
                    <c:v>52,821</c:v>
                  </c:pt>
                  <c:pt idx="4">
                    <c:v>23,228</c:v>
                  </c:pt>
                  <c:pt idx="5">
                    <c:v>30,563</c:v>
                  </c:pt>
                  <c:pt idx="6">
                    <c:v>25,673</c:v>
                  </c:pt>
                  <c:pt idx="7">
                    <c:v>22,923</c:v>
                  </c:pt>
                  <c:pt idx="8">
                    <c:v>19,866</c:v>
                  </c:pt>
                  <c:pt idx="9">
                    <c:v>13,754</c:v>
                  </c:pt>
                  <c:pt idx="10">
                    <c:v>24,451</c:v>
                  </c:pt>
                  <c:pt idx="11">
                    <c:v>38,204</c:v>
                  </c:pt>
                  <c:pt idx="12">
                    <c:v>45,845</c:v>
                  </c:pt>
                  <c:pt idx="13">
                    <c:v>67,239</c:v>
                  </c:pt>
                  <c:pt idx="14">
                    <c:v>15,282</c:v>
                  </c:pt>
                  <c:pt idx="15">
                    <c:v>80,687</c:v>
                  </c:pt>
                  <c:pt idx="16">
                    <c:v>95,358</c:v>
                  </c:pt>
                  <c:pt idx="17">
                    <c:v>84,355</c:v>
                  </c:pt>
                  <c:pt idx="18">
                    <c:v>69,685</c:v>
                  </c:pt>
                  <c:pt idx="19">
                    <c:v>55,014</c:v>
                  </c:pt>
                  <c:pt idx="20">
                    <c:v>51,347</c:v>
                  </c:pt>
                  <c:pt idx="21">
                    <c:v>51,347</c:v>
                  </c:pt>
                  <c:pt idx="22">
                    <c:v>47,679</c:v>
                  </c:pt>
                  <c:pt idx="23">
                    <c:v>68,462</c:v>
                  </c:pt>
                  <c:pt idx="24">
                    <c:v>82,521</c:v>
                  </c:pt>
                  <c:pt idx="25">
                    <c:v>137,535</c:v>
                  </c:pt>
                  <c:pt idx="26">
                    <c:v>27,507</c:v>
                  </c:pt>
                  <c:pt idx="27">
                    <c:v>126,647</c:v>
                  </c:pt>
                  <c:pt idx="28">
                    <c:v>241,833</c:v>
                  </c:pt>
                  <c:pt idx="29">
                    <c:v>121,031</c:v>
                  </c:pt>
                  <c:pt idx="30">
                    <c:v>110,028</c:v>
                  </c:pt>
                  <c:pt idx="31">
                    <c:v>96,275</c:v>
                  </c:pt>
                  <c:pt idx="32">
                    <c:v>89,398</c:v>
                  </c:pt>
                  <c:pt idx="33">
                    <c:v>48,687</c:v>
                  </c:pt>
                  <c:pt idx="34">
                    <c:v>59,599</c:v>
                  </c:pt>
                  <c:pt idx="35">
                    <c:v>105,444</c:v>
                  </c:pt>
                  <c:pt idx="36">
                    <c:v>206,303</c:v>
                  </c:pt>
                  <c:pt idx="37">
                    <c:v>275,071</c:v>
                  </c:pt>
                  <c:pt idx="38">
                    <c:v>46,945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  <c:pt idx="32">
                    <c:v>2024</c:v>
                  </c:pt>
                  <c:pt idx="33">
                    <c:v>2024</c:v>
                  </c:pt>
                  <c:pt idx="34">
                    <c:v>2024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2025</c:v>
                  </c:pt>
                  <c:pt idx="38">
                    <c:v>2025</c:v>
                  </c:pt>
                </c:lvl>
              </c:multiLvlStrCache>
            </c:multiLvlStrRef>
          </c:xVal>
          <c:yVal>
            <c:numRef>
              <c:f>PartnerPayoutStructure!$AG$4:$AG$42</c:f>
              <c:numCache>
                <c:formatCode>#,##0</c:formatCode>
                <c:ptCount val="39"/>
                <c:pt idx="0">
                  <c:v>33765.279999999999</c:v>
                </c:pt>
                <c:pt idx="1">
                  <c:v>43662</c:v>
                </c:pt>
                <c:pt idx="2">
                  <c:v>3492.96</c:v>
                </c:pt>
                <c:pt idx="3">
                  <c:v>122653.6</c:v>
                </c:pt>
                <c:pt idx="4">
                  <c:v>66366.240000000005</c:v>
                </c:pt>
                <c:pt idx="5">
                  <c:v>87324</c:v>
                </c:pt>
                <c:pt idx="6">
                  <c:v>73352.159999999989</c:v>
                </c:pt>
                <c:pt idx="7">
                  <c:v>65492.999999999993</c:v>
                </c:pt>
                <c:pt idx="8">
                  <c:v>56760.599999999991</c:v>
                </c:pt>
                <c:pt idx="9">
                  <c:v>39295.799999999996</c:v>
                </c:pt>
                <c:pt idx="10">
                  <c:v>69859.199999999997</c:v>
                </c:pt>
                <c:pt idx="11">
                  <c:v>109155</c:v>
                </c:pt>
                <c:pt idx="12">
                  <c:v>218310</c:v>
                </c:pt>
                <c:pt idx="13">
                  <c:v>320188</c:v>
                </c:pt>
                <c:pt idx="14">
                  <c:v>72770</c:v>
                </c:pt>
                <c:pt idx="15">
                  <c:v>384225.6</c:v>
                </c:pt>
                <c:pt idx="16">
                  <c:v>454084.8</c:v>
                </c:pt>
                <c:pt idx="17">
                  <c:v>401690.4</c:v>
                </c:pt>
                <c:pt idx="18">
                  <c:v>331831.2</c:v>
                </c:pt>
                <c:pt idx="19">
                  <c:v>261972</c:v>
                </c:pt>
                <c:pt idx="20">
                  <c:v>244507.2</c:v>
                </c:pt>
                <c:pt idx="21">
                  <c:v>244507.2</c:v>
                </c:pt>
                <c:pt idx="22">
                  <c:v>227042.4</c:v>
                </c:pt>
                <c:pt idx="23">
                  <c:v>326009.59999999998</c:v>
                </c:pt>
                <c:pt idx="24">
                  <c:v>654929.99999999988</c:v>
                </c:pt>
                <c:pt idx="25">
                  <c:v>1091550</c:v>
                </c:pt>
                <c:pt idx="26">
                  <c:v>218310</c:v>
                </c:pt>
                <c:pt idx="27">
                  <c:v>1005135.625</c:v>
                </c:pt>
                <c:pt idx="28">
                  <c:v>1919308.75</c:v>
                </c:pt>
                <c:pt idx="29">
                  <c:v>960564</c:v>
                </c:pt>
                <c:pt idx="30">
                  <c:v>873240</c:v>
                </c:pt>
                <c:pt idx="31">
                  <c:v>764085</c:v>
                </c:pt>
                <c:pt idx="32">
                  <c:v>709507.5</c:v>
                </c:pt>
                <c:pt idx="33">
                  <c:v>386408.7</c:v>
                </c:pt>
                <c:pt idx="34">
                  <c:v>473005</c:v>
                </c:pt>
                <c:pt idx="35">
                  <c:v>836855</c:v>
                </c:pt>
                <c:pt idx="36">
                  <c:v>1637325</c:v>
                </c:pt>
                <c:pt idx="37">
                  <c:v>2183100</c:v>
                </c:pt>
                <c:pt idx="38">
                  <c:v>372582.40000000002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333760"/>
        <c:axId val="1494323968"/>
      </c:scatterChart>
      <c:valAx>
        <c:axId val="149433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23968"/>
        <c:crosses val="autoZero"/>
        <c:crossBetween val="midCat"/>
      </c:valAx>
      <c:valAx>
        <c:axId val="14943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3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Target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multiLvlStrRef>
              <c:f>[FinancialPlanning.xlsx]PartnerPayoutStructure!$X$4:$Z$42</c:f>
              <c:multiLvlStrCache>
                <c:ptCount val="39"/>
                <c:lvl>
                  <c:pt idx="0">
                    <c:v>21,272</c:v>
                  </c:pt>
                  <c:pt idx="1">
                    <c:v>27,507</c:v>
                  </c:pt>
                  <c:pt idx="2">
                    <c:v>2,201</c:v>
                  </c:pt>
                  <c:pt idx="3">
                    <c:v>52,821</c:v>
                  </c:pt>
                  <c:pt idx="4">
                    <c:v>23,228</c:v>
                  </c:pt>
                  <c:pt idx="5">
                    <c:v>30,563</c:v>
                  </c:pt>
                  <c:pt idx="6">
                    <c:v>25,673</c:v>
                  </c:pt>
                  <c:pt idx="7">
                    <c:v>22,923</c:v>
                  </c:pt>
                  <c:pt idx="8">
                    <c:v>19,866</c:v>
                  </c:pt>
                  <c:pt idx="9">
                    <c:v>13,754</c:v>
                  </c:pt>
                  <c:pt idx="10">
                    <c:v>24,451</c:v>
                  </c:pt>
                  <c:pt idx="11">
                    <c:v>38,204</c:v>
                  </c:pt>
                  <c:pt idx="12">
                    <c:v>45,845</c:v>
                  </c:pt>
                  <c:pt idx="13">
                    <c:v>67,239</c:v>
                  </c:pt>
                  <c:pt idx="14">
                    <c:v>15,282</c:v>
                  </c:pt>
                  <c:pt idx="15">
                    <c:v>80,687</c:v>
                  </c:pt>
                  <c:pt idx="16">
                    <c:v>95,358</c:v>
                  </c:pt>
                  <c:pt idx="17">
                    <c:v>84,355</c:v>
                  </c:pt>
                  <c:pt idx="18">
                    <c:v>69,685</c:v>
                  </c:pt>
                  <c:pt idx="19">
                    <c:v>55,014</c:v>
                  </c:pt>
                  <c:pt idx="20">
                    <c:v>51,347</c:v>
                  </c:pt>
                  <c:pt idx="21">
                    <c:v>51,347</c:v>
                  </c:pt>
                  <c:pt idx="22">
                    <c:v>47,679</c:v>
                  </c:pt>
                  <c:pt idx="23">
                    <c:v>68,462</c:v>
                  </c:pt>
                  <c:pt idx="24">
                    <c:v>82,521</c:v>
                  </c:pt>
                  <c:pt idx="25">
                    <c:v>137,535</c:v>
                  </c:pt>
                  <c:pt idx="26">
                    <c:v>27,507</c:v>
                  </c:pt>
                  <c:pt idx="27">
                    <c:v>126,647</c:v>
                  </c:pt>
                  <c:pt idx="28">
                    <c:v>241,833</c:v>
                  </c:pt>
                  <c:pt idx="29">
                    <c:v>121,031</c:v>
                  </c:pt>
                  <c:pt idx="30">
                    <c:v>110,028</c:v>
                  </c:pt>
                  <c:pt idx="31">
                    <c:v>96,275</c:v>
                  </c:pt>
                  <c:pt idx="32">
                    <c:v>89,398</c:v>
                  </c:pt>
                  <c:pt idx="33">
                    <c:v>48,687</c:v>
                  </c:pt>
                  <c:pt idx="34">
                    <c:v>59,599</c:v>
                  </c:pt>
                  <c:pt idx="35">
                    <c:v>105,444</c:v>
                  </c:pt>
                  <c:pt idx="36">
                    <c:v>206,303</c:v>
                  </c:pt>
                  <c:pt idx="37">
                    <c:v>275,071</c:v>
                  </c:pt>
                  <c:pt idx="38">
                    <c:v>46,945</c:v>
                  </c:pt>
                </c:lvl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</c:lvl>
                <c:lvl>
                  <c:pt idx="0">
                    <c:v>2022</c:v>
                  </c:pt>
                  <c:pt idx="1">
                    <c:v>2022</c:v>
                  </c:pt>
                  <c:pt idx="2">
                    <c:v>2022</c:v>
                  </c:pt>
                  <c:pt idx="3">
                    <c:v>2022</c:v>
                  </c:pt>
                  <c:pt idx="4">
                    <c:v>2022</c:v>
                  </c:pt>
                  <c:pt idx="5">
                    <c:v>2022</c:v>
                  </c:pt>
                  <c:pt idx="6">
                    <c:v>2022</c:v>
                  </c:pt>
                  <c:pt idx="7">
                    <c:v>2022</c:v>
                  </c:pt>
                  <c:pt idx="8">
                    <c:v>2022</c:v>
                  </c:pt>
                  <c:pt idx="9">
                    <c:v>2022</c:v>
                  </c:pt>
                  <c:pt idx="10">
                    <c:v>2022</c:v>
                  </c:pt>
                  <c:pt idx="11">
                    <c:v>2022</c:v>
                  </c:pt>
                  <c:pt idx="12">
                    <c:v>2023</c:v>
                  </c:pt>
                  <c:pt idx="13">
                    <c:v>2023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2023</c:v>
                  </c:pt>
                  <c:pt idx="17">
                    <c:v>2023</c:v>
                  </c:pt>
                  <c:pt idx="18">
                    <c:v>2023</c:v>
                  </c:pt>
                  <c:pt idx="19">
                    <c:v>2023</c:v>
                  </c:pt>
                  <c:pt idx="20">
                    <c:v>2023</c:v>
                  </c:pt>
                  <c:pt idx="21">
                    <c:v>2023</c:v>
                  </c:pt>
                  <c:pt idx="22">
                    <c:v>2023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2024</c:v>
                  </c:pt>
                  <c:pt idx="26">
                    <c:v>2024</c:v>
                  </c:pt>
                  <c:pt idx="27">
                    <c:v>2024</c:v>
                  </c:pt>
                  <c:pt idx="28">
                    <c:v>2024</c:v>
                  </c:pt>
                  <c:pt idx="29">
                    <c:v>2024</c:v>
                  </c:pt>
                  <c:pt idx="30">
                    <c:v>2024</c:v>
                  </c:pt>
                  <c:pt idx="31">
                    <c:v>2024</c:v>
                  </c:pt>
                  <c:pt idx="32">
                    <c:v>2024</c:v>
                  </c:pt>
                  <c:pt idx="33">
                    <c:v>2024</c:v>
                  </c:pt>
                  <c:pt idx="34">
                    <c:v>2024</c:v>
                  </c:pt>
                  <c:pt idx="35">
                    <c:v>2024</c:v>
                  </c:pt>
                  <c:pt idx="36">
                    <c:v>2025</c:v>
                  </c:pt>
                  <c:pt idx="37">
                    <c:v>2025</c:v>
                  </c:pt>
                  <c:pt idx="38">
                    <c:v>2025</c:v>
                  </c:pt>
                </c:lvl>
              </c:multiLvlStrCache>
            </c:multiLvlStrRef>
          </c:xVal>
          <c:yVal>
            <c:numRef>
              <c:f>PartnerPayoutStructure!$AF$4:$AF$42</c:f>
              <c:numCache>
                <c:formatCode>#,##0</c:formatCode>
                <c:ptCount val="39"/>
                <c:pt idx="0">
                  <c:v>84</c:v>
                </c:pt>
                <c:pt idx="1">
                  <c:v>70</c:v>
                </c:pt>
                <c:pt idx="2">
                  <c:v>4</c:v>
                </c:pt>
                <c:pt idx="3">
                  <c:v>240</c:v>
                </c:pt>
                <c:pt idx="4">
                  <c:v>76</c:v>
                </c:pt>
                <c:pt idx="5">
                  <c:v>100</c:v>
                </c:pt>
                <c:pt idx="6">
                  <c:v>84</c:v>
                </c:pt>
                <c:pt idx="7">
                  <c:v>75</c:v>
                </c:pt>
                <c:pt idx="8">
                  <c:v>65</c:v>
                </c:pt>
                <c:pt idx="9">
                  <c:v>45</c:v>
                </c:pt>
                <c:pt idx="10">
                  <c:v>80</c:v>
                </c:pt>
                <c:pt idx="11">
                  <c:v>105</c:v>
                </c:pt>
                <c:pt idx="12">
                  <c:v>125</c:v>
                </c:pt>
                <c:pt idx="13">
                  <c:v>150</c:v>
                </c:pt>
                <c:pt idx="14">
                  <c:v>25</c:v>
                </c:pt>
                <c:pt idx="15">
                  <c:v>220</c:v>
                </c:pt>
                <c:pt idx="16">
                  <c:v>260</c:v>
                </c:pt>
                <c:pt idx="17">
                  <c:v>230</c:v>
                </c:pt>
                <c:pt idx="18">
                  <c:v>190</c:v>
                </c:pt>
                <c:pt idx="19">
                  <c:v>150</c:v>
                </c:pt>
                <c:pt idx="20">
                  <c:v>140</c:v>
                </c:pt>
                <c:pt idx="21">
                  <c:v>140</c:v>
                </c:pt>
                <c:pt idx="22">
                  <c:v>130</c:v>
                </c:pt>
                <c:pt idx="23">
                  <c:v>160</c:v>
                </c:pt>
                <c:pt idx="24">
                  <c:v>225</c:v>
                </c:pt>
                <c:pt idx="25">
                  <c:v>300</c:v>
                </c:pt>
                <c:pt idx="26">
                  <c:v>60</c:v>
                </c:pt>
                <c:pt idx="27">
                  <c:v>425</c:v>
                </c:pt>
                <c:pt idx="28">
                  <c:v>850</c:v>
                </c:pt>
                <c:pt idx="29">
                  <c:v>440</c:v>
                </c:pt>
                <c:pt idx="30">
                  <c:v>400</c:v>
                </c:pt>
                <c:pt idx="31">
                  <c:v>350</c:v>
                </c:pt>
                <c:pt idx="32">
                  <c:v>325</c:v>
                </c:pt>
                <c:pt idx="33">
                  <c:v>177</c:v>
                </c:pt>
                <c:pt idx="34">
                  <c:v>200</c:v>
                </c:pt>
                <c:pt idx="35">
                  <c:v>300</c:v>
                </c:pt>
                <c:pt idx="36">
                  <c:v>450</c:v>
                </c:pt>
                <c:pt idx="37">
                  <c:v>600</c:v>
                </c:pt>
                <c:pt idx="38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329408"/>
        <c:axId val="1494329952"/>
      </c:scatterChart>
      <c:valAx>
        <c:axId val="149432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29952"/>
        <c:crosses val="autoZero"/>
        <c:crossBetween val="midCat"/>
      </c:valAx>
      <c:valAx>
        <c:axId val="149432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32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13606</xdr:rowOff>
    </xdr:from>
    <xdr:to>
      <xdr:col>10</xdr:col>
      <xdr:colOff>421822</xdr:colOff>
      <xdr:row>14</xdr:row>
      <xdr:rowOff>54429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27216</xdr:colOff>
      <xdr:row>14</xdr:row>
      <xdr:rowOff>68034</xdr:rowOff>
    </xdr:from>
    <xdr:to>
      <xdr:col>10</xdr:col>
      <xdr:colOff>421823</xdr:colOff>
      <xdr:row>29</xdr:row>
      <xdr:rowOff>54429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435431</xdr:colOff>
      <xdr:row>1</xdr:row>
      <xdr:rowOff>13607</xdr:rowOff>
    </xdr:from>
    <xdr:to>
      <xdr:col>19</xdr:col>
      <xdr:colOff>190500</xdr:colOff>
      <xdr:row>14</xdr:row>
      <xdr:rowOff>81643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176893</xdr:colOff>
      <xdr:row>13</xdr:row>
      <xdr:rowOff>0</xdr:rowOff>
    </xdr:from>
    <xdr:to>
      <xdr:col>15</xdr:col>
      <xdr:colOff>353786</xdr:colOff>
      <xdr:row>14</xdr:row>
      <xdr:rowOff>40822</xdr:rowOff>
    </xdr:to>
    <xdr:sp macro="" textlink="">
      <xdr:nvSpPr>
        <xdr:cNvPr id="5" name="TextBox 4"/>
        <xdr:cNvSpPr txBox="1"/>
      </xdr:nvSpPr>
      <xdr:spPr>
        <a:xfrm>
          <a:off x="8749393" y="2476500"/>
          <a:ext cx="78921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Months</a:t>
          </a:r>
        </a:p>
      </xdr:txBody>
    </xdr:sp>
    <xdr:clientData/>
  </xdr:twoCellAnchor>
  <xdr:twoCellAnchor>
    <xdr:from>
      <xdr:col>4</xdr:col>
      <xdr:colOff>601449</xdr:colOff>
      <xdr:row>12</xdr:row>
      <xdr:rowOff>152402</xdr:rowOff>
    </xdr:from>
    <xdr:to>
      <xdr:col>6</xdr:col>
      <xdr:colOff>166020</xdr:colOff>
      <xdr:row>14</xdr:row>
      <xdr:rowOff>2724</xdr:rowOff>
    </xdr:to>
    <xdr:sp macro="" textlink="">
      <xdr:nvSpPr>
        <xdr:cNvPr id="6" name="TextBox 5"/>
        <xdr:cNvSpPr txBox="1"/>
      </xdr:nvSpPr>
      <xdr:spPr>
        <a:xfrm>
          <a:off x="3050735" y="2438402"/>
          <a:ext cx="78921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Months</a:t>
          </a:r>
        </a:p>
      </xdr:txBody>
    </xdr:sp>
    <xdr:clientData/>
  </xdr:twoCellAnchor>
  <xdr:twoCellAnchor>
    <xdr:from>
      <xdr:col>5</xdr:col>
      <xdr:colOff>15</xdr:colOff>
      <xdr:row>27</xdr:row>
      <xdr:rowOff>149681</xdr:rowOff>
    </xdr:from>
    <xdr:to>
      <xdr:col>6</xdr:col>
      <xdr:colOff>176907</xdr:colOff>
      <xdr:row>29</xdr:row>
      <xdr:rowOff>3</xdr:rowOff>
    </xdr:to>
    <xdr:sp macro="" textlink="">
      <xdr:nvSpPr>
        <xdr:cNvPr id="7" name="TextBox 6"/>
        <xdr:cNvSpPr txBox="1"/>
      </xdr:nvSpPr>
      <xdr:spPr>
        <a:xfrm>
          <a:off x="3061622" y="5293181"/>
          <a:ext cx="789214" cy="2313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Months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80" zoomScaleNormal="80" workbookViewId="0">
      <selection activeCell="E18" sqref="E18"/>
    </sheetView>
  </sheetViews>
  <sheetFormatPr defaultColWidth="14.42578125" defaultRowHeight="15" x14ac:dyDescent="0.25"/>
  <cols>
    <col min="1" max="1" width="9" style="94" customWidth="1"/>
    <col min="2" max="2" width="7.5703125" style="94" customWidth="1"/>
    <col min="3" max="3" width="10.85546875" style="94" customWidth="1"/>
    <col min="4" max="4" width="11.5703125" style="94" customWidth="1"/>
    <col min="5" max="5" width="53" style="94" customWidth="1"/>
    <col min="6" max="16384" width="14.42578125" style="94"/>
  </cols>
  <sheetData>
    <row r="1" spans="1:5" ht="60" x14ac:dyDescent="0.25">
      <c r="A1" s="111" t="s">
        <v>54</v>
      </c>
      <c r="B1" s="112"/>
      <c r="C1" s="112"/>
      <c r="D1" s="112"/>
      <c r="E1" s="112"/>
    </row>
    <row r="2" spans="1:5" ht="30" x14ac:dyDescent="0.25">
      <c r="A2" s="113" t="s">
        <v>63</v>
      </c>
      <c r="B2" s="112"/>
      <c r="C2" s="112"/>
      <c r="D2" s="112"/>
      <c r="E2" s="112"/>
    </row>
    <row r="3" spans="1:5" ht="18" x14ac:dyDescent="0.25">
      <c r="A3" s="114" t="s">
        <v>55</v>
      </c>
      <c r="B3" s="115"/>
      <c r="C3" s="115"/>
      <c r="D3" s="115"/>
      <c r="E3" s="115"/>
    </row>
    <row r="4" spans="1:5" x14ac:dyDescent="0.25">
      <c r="A4" s="95" t="s">
        <v>56</v>
      </c>
      <c r="B4" s="96" t="s">
        <v>57</v>
      </c>
      <c r="C4" s="96" t="s">
        <v>58</v>
      </c>
      <c r="D4" s="96" t="s">
        <v>59</v>
      </c>
      <c r="E4" s="96" t="s">
        <v>60</v>
      </c>
    </row>
    <row r="5" spans="1:5" x14ac:dyDescent="0.25">
      <c r="A5" s="97" t="s">
        <v>71</v>
      </c>
      <c r="B5" s="98" t="s">
        <v>61</v>
      </c>
      <c r="C5" s="99"/>
      <c r="D5" s="100">
        <v>44239</v>
      </c>
      <c r="E5" s="98" t="s">
        <v>62</v>
      </c>
    </row>
    <row r="6" spans="1:5" ht="91.5" x14ac:dyDescent="0.25">
      <c r="A6" s="97" t="s">
        <v>70</v>
      </c>
      <c r="B6" s="99" t="s">
        <v>61</v>
      </c>
      <c r="C6" s="99"/>
      <c r="D6" s="101">
        <v>44240</v>
      </c>
      <c r="E6" s="99" t="s">
        <v>72</v>
      </c>
    </row>
    <row r="7" spans="1:5" x14ac:dyDescent="0.25">
      <c r="A7" s="97" t="s">
        <v>73</v>
      </c>
      <c r="B7" s="99" t="s">
        <v>61</v>
      </c>
      <c r="C7" s="99"/>
      <c r="D7" s="101">
        <v>44240</v>
      </c>
      <c r="E7" s="99" t="s">
        <v>74</v>
      </c>
    </row>
    <row r="8" spans="1:5" x14ac:dyDescent="0.25">
      <c r="A8" s="97"/>
      <c r="B8" s="99"/>
      <c r="C8" s="99"/>
      <c r="D8" s="99"/>
      <c r="E8" s="99"/>
    </row>
    <row r="9" spans="1:5" x14ac:dyDescent="0.25">
      <c r="A9" s="97"/>
      <c r="B9" s="99"/>
      <c r="C9" s="99"/>
      <c r="D9" s="99"/>
      <c r="E9" s="99"/>
    </row>
    <row r="10" spans="1:5" x14ac:dyDescent="0.25">
      <c r="A10" s="97"/>
      <c r="B10" s="99"/>
      <c r="C10" s="99"/>
      <c r="D10" s="99"/>
      <c r="E10" s="99"/>
    </row>
    <row r="11" spans="1:5" x14ac:dyDescent="0.25">
      <c r="A11" s="97"/>
      <c r="B11" s="99"/>
      <c r="C11" s="99"/>
      <c r="D11" s="99"/>
      <c r="E11" s="99"/>
    </row>
    <row r="12" spans="1:5" x14ac:dyDescent="0.25">
      <c r="A12" s="97"/>
      <c r="B12" s="99"/>
      <c r="C12" s="99"/>
      <c r="D12" s="99"/>
      <c r="E12" s="99"/>
    </row>
    <row r="13" spans="1:5" x14ac:dyDescent="0.25">
      <c r="A13" s="97"/>
      <c r="B13" s="99"/>
      <c r="C13" s="99"/>
      <c r="D13" s="99"/>
      <c r="E13" s="99"/>
    </row>
  </sheetData>
  <mergeCells count="3">
    <mergeCell ref="A1:E1"/>
    <mergeCell ref="A2:E2"/>
    <mergeCell ref="A3:E3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H33"/>
  <sheetViews>
    <sheetView topLeftCell="A2" zoomScale="70" zoomScaleNormal="70" workbookViewId="0">
      <pane xSplit="4" ySplit="1" topLeftCell="E3" activePane="bottomRight" state="frozen"/>
      <selection activeCell="A2" sqref="A2"/>
      <selection pane="topRight" activeCell="E2" sqref="E2"/>
      <selection pane="bottomLeft" activeCell="A3" sqref="A3"/>
      <selection pane="bottomRight" activeCell="C13" sqref="C13"/>
    </sheetView>
  </sheetViews>
  <sheetFormatPr defaultRowHeight="15" x14ac:dyDescent="0.25"/>
  <cols>
    <col min="1" max="1" width="3.42578125" customWidth="1"/>
    <col min="2" max="2" width="24.85546875" bestFit="1" customWidth="1"/>
    <col min="3" max="3" width="13.85546875" bestFit="1" customWidth="1"/>
    <col min="4" max="4" width="14.28515625" bestFit="1" customWidth="1"/>
    <col min="5" max="5" width="12.140625" customWidth="1"/>
    <col min="6" max="6" width="12.28515625" customWidth="1"/>
    <col min="7" max="7" width="6.42578125" customWidth="1"/>
    <col min="8" max="8" width="14.42578125" bestFit="1" customWidth="1"/>
    <col min="9" max="9" width="6.7109375" bestFit="1" customWidth="1"/>
    <col min="10" max="10" width="11.140625" bestFit="1" customWidth="1"/>
    <col min="11" max="11" width="8.140625" bestFit="1" customWidth="1"/>
    <col min="12" max="12" width="12" bestFit="1" customWidth="1"/>
    <col min="13" max="13" width="7.7109375" bestFit="1" customWidth="1"/>
    <col min="14" max="14" width="11" bestFit="1" customWidth="1"/>
    <col min="15" max="15" width="7.7109375" bestFit="1" customWidth="1"/>
    <col min="16" max="16" width="11" bestFit="1" customWidth="1"/>
    <col min="17" max="17" width="6.85546875" bestFit="1" customWidth="1"/>
    <col min="18" max="18" width="11" bestFit="1" customWidth="1"/>
    <col min="19" max="19" width="6.85546875" bestFit="1" customWidth="1"/>
    <col min="20" max="20" width="11" bestFit="1" customWidth="1"/>
    <col min="21" max="21" width="11.7109375" bestFit="1" customWidth="1"/>
    <col min="22" max="22" width="13" bestFit="1" customWidth="1"/>
    <col min="23" max="23" width="13.140625" bestFit="1" customWidth="1"/>
    <col min="24" max="24" width="13" bestFit="1" customWidth="1"/>
    <col min="25" max="25" width="11" bestFit="1" customWidth="1"/>
    <col min="26" max="26" width="12.5703125" customWidth="1"/>
    <col min="27" max="27" width="11.140625" customWidth="1"/>
    <col min="28" max="28" width="10.140625" customWidth="1"/>
    <col min="29" max="29" width="11.7109375" customWidth="1"/>
    <col min="30" max="30" width="10.140625" customWidth="1"/>
    <col min="31" max="31" width="11" bestFit="1" customWidth="1"/>
    <col min="32" max="33" width="10.7109375" bestFit="1" customWidth="1"/>
    <col min="34" max="34" width="8.85546875" bestFit="1" customWidth="1"/>
    <col min="35" max="35" width="10" bestFit="1" customWidth="1"/>
    <col min="36" max="36" width="9.28515625" bestFit="1" customWidth="1"/>
    <col min="37" max="37" width="10" bestFit="1" customWidth="1"/>
    <col min="38" max="38" width="9.85546875" bestFit="1" customWidth="1"/>
    <col min="39" max="39" width="11" bestFit="1" customWidth="1"/>
    <col min="40" max="40" width="12.7109375" customWidth="1"/>
    <col min="41" max="41" width="14.7109375" customWidth="1"/>
    <col min="42" max="42" width="14.42578125" customWidth="1"/>
    <col min="43" max="43" width="12.42578125" bestFit="1" customWidth="1"/>
    <col min="44" max="46" width="10.7109375" bestFit="1" customWidth="1"/>
    <col min="47" max="47" width="8.85546875" bestFit="1" customWidth="1"/>
    <col min="48" max="48" width="10" bestFit="1" customWidth="1"/>
    <col min="49" max="49" width="11.7109375" customWidth="1"/>
    <col min="50" max="50" width="10" bestFit="1" customWidth="1"/>
    <col min="52" max="52" width="10" bestFit="1" customWidth="1"/>
    <col min="53" max="53" width="11.5703125" customWidth="1"/>
    <col min="54" max="54" width="10.7109375" bestFit="1" customWidth="1"/>
    <col min="55" max="55" width="11.5703125" customWidth="1"/>
    <col min="56" max="56" width="10" bestFit="1" customWidth="1"/>
    <col min="57" max="57" width="14.7109375" customWidth="1"/>
    <col min="58" max="58" width="14.28515625" customWidth="1"/>
    <col min="59" max="59" width="10.140625" customWidth="1"/>
    <col min="60" max="60" width="12.42578125" customWidth="1"/>
  </cols>
  <sheetData>
    <row r="1" spans="2:46" ht="15.75" thickBot="1" x14ac:dyDescent="0.3"/>
    <row r="2" spans="2:46" ht="43.5" customHeight="1" thickBot="1" x14ac:dyDescent="0.3">
      <c r="B2" s="116" t="s">
        <v>65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8"/>
      <c r="AQ2" s="2"/>
      <c r="AR2" s="2"/>
      <c r="AS2" s="2"/>
      <c r="AT2" s="2"/>
    </row>
    <row r="3" spans="2:46" ht="15.75" customHeight="1" thickBot="1" x14ac:dyDescent="0.3">
      <c r="AN3" s="162" t="s">
        <v>49</v>
      </c>
      <c r="AO3" s="163"/>
      <c r="AP3" s="164"/>
      <c r="AQ3" s="2"/>
      <c r="AR3" s="2"/>
      <c r="AS3" s="2"/>
    </row>
    <row r="4" spans="2:46" ht="15.75" thickBot="1" x14ac:dyDescent="0.3">
      <c r="E4" s="119" t="s">
        <v>66</v>
      </c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1"/>
      <c r="U4" s="156" t="s">
        <v>51</v>
      </c>
      <c r="V4" s="157"/>
      <c r="W4" s="158"/>
      <c r="AN4" s="165"/>
      <c r="AO4" s="166"/>
      <c r="AP4" s="167"/>
      <c r="AQ4" s="51"/>
      <c r="AR4" s="51"/>
      <c r="AS4" s="51"/>
    </row>
    <row r="5" spans="2:46" ht="15.75" thickBot="1" x14ac:dyDescent="0.3">
      <c r="B5" s="26" t="s">
        <v>17</v>
      </c>
      <c r="C5" s="67" t="s">
        <v>1</v>
      </c>
      <c r="E5" s="122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4"/>
      <c r="U5" s="159"/>
      <c r="V5" s="160"/>
      <c r="W5" s="161"/>
      <c r="X5" s="7"/>
      <c r="AN5" s="204" t="s">
        <v>41</v>
      </c>
      <c r="AO5" s="205"/>
      <c r="AP5" s="201">
        <v>21</v>
      </c>
      <c r="AQ5" s="51"/>
      <c r="AR5" s="51"/>
      <c r="AS5" s="51"/>
    </row>
    <row r="6" spans="2:46" ht="15.75" thickBot="1" x14ac:dyDescent="0.3">
      <c r="B6" s="24" t="s">
        <v>18</v>
      </c>
      <c r="C6" s="68">
        <f>IF($C$5=$L$9,$M$9,IF($C$5=$L$10,$M$10,IF($C$5=$L$11,$M11,IF($C$5=$L$12,$M$12,IF($C$5=$L$13,$M$13,IF($C$5=$L$14,$M$14,$M$15))))))</f>
        <v>1</v>
      </c>
      <c r="E6" s="125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  <c r="U6" s="197" t="s">
        <v>30</v>
      </c>
      <c r="V6" s="198"/>
      <c r="W6" s="73">
        <v>42</v>
      </c>
      <c r="AN6" s="199" t="s">
        <v>42</v>
      </c>
      <c r="AO6" s="206"/>
      <c r="AP6" s="202">
        <v>21</v>
      </c>
      <c r="AQ6" s="51"/>
      <c r="AR6" s="51"/>
      <c r="AS6" s="51"/>
    </row>
    <row r="7" spans="2:46" ht="15.75" thickBot="1" x14ac:dyDescent="0.3">
      <c r="U7" s="199" t="s">
        <v>31</v>
      </c>
      <c r="V7" s="200"/>
      <c r="W7" s="74">
        <v>14</v>
      </c>
      <c r="AN7" s="199" t="s">
        <v>43</v>
      </c>
      <c r="AO7" s="206"/>
      <c r="AP7" s="202">
        <v>2</v>
      </c>
      <c r="AQ7" s="51"/>
      <c r="AR7" s="51"/>
      <c r="AS7" s="51"/>
      <c r="AT7" s="51"/>
    </row>
    <row r="8" spans="2:46" ht="15.75" thickBot="1" x14ac:dyDescent="0.3">
      <c r="B8" s="106" t="s">
        <v>67</v>
      </c>
      <c r="C8" s="105" t="s">
        <v>15</v>
      </c>
      <c r="D8" s="23" t="s">
        <v>8</v>
      </c>
      <c r="L8" s="217" t="s">
        <v>17</v>
      </c>
      <c r="M8" s="218" t="s">
        <v>84</v>
      </c>
      <c r="N8" s="218"/>
      <c r="U8" s="199" t="s">
        <v>32</v>
      </c>
      <c r="V8" s="200"/>
      <c r="W8" s="74">
        <v>7</v>
      </c>
      <c r="AN8" s="199" t="s">
        <v>50</v>
      </c>
      <c r="AO8" s="206"/>
      <c r="AP8" s="202">
        <v>2</v>
      </c>
      <c r="AQ8" s="51"/>
      <c r="AR8" s="51"/>
      <c r="AS8" s="51"/>
      <c r="AT8" s="51"/>
    </row>
    <row r="9" spans="2:46" x14ac:dyDescent="0.25">
      <c r="B9" s="30" t="s">
        <v>2</v>
      </c>
      <c r="C9" s="75">
        <v>93.75</v>
      </c>
      <c r="D9" s="31">
        <f>15*C6</f>
        <v>15</v>
      </c>
      <c r="L9" s="219" t="s">
        <v>85</v>
      </c>
      <c r="M9" s="168">
        <v>1.29</v>
      </c>
      <c r="N9" s="168"/>
      <c r="U9" s="199" t="s">
        <v>33</v>
      </c>
      <c r="V9" s="200"/>
      <c r="W9" s="74">
        <v>7</v>
      </c>
      <c r="AN9" s="199" t="s">
        <v>128</v>
      </c>
      <c r="AO9" s="206"/>
      <c r="AP9" s="202">
        <v>4</v>
      </c>
      <c r="AQ9" s="51"/>
      <c r="AR9" s="51"/>
      <c r="AS9" s="51"/>
      <c r="AT9" s="51"/>
    </row>
    <row r="10" spans="2:46" ht="15.75" thickBot="1" x14ac:dyDescent="0.3">
      <c r="B10" s="20" t="s">
        <v>4</v>
      </c>
      <c r="C10" s="76">
        <v>87.5</v>
      </c>
      <c r="D10" s="4">
        <f>D9*2</f>
        <v>30</v>
      </c>
      <c r="L10" s="219" t="s">
        <v>83</v>
      </c>
      <c r="M10" s="168">
        <v>72.77</v>
      </c>
      <c r="N10" s="168"/>
      <c r="U10" s="199" t="s">
        <v>34</v>
      </c>
      <c r="V10" s="200"/>
      <c r="W10" s="74">
        <v>14</v>
      </c>
      <c r="AN10" s="199" t="s">
        <v>45</v>
      </c>
      <c r="AO10" s="206"/>
      <c r="AP10" s="202">
        <v>33</v>
      </c>
      <c r="AQ10" s="51"/>
      <c r="AR10" s="51"/>
      <c r="AS10" s="51"/>
      <c r="AT10" s="51"/>
    </row>
    <row r="11" spans="2:46" x14ac:dyDescent="0.25">
      <c r="B11" s="66" t="s">
        <v>3</v>
      </c>
      <c r="C11" s="107">
        <v>75</v>
      </c>
      <c r="D11" s="108">
        <f>D10*2</f>
        <v>60</v>
      </c>
      <c r="F11" s="132" t="s">
        <v>69</v>
      </c>
      <c r="G11" s="133"/>
      <c r="H11" s="128">
        <f>40*C6</f>
        <v>40</v>
      </c>
      <c r="I11" s="130" t="str">
        <f>C5</f>
        <v>USD</v>
      </c>
      <c r="L11" s="219" t="s">
        <v>86</v>
      </c>
      <c r="M11" s="168">
        <v>0.73</v>
      </c>
      <c r="N11" s="168"/>
      <c r="U11" s="199" t="s">
        <v>35</v>
      </c>
      <c r="V11" s="200"/>
      <c r="W11" s="74">
        <v>2</v>
      </c>
      <c r="AN11" s="199" t="s">
        <v>46</v>
      </c>
      <c r="AO11" s="206"/>
      <c r="AP11" s="202">
        <v>2</v>
      </c>
      <c r="AQ11" s="51"/>
      <c r="AR11" s="51"/>
      <c r="AS11" s="51"/>
      <c r="AT11" s="51"/>
    </row>
    <row r="12" spans="2:46" ht="15.75" thickBot="1" x14ac:dyDescent="0.3">
      <c r="B12" s="20" t="s">
        <v>5</v>
      </c>
      <c r="C12" s="76">
        <v>50</v>
      </c>
      <c r="D12" s="4">
        <f>D11*2</f>
        <v>120</v>
      </c>
      <c r="F12" s="134"/>
      <c r="G12" s="135"/>
      <c r="H12" s="129"/>
      <c r="I12" s="131"/>
      <c r="L12" s="219" t="s">
        <v>82</v>
      </c>
      <c r="M12" s="168">
        <v>6.4</v>
      </c>
      <c r="N12" s="168"/>
      <c r="U12" s="199" t="s">
        <v>36</v>
      </c>
      <c r="V12" s="200"/>
      <c r="W12" s="74">
        <v>4</v>
      </c>
      <c r="AN12" s="199" t="s">
        <v>48</v>
      </c>
      <c r="AO12" s="206"/>
      <c r="AP12" s="202">
        <v>5</v>
      </c>
      <c r="AQ12" s="51"/>
      <c r="AR12" s="51"/>
      <c r="AS12" s="51"/>
      <c r="AT12" s="51"/>
    </row>
    <row r="13" spans="2:46" ht="15.75" thickBot="1" x14ac:dyDescent="0.3">
      <c r="B13" s="21" t="s">
        <v>0</v>
      </c>
      <c r="C13" s="77">
        <v>100</v>
      </c>
      <c r="D13" s="32">
        <f>D12*2</f>
        <v>240</v>
      </c>
      <c r="L13" s="219" t="s">
        <v>87</v>
      </c>
      <c r="M13" s="168">
        <v>0.83</v>
      </c>
      <c r="N13" s="168"/>
      <c r="U13" s="199" t="s">
        <v>37</v>
      </c>
      <c r="V13" s="200"/>
      <c r="W13" s="74">
        <v>10</v>
      </c>
      <c r="AN13" s="207" t="s">
        <v>47</v>
      </c>
      <c r="AO13" s="208"/>
      <c r="AP13" s="203">
        <v>10</v>
      </c>
      <c r="AQ13" s="51"/>
      <c r="AR13" s="51"/>
      <c r="AS13" s="51"/>
      <c r="AT13" s="51"/>
    </row>
    <row r="14" spans="2:46" ht="15.75" thickBot="1" x14ac:dyDescent="0.3">
      <c r="B14" s="27" t="s">
        <v>6</v>
      </c>
      <c r="C14" s="28" t="s">
        <v>14</v>
      </c>
      <c r="D14" s="29">
        <f>D13*2</f>
        <v>480</v>
      </c>
      <c r="L14" s="219" t="s">
        <v>88</v>
      </c>
      <c r="M14" s="168">
        <v>104.95</v>
      </c>
      <c r="N14" s="168"/>
      <c r="U14" s="141"/>
      <c r="V14" s="142"/>
      <c r="W14" s="11">
        <f>SUM(W6:W13)</f>
        <v>100</v>
      </c>
      <c r="AN14" s="169"/>
      <c r="AO14" s="170"/>
      <c r="AP14" s="25">
        <f>SUM(AP5:AP13)</f>
        <v>100</v>
      </c>
      <c r="AQ14" s="51"/>
      <c r="AR14" s="51"/>
      <c r="AS14" s="51"/>
      <c r="AT14" s="51"/>
    </row>
    <row r="15" spans="2:46" x14ac:dyDescent="0.25">
      <c r="B15" s="2"/>
      <c r="C15" s="3"/>
      <c r="D15" s="5"/>
      <c r="L15" s="219" t="s">
        <v>1</v>
      </c>
      <c r="M15" s="168">
        <v>1</v>
      </c>
      <c r="N15" s="168"/>
      <c r="U15" s="220"/>
      <c r="V15" s="220"/>
      <c r="W15" s="51"/>
      <c r="AN15" s="220"/>
      <c r="AO15" s="220"/>
      <c r="AP15" s="51"/>
      <c r="AQ15" s="51"/>
      <c r="AR15" s="51"/>
      <c r="AS15" s="51"/>
      <c r="AT15" s="51"/>
    </row>
    <row r="16" spans="2:46" ht="15.75" thickBot="1" x14ac:dyDescent="0.3">
      <c r="B16" s="2"/>
      <c r="C16" s="3"/>
      <c r="D16" s="5"/>
    </row>
    <row r="17" spans="2:60" ht="15" customHeight="1" thickBot="1" x14ac:dyDescent="0.3">
      <c r="B17" s="150" t="s">
        <v>68</v>
      </c>
      <c r="C17" s="151"/>
      <c r="D17" s="152"/>
      <c r="E17" s="146" t="s">
        <v>40</v>
      </c>
      <c r="F17" s="147"/>
      <c r="G17" s="174" t="s">
        <v>64</v>
      </c>
      <c r="H17" s="175"/>
      <c r="I17" s="146" t="s">
        <v>52</v>
      </c>
      <c r="J17" s="178"/>
      <c r="K17" s="184" t="s">
        <v>28</v>
      </c>
      <c r="L17" s="185"/>
      <c r="M17" s="185"/>
      <c r="N17" s="185"/>
      <c r="O17" s="185"/>
      <c r="P17" s="185"/>
      <c r="Q17" s="185"/>
      <c r="R17" s="185"/>
      <c r="S17" s="185"/>
      <c r="T17" s="186"/>
      <c r="U17" s="143" t="s">
        <v>51</v>
      </c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5"/>
      <c r="AN17" s="171" t="s">
        <v>49</v>
      </c>
      <c r="AO17" s="172"/>
      <c r="AP17" s="172"/>
      <c r="AQ17" s="172"/>
      <c r="AR17" s="172"/>
      <c r="AS17" s="172"/>
      <c r="AT17" s="172"/>
      <c r="AU17" s="172"/>
      <c r="AV17" s="172"/>
      <c r="AW17" s="172"/>
      <c r="AX17" s="172"/>
      <c r="AY17" s="172"/>
      <c r="AZ17" s="172"/>
      <c r="BA17" s="172"/>
      <c r="BB17" s="172"/>
      <c r="BC17" s="172"/>
      <c r="BD17" s="172"/>
      <c r="BE17" s="172"/>
      <c r="BF17" s="172"/>
      <c r="BG17" s="172"/>
      <c r="BH17" s="173"/>
    </row>
    <row r="18" spans="2:60" ht="15.75" thickBot="1" x14ac:dyDescent="0.3">
      <c r="B18" s="153"/>
      <c r="C18" s="154"/>
      <c r="D18" s="155"/>
      <c r="E18" s="148"/>
      <c r="F18" s="149"/>
      <c r="G18" s="176"/>
      <c r="H18" s="177"/>
      <c r="I18" s="179"/>
      <c r="J18" s="180"/>
      <c r="K18" s="136" t="s">
        <v>2</v>
      </c>
      <c r="L18" s="137"/>
      <c r="M18" s="137" t="s">
        <v>23</v>
      </c>
      <c r="N18" s="137"/>
      <c r="O18" s="137" t="s">
        <v>25</v>
      </c>
      <c r="P18" s="137"/>
      <c r="Q18" s="137" t="s">
        <v>24</v>
      </c>
      <c r="R18" s="137"/>
      <c r="S18" s="137" t="s">
        <v>0</v>
      </c>
      <c r="T18" s="140"/>
      <c r="U18" s="194" t="s">
        <v>78</v>
      </c>
      <c r="V18" s="195"/>
      <c r="W18" s="196"/>
      <c r="X18" s="138" t="s">
        <v>30</v>
      </c>
      <c r="Y18" s="139"/>
      <c r="Z18" s="138" t="s">
        <v>31</v>
      </c>
      <c r="AA18" s="139"/>
      <c r="AB18" s="138" t="s">
        <v>32</v>
      </c>
      <c r="AC18" s="139"/>
      <c r="AD18" s="138" t="s">
        <v>33</v>
      </c>
      <c r="AE18" s="139"/>
      <c r="AF18" s="138" t="s">
        <v>34</v>
      </c>
      <c r="AG18" s="139"/>
      <c r="AH18" s="138" t="s">
        <v>35</v>
      </c>
      <c r="AI18" s="139"/>
      <c r="AJ18" s="138" t="s">
        <v>36</v>
      </c>
      <c r="AK18" s="139"/>
      <c r="AL18" s="138" t="s">
        <v>37</v>
      </c>
      <c r="AM18" s="139"/>
      <c r="AN18" s="191" t="s">
        <v>79</v>
      </c>
      <c r="AO18" s="192"/>
      <c r="AP18" s="193"/>
      <c r="AQ18" s="181" t="s">
        <v>41</v>
      </c>
      <c r="AR18" s="182"/>
      <c r="AS18" s="181" t="s">
        <v>42</v>
      </c>
      <c r="AT18" s="182"/>
      <c r="AU18" s="183" t="s">
        <v>43</v>
      </c>
      <c r="AV18" s="182"/>
      <c r="AW18" s="181" t="s">
        <v>50</v>
      </c>
      <c r="AX18" s="182"/>
      <c r="AY18" s="181" t="s">
        <v>44</v>
      </c>
      <c r="AZ18" s="182"/>
      <c r="BA18" s="181" t="s">
        <v>45</v>
      </c>
      <c r="BB18" s="182"/>
      <c r="BC18" s="181" t="s">
        <v>46</v>
      </c>
      <c r="BD18" s="182"/>
      <c r="BE18" s="181" t="s">
        <v>48</v>
      </c>
      <c r="BF18" s="182"/>
      <c r="BG18" s="181" t="s">
        <v>47</v>
      </c>
      <c r="BH18" s="182"/>
    </row>
    <row r="19" spans="2:60" ht="15.75" thickBot="1" x14ac:dyDescent="0.3">
      <c r="B19" s="34"/>
      <c r="C19" s="35" t="s">
        <v>20</v>
      </c>
      <c r="D19" s="36" t="s">
        <v>19</v>
      </c>
      <c r="E19" s="60" t="s">
        <v>38</v>
      </c>
      <c r="F19" s="61" t="s">
        <v>39</v>
      </c>
      <c r="G19" s="87" t="s">
        <v>16</v>
      </c>
      <c r="H19" s="89" t="s">
        <v>53</v>
      </c>
      <c r="I19" s="87" t="s">
        <v>16</v>
      </c>
      <c r="J19" s="88" t="s">
        <v>53</v>
      </c>
      <c r="K19" s="214" t="s">
        <v>26</v>
      </c>
      <c r="L19" s="215" t="s">
        <v>27</v>
      </c>
      <c r="M19" s="215" t="s">
        <v>26</v>
      </c>
      <c r="N19" s="215" t="s">
        <v>27</v>
      </c>
      <c r="O19" s="215" t="s">
        <v>26</v>
      </c>
      <c r="P19" s="215" t="s">
        <v>27</v>
      </c>
      <c r="Q19" s="215" t="s">
        <v>26</v>
      </c>
      <c r="R19" s="215" t="s">
        <v>27</v>
      </c>
      <c r="S19" s="215" t="s">
        <v>26</v>
      </c>
      <c r="T19" s="216" t="s">
        <v>27</v>
      </c>
      <c r="U19" s="9" t="s">
        <v>29</v>
      </c>
      <c r="V19" s="10" t="s">
        <v>21</v>
      </c>
      <c r="W19" s="11" t="s">
        <v>22</v>
      </c>
      <c r="X19" s="9" t="s">
        <v>38</v>
      </c>
      <c r="Y19" s="11" t="s">
        <v>39</v>
      </c>
      <c r="Z19" s="9" t="s">
        <v>38</v>
      </c>
      <c r="AA19" s="11" t="s">
        <v>39</v>
      </c>
      <c r="AB19" s="9" t="s">
        <v>38</v>
      </c>
      <c r="AC19" s="11" t="s">
        <v>39</v>
      </c>
      <c r="AD19" s="9" t="s">
        <v>38</v>
      </c>
      <c r="AE19" s="11" t="s">
        <v>39</v>
      </c>
      <c r="AF19" s="9" t="s">
        <v>38</v>
      </c>
      <c r="AG19" s="11" t="s">
        <v>39</v>
      </c>
      <c r="AH19" s="9" t="s">
        <v>38</v>
      </c>
      <c r="AI19" s="11" t="s">
        <v>39</v>
      </c>
      <c r="AJ19" s="9" t="s">
        <v>38</v>
      </c>
      <c r="AK19" s="11" t="s">
        <v>39</v>
      </c>
      <c r="AL19" s="9" t="s">
        <v>38</v>
      </c>
      <c r="AM19" s="11" t="s">
        <v>39</v>
      </c>
      <c r="AN19" s="9" t="s">
        <v>29</v>
      </c>
      <c r="AO19" s="10" t="s">
        <v>21</v>
      </c>
      <c r="AP19" s="52" t="s">
        <v>22</v>
      </c>
      <c r="AQ19" s="9" t="s">
        <v>38</v>
      </c>
      <c r="AR19" s="11" t="s">
        <v>39</v>
      </c>
      <c r="AS19" s="9" t="s">
        <v>38</v>
      </c>
      <c r="AT19" s="11" t="s">
        <v>39</v>
      </c>
      <c r="AU19" s="55" t="s">
        <v>38</v>
      </c>
      <c r="AV19" s="11" t="s">
        <v>39</v>
      </c>
      <c r="AW19" s="9" t="s">
        <v>38</v>
      </c>
      <c r="AX19" s="11" t="s">
        <v>39</v>
      </c>
      <c r="AY19" s="9" t="s">
        <v>38</v>
      </c>
      <c r="AZ19" s="11" t="s">
        <v>39</v>
      </c>
      <c r="BA19" s="9" t="s">
        <v>38</v>
      </c>
      <c r="BB19" s="11" t="s">
        <v>39</v>
      </c>
      <c r="BC19" s="9" t="s">
        <v>38</v>
      </c>
      <c r="BD19" s="11" t="s">
        <v>39</v>
      </c>
      <c r="BE19" s="9" t="s">
        <v>38</v>
      </c>
      <c r="BF19" s="11" t="s">
        <v>39</v>
      </c>
      <c r="BG19" s="9" t="s">
        <v>38</v>
      </c>
      <c r="BH19" s="11" t="s">
        <v>39</v>
      </c>
    </row>
    <row r="20" spans="2:60" x14ac:dyDescent="0.25">
      <c r="B20" s="63" t="s">
        <v>9</v>
      </c>
      <c r="C20" s="69">
        <v>0</v>
      </c>
      <c r="D20" s="22">
        <f>$C21</f>
        <v>10000</v>
      </c>
      <c r="E20" s="47">
        <v>0</v>
      </c>
      <c r="F20" s="78">
        <v>250</v>
      </c>
      <c r="G20" s="86">
        <f>100-U20-AN20-I20</f>
        <v>20</v>
      </c>
      <c r="H20" s="90">
        <f>D20-J20-W20-AP20</f>
        <v>2000</v>
      </c>
      <c r="I20" s="92">
        <v>20</v>
      </c>
      <c r="J20" s="93">
        <f>D20*I20%</f>
        <v>2000</v>
      </c>
      <c r="K20" s="81">
        <f>$C$20/$D$9</f>
        <v>0</v>
      </c>
      <c r="L20" s="44">
        <f>$D$20/$D$9</f>
        <v>666.66666666666663</v>
      </c>
      <c r="M20" s="44">
        <f>$C$20/$D$10</f>
        <v>0</v>
      </c>
      <c r="N20" s="44">
        <f>$D$20/$D$10</f>
        <v>333.33333333333331</v>
      </c>
      <c r="O20" s="45">
        <f>$C$20/$D$11</f>
        <v>0</v>
      </c>
      <c r="P20" s="45">
        <f>$D$20/$D$11</f>
        <v>166.66666666666666</v>
      </c>
      <c r="Q20" s="44">
        <f>$C$20/$D$12</f>
        <v>0</v>
      </c>
      <c r="R20" s="44">
        <f>$D$20/$D$12</f>
        <v>83.333333333333329</v>
      </c>
      <c r="S20" s="44">
        <f>$C$20/$D$13</f>
        <v>0</v>
      </c>
      <c r="T20" s="46">
        <f>$D$20/$D$13</f>
        <v>41.666666666666664</v>
      </c>
      <c r="U20" s="102">
        <v>30</v>
      </c>
      <c r="V20" s="13">
        <f>$C$20*$U$20%</f>
        <v>0</v>
      </c>
      <c r="W20" s="14">
        <f>$D$20*$U$20%</f>
        <v>3000</v>
      </c>
      <c r="X20" s="12">
        <f t="shared" ref="X20:Y23" si="0">V20*$W$6%</f>
        <v>0</v>
      </c>
      <c r="Y20" s="14">
        <f t="shared" si="0"/>
        <v>1260</v>
      </c>
      <c r="Z20" s="12">
        <f t="shared" ref="Z20:AA23" si="1">V20*$W$7%</f>
        <v>0</v>
      </c>
      <c r="AA20" s="14">
        <f t="shared" si="1"/>
        <v>420.00000000000006</v>
      </c>
      <c r="AB20" s="12">
        <f t="shared" ref="AB20:AC23" si="2">V20*$W$8%</f>
        <v>0</v>
      </c>
      <c r="AC20" s="14">
        <f t="shared" si="2"/>
        <v>210.00000000000003</v>
      </c>
      <c r="AD20" s="12">
        <f t="shared" ref="AD20:AE23" si="3">V20*$W$9%</f>
        <v>0</v>
      </c>
      <c r="AE20" s="14">
        <f t="shared" si="3"/>
        <v>210.00000000000003</v>
      </c>
      <c r="AF20" s="12">
        <f t="shared" ref="AF20:AG23" si="4">V20*$W$10%</f>
        <v>0</v>
      </c>
      <c r="AG20" s="14">
        <f t="shared" si="4"/>
        <v>420.00000000000006</v>
      </c>
      <c r="AH20" s="12">
        <f t="shared" ref="AH20:AI23" si="5">V20*$W$11%</f>
        <v>0</v>
      </c>
      <c r="AI20" s="14">
        <f t="shared" si="5"/>
        <v>60</v>
      </c>
      <c r="AJ20" s="12">
        <f t="shared" ref="AJ20:AK23" si="6">V20*$W$12%</f>
        <v>0</v>
      </c>
      <c r="AK20" s="14">
        <f t="shared" si="6"/>
        <v>120</v>
      </c>
      <c r="AL20" s="12">
        <f t="shared" ref="AL20:AM23" si="7">V20*$W$13%</f>
        <v>0</v>
      </c>
      <c r="AM20" s="14">
        <f t="shared" si="7"/>
        <v>300</v>
      </c>
      <c r="AN20" s="102">
        <v>30</v>
      </c>
      <c r="AO20" s="13">
        <f>$C$20*$AN$20%</f>
        <v>0</v>
      </c>
      <c r="AP20" s="62">
        <f>$D$20*$AN$20%</f>
        <v>3000</v>
      </c>
      <c r="AQ20" s="12">
        <f t="shared" ref="AQ20:AR23" si="8">AO20*$AP$5%</f>
        <v>0</v>
      </c>
      <c r="AR20" s="14">
        <f t="shared" si="8"/>
        <v>630</v>
      </c>
      <c r="AS20" s="12">
        <f t="shared" ref="AS20:AT23" si="9">AO20*$AP$6%</f>
        <v>0</v>
      </c>
      <c r="AT20" s="14">
        <f t="shared" si="9"/>
        <v>630</v>
      </c>
      <c r="AU20" s="56">
        <f t="shared" ref="AU20:AV23" si="10">AO20*$AP$7%</f>
        <v>0</v>
      </c>
      <c r="AV20" s="14">
        <f t="shared" si="10"/>
        <v>60</v>
      </c>
      <c r="AW20" s="12">
        <f t="shared" ref="AW20:AX23" si="11">AO20*$AP$8%</f>
        <v>0</v>
      </c>
      <c r="AX20" s="14">
        <f t="shared" si="11"/>
        <v>60</v>
      </c>
      <c r="AY20" s="12">
        <f t="shared" ref="AY20:AZ23" si="12">AO20*$AP$9%</f>
        <v>0</v>
      </c>
      <c r="AZ20" s="14">
        <f t="shared" si="12"/>
        <v>120</v>
      </c>
      <c r="BA20" s="12">
        <f t="shared" ref="BA20:BB23" si="13">AO20*$AP$10%</f>
        <v>0</v>
      </c>
      <c r="BB20" s="14">
        <f t="shared" si="13"/>
        <v>990</v>
      </c>
      <c r="BC20" s="12">
        <f t="shared" ref="BC20:BD23" si="14">AO20*$AP$11%</f>
        <v>0</v>
      </c>
      <c r="BD20" s="14">
        <f t="shared" si="14"/>
        <v>60</v>
      </c>
      <c r="BE20" s="12">
        <f t="shared" ref="BE20:BF23" si="15">AO20*$AP$12%</f>
        <v>0</v>
      </c>
      <c r="BF20" s="14">
        <f t="shared" si="15"/>
        <v>150</v>
      </c>
      <c r="BG20" s="12">
        <f t="shared" ref="BG20:BH23" si="16">AO20*$AP$13%</f>
        <v>0</v>
      </c>
      <c r="BH20" s="14">
        <f t="shared" si="16"/>
        <v>300</v>
      </c>
    </row>
    <row r="21" spans="2:60" x14ac:dyDescent="0.25">
      <c r="B21" s="64" t="s">
        <v>12</v>
      </c>
      <c r="C21" s="70">
        <f>10000*C6</f>
        <v>10000</v>
      </c>
      <c r="D21" s="4">
        <f>$C22</f>
        <v>40000</v>
      </c>
      <c r="E21" s="48">
        <v>250</v>
      </c>
      <c r="F21" s="79">
        <v>1000</v>
      </c>
      <c r="G21" s="85">
        <f>100-U21-AN21-I21</f>
        <v>30</v>
      </c>
      <c r="H21" s="91">
        <f>D21-J21-W21-AP21</f>
        <v>11000</v>
      </c>
      <c r="I21" s="48">
        <v>20</v>
      </c>
      <c r="J21" s="84">
        <f>D21*I21%</f>
        <v>8000</v>
      </c>
      <c r="K21" s="82">
        <f>$C$21/$D$9</f>
        <v>666.66666666666663</v>
      </c>
      <c r="L21" s="37">
        <f>$D$21/$D$9</f>
        <v>2666.6666666666665</v>
      </c>
      <c r="M21" s="37">
        <f>$C$21/$D$10</f>
        <v>333.33333333333331</v>
      </c>
      <c r="N21" s="37">
        <f>$D$21/$D$10</f>
        <v>1333.3333333333333</v>
      </c>
      <c r="O21" s="38">
        <f>$C$21/$D$11</f>
        <v>166.66666666666666</v>
      </c>
      <c r="P21" s="38">
        <f>$D$21/$D$11</f>
        <v>666.66666666666663</v>
      </c>
      <c r="Q21" s="37">
        <f>$C$21/$D$12</f>
        <v>83.333333333333329</v>
      </c>
      <c r="R21" s="37">
        <f>$D$21/$D$12</f>
        <v>333.33333333333331</v>
      </c>
      <c r="S21" s="37">
        <f>$C$21/$D$13</f>
        <v>41.666666666666664</v>
      </c>
      <c r="T21" s="40">
        <f>$D$21/$D$13</f>
        <v>166.66666666666666</v>
      </c>
      <c r="U21" s="103">
        <v>25</v>
      </c>
      <c r="V21" s="16">
        <f>$W$20</f>
        <v>3000</v>
      </c>
      <c r="W21" s="17">
        <f>$V$21+($D$21-$C$21)*$U$21%</f>
        <v>10500</v>
      </c>
      <c r="X21" s="15">
        <f t="shared" si="0"/>
        <v>1260</v>
      </c>
      <c r="Y21" s="17">
        <f t="shared" si="0"/>
        <v>4410</v>
      </c>
      <c r="Z21" s="15">
        <f t="shared" si="1"/>
        <v>420.00000000000006</v>
      </c>
      <c r="AA21" s="17">
        <f t="shared" si="1"/>
        <v>1470.0000000000002</v>
      </c>
      <c r="AB21" s="15">
        <f t="shared" si="2"/>
        <v>210.00000000000003</v>
      </c>
      <c r="AC21" s="17">
        <f t="shared" si="2"/>
        <v>735.00000000000011</v>
      </c>
      <c r="AD21" s="15">
        <f t="shared" si="3"/>
        <v>210.00000000000003</v>
      </c>
      <c r="AE21" s="17">
        <f t="shared" si="3"/>
        <v>735.00000000000011</v>
      </c>
      <c r="AF21" s="15">
        <f t="shared" si="4"/>
        <v>420.00000000000006</v>
      </c>
      <c r="AG21" s="17">
        <f t="shared" si="4"/>
        <v>1470.0000000000002</v>
      </c>
      <c r="AH21" s="15">
        <f t="shared" si="5"/>
        <v>60</v>
      </c>
      <c r="AI21" s="17">
        <f t="shared" si="5"/>
        <v>210</v>
      </c>
      <c r="AJ21" s="15">
        <f t="shared" si="6"/>
        <v>120</v>
      </c>
      <c r="AK21" s="17">
        <f t="shared" si="6"/>
        <v>420</v>
      </c>
      <c r="AL21" s="15">
        <f t="shared" si="7"/>
        <v>300</v>
      </c>
      <c r="AM21" s="17">
        <f t="shared" si="7"/>
        <v>1050</v>
      </c>
      <c r="AN21" s="103">
        <v>25</v>
      </c>
      <c r="AO21" s="16">
        <f>$AP$20</f>
        <v>3000</v>
      </c>
      <c r="AP21" s="53">
        <f>$AO$21+($D$21-$C$21)*$AN$21%</f>
        <v>10500</v>
      </c>
      <c r="AQ21" s="15">
        <f t="shared" si="8"/>
        <v>630</v>
      </c>
      <c r="AR21" s="17">
        <f t="shared" si="8"/>
        <v>2205</v>
      </c>
      <c r="AS21" s="15">
        <f t="shared" si="9"/>
        <v>630</v>
      </c>
      <c r="AT21" s="17">
        <f t="shared" si="9"/>
        <v>2205</v>
      </c>
      <c r="AU21" s="57">
        <f t="shared" si="10"/>
        <v>60</v>
      </c>
      <c r="AV21" s="17">
        <f t="shared" si="10"/>
        <v>210</v>
      </c>
      <c r="AW21" s="15">
        <f t="shared" si="11"/>
        <v>60</v>
      </c>
      <c r="AX21" s="17">
        <f t="shared" si="11"/>
        <v>210</v>
      </c>
      <c r="AY21" s="15">
        <f t="shared" si="12"/>
        <v>120</v>
      </c>
      <c r="AZ21" s="17">
        <f t="shared" si="12"/>
        <v>420</v>
      </c>
      <c r="BA21" s="15">
        <f t="shared" si="13"/>
        <v>990</v>
      </c>
      <c r="BB21" s="17">
        <f t="shared" si="13"/>
        <v>3465</v>
      </c>
      <c r="BC21" s="15">
        <f t="shared" si="14"/>
        <v>60</v>
      </c>
      <c r="BD21" s="17">
        <f t="shared" si="14"/>
        <v>210</v>
      </c>
      <c r="BE21" s="15">
        <f t="shared" si="15"/>
        <v>150</v>
      </c>
      <c r="BF21" s="17">
        <f t="shared" si="15"/>
        <v>525</v>
      </c>
      <c r="BG21" s="15">
        <f t="shared" si="16"/>
        <v>300</v>
      </c>
      <c r="BH21" s="17">
        <f t="shared" si="16"/>
        <v>1050</v>
      </c>
    </row>
    <row r="22" spans="2:60" x14ac:dyDescent="0.25">
      <c r="B22" s="64" t="s">
        <v>10</v>
      </c>
      <c r="C22" s="70">
        <f>C21*4</f>
        <v>40000</v>
      </c>
      <c r="D22" s="4">
        <f>$C23</f>
        <v>160000</v>
      </c>
      <c r="E22" s="48">
        <v>1000</v>
      </c>
      <c r="F22" s="79">
        <v>4000</v>
      </c>
      <c r="G22" s="85">
        <f>100-U22-AN22-I22</f>
        <v>40</v>
      </c>
      <c r="H22" s="91">
        <f>D22-J22-W22-AP22</f>
        <v>59000</v>
      </c>
      <c r="I22" s="48">
        <v>20</v>
      </c>
      <c r="J22" s="84">
        <f>D22*I22%</f>
        <v>32000</v>
      </c>
      <c r="K22" s="82">
        <f>$C$22/$D$9</f>
        <v>2666.6666666666665</v>
      </c>
      <c r="L22" s="37">
        <f>$D$22/$D$9</f>
        <v>10666.666666666666</v>
      </c>
      <c r="M22" s="37">
        <f>$C$22/$D$10</f>
        <v>1333.3333333333333</v>
      </c>
      <c r="N22" s="37">
        <f>$D$22/$D$10</f>
        <v>5333.333333333333</v>
      </c>
      <c r="O22" s="38">
        <f>$C$22/$D$11</f>
        <v>666.66666666666663</v>
      </c>
      <c r="P22" s="38">
        <f>$D$22/$D$11</f>
        <v>2666.6666666666665</v>
      </c>
      <c r="Q22" s="37">
        <f>$C$22/$D$12</f>
        <v>333.33333333333331</v>
      </c>
      <c r="R22" s="37">
        <f>$D$22/$D$12</f>
        <v>1333.3333333333333</v>
      </c>
      <c r="S22" s="37">
        <f>$C$22/$D$13</f>
        <v>166.66666666666666</v>
      </c>
      <c r="T22" s="40">
        <f>$D$22/$D$13</f>
        <v>666.66666666666663</v>
      </c>
      <c r="U22" s="103">
        <v>20</v>
      </c>
      <c r="V22" s="16">
        <f>$W$21</f>
        <v>10500</v>
      </c>
      <c r="W22" s="17">
        <f>$V$22+($D$22-$C$22)*$U$22%</f>
        <v>34500</v>
      </c>
      <c r="X22" s="15">
        <f t="shared" si="0"/>
        <v>4410</v>
      </c>
      <c r="Y22" s="17">
        <f t="shared" si="0"/>
        <v>14490</v>
      </c>
      <c r="Z22" s="15">
        <f t="shared" si="1"/>
        <v>1470.0000000000002</v>
      </c>
      <c r="AA22" s="17">
        <f t="shared" si="1"/>
        <v>4830.0000000000009</v>
      </c>
      <c r="AB22" s="15">
        <f t="shared" si="2"/>
        <v>735.00000000000011</v>
      </c>
      <c r="AC22" s="17">
        <f t="shared" si="2"/>
        <v>2415.0000000000005</v>
      </c>
      <c r="AD22" s="15">
        <f t="shared" si="3"/>
        <v>735.00000000000011</v>
      </c>
      <c r="AE22" s="17">
        <f t="shared" si="3"/>
        <v>2415.0000000000005</v>
      </c>
      <c r="AF22" s="15">
        <f t="shared" si="4"/>
        <v>1470.0000000000002</v>
      </c>
      <c r="AG22" s="17">
        <f t="shared" si="4"/>
        <v>4830.0000000000009</v>
      </c>
      <c r="AH22" s="15">
        <f t="shared" si="5"/>
        <v>210</v>
      </c>
      <c r="AI22" s="17">
        <f t="shared" si="5"/>
        <v>690</v>
      </c>
      <c r="AJ22" s="15">
        <f t="shared" si="6"/>
        <v>420</v>
      </c>
      <c r="AK22" s="17">
        <f t="shared" si="6"/>
        <v>1380</v>
      </c>
      <c r="AL22" s="15">
        <f t="shared" si="7"/>
        <v>1050</v>
      </c>
      <c r="AM22" s="17">
        <f t="shared" si="7"/>
        <v>3450</v>
      </c>
      <c r="AN22" s="103">
        <v>20</v>
      </c>
      <c r="AO22" s="16">
        <f>$AP$21</f>
        <v>10500</v>
      </c>
      <c r="AP22" s="53">
        <f>$AO$22+($D$22-$C$22)*$AN$22%</f>
        <v>34500</v>
      </c>
      <c r="AQ22" s="15">
        <f t="shared" si="8"/>
        <v>2205</v>
      </c>
      <c r="AR22" s="17">
        <f t="shared" si="8"/>
        <v>7245</v>
      </c>
      <c r="AS22" s="15">
        <f t="shared" si="9"/>
        <v>2205</v>
      </c>
      <c r="AT22" s="17">
        <f t="shared" si="9"/>
        <v>7245</v>
      </c>
      <c r="AU22" s="57">
        <f t="shared" si="10"/>
        <v>210</v>
      </c>
      <c r="AV22" s="17">
        <f t="shared" si="10"/>
        <v>690</v>
      </c>
      <c r="AW22" s="15">
        <f t="shared" si="11"/>
        <v>210</v>
      </c>
      <c r="AX22" s="17">
        <f t="shared" si="11"/>
        <v>690</v>
      </c>
      <c r="AY22" s="15">
        <f t="shared" si="12"/>
        <v>420</v>
      </c>
      <c r="AZ22" s="17">
        <f t="shared" si="12"/>
        <v>1380</v>
      </c>
      <c r="BA22" s="15">
        <f t="shared" si="13"/>
        <v>3465</v>
      </c>
      <c r="BB22" s="17">
        <f t="shared" si="13"/>
        <v>11385</v>
      </c>
      <c r="BC22" s="15">
        <f t="shared" si="14"/>
        <v>210</v>
      </c>
      <c r="BD22" s="17">
        <f t="shared" si="14"/>
        <v>690</v>
      </c>
      <c r="BE22" s="15">
        <f t="shared" si="15"/>
        <v>525</v>
      </c>
      <c r="BF22" s="17">
        <f t="shared" si="15"/>
        <v>1725</v>
      </c>
      <c r="BG22" s="15">
        <f t="shared" si="16"/>
        <v>1050</v>
      </c>
      <c r="BH22" s="17">
        <f t="shared" si="16"/>
        <v>3450</v>
      </c>
    </row>
    <row r="23" spans="2:60" x14ac:dyDescent="0.25">
      <c r="B23" s="110" t="s">
        <v>13</v>
      </c>
      <c r="C23" s="70">
        <f>C22*4</f>
        <v>160000</v>
      </c>
      <c r="D23" s="4">
        <f>$C24</f>
        <v>640000</v>
      </c>
      <c r="E23" s="48">
        <v>4000</v>
      </c>
      <c r="F23" s="79">
        <v>16000</v>
      </c>
      <c r="G23" s="85">
        <f>100-U23-AN23-I23</f>
        <v>50</v>
      </c>
      <c r="H23" s="109">
        <f>D23-J23-W23-AP23</f>
        <v>299000</v>
      </c>
      <c r="I23" s="48">
        <v>20</v>
      </c>
      <c r="J23" s="84">
        <f>D23*I23%</f>
        <v>128000</v>
      </c>
      <c r="K23" s="82">
        <f>$C$23/$D$9</f>
        <v>10666.666666666666</v>
      </c>
      <c r="L23" s="37">
        <f>$D$23/$D$9</f>
        <v>42666.666666666664</v>
      </c>
      <c r="M23" s="37">
        <f>$C$23/$D$10</f>
        <v>5333.333333333333</v>
      </c>
      <c r="N23" s="37">
        <f>$D$23/$D$10</f>
        <v>21333.333333333332</v>
      </c>
      <c r="O23" s="38">
        <f>$C$23/$D$11</f>
        <v>2666.6666666666665</v>
      </c>
      <c r="P23" s="38">
        <f>$D$23/$D$11</f>
        <v>10666.666666666666</v>
      </c>
      <c r="Q23" s="37">
        <f>$C$23/$D$12</f>
        <v>1333.3333333333333</v>
      </c>
      <c r="R23" s="37">
        <f>$D$23/$D$12</f>
        <v>5333.333333333333</v>
      </c>
      <c r="S23" s="37">
        <f>$C$23/$D$13</f>
        <v>666.66666666666663</v>
      </c>
      <c r="T23" s="40">
        <f>$D$23/$D$13</f>
        <v>2666.6666666666665</v>
      </c>
      <c r="U23" s="103">
        <v>15</v>
      </c>
      <c r="V23" s="16">
        <f>$W$22</f>
        <v>34500</v>
      </c>
      <c r="W23" s="17">
        <f>$V$23+($D$23-$C$23)*$U$23%</f>
        <v>106500</v>
      </c>
      <c r="X23" s="15">
        <f t="shared" si="0"/>
        <v>14490</v>
      </c>
      <c r="Y23" s="17">
        <f t="shared" si="0"/>
        <v>44730</v>
      </c>
      <c r="Z23" s="15">
        <f t="shared" si="1"/>
        <v>4830.0000000000009</v>
      </c>
      <c r="AA23" s="17">
        <f t="shared" si="1"/>
        <v>14910.000000000002</v>
      </c>
      <c r="AB23" s="15">
        <f t="shared" si="2"/>
        <v>2415.0000000000005</v>
      </c>
      <c r="AC23" s="17">
        <f t="shared" si="2"/>
        <v>7455.0000000000009</v>
      </c>
      <c r="AD23" s="15">
        <f t="shared" si="3"/>
        <v>2415.0000000000005</v>
      </c>
      <c r="AE23" s="17">
        <f t="shared" si="3"/>
        <v>7455.0000000000009</v>
      </c>
      <c r="AF23" s="15">
        <f t="shared" si="4"/>
        <v>4830.0000000000009</v>
      </c>
      <c r="AG23" s="17">
        <f t="shared" si="4"/>
        <v>14910.000000000002</v>
      </c>
      <c r="AH23" s="15">
        <f t="shared" si="5"/>
        <v>690</v>
      </c>
      <c r="AI23" s="17">
        <f t="shared" si="5"/>
        <v>2130</v>
      </c>
      <c r="AJ23" s="15">
        <f t="shared" si="6"/>
        <v>1380</v>
      </c>
      <c r="AK23" s="17">
        <f t="shared" si="6"/>
        <v>4260</v>
      </c>
      <c r="AL23" s="15">
        <f t="shared" si="7"/>
        <v>3450</v>
      </c>
      <c r="AM23" s="17">
        <f t="shared" si="7"/>
        <v>10650</v>
      </c>
      <c r="AN23" s="103">
        <v>15</v>
      </c>
      <c r="AO23" s="16">
        <f>$AP$22</f>
        <v>34500</v>
      </c>
      <c r="AP23" s="53">
        <f>$AO$23+($D$23-$C$23)*$AN$23%</f>
        <v>106500</v>
      </c>
      <c r="AQ23" s="15">
        <f t="shared" si="8"/>
        <v>7245</v>
      </c>
      <c r="AR23" s="17">
        <f t="shared" si="8"/>
        <v>22365</v>
      </c>
      <c r="AS23" s="15">
        <f t="shared" si="9"/>
        <v>7245</v>
      </c>
      <c r="AT23" s="17">
        <f t="shared" si="9"/>
        <v>22365</v>
      </c>
      <c r="AU23" s="57">
        <f t="shared" si="10"/>
        <v>690</v>
      </c>
      <c r="AV23" s="17">
        <f t="shared" si="10"/>
        <v>2130</v>
      </c>
      <c r="AW23" s="15">
        <f t="shared" si="11"/>
        <v>690</v>
      </c>
      <c r="AX23" s="17">
        <f t="shared" si="11"/>
        <v>2130</v>
      </c>
      <c r="AY23" s="15">
        <f t="shared" si="12"/>
        <v>1380</v>
      </c>
      <c r="AZ23" s="17">
        <f t="shared" si="12"/>
        <v>4260</v>
      </c>
      <c r="BA23" s="15">
        <f t="shared" si="13"/>
        <v>11385</v>
      </c>
      <c r="BB23" s="17">
        <f t="shared" si="13"/>
        <v>35145</v>
      </c>
      <c r="BC23" s="15">
        <f t="shared" si="14"/>
        <v>690</v>
      </c>
      <c r="BD23" s="17">
        <f t="shared" si="14"/>
        <v>2130</v>
      </c>
      <c r="BE23" s="15">
        <f t="shared" si="15"/>
        <v>1725</v>
      </c>
      <c r="BF23" s="17">
        <f t="shared" si="15"/>
        <v>5325</v>
      </c>
      <c r="BG23" s="15">
        <f t="shared" si="16"/>
        <v>3450</v>
      </c>
      <c r="BH23" s="17">
        <f t="shared" si="16"/>
        <v>10650</v>
      </c>
    </row>
    <row r="24" spans="2:60" ht="18" customHeight="1" thickBot="1" x14ac:dyDescent="0.3">
      <c r="B24" s="65" t="s">
        <v>11</v>
      </c>
      <c r="C24" s="71">
        <f>C23*4</f>
        <v>640000</v>
      </c>
      <c r="D24" s="72" t="s">
        <v>7</v>
      </c>
      <c r="E24" s="49">
        <v>16000</v>
      </c>
      <c r="F24" s="80" t="s">
        <v>7</v>
      </c>
      <c r="G24" s="49"/>
      <c r="H24" s="80"/>
      <c r="I24" s="49"/>
      <c r="J24" s="50"/>
      <c r="K24" s="83">
        <f>$C$24/$D$9</f>
        <v>42666.666666666664</v>
      </c>
      <c r="L24" s="41" t="s">
        <v>7</v>
      </c>
      <c r="M24" s="33">
        <f>$C$24/$D$10</f>
        <v>21333.333333333332</v>
      </c>
      <c r="N24" s="41" t="s">
        <v>7</v>
      </c>
      <c r="O24" s="42">
        <f>$C$24/$D$11</f>
        <v>10666.666666666666</v>
      </c>
      <c r="P24" s="43" t="s">
        <v>7</v>
      </c>
      <c r="Q24" s="41">
        <f>$C$24/$D$12</f>
        <v>5333.333333333333</v>
      </c>
      <c r="R24" s="41" t="s">
        <v>7</v>
      </c>
      <c r="S24" s="41">
        <f>$C$24/$D$13</f>
        <v>2666.6666666666665</v>
      </c>
      <c r="T24" s="39" t="s">
        <v>7</v>
      </c>
      <c r="U24" s="104">
        <v>15</v>
      </c>
      <c r="V24" s="59">
        <f>$W$23</f>
        <v>106500</v>
      </c>
      <c r="W24" s="8" t="s">
        <v>7</v>
      </c>
      <c r="X24" s="18">
        <f>V24*$W$6%</f>
        <v>44730</v>
      </c>
      <c r="Y24" s="8" t="s">
        <v>7</v>
      </c>
      <c r="Z24" s="19">
        <f>V24*$W$7%</f>
        <v>14910.000000000002</v>
      </c>
      <c r="AA24" s="8" t="s">
        <v>7</v>
      </c>
      <c r="AB24" s="19">
        <f>V24*$W$8%</f>
        <v>7455.0000000000009</v>
      </c>
      <c r="AC24" s="8" t="s">
        <v>7</v>
      </c>
      <c r="AD24" s="19">
        <f>V24*$W$9%</f>
        <v>7455.0000000000009</v>
      </c>
      <c r="AE24" s="8" t="s">
        <v>7</v>
      </c>
      <c r="AF24" s="19">
        <f>V24*$W$10%</f>
        <v>14910.000000000002</v>
      </c>
      <c r="AG24" s="8" t="s">
        <v>7</v>
      </c>
      <c r="AH24" s="19">
        <f>V24*$W$11%</f>
        <v>2130</v>
      </c>
      <c r="AI24" s="8" t="s">
        <v>7</v>
      </c>
      <c r="AJ24" s="19">
        <f>V24*$W$12%</f>
        <v>4260</v>
      </c>
      <c r="AK24" s="8" t="s">
        <v>7</v>
      </c>
      <c r="AL24" s="19">
        <f>V24*$W$13%</f>
        <v>10650</v>
      </c>
      <c r="AM24" s="8" t="s">
        <v>7</v>
      </c>
      <c r="AN24" s="104">
        <v>15</v>
      </c>
      <c r="AO24" s="59">
        <f>$AP$23</f>
        <v>106500</v>
      </c>
      <c r="AP24" s="54" t="s">
        <v>7</v>
      </c>
      <c r="AQ24" s="19">
        <f>AO24*$AP$5%</f>
        <v>22365</v>
      </c>
      <c r="AR24" s="8" t="s">
        <v>7</v>
      </c>
      <c r="AS24" s="19">
        <f>AO24*$AP$6%</f>
        <v>22365</v>
      </c>
      <c r="AT24" s="8" t="s">
        <v>7</v>
      </c>
      <c r="AU24" s="58">
        <f>AO24*$AP$7%</f>
        <v>2130</v>
      </c>
      <c r="AV24" s="8" t="s">
        <v>7</v>
      </c>
      <c r="AW24" s="19">
        <f>AO24*$AP$8%</f>
        <v>2130</v>
      </c>
      <c r="AX24" s="8" t="s">
        <v>7</v>
      </c>
      <c r="AY24" s="19">
        <f>AO24*$AP$9%</f>
        <v>4260</v>
      </c>
      <c r="AZ24" s="8" t="s">
        <v>7</v>
      </c>
      <c r="BA24" s="19">
        <f>AO24*$AP$10%</f>
        <v>35145</v>
      </c>
      <c r="BB24" s="8" t="s">
        <v>7</v>
      </c>
      <c r="BC24" s="19">
        <f>AO24*$AP$11%</f>
        <v>2130</v>
      </c>
      <c r="BD24" s="8" t="s">
        <v>7</v>
      </c>
      <c r="BE24" s="19">
        <f>AO24*$AP$12%</f>
        <v>5325</v>
      </c>
      <c r="BF24" s="8" t="s">
        <v>7</v>
      </c>
      <c r="BG24" s="19">
        <f>AO24*$AP$13%</f>
        <v>10650</v>
      </c>
      <c r="BH24" s="8" t="s">
        <v>7</v>
      </c>
    </row>
    <row r="25" spans="2:60" x14ac:dyDescent="0.25"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9" spans="2:60" x14ac:dyDescent="0.25">
      <c r="K29" s="1"/>
      <c r="M29" s="1"/>
      <c r="AQ29" s="1"/>
    </row>
    <row r="30" spans="2:60" x14ac:dyDescent="0.25">
      <c r="K30" s="1"/>
      <c r="M30" s="1"/>
    </row>
    <row r="31" spans="2:60" x14ac:dyDescent="0.25">
      <c r="K31" s="1"/>
      <c r="M31" s="1"/>
    </row>
    <row r="32" spans="2:60" x14ac:dyDescent="0.25">
      <c r="K32" s="1"/>
      <c r="M32" s="1"/>
    </row>
    <row r="33" spans="11:13" x14ac:dyDescent="0.25">
      <c r="K33" s="1"/>
      <c r="M33" s="6"/>
    </row>
  </sheetData>
  <mergeCells count="48">
    <mergeCell ref="AN17:BH17"/>
    <mergeCell ref="G17:H18"/>
    <mergeCell ref="I17:J18"/>
    <mergeCell ref="BA18:BB18"/>
    <mergeCell ref="BC18:BD18"/>
    <mergeCell ref="BE18:BF18"/>
    <mergeCell ref="BG18:BH18"/>
    <mergeCell ref="AQ18:AR18"/>
    <mergeCell ref="AS18:AT18"/>
    <mergeCell ref="AN18:AP18"/>
    <mergeCell ref="AU18:AV18"/>
    <mergeCell ref="AW18:AX18"/>
    <mergeCell ref="AY18:AZ18"/>
    <mergeCell ref="X18:Y18"/>
    <mergeCell ref="AB18:AC18"/>
    <mergeCell ref="K17:T17"/>
    <mergeCell ref="AN14:AO14"/>
    <mergeCell ref="B17:D18"/>
    <mergeCell ref="U4:W5"/>
    <mergeCell ref="AN3:AP4"/>
    <mergeCell ref="AF18:AG18"/>
    <mergeCell ref="AH18:AI18"/>
    <mergeCell ref="AJ18:AK18"/>
    <mergeCell ref="AL18:AM18"/>
    <mergeCell ref="Z18:AA18"/>
    <mergeCell ref="U14:V14"/>
    <mergeCell ref="U17:AM17"/>
    <mergeCell ref="E17:F18"/>
    <mergeCell ref="M13:N13"/>
    <mergeCell ref="M14:N14"/>
    <mergeCell ref="M15:N15"/>
    <mergeCell ref="K18:L18"/>
    <mergeCell ref="M18:N18"/>
    <mergeCell ref="AD18:AE18"/>
    <mergeCell ref="O18:P18"/>
    <mergeCell ref="Q18:R18"/>
    <mergeCell ref="S18:T18"/>
    <mergeCell ref="U18:W18"/>
    <mergeCell ref="B2:W2"/>
    <mergeCell ref="E4:S6"/>
    <mergeCell ref="H11:H12"/>
    <mergeCell ref="I11:I12"/>
    <mergeCell ref="F11:G12"/>
    <mergeCell ref="M9:N9"/>
    <mergeCell ref="M8:N8"/>
    <mergeCell ref="M10:N10"/>
    <mergeCell ref="M11:N11"/>
    <mergeCell ref="M12:N12"/>
  </mergeCells>
  <dataValidations count="1">
    <dataValidation type="list" allowBlank="1" showInputMessage="1" showErrorMessage="1" sqref="C5">
      <formula1>L9:L15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048562"/>
  <sheetViews>
    <sheetView zoomScale="70" zoomScaleNormal="70" workbookViewId="0">
      <selection activeCell="C2" sqref="C2"/>
    </sheetView>
  </sheetViews>
  <sheetFormatPr defaultRowHeight="15" x14ac:dyDescent="0.25"/>
  <cols>
    <col min="1" max="1" width="3.42578125" customWidth="1"/>
    <col min="2" max="2" width="23.140625" bestFit="1" customWidth="1"/>
    <col min="3" max="3" width="20" bestFit="1" customWidth="1"/>
    <col min="4" max="4" width="12.140625" bestFit="1" customWidth="1"/>
    <col min="5" max="5" width="18.85546875" customWidth="1"/>
    <col min="6" max="6" width="18.42578125" customWidth="1"/>
    <col min="7" max="7" width="30.140625" customWidth="1"/>
    <col min="8" max="8" width="14.5703125" bestFit="1" customWidth="1"/>
    <col min="10" max="10" width="6.28515625" style="250" bestFit="1" customWidth="1"/>
    <col min="11" max="11" width="7.140625" style="250" bestFit="1" customWidth="1"/>
    <col min="12" max="12" width="8.7109375" style="250" bestFit="1" customWidth="1"/>
    <col min="13" max="13" width="12.5703125" style="250" bestFit="1" customWidth="1"/>
    <col min="14" max="14" width="21.5703125" style="250" bestFit="1" customWidth="1"/>
    <col min="15" max="15" width="18.7109375" style="250" bestFit="1" customWidth="1"/>
    <col min="16" max="17" width="21.5703125" style="250" bestFit="1" customWidth="1"/>
    <col min="18" max="18" width="19.5703125" style="250" bestFit="1" customWidth="1"/>
    <col min="19" max="19" width="24.5703125" style="250" bestFit="1" customWidth="1"/>
    <col min="20" max="20" width="22" style="250" bestFit="1" customWidth="1"/>
    <col min="21" max="21" width="18.28515625" style="250" bestFit="1" customWidth="1"/>
    <col min="22" max="22" width="18.28515625" style="250" customWidth="1"/>
    <col min="23" max="25" width="9.140625" style="250"/>
    <col min="26" max="26" width="14.42578125" style="250" bestFit="1" customWidth="1"/>
    <col min="27" max="27" width="22.85546875" style="250" bestFit="1" customWidth="1"/>
    <col min="28" max="28" width="24.85546875" style="250" bestFit="1" customWidth="1"/>
    <col min="29" max="29" width="24.42578125" style="250" bestFit="1" customWidth="1"/>
    <col min="30" max="30" width="19.5703125" style="250" customWidth="1"/>
    <col min="31" max="31" width="4.28515625" style="250" customWidth="1"/>
    <col min="32" max="33" width="19.5703125" style="250" customWidth="1"/>
    <col min="34" max="34" width="9.140625" style="250"/>
    <col min="35" max="35" width="27.140625" style="250" bestFit="1" customWidth="1"/>
    <col min="36" max="36" width="9.140625" style="250"/>
  </cols>
  <sheetData>
    <row r="1" spans="2:44" ht="15.75" thickBot="1" x14ac:dyDescent="0.3"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</row>
    <row r="2" spans="2:44" ht="15.75" customHeight="1" thickBot="1" x14ac:dyDescent="0.35">
      <c r="B2" s="26" t="s">
        <v>17</v>
      </c>
      <c r="C2" s="67" t="s">
        <v>83</v>
      </c>
      <c r="E2" s="221" t="s">
        <v>89</v>
      </c>
      <c r="F2" s="222"/>
      <c r="G2" s="222"/>
      <c r="H2" s="223"/>
      <c r="J2" s="238" t="s">
        <v>126</v>
      </c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40"/>
      <c r="W2"/>
      <c r="X2" s="329" t="s">
        <v>125</v>
      </c>
      <c r="Y2" s="330"/>
      <c r="Z2" s="330"/>
      <c r="AA2" s="330"/>
      <c r="AB2" s="330"/>
      <c r="AC2" s="330"/>
      <c r="AD2" s="331"/>
      <c r="AE2"/>
      <c r="AF2" s="329" t="s">
        <v>133</v>
      </c>
      <c r="AG2" s="331"/>
      <c r="AH2"/>
      <c r="AI2"/>
      <c r="AJ2"/>
    </row>
    <row r="3" spans="2:44" ht="15.75" thickBot="1" x14ac:dyDescent="0.3">
      <c r="B3" s="24" t="s">
        <v>18</v>
      </c>
      <c r="C3" s="68">
        <f>IF($C$2=OrganizationalFinPlan!$L$9,OrganizationalFinPlan!$M$9,IF($C$2=OrganizationalFinPlan!$L$10,OrganizationalFinPlan!$M$10,IF($C$2=OrganizationalFinPlan!$L$11,OrganizationalFinPlan!$M11,IF($C$2=OrganizationalFinPlan!$L$12,OrganizationalFinPlan!$M$12,IF($C$2=OrganizationalFinPlan!$L$13,OrganizationalFinPlan!$M$13,IF($C$2=OrganizationalFinPlan!$L$14,OrganizationalFinPlan!$M$14,OrganizationalFinPlan!$M$15))))))</f>
        <v>72.77</v>
      </c>
      <c r="E3" s="224"/>
      <c r="F3" s="225"/>
      <c r="G3" s="225"/>
      <c r="H3" s="226"/>
      <c r="J3" s="249" t="s">
        <v>113</v>
      </c>
      <c r="K3" s="246" t="s">
        <v>107</v>
      </c>
      <c r="L3" s="246" t="s">
        <v>108</v>
      </c>
      <c r="M3" s="246" t="s">
        <v>112</v>
      </c>
      <c r="N3" s="246" t="s">
        <v>114</v>
      </c>
      <c r="O3" s="246" t="s">
        <v>115</v>
      </c>
      <c r="P3" s="246" t="s">
        <v>116</v>
      </c>
      <c r="Q3" s="246" t="s">
        <v>129</v>
      </c>
      <c r="R3" s="246" t="s">
        <v>109</v>
      </c>
      <c r="S3" s="246" t="s">
        <v>111</v>
      </c>
      <c r="T3" s="246" t="s">
        <v>110</v>
      </c>
      <c r="U3" s="247" t="s">
        <v>117</v>
      </c>
      <c r="V3" s="248" t="s">
        <v>132</v>
      </c>
      <c r="X3" s="333" t="s">
        <v>107</v>
      </c>
      <c r="Y3" s="334" t="s">
        <v>108</v>
      </c>
      <c r="Z3" s="334" t="s">
        <v>118</v>
      </c>
      <c r="AA3" s="334" t="s">
        <v>119</v>
      </c>
      <c r="AB3" s="334" t="s">
        <v>120</v>
      </c>
      <c r="AC3" s="334" t="s">
        <v>121</v>
      </c>
      <c r="AD3" s="335" t="s">
        <v>122</v>
      </c>
      <c r="AE3"/>
      <c r="AF3" s="336" t="s">
        <v>134</v>
      </c>
      <c r="AG3" s="335" t="s">
        <v>132</v>
      </c>
      <c r="AH3" s="251"/>
      <c r="AI3" s="252" t="s">
        <v>127</v>
      </c>
      <c r="AJ3" s="253">
        <v>50</v>
      </c>
    </row>
    <row r="4" spans="2:44" ht="15.75" thickBot="1" x14ac:dyDescent="0.3">
      <c r="E4" s="227"/>
      <c r="F4" s="228"/>
      <c r="G4" s="228"/>
      <c r="H4" s="229"/>
      <c r="J4" s="254">
        <v>1</v>
      </c>
      <c r="K4" s="255">
        <v>2022</v>
      </c>
      <c r="L4" s="255" t="s">
        <v>94</v>
      </c>
      <c r="M4" s="255">
        <v>30</v>
      </c>
      <c r="N4" s="256">
        <f>M4*$C$3</f>
        <v>2183.1</v>
      </c>
      <c r="O4" s="257">
        <v>4</v>
      </c>
      <c r="P4" s="257">
        <f>O4</f>
        <v>4</v>
      </c>
      <c r="Q4" s="255">
        <f>O4</f>
        <v>4</v>
      </c>
      <c r="R4" s="255">
        <f>$O4*$N4</f>
        <v>8732.4</v>
      </c>
      <c r="S4" s="255">
        <f>R4</f>
        <v>8732.4</v>
      </c>
      <c r="T4" s="255" t="str">
        <f>IF($S4&lt;$C$13,$B$13,IF($S4&lt;$C$14,$B$14,IF($S4&lt;$C$15,$B$15,IF($S4&lt;$C$16,$B$16,$B$17))))</f>
        <v>Launcher</v>
      </c>
      <c r="U4" s="257">
        <f>IF($S4&lt;$C$13,$D$13,IF($S4&lt;$C$14,$D$14,IF($S4&lt;$C$15,$D$15,IF($S4&lt;$C$16,$D$16,$D$17))))*($R4*$H$6*$H$8)/1000000</f>
        <v>1100.2824000000001</v>
      </c>
      <c r="V4" s="258">
        <f>IF($S4&lt;$C$13,$H$13,IF($S4&lt;$C$14,$H$14,IF($S4&lt;$C$15,$H$15,IF($S4&lt;$C$16,$H$16,$H$17))))*$R4/100</f>
        <v>1746.48</v>
      </c>
      <c r="W4" s="259"/>
      <c r="X4" s="308">
        <v>2022</v>
      </c>
      <c r="Y4" s="309" t="s">
        <v>94</v>
      </c>
      <c r="Z4" s="310">
        <f>($U$4+$U$5+$U$6)</f>
        <v>21272.126400000001</v>
      </c>
      <c r="AA4" s="310">
        <f>$AJ$3*Z4%</f>
        <v>10636.063200000001</v>
      </c>
      <c r="AB4" s="310">
        <v>0</v>
      </c>
      <c r="AC4" s="310">
        <v>0</v>
      </c>
      <c r="AD4" s="332">
        <f>AA4+AB4+AC4</f>
        <v>10636.063200000001</v>
      </c>
      <c r="AE4"/>
      <c r="AF4" s="332">
        <f>($O$4+$O$5+$O$6)</f>
        <v>84</v>
      </c>
      <c r="AG4" s="332">
        <f>($V$4+$V$5+$V$6)</f>
        <v>33765.279999999999</v>
      </c>
      <c r="AH4" s="259"/>
      <c r="AI4" s="260" t="s">
        <v>123</v>
      </c>
      <c r="AJ4" s="261">
        <v>25</v>
      </c>
      <c r="AK4" s="1"/>
      <c r="AL4" s="1"/>
      <c r="AM4" s="1"/>
      <c r="AN4" s="1"/>
      <c r="AO4" s="1"/>
      <c r="AP4" s="1"/>
      <c r="AQ4" s="1"/>
      <c r="AR4" s="1"/>
    </row>
    <row r="5" spans="2:44" ht="15.75" thickBot="1" x14ac:dyDescent="0.3">
      <c r="B5" s="106" t="s">
        <v>67</v>
      </c>
      <c r="C5" s="23" t="s">
        <v>8</v>
      </c>
      <c r="J5" s="262">
        <v>2</v>
      </c>
      <c r="K5" s="263">
        <v>2022</v>
      </c>
      <c r="L5" s="263" t="s">
        <v>94</v>
      </c>
      <c r="M5" s="264">
        <v>20</v>
      </c>
      <c r="N5" s="264">
        <f t="shared" ref="N5:N6" si="0">M5*$C$3</f>
        <v>1455.3999999999999</v>
      </c>
      <c r="O5" s="265">
        <v>20</v>
      </c>
      <c r="P5" s="265">
        <f>O5+P4</f>
        <v>24</v>
      </c>
      <c r="Q5" s="264">
        <f>O5+Q4</f>
        <v>24</v>
      </c>
      <c r="R5" s="263">
        <f t="shared" ref="R5:R55" si="1">$O5*$N5</f>
        <v>29107.999999999996</v>
      </c>
      <c r="S5" s="264">
        <f>S4+R5</f>
        <v>37840.399999999994</v>
      </c>
      <c r="T5" s="263" t="str">
        <f t="shared" ref="T5:T6" si="2">IF($S5&lt;$C$13,$B$13,IF($S5&lt;$C$14,$B$14,IF($S5&lt;$C$15,$B$15,IF($S5&lt;$C$16,$B$16,$B$17))))</f>
        <v>Launcher</v>
      </c>
      <c r="U5" s="266">
        <f t="shared" ref="U5:U6" si="3">IF($S5&lt;$C$13,$D$13,IF($S5&lt;$C$14,$D$14,IF($S5&lt;$C$15,$D$15,IF($S5&lt;$C$16,$D$16,$D$17))))*($R5*$H$6*$H$8)/1000000</f>
        <v>3667.6079999999993</v>
      </c>
      <c r="V5" s="267">
        <f t="shared" ref="V5:V55" si="4">IF($S5&lt;$C$13,$H$13,IF($S5&lt;$C$14,$H$14,IF($S5&lt;$C$15,$H$15,IF($S5&lt;$C$16,$H$16,$H$17))))*$R5/100</f>
        <v>5821.5999999999985</v>
      </c>
      <c r="W5" s="259"/>
      <c r="X5" s="268">
        <v>2022</v>
      </c>
      <c r="Y5" s="269" t="s">
        <v>95</v>
      </c>
      <c r="Z5" s="270">
        <f>$U$7+$U$8</f>
        <v>27507.06</v>
      </c>
      <c r="AA5" s="270">
        <f t="shared" ref="AA5:AA42" si="5">$AJ$3*Z5%</f>
        <v>13753.53</v>
      </c>
      <c r="AB5" s="270">
        <v>0</v>
      </c>
      <c r="AC5" s="270">
        <v>0</v>
      </c>
      <c r="AD5" s="271">
        <f t="shared" ref="AD5:AD56" si="6">AA5+AB5+AC5</f>
        <v>13753.53</v>
      </c>
      <c r="AE5"/>
      <c r="AF5" s="271">
        <f>$O$7+$O$8</f>
        <v>70</v>
      </c>
      <c r="AG5" s="271">
        <f>$V$7+$V$8</f>
        <v>43662</v>
      </c>
      <c r="AH5" s="259"/>
      <c r="AI5" s="272" t="s">
        <v>124</v>
      </c>
      <c r="AJ5" s="273">
        <f>100-AJ3-AJ4</f>
        <v>25</v>
      </c>
      <c r="AK5" s="1"/>
      <c r="AL5" s="1"/>
      <c r="AM5" s="1"/>
      <c r="AN5" s="1"/>
      <c r="AO5" s="1"/>
      <c r="AP5" s="1"/>
      <c r="AQ5" s="1"/>
      <c r="AR5" s="1"/>
    </row>
    <row r="6" spans="2:44" ht="15.75" thickBot="1" x14ac:dyDescent="0.3">
      <c r="B6" s="30" t="s">
        <v>2</v>
      </c>
      <c r="C6" s="31">
        <f>15*$C$3</f>
        <v>1091.55</v>
      </c>
      <c r="E6" s="209" t="s">
        <v>80</v>
      </c>
      <c r="F6" s="210" t="s">
        <v>30</v>
      </c>
      <c r="G6" s="211" t="s">
        <v>91</v>
      </c>
      <c r="H6" s="212">
        <f>IF($F$6=OrganizationalFinPlan!$U$6,OrganizationalFinPlan!$W$6,IF($F$6=OrganizationalFinPlan!$U$7,OrganizationalFinPlan!$W$7,IF($F$6=OrganizationalFinPlan!$U$8,OrganizationalFinPlan!$W$8,IF($F$6=OrganizationalFinPlan!$U$9,OrganizationalFinPlan!$W$9,IF($F$6=OrganizationalFinPlan!$U$10,OrganizationalFinPlan!$W$10,IF($F$6=OrganizationalFinPlan!$U$11,OrganizationalFinPlan!$W$11,IF($F$6=OrganizationalFinPlan!$U$12,OrganizationalFinPlan!$W$12,OrganizationalFinPlan!$W$13)))))))</f>
        <v>42</v>
      </c>
      <c r="J6" s="262">
        <v>3</v>
      </c>
      <c r="K6" s="263">
        <v>2022</v>
      </c>
      <c r="L6" s="263" t="s">
        <v>94</v>
      </c>
      <c r="M6" s="264">
        <v>30</v>
      </c>
      <c r="N6" s="264">
        <f t="shared" si="0"/>
        <v>2183.1</v>
      </c>
      <c r="O6" s="265">
        <v>60</v>
      </c>
      <c r="P6" s="265">
        <f t="shared" ref="P6:P9" si="7">O6+P5</f>
        <v>84</v>
      </c>
      <c r="Q6" s="264">
        <f t="shared" ref="Q6:Q9" si="8">O6+Q5</f>
        <v>84</v>
      </c>
      <c r="R6" s="263">
        <f t="shared" si="1"/>
        <v>130986</v>
      </c>
      <c r="S6" s="264">
        <f t="shared" ref="S6:S55" si="9">S5+R6</f>
        <v>168826.4</v>
      </c>
      <c r="T6" s="263" t="str">
        <f t="shared" si="2"/>
        <v>Launcher</v>
      </c>
      <c r="U6" s="266">
        <f t="shared" si="3"/>
        <v>16504.236000000001</v>
      </c>
      <c r="V6" s="267">
        <f t="shared" si="4"/>
        <v>26197.200000000001</v>
      </c>
      <c r="W6" s="259"/>
      <c r="X6" s="274">
        <v>2022</v>
      </c>
      <c r="Y6" s="275" t="s">
        <v>96</v>
      </c>
      <c r="Z6" s="276">
        <f>$U$9</f>
        <v>2200.5648000000001</v>
      </c>
      <c r="AA6" s="276">
        <f t="shared" si="5"/>
        <v>1100.2824000000001</v>
      </c>
      <c r="AB6" s="276">
        <v>0</v>
      </c>
      <c r="AC6" s="276">
        <v>0</v>
      </c>
      <c r="AD6" s="277">
        <f t="shared" si="6"/>
        <v>1100.2824000000001</v>
      </c>
      <c r="AE6"/>
      <c r="AF6" s="277">
        <f>$O$9</f>
        <v>4</v>
      </c>
      <c r="AG6" s="277">
        <f>$V$9</f>
        <v>3492.96</v>
      </c>
      <c r="AH6" s="259"/>
      <c r="AI6" s="259"/>
      <c r="AJ6" s="259"/>
      <c r="AK6" s="1"/>
      <c r="AL6" s="1"/>
      <c r="AM6" s="1"/>
      <c r="AN6" s="1"/>
      <c r="AO6" s="1"/>
      <c r="AP6" s="1"/>
      <c r="AQ6" s="1"/>
      <c r="AR6" s="1"/>
    </row>
    <row r="7" spans="2:44" ht="15.75" thickBot="1" x14ac:dyDescent="0.3">
      <c r="B7" s="66" t="s">
        <v>90</v>
      </c>
      <c r="C7" s="108">
        <f>$C$6*4</f>
        <v>4366.2</v>
      </c>
      <c r="J7" s="268">
        <v>5</v>
      </c>
      <c r="K7" s="269">
        <v>2022</v>
      </c>
      <c r="L7" s="269" t="s">
        <v>95</v>
      </c>
      <c r="M7" s="270">
        <v>30</v>
      </c>
      <c r="N7" s="270">
        <f>M7*$C$3</f>
        <v>2183.1</v>
      </c>
      <c r="O7" s="278">
        <v>40</v>
      </c>
      <c r="P7" s="278">
        <f t="shared" si="7"/>
        <v>124</v>
      </c>
      <c r="Q7" s="270">
        <f t="shared" si="8"/>
        <v>124</v>
      </c>
      <c r="R7" s="269">
        <f>$O7*$N7</f>
        <v>87324</v>
      </c>
      <c r="S7" s="270">
        <f t="shared" si="9"/>
        <v>256150.39999999999</v>
      </c>
      <c r="T7" s="269" t="str">
        <f>IF($S7&lt;$C$13,$B$13,IF($S7&lt;$C$14,$B$14,IF($S7&lt;$C$15,$B$15,IF($S7&lt;$C$16,$B$16,$B$17))))</f>
        <v>Launcher</v>
      </c>
      <c r="U7" s="279">
        <f>IF($S7&lt;$C$13,$D$13,IF($S7&lt;$C$14,$D$14,IF($S7&lt;$C$15,$D$15,IF($S7&lt;$C$16,$D$16,$D$17))))*($R7*$H$6*$H$8)/1000000</f>
        <v>11002.824000000001</v>
      </c>
      <c r="V7" s="280">
        <f t="shared" si="4"/>
        <v>17464.8</v>
      </c>
      <c r="W7" s="259"/>
      <c r="X7" s="281">
        <v>2022</v>
      </c>
      <c r="Y7" s="282" t="s">
        <v>97</v>
      </c>
      <c r="Z7" s="283">
        <f>$U$10+$U$11+$U$12</f>
        <v>52821.048000000003</v>
      </c>
      <c r="AA7" s="283">
        <f t="shared" si="5"/>
        <v>26410.524000000005</v>
      </c>
      <c r="AB7" s="283">
        <v>0</v>
      </c>
      <c r="AC7" s="283">
        <v>0</v>
      </c>
      <c r="AD7" s="284">
        <f t="shared" si="6"/>
        <v>26410.524000000005</v>
      </c>
      <c r="AE7"/>
      <c r="AF7" s="284">
        <f>$O$10+$O$11+$O$12</f>
        <v>240</v>
      </c>
      <c r="AG7" s="284">
        <f>$V$10+$V$11+$V$12</f>
        <v>122653.6</v>
      </c>
      <c r="AH7" s="259"/>
      <c r="AI7" s="259"/>
      <c r="AJ7" s="259"/>
      <c r="AK7" s="1"/>
      <c r="AL7" s="1"/>
      <c r="AM7" s="1"/>
      <c r="AN7" s="1"/>
      <c r="AO7" s="1"/>
      <c r="AP7" s="1"/>
      <c r="AQ7" s="1"/>
      <c r="AR7" s="1"/>
    </row>
    <row r="8" spans="2:44" ht="15.75" thickBot="1" x14ac:dyDescent="0.3">
      <c r="B8" s="21" t="s">
        <v>0</v>
      </c>
      <c r="C8" s="32">
        <f>$C$7*4</f>
        <v>17464.8</v>
      </c>
      <c r="E8" s="230" t="s">
        <v>92</v>
      </c>
      <c r="F8" s="231"/>
      <c r="G8" s="231"/>
      <c r="H8" s="232">
        <v>100</v>
      </c>
      <c r="J8" s="268">
        <v>6</v>
      </c>
      <c r="K8" s="269">
        <v>2022</v>
      </c>
      <c r="L8" s="269" t="s">
        <v>95</v>
      </c>
      <c r="M8" s="270">
        <v>60</v>
      </c>
      <c r="N8" s="270">
        <f>M8*$C$3</f>
        <v>4366.2</v>
      </c>
      <c r="O8" s="278">
        <v>30</v>
      </c>
      <c r="P8" s="278">
        <f t="shared" si="7"/>
        <v>154</v>
      </c>
      <c r="Q8" s="270">
        <f t="shared" si="8"/>
        <v>154</v>
      </c>
      <c r="R8" s="269">
        <f t="shared" si="1"/>
        <v>130986</v>
      </c>
      <c r="S8" s="270">
        <f t="shared" si="9"/>
        <v>387136.4</v>
      </c>
      <c r="T8" s="269" t="str">
        <f>IF($S8&lt;$C$13,$B$13,IF($S8&lt;$C$14,$B$14,IF($S8&lt;$C$15,$B$15,IF($S8&lt;$C$16,$B$16,$B$17))))</f>
        <v>Launcher</v>
      </c>
      <c r="U8" s="279">
        <f>IF($S8&lt;$C$13,$D$13,IF($S8&lt;$C$14,$D$14,IF($S8&lt;$C$15,$D$15,IF($S8&lt;$C$16,$D$16,$D$17))))*($R8*$H$6*$H$8)/1000000</f>
        <v>16504.236000000001</v>
      </c>
      <c r="V8" s="280">
        <f t="shared" si="4"/>
        <v>26197.200000000001</v>
      </c>
      <c r="W8" s="259"/>
      <c r="X8" s="262">
        <v>2022</v>
      </c>
      <c r="Y8" s="263" t="s">
        <v>98</v>
      </c>
      <c r="Z8" s="264">
        <f>$U$13</f>
        <v>23228.184000000001</v>
      </c>
      <c r="AA8" s="264">
        <f t="shared" si="5"/>
        <v>11614.092000000001</v>
      </c>
      <c r="AB8" s="264">
        <v>0</v>
      </c>
      <c r="AC8" s="264">
        <v>0</v>
      </c>
      <c r="AD8" s="285">
        <f t="shared" si="6"/>
        <v>11614.092000000001</v>
      </c>
      <c r="AE8"/>
      <c r="AF8" s="285">
        <f>$O$13</f>
        <v>76</v>
      </c>
      <c r="AG8" s="285">
        <f>$V$13</f>
        <v>66366.240000000005</v>
      </c>
      <c r="AH8" s="259"/>
      <c r="AI8" s="259"/>
      <c r="AJ8" s="259"/>
      <c r="AK8" s="1"/>
      <c r="AL8" s="1"/>
      <c r="AM8" s="1"/>
      <c r="AN8" s="1"/>
      <c r="AO8" s="1"/>
      <c r="AP8" s="1"/>
      <c r="AQ8" s="1"/>
      <c r="AR8" s="1"/>
    </row>
    <row r="9" spans="2:44" ht="15.75" thickBot="1" x14ac:dyDescent="0.3">
      <c r="B9" s="2"/>
      <c r="C9" s="2"/>
      <c r="E9" s="233"/>
      <c r="F9" s="234"/>
      <c r="G9" s="234"/>
      <c r="H9" s="235"/>
      <c r="J9" s="286">
        <v>8</v>
      </c>
      <c r="K9" s="287">
        <v>2022</v>
      </c>
      <c r="L9" s="287" t="s">
        <v>96</v>
      </c>
      <c r="M9" s="288">
        <v>60</v>
      </c>
      <c r="N9" s="288">
        <f>M9*$C$3</f>
        <v>4366.2</v>
      </c>
      <c r="O9" s="289">
        <v>4</v>
      </c>
      <c r="P9" s="289">
        <f t="shared" si="7"/>
        <v>158</v>
      </c>
      <c r="Q9" s="288">
        <f t="shared" si="8"/>
        <v>158</v>
      </c>
      <c r="R9" s="287">
        <f t="shared" si="1"/>
        <v>17464.8</v>
      </c>
      <c r="S9" s="288">
        <f>S8+R9</f>
        <v>404601.2</v>
      </c>
      <c r="T9" s="287" t="str">
        <f>IF($S9&lt;$C$13,$B$13,IF($S9&lt;$C$14,$B$14,IF($S9&lt;$C$15,$B$15,IF($S9&lt;$C$16,$B$16,$B$17))))</f>
        <v>Launcher</v>
      </c>
      <c r="U9" s="290">
        <f>IF($S9&lt;$C$13,$D$13,IF($S9&lt;$C$14,$D$14,IF($S9&lt;$C$15,$D$15,IF($S9&lt;$C$16,$D$16,$D$17))))*($R9*$H$6*$H$8)/1000000</f>
        <v>2200.5648000000001</v>
      </c>
      <c r="V9" s="291">
        <f t="shared" si="4"/>
        <v>3492.96</v>
      </c>
      <c r="W9" s="259"/>
      <c r="X9" s="268">
        <v>2022</v>
      </c>
      <c r="Y9" s="269" t="s">
        <v>99</v>
      </c>
      <c r="Z9" s="270">
        <f>$U$14</f>
        <v>30563.4</v>
      </c>
      <c r="AA9" s="270">
        <f t="shared" si="5"/>
        <v>15281.7</v>
      </c>
      <c r="AB9" s="270">
        <v>0</v>
      </c>
      <c r="AC9" s="270">
        <v>0</v>
      </c>
      <c r="AD9" s="271">
        <f t="shared" si="6"/>
        <v>15281.7</v>
      </c>
      <c r="AE9"/>
      <c r="AF9" s="271">
        <f>$O$14</f>
        <v>100</v>
      </c>
      <c r="AG9" s="271">
        <f>$V$14</f>
        <v>87324</v>
      </c>
      <c r="AH9" s="259"/>
      <c r="AI9" s="259"/>
      <c r="AJ9" s="259"/>
      <c r="AK9" s="1"/>
      <c r="AL9" s="1"/>
      <c r="AM9" s="1"/>
      <c r="AN9" s="1"/>
      <c r="AO9" s="1"/>
      <c r="AP9" s="1"/>
      <c r="AQ9" s="1"/>
      <c r="AR9" s="1"/>
    </row>
    <row r="10" spans="2:44" ht="15.75" thickBot="1" x14ac:dyDescent="0.3">
      <c r="J10" s="281">
        <v>9</v>
      </c>
      <c r="K10" s="282">
        <v>2022</v>
      </c>
      <c r="L10" s="282" t="s">
        <v>97</v>
      </c>
      <c r="M10" s="283">
        <v>60</v>
      </c>
      <c r="N10" s="283">
        <f>M10*$C$3</f>
        <v>4366.2</v>
      </c>
      <c r="O10" s="292">
        <v>40</v>
      </c>
      <c r="P10" s="292">
        <f>O10</f>
        <v>40</v>
      </c>
      <c r="Q10" s="283">
        <f>O10+Q9</f>
        <v>198</v>
      </c>
      <c r="R10" s="282">
        <f t="shared" si="1"/>
        <v>174648</v>
      </c>
      <c r="S10" s="283">
        <f t="shared" si="9"/>
        <v>579249.19999999995</v>
      </c>
      <c r="T10" s="282" t="str">
        <f>IF($S10&lt;$C$13,$B$13,IF($S10&lt;$C$14,$B$14,IF($S10&lt;$C$15,$B$15,IF($S10&lt;$C$16,$B$16,$B$17))))</f>
        <v>Launcher</v>
      </c>
      <c r="U10" s="293">
        <f>IF($S10&lt;$C$13,$D$13,IF($S10&lt;$C$14,$D$14,IF($S10&lt;$C$15,$D$15,IF($S10&lt;$C$16,$D$16,$D$17))))*($R10*$H$6*$H$8)/1000000</f>
        <v>22005.648000000001</v>
      </c>
      <c r="V10" s="294">
        <f t="shared" si="4"/>
        <v>34929.599999999999</v>
      </c>
      <c r="W10" s="259"/>
      <c r="X10" s="274">
        <v>2022</v>
      </c>
      <c r="Y10" s="275" t="s">
        <v>100</v>
      </c>
      <c r="Z10" s="276">
        <f>$U$15</f>
        <v>25673.255999999998</v>
      </c>
      <c r="AA10" s="276">
        <f t="shared" si="5"/>
        <v>12836.627999999999</v>
      </c>
      <c r="AB10" s="276">
        <f>$Z4*$AJ$4%</f>
        <v>5318.0316000000003</v>
      </c>
      <c r="AC10" s="276">
        <v>0</v>
      </c>
      <c r="AD10" s="277">
        <f t="shared" si="6"/>
        <v>18154.659599999999</v>
      </c>
      <c r="AE10"/>
      <c r="AF10" s="277">
        <f>$O$15</f>
        <v>84</v>
      </c>
      <c r="AG10" s="277">
        <f>$V$15</f>
        <v>73352.159999999989</v>
      </c>
      <c r="AH10" s="259"/>
      <c r="AI10" s="259"/>
      <c r="AJ10" s="259"/>
      <c r="AK10" s="1"/>
      <c r="AL10" s="1"/>
      <c r="AM10" s="1"/>
      <c r="AN10" s="1"/>
      <c r="AO10" s="1"/>
      <c r="AP10" s="1"/>
      <c r="AQ10" s="1"/>
      <c r="AR10" s="1"/>
    </row>
    <row r="11" spans="2:44" ht="15.75" thickBot="1" x14ac:dyDescent="0.3">
      <c r="B11" s="187" t="s">
        <v>77</v>
      </c>
      <c r="C11" s="188"/>
      <c r="D11" s="236" t="s">
        <v>106</v>
      </c>
      <c r="E11" s="237"/>
      <c r="F11" s="213" t="str">
        <f>$F$6</f>
        <v>Teacher</v>
      </c>
      <c r="G11" s="213" t="s">
        <v>93</v>
      </c>
      <c r="H11" s="241" t="s">
        <v>131</v>
      </c>
      <c r="J11" s="295">
        <v>10</v>
      </c>
      <c r="K11" s="296">
        <v>2022</v>
      </c>
      <c r="L11" s="296" t="s">
        <v>97</v>
      </c>
      <c r="M11" s="297">
        <v>20</v>
      </c>
      <c r="N11" s="297">
        <v>20</v>
      </c>
      <c r="O11" s="298">
        <v>100</v>
      </c>
      <c r="P11" s="298">
        <f>O11+P10</f>
        <v>140</v>
      </c>
      <c r="Q11" s="297">
        <f>O11+Q10</f>
        <v>298</v>
      </c>
      <c r="R11" s="296">
        <f t="shared" si="1"/>
        <v>2000</v>
      </c>
      <c r="S11" s="297">
        <f t="shared" si="9"/>
        <v>581249.19999999995</v>
      </c>
      <c r="T11" s="296" t="str">
        <f>IF($S11&lt;$C$13,$B$13,IF($S11&lt;$C$14,$B$14,IF($S11&lt;$C$15,$B$15,IF($S11&lt;$C$16,$B$16,$B$17))))</f>
        <v>Launcher</v>
      </c>
      <c r="U11" s="299">
        <f>IF($S11&lt;$C$13,$D$13,IF($S11&lt;$C$14,$D$14,IF($S11&lt;$C$15,$D$15,IF($S11&lt;$C$16,$D$16,$D$17))))*($R11*$H$6*$H$8)/1000000</f>
        <v>252</v>
      </c>
      <c r="V11" s="300">
        <f t="shared" si="4"/>
        <v>400</v>
      </c>
      <c r="W11" s="259"/>
      <c r="X11" s="281">
        <v>2022</v>
      </c>
      <c r="Y11" s="282" t="s">
        <v>101</v>
      </c>
      <c r="Z11" s="283">
        <f>$U$16</f>
        <v>22922.549999999992</v>
      </c>
      <c r="AA11" s="283">
        <f t="shared" si="5"/>
        <v>11461.274999999996</v>
      </c>
      <c r="AB11" s="283">
        <f t="shared" ref="AB11:AB56" si="10">$Z5*$AJ$4%</f>
        <v>6876.7650000000003</v>
      </c>
      <c r="AC11" s="283">
        <v>0</v>
      </c>
      <c r="AD11" s="284">
        <f t="shared" si="6"/>
        <v>18338.039999999997</v>
      </c>
      <c r="AE11"/>
      <c r="AF11" s="284">
        <f>$O$16</f>
        <v>75</v>
      </c>
      <c r="AG11" s="284">
        <f>$V$16</f>
        <v>65492.999999999993</v>
      </c>
      <c r="AH11" s="259"/>
      <c r="AI11" s="259"/>
      <c r="AJ11" s="259"/>
      <c r="AK11" s="1"/>
      <c r="AL11" s="1"/>
      <c r="AM11" s="1"/>
      <c r="AN11" s="1"/>
      <c r="AO11" s="1"/>
      <c r="AP11" s="1"/>
      <c r="AQ11" s="1"/>
      <c r="AR11" s="1"/>
    </row>
    <row r="12" spans="2:44" ht="15.75" thickBot="1" x14ac:dyDescent="0.3">
      <c r="B12" s="189" t="s">
        <v>76</v>
      </c>
      <c r="C12" s="190" t="s">
        <v>75</v>
      </c>
      <c r="D12" s="9" t="s">
        <v>29</v>
      </c>
      <c r="E12" s="11" t="s">
        <v>22</v>
      </c>
      <c r="F12" s="11" t="s">
        <v>81</v>
      </c>
      <c r="G12" s="11" t="s">
        <v>81</v>
      </c>
      <c r="H12" s="242" t="s">
        <v>16</v>
      </c>
      <c r="J12" s="301">
        <v>11</v>
      </c>
      <c r="K12" s="302">
        <v>2022</v>
      </c>
      <c r="L12" s="302" t="s">
        <v>97</v>
      </c>
      <c r="M12" s="303">
        <v>40</v>
      </c>
      <c r="N12" s="303">
        <f>M12*$C$3</f>
        <v>2910.7999999999997</v>
      </c>
      <c r="O12" s="304">
        <v>100</v>
      </c>
      <c r="P12" s="304">
        <f t="shared" ref="P12:P26" si="11">O12+P11</f>
        <v>240</v>
      </c>
      <c r="Q12" s="303">
        <f>O12+Q11</f>
        <v>398</v>
      </c>
      <c r="R12" s="302">
        <f t="shared" si="1"/>
        <v>291080</v>
      </c>
      <c r="S12" s="303">
        <f t="shared" si="9"/>
        <v>872329.2</v>
      </c>
      <c r="T12" s="302" t="str">
        <f>IF($S12&lt;$C$13,$B$13,IF($S12&lt;$C$14,$B$14,IF($S12&lt;$C$15,$B$15,IF($S12&lt;$C$16,$B$16,$B$17))))</f>
        <v>Starlet</v>
      </c>
      <c r="U12" s="305">
        <f>IF($S12&lt;$C$13,$D$13,IF($S12&lt;$C$14,$D$14,IF($S12&lt;$C$15,$D$15,IF($S12&lt;$C$16,$D$16,$D$17))))*($R12*$H$6*$H$8)/1000000</f>
        <v>30563.4</v>
      </c>
      <c r="V12" s="306">
        <f t="shared" si="4"/>
        <v>87324</v>
      </c>
      <c r="W12" s="259"/>
      <c r="X12" s="262">
        <v>2022</v>
      </c>
      <c r="Y12" s="263" t="s">
        <v>102</v>
      </c>
      <c r="Z12" s="264">
        <f>$U$17</f>
        <v>19866.209999999995</v>
      </c>
      <c r="AA12" s="264">
        <f t="shared" si="5"/>
        <v>9933.1049999999977</v>
      </c>
      <c r="AB12" s="264">
        <f t="shared" si="10"/>
        <v>550.14120000000003</v>
      </c>
      <c r="AC12" s="264">
        <v>0</v>
      </c>
      <c r="AD12" s="285">
        <f t="shared" si="6"/>
        <v>10483.246199999998</v>
      </c>
      <c r="AE12"/>
      <c r="AF12" s="285">
        <f>$O$17</f>
        <v>65</v>
      </c>
      <c r="AG12" s="285">
        <f>$V$17</f>
        <v>56760.599999999991</v>
      </c>
      <c r="AH12" s="259"/>
      <c r="AI12" s="259"/>
      <c r="AJ12" s="259"/>
      <c r="AK12" s="1"/>
      <c r="AL12" s="1"/>
      <c r="AM12" s="1"/>
      <c r="AN12" s="1"/>
      <c r="AO12" s="1"/>
      <c r="AP12" s="1"/>
      <c r="AQ12" s="1"/>
      <c r="AR12" s="1"/>
    </row>
    <row r="13" spans="2:44" x14ac:dyDescent="0.25">
      <c r="B13" s="63" t="s">
        <v>9</v>
      </c>
      <c r="C13" s="22">
        <f>10000*$C$3</f>
        <v>727700</v>
      </c>
      <c r="D13" s="102">
        <v>30</v>
      </c>
      <c r="E13" s="14">
        <f>$C$13*$D$13%</f>
        <v>218310</v>
      </c>
      <c r="F13" s="14">
        <f>E13*$H$6%</f>
        <v>91690.2</v>
      </c>
      <c r="G13" s="14">
        <f>$H$8%*F13</f>
        <v>91690.2</v>
      </c>
      <c r="H13" s="243">
        <f>100-2*D13-20</f>
        <v>20</v>
      </c>
      <c r="J13" s="262">
        <v>12</v>
      </c>
      <c r="K13" s="263">
        <v>2022</v>
      </c>
      <c r="L13" s="263" t="s">
        <v>98</v>
      </c>
      <c r="M13" s="264">
        <v>40</v>
      </c>
      <c r="N13" s="264">
        <f>M13*$C$3</f>
        <v>2910.7999999999997</v>
      </c>
      <c r="O13" s="265">
        <v>76</v>
      </c>
      <c r="P13" s="265">
        <f t="shared" si="11"/>
        <v>316</v>
      </c>
      <c r="Q13" s="264">
        <f>O13+Q12</f>
        <v>474</v>
      </c>
      <c r="R13" s="263">
        <f t="shared" si="1"/>
        <v>221220.8</v>
      </c>
      <c r="S13" s="264">
        <f t="shared" si="9"/>
        <v>1093550</v>
      </c>
      <c r="T13" s="263" t="str">
        <f>IF($S13&lt;$C$13,$B$13,IF($S13&lt;$C$14,$B$14,IF($S13&lt;$C$15,$B$15,IF($S13&lt;$C$16,$B$16,$B$17))))</f>
        <v>Starlet</v>
      </c>
      <c r="U13" s="266">
        <f>IF($S13&lt;$C$13,$D$13,IF($S13&lt;$C$14,$D$14,IF($S13&lt;$C$15,$D$15,IF($S13&lt;$C$16,$D$16,$D$17))))*($R13*$H$6*$H$8)/1000000</f>
        <v>23228.184000000001</v>
      </c>
      <c r="V13" s="267">
        <f t="shared" si="4"/>
        <v>66366.240000000005</v>
      </c>
      <c r="W13" s="259"/>
      <c r="X13" s="268">
        <v>2022</v>
      </c>
      <c r="Y13" s="269" t="s">
        <v>103</v>
      </c>
      <c r="Z13" s="270">
        <f>$U$18</f>
        <v>13753.529999999997</v>
      </c>
      <c r="AA13" s="270">
        <f t="shared" si="5"/>
        <v>6876.7649999999985</v>
      </c>
      <c r="AB13" s="270">
        <f t="shared" si="10"/>
        <v>13205.262000000001</v>
      </c>
      <c r="AC13" s="270">
        <v>0</v>
      </c>
      <c r="AD13" s="271">
        <f t="shared" si="6"/>
        <v>20082.026999999998</v>
      </c>
      <c r="AE13"/>
      <c r="AF13" s="271">
        <f>$O$18</f>
        <v>45</v>
      </c>
      <c r="AG13" s="271">
        <f>$V$18</f>
        <v>39295.799999999996</v>
      </c>
      <c r="AH13" s="259"/>
      <c r="AI13" s="259"/>
      <c r="AJ13" s="259"/>
      <c r="AK13" s="1"/>
      <c r="AL13" s="1"/>
      <c r="AM13" s="1"/>
      <c r="AN13" s="1"/>
      <c r="AO13" s="1"/>
      <c r="AP13" s="1"/>
      <c r="AQ13" s="1"/>
      <c r="AR13" s="1"/>
    </row>
    <row r="14" spans="2:44" x14ac:dyDescent="0.25">
      <c r="B14" s="64" t="s">
        <v>12</v>
      </c>
      <c r="C14" s="22">
        <f>4*$C13</f>
        <v>2910800</v>
      </c>
      <c r="D14" s="103">
        <v>25</v>
      </c>
      <c r="E14" s="17">
        <f>$E$13+($C$14-$C$13)*$D$14%</f>
        <v>764085</v>
      </c>
      <c r="F14" s="14">
        <f>E14*$H$6%</f>
        <v>320915.7</v>
      </c>
      <c r="G14" s="14">
        <f t="shared" ref="G14:G16" si="12">$H$8%*F14</f>
        <v>320915.7</v>
      </c>
      <c r="H14" s="244">
        <f t="shared" ref="H14:H16" si="13">100-2*D14-20</f>
        <v>30</v>
      </c>
      <c r="J14" s="268">
        <v>14</v>
      </c>
      <c r="K14" s="269">
        <v>2022</v>
      </c>
      <c r="L14" s="269" t="s">
        <v>99</v>
      </c>
      <c r="M14" s="270">
        <v>40</v>
      </c>
      <c r="N14" s="270">
        <f>M14*$C$3</f>
        <v>2910.7999999999997</v>
      </c>
      <c r="O14" s="278">
        <v>100</v>
      </c>
      <c r="P14" s="278">
        <f t="shared" si="11"/>
        <v>416</v>
      </c>
      <c r="Q14" s="270">
        <f>O14+Q13</f>
        <v>574</v>
      </c>
      <c r="R14" s="269">
        <f t="shared" si="1"/>
        <v>291080</v>
      </c>
      <c r="S14" s="270">
        <f t="shared" si="9"/>
        <v>1384630</v>
      </c>
      <c r="T14" s="269" t="str">
        <f>IF($S14&lt;$C$13,$B$13,IF($S14&lt;$C$14,$B$14,IF($S14&lt;$C$15,$B$15,IF($S14&lt;$C$16,$B$16,$B$17))))</f>
        <v>Starlet</v>
      </c>
      <c r="U14" s="279">
        <f>IF($S14&lt;$C$13,$D$13,IF($S14&lt;$C$14,$D$14,IF($S14&lt;$C$15,$D$15,IF($S14&lt;$C$16,$D$16,$D$17))))*($R14*$H$6*$H$8)/1000000</f>
        <v>30563.4</v>
      </c>
      <c r="V14" s="280">
        <f t="shared" si="4"/>
        <v>87324</v>
      </c>
      <c r="W14" s="259"/>
      <c r="X14" s="274">
        <v>2022</v>
      </c>
      <c r="Y14" s="275" t="s">
        <v>104</v>
      </c>
      <c r="Z14" s="276">
        <f>$U$19</f>
        <v>24450.719999999994</v>
      </c>
      <c r="AA14" s="276">
        <f t="shared" si="5"/>
        <v>12225.359999999997</v>
      </c>
      <c r="AB14" s="276">
        <f t="shared" si="10"/>
        <v>5807.0460000000003</v>
      </c>
      <c r="AC14" s="276">
        <v>0</v>
      </c>
      <c r="AD14" s="277">
        <f t="shared" si="6"/>
        <v>18032.405999999995</v>
      </c>
      <c r="AE14"/>
      <c r="AF14" s="277">
        <f>$O$19</f>
        <v>80</v>
      </c>
      <c r="AG14" s="277">
        <f>$V$19</f>
        <v>69859.199999999997</v>
      </c>
      <c r="AH14" s="259"/>
      <c r="AI14" s="259"/>
      <c r="AJ14" s="259"/>
      <c r="AK14" s="1"/>
      <c r="AL14" s="1"/>
      <c r="AM14" s="1"/>
      <c r="AN14" s="1"/>
      <c r="AO14" s="1"/>
      <c r="AP14" s="1"/>
      <c r="AQ14" s="1"/>
      <c r="AR14" s="1"/>
    </row>
    <row r="15" spans="2:44" x14ac:dyDescent="0.25">
      <c r="B15" s="64" t="s">
        <v>10</v>
      </c>
      <c r="C15" s="22">
        <f t="shared" ref="C15:C16" si="14">4*$C14</f>
        <v>11643200</v>
      </c>
      <c r="D15" s="103">
        <v>20</v>
      </c>
      <c r="E15" s="17">
        <f>$E$14+($C$15-$C$14)*$D$15%</f>
        <v>2510565</v>
      </c>
      <c r="F15" s="14">
        <f>E15*$H$6%</f>
        <v>1054437.3</v>
      </c>
      <c r="G15" s="14">
        <f t="shared" si="12"/>
        <v>1054437.3</v>
      </c>
      <c r="H15" s="244">
        <f t="shared" si="13"/>
        <v>40</v>
      </c>
      <c r="J15" s="286">
        <v>15</v>
      </c>
      <c r="K15" s="287">
        <v>2022</v>
      </c>
      <c r="L15" s="287" t="s">
        <v>100</v>
      </c>
      <c r="M15" s="288">
        <v>40</v>
      </c>
      <c r="N15" s="288">
        <f>M15*$C$3</f>
        <v>2910.7999999999997</v>
      </c>
      <c r="O15" s="289">
        <v>84</v>
      </c>
      <c r="P15" s="289">
        <f t="shared" si="11"/>
        <v>500</v>
      </c>
      <c r="Q15" s="288">
        <f>O15+Q14</f>
        <v>658</v>
      </c>
      <c r="R15" s="287">
        <f t="shared" si="1"/>
        <v>244507.19999999998</v>
      </c>
      <c r="S15" s="288">
        <f t="shared" si="9"/>
        <v>1629137.2</v>
      </c>
      <c r="T15" s="287" t="str">
        <f>IF($S15&lt;$C$13,$B$13,IF($S15&lt;$C$14,$B$14,IF($S15&lt;$C$15,$B$15,IF($S15&lt;$C$16,$B$16,$B$17))))</f>
        <v>Starlet</v>
      </c>
      <c r="U15" s="290">
        <f>IF($S15&lt;$C$13,$D$13,IF($S15&lt;$C$14,$D$14,IF($S15&lt;$C$15,$D$15,IF($S15&lt;$C$16,$D$16,$D$17))))*($R15*$H$6*$H$8)/1000000</f>
        <v>25673.255999999998</v>
      </c>
      <c r="V15" s="291">
        <f t="shared" si="4"/>
        <v>73352.159999999989</v>
      </c>
      <c r="W15" s="259"/>
      <c r="X15" s="281">
        <v>2022</v>
      </c>
      <c r="Y15" s="282" t="s">
        <v>105</v>
      </c>
      <c r="Z15" s="283">
        <f>$U$20+$U$21</f>
        <v>38204.25</v>
      </c>
      <c r="AA15" s="283">
        <f t="shared" si="5"/>
        <v>19102.125</v>
      </c>
      <c r="AB15" s="283">
        <f t="shared" si="10"/>
        <v>7640.85</v>
      </c>
      <c r="AC15" s="283">
        <v>0</v>
      </c>
      <c r="AD15" s="284">
        <f t="shared" si="6"/>
        <v>26742.974999999999</v>
      </c>
      <c r="AE15"/>
      <c r="AF15" s="284">
        <f>$O$20+$O$21</f>
        <v>105</v>
      </c>
      <c r="AG15" s="284">
        <f>$V$20+$V$21</f>
        <v>109155</v>
      </c>
      <c r="AH15" s="259"/>
      <c r="AI15" s="259"/>
      <c r="AJ15" s="259"/>
      <c r="AK15" s="1"/>
      <c r="AL15" s="1"/>
      <c r="AM15" s="1"/>
      <c r="AN15" s="1"/>
      <c r="AO15" s="1"/>
      <c r="AP15" s="1"/>
      <c r="AQ15" s="1"/>
      <c r="AR15" s="1"/>
    </row>
    <row r="16" spans="2:44" x14ac:dyDescent="0.25">
      <c r="B16" s="110" t="s">
        <v>13</v>
      </c>
      <c r="C16" s="22">
        <f t="shared" si="14"/>
        <v>46572800</v>
      </c>
      <c r="D16" s="103">
        <v>15</v>
      </c>
      <c r="E16" s="17">
        <f>$E$15+($C$16-$C$15)*$D$16%</f>
        <v>7750005</v>
      </c>
      <c r="F16" s="14">
        <f>E16*$H$6%</f>
        <v>3255002.1</v>
      </c>
      <c r="G16" s="14">
        <f t="shared" si="12"/>
        <v>3255002.1</v>
      </c>
      <c r="H16" s="244">
        <f t="shared" si="13"/>
        <v>50</v>
      </c>
      <c r="J16" s="281">
        <v>17</v>
      </c>
      <c r="K16" s="282">
        <v>2022</v>
      </c>
      <c r="L16" s="282" t="s">
        <v>101</v>
      </c>
      <c r="M16" s="283">
        <v>40</v>
      </c>
      <c r="N16" s="283">
        <f>M16*$C$3</f>
        <v>2910.7999999999997</v>
      </c>
      <c r="O16" s="292">
        <v>75</v>
      </c>
      <c r="P16" s="292">
        <f t="shared" si="11"/>
        <v>575</v>
      </c>
      <c r="Q16" s="283">
        <f t="shared" ref="Q16:Q55" si="15">O16+Q15</f>
        <v>733</v>
      </c>
      <c r="R16" s="282">
        <f t="shared" si="1"/>
        <v>218309.99999999997</v>
      </c>
      <c r="S16" s="283">
        <f t="shared" si="9"/>
        <v>1847447.2</v>
      </c>
      <c r="T16" s="282" t="str">
        <f>IF($S16&lt;$C$13,$B$13,IF($S16&lt;$C$14,$B$14,IF($S16&lt;$C$15,$B$15,IF($S16&lt;$C$16,$B$16,$B$17))))</f>
        <v>Starlet</v>
      </c>
      <c r="U16" s="293">
        <f>IF($S16&lt;$C$13,$D$13,IF($S16&lt;$C$14,$D$14,IF($S16&lt;$C$15,$D$15,IF($S16&lt;$C$16,$D$16,$D$17))))*($R16*$H$6*$H$8)/1000000</f>
        <v>22922.549999999992</v>
      </c>
      <c r="V16" s="294">
        <f t="shared" si="4"/>
        <v>65492.999999999993</v>
      </c>
      <c r="W16" s="259"/>
      <c r="X16" s="262">
        <v>2023</v>
      </c>
      <c r="Y16" s="263" t="s">
        <v>94</v>
      </c>
      <c r="Z16" s="264">
        <f>$U$22</f>
        <v>45845.1</v>
      </c>
      <c r="AA16" s="264">
        <f t="shared" si="5"/>
        <v>22922.55</v>
      </c>
      <c r="AB16" s="264">
        <f t="shared" si="10"/>
        <v>6418.3139999999994</v>
      </c>
      <c r="AC16" s="264">
        <f>$Z4*$AJ$5%</f>
        <v>5318.0316000000003</v>
      </c>
      <c r="AD16" s="285">
        <f t="shared" si="6"/>
        <v>34658.895599999996</v>
      </c>
      <c r="AE16"/>
      <c r="AF16" s="285">
        <f>$O$22</f>
        <v>125</v>
      </c>
      <c r="AG16" s="285">
        <f>$V$22</f>
        <v>218310</v>
      </c>
      <c r="AH16" s="259"/>
      <c r="AI16" s="259"/>
      <c r="AJ16" s="259"/>
      <c r="AK16" s="1"/>
      <c r="AL16" s="1"/>
      <c r="AM16" s="1"/>
      <c r="AN16" s="1"/>
      <c r="AO16" s="1"/>
      <c r="AP16" s="1"/>
      <c r="AQ16" s="1"/>
      <c r="AR16" s="1"/>
    </row>
    <row r="17" spans="2:44" ht="15.75" thickBot="1" x14ac:dyDescent="0.3">
      <c r="B17" s="65" t="s">
        <v>11</v>
      </c>
      <c r="C17" s="72" t="s">
        <v>7</v>
      </c>
      <c r="D17" s="104">
        <v>15</v>
      </c>
      <c r="E17" s="8" t="s">
        <v>7</v>
      </c>
      <c r="F17" s="8" t="s">
        <v>7</v>
      </c>
      <c r="G17" s="8" t="s">
        <v>7</v>
      </c>
      <c r="H17" s="245">
        <v>50</v>
      </c>
      <c r="J17" s="262">
        <v>19</v>
      </c>
      <c r="K17" s="263">
        <v>2022</v>
      </c>
      <c r="L17" s="263" t="s">
        <v>102</v>
      </c>
      <c r="M17" s="264">
        <v>40</v>
      </c>
      <c r="N17" s="264">
        <f>M17*$C$3</f>
        <v>2910.7999999999997</v>
      </c>
      <c r="O17" s="265">
        <v>65</v>
      </c>
      <c r="P17" s="265">
        <f t="shared" si="11"/>
        <v>640</v>
      </c>
      <c r="Q17" s="264">
        <f t="shared" si="15"/>
        <v>798</v>
      </c>
      <c r="R17" s="263">
        <f t="shared" si="1"/>
        <v>189201.99999999997</v>
      </c>
      <c r="S17" s="264">
        <f t="shared" si="9"/>
        <v>2036649.2</v>
      </c>
      <c r="T17" s="263" t="str">
        <f>IF($S17&lt;$C$13,$B$13,IF($S17&lt;$C$14,$B$14,IF($S17&lt;$C$15,$B$15,IF($S17&lt;$C$16,$B$16,$B$17))))</f>
        <v>Starlet</v>
      </c>
      <c r="U17" s="266">
        <f>IF($S17&lt;$C$13,$D$13,IF($S17&lt;$C$14,$D$14,IF($S17&lt;$C$15,$D$15,IF($S17&lt;$C$16,$D$16,$D$17))))*($R17*$H$6*$H$8)/1000000</f>
        <v>19866.209999999995</v>
      </c>
      <c r="V17" s="267">
        <f t="shared" si="4"/>
        <v>56760.599999999991</v>
      </c>
      <c r="W17" s="259"/>
      <c r="X17" s="268">
        <v>2023</v>
      </c>
      <c r="Y17" s="269" t="s">
        <v>95</v>
      </c>
      <c r="Z17" s="270">
        <f>$U$23+$U$24</f>
        <v>67239.48000000001</v>
      </c>
      <c r="AA17" s="270">
        <f t="shared" si="5"/>
        <v>33619.740000000005</v>
      </c>
      <c r="AB17" s="270">
        <f t="shared" si="10"/>
        <v>5730.637499999998</v>
      </c>
      <c r="AC17" s="270">
        <f t="shared" ref="AC17:AC56" si="16">$Z5*$AJ$5%</f>
        <v>6876.7650000000003</v>
      </c>
      <c r="AD17" s="271">
        <f t="shared" si="6"/>
        <v>46227.142500000002</v>
      </c>
      <c r="AE17"/>
      <c r="AF17" s="271">
        <f>$O$23+$O$24</f>
        <v>150</v>
      </c>
      <c r="AG17" s="271">
        <f>$V$23+$V$24</f>
        <v>320188</v>
      </c>
      <c r="AH17" s="259"/>
      <c r="AI17" s="259"/>
      <c r="AJ17" s="259"/>
      <c r="AK17" s="1"/>
      <c r="AL17" s="1"/>
      <c r="AM17" s="1"/>
      <c r="AN17" s="1"/>
      <c r="AO17" s="1"/>
      <c r="AP17" s="1"/>
      <c r="AQ17" s="1"/>
      <c r="AR17" s="1"/>
    </row>
    <row r="18" spans="2:44" x14ac:dyDescent="0.25">
      <c r="E18" s="1"/>
      <c r="F18" s="1"/>
      <c r="G18" s="1"/>
      <c r="J18" s="268">
        <v>20</v>
      </c>
      <c r="K18" s="269">
        <v>2022</v>
      </c>
      <c r="L18" s="269" t="s">
        <v>103</v>
      </c>
      <c r="M18" s="270">
        <v>40</v>
      </c>
      <c r="N18" s="270">
        <f>M18*$C$3</f>
        <v>2910.7999999999997</v>
      </c>
      <c r="O18" s="278">
        <v>45</v>
      </c>
      <c r="P18" s="278">
        <f t="shared" si="11"/>
        <v>685</v>
      </c>
      <c r="Q18" s="270">
        <f t="shared" si="15"/>
        <v>843</v>
      </c>
      <c r="R18" s="269">
        <f t="shared" si="1"/>
        <v>130985.99999999999</v>
      </c>
      <c r="S18" s="270">
        <f t="shared" si="9"/>
        <v>2167635.1999999997</v>
      </c>
      <c r="T18" s="269" t="str">
        <f>IF($S18&lt;$C$13,$B$13,IF($S18&lt;$C$14,$B$14,IF($S18&lt;$C$15,$B$15,IF($S18&lt;$C$16,$B$16,$B$17))))</f>
        <v>Starlet</v>
      </c>
      <c r="U18" s="279">
        <f>IF($S18&lt;$C$13,$D$13,IF($S18&lt;$C$14,$D$14,IF($S18&lt;$C$15,$D$15,IF($S18&lt;$C$16,$D$16,$D$17))))*($R18*$H$6*$H$8)/1000000</f>
        <v>13753.529999999997</v>
      </c>
      <c r="V18" s="280">
        <f t="shared" si="4"/>
        <v>39295.799999999996</v>
      </c>
      <c r="W18" s="259"/>
      <c r="X18" s="274">
        <v>2023</v>
      </c>
      <c r="Y18" s="275" t="s">
        <v>96</v>
      </c>
      <c r="Z18" s="276">
        <f>$U$25+$U$26</f>
        <v>15281.7</v>
      </c>
      <c r="AA18" s="276">
        <f t="shared" si="5"/>
        <v>7640.85</v>
      </c>
      <c r="AB18" s="276">
        <f t="shared" si="10"/>
        <v>4966.5524999999989</v>
      </c>
      <c r="AC18" s="276">
        <f t="shared" si="16"/>
        <v>550.14120000000003</v>
      </c>
      <c r="AD18" s="277">
        <f t="shared" si="6"/>
        <v>13157.5437</v>
      </c>
      <c r="AE18"/>
      <c r="AF18" s="277">
        <f>$O$25+$O$26</f>
        <v>25</v>
      </c>
      <c r="AG18" s="277">
        <f>$V$25+$V$26</f>
        <v>72770</v>
      </c>
      <c r="AH18" s="259"/>
      <c r="AI18" s="259"/>
      <c r="AJ18" s="259"/>
      <c r="AK18" s="1"/>
      <c r="AL18" s="1"/>
      <c r="AM18" s="1"/>
      <c r="AN18" s="1"/>
      <c r="AO18" s="1"/>
      <c r="AP18" s="1"/>
      <c r="AQ18" s="1"/>
      <c r="AR18" s="1"/>
    </row>
    <row r="19" spans="2:44" x14ac:dyDescent="0.25">
      <c r="J19" s="286">
        <v>23</v>
      </c>
      <c r="K19" s="287">
        <v>2022</v>
      </c>
      <c r="L19" s="287" t="s">
        <v>104</v>
      </c>
      <c r="M19" s="288">
        <v>40</v>
      </c>
      <c r="N19" s="288">
        <f>M19*$C$3</f>
        <v>2910.7999999999997</v>
      </c>
      <c r="O19" s="289">
        <v>80</v>
      </c>
      <c r="P19" s="289">
        <f t="shared" si="11"/>
        <v>765</v>
      </c>
      <c r="Q19" s="288">
        <f t="shared" si="15"/>
        <v>923</v>
      </c>
      <c r="R19" s="287">
        <f t="shared" si="1"/>
        <v>232863.99999999997</v>
      </c>
      <c r="S19" s="288">
        <f t="shared" si="9"/>
        <v>2400499.1999999997</v>
      </c>
      <c r="T19" s="287" t="str">
        <f>IF($S19&lt;$C$13,$B$13,IF($S19&lt;$C$14,$B$14,IF($S19&lt;$C$15,$B$15,IF($S19&lt;$C$16,$B$16,$B$17))))</f>
        <v>Starlet</v>
      </c>
      <c r="U19" s="290">
        <f>IF($S19&lt;$C$13,$D$13,IF($S19&lt;$C$14,$D$14,IF($S19&lt;$C$15,$D$15,IF($S19&lt;$C$16,$D$16,$D$17))))*($R19*$H$6*$H$8)/1000000</f>
        <v>24450.719999999994</v>
      </c>
      <c r="V19" s="291">
        <f t="shared" si="4"/>
        <v>69859.199999999997</v>
      </c>
      <c r="W19" s="259"/>
      <c r="X19" s="281">
        <v>2023</v>
      </c>
      <c r="Y19" s="282" t="s">
        <v>97</v>
      </c>
      <c r="Z19" s="283">
        <f>$U$27</f>
        <v>80687.376000000004</v>
      </c>
      <c r="AA19" s="283">
        <f t="shared" si="5"/>
        <v>40343.688000000002</v>
      </c>
      <c r="AB19" s="283">
        <f t="shared" si="10"/>
        <v>3438.3824999999993</v>
      </c>
      <c r="AC19" s="283">
        <f t="shared" si="16"/>
        <v>13205.262000000001</v>
      </c>
      <c r="AD19" s="284">
        <f t="shared" si="6"/>
        <v>56987.332500000004</v>
      </c>
      <c r="AE19"/>
      <c r="AF19" s="284">
        <f>$O$27</f>
        <v>220</v>
      </c>
      <c r="AG19" s="284">
        <f>$V$27</f>
        <v>384225.6</v>
      </c>
      <c r="AH19" s="259"/>
      <c r="AI19" s="259"/>
      <c r="AJ19" s="259"/>
      <c r="AK19" s="1"/>
      <c r="AL19" s="1"/>
      <c r="AM19" s="1"/>
      <c r="AN19" s="1"/>
      <c r="AO19" s="1"/>
      <c r="AP19" s="1"/>
      <c r="AQ19" s="1"/>
      <c r="AR19" s="1"/>
    </row>
    <row r="20" spans="2:44" x14ac:dyDescent="0.25">
      <c r="J20" s="281">
        <v>25</v>
      </c>
      <c r="K20" s="282">
        <v>2022</v>
      </c>
      <c r="L20" s="282" t="s">
        <v>105</v>
      </c>
      <c r="M20" s="283">
        <v>40</v>
      </c>
      <c r="N20" s="283">
        <f>M20*$C$3</f>
        <v>2910.7999999999997</v>
      </c>
      <c r="O20" s="292">
        <v>65</v>
      </c>
      <c r="P20" s="292">
        <f t="shared" si="11"/>
        <v>830</v>
      </c>
      <c r="Q20" s="283">
        <f t="shared" si="15"/>
        <v>988</v>
      </c>
      <c r="R20" s="282">
        <f t="shared" si="1"/>
        <v>189201.99999999997</v>
      </c>
      <c r="S20" s="283">
        <f t="shared" si="9"/>
        <v>2589701.1999999997</v>
      </c>
      <c r="T20" s="282" t="str">
        <f>IF($S20&lt;$C$13,$B$13,IF($S20&lt;$C$14,$B$14,IF($S20&lt;$C$15,$B$15,IF($S20&lt;$C$16,$B$16,$B$17))))</f>
        <v>Starlet</v>
      </c>
      <c r="U20" s="293">
        <f>IF($S20&lt;$C$13,$D$13,IF($S20&lt;$C$14,$D$14,IF($S20&lt;$C$15,$D$15,IF($S20&lt;$C$16,$D$16,$D$17))))*($R20*$H$6*$H$8)/1000000</f>
        <v>19866.209999999995</v>
      </c>
      <c r="V20" s="294">
        <f t="shared" si="4"/>
        <v>56760.599999999991</v>
      </c>
      <c r="W20" s="259"/>
      <c r="X20" s="262">
        <v>2023</v>
      </c>
      <c r="Y20" s="263" t="s">
        <v>98</v>
      </c>
      <c r="Z20" s="264">
        <f>$U$28</f>
        <v>95357.808000000005</v>
      </c>
      <c r="AA20" s="264">
        <f t="shared" si="5"/>
        <v>47678.904000000002</v>
      </c>
      <c r="AB20" s="264">
        <f t="shared" si="10"/>
        <v>6112.6799999999985</v>
      </c>
      <c r="AC20" s="264">
        <f t="shared" si="16"/>
        <v>5807.0460000000003</v>
      </c>
      <c r="AD20" s="285">
        <f t="shared" si="6"/>
        <v>59598.630000000005</v>
      </c>
      <c r="AE20"/>
      <c r="AF20" s="285">
        <f>$O$28</f>
        <v>260</v>
      </c>
      <c r="AG20" s="285">
        <f>$V$28</f>
        <v>454084.8</v>
      </c>
      <c r="AH20" s="259"/>
      <c r="AI20" s="259"/>
      <c r="AJ20" s="259"/>
      <c r="AK20" s="1"/>
      <c r="AL20" s="1"/>
      <c r="AM20" s="1"/>
      <c r="AN20" s="1"/>
      <c r="AO20" s="1"/>
      <c r="AP20" s="1"/>
      <c r="AQ20" s="1"/>
      <c r="AR20" s="1"/>
    </row>
    <row r="21" spans="2:44" ht="15.75" thickBot="1" x14ac:dyDescent="0.3">
      <c r="J21" s="295">
        <v>26</v>
      </c>
      <c r="K21" s="296">
        <v>2022</v>
      </c>
      <c r="L21" s="296" t="s">
        <v>105</v>
      </c>
      <c r="M21" s="297">
        <v>60</v>
      </c>
      <c r="N21" s="297">
        <f>M21*$C$3</f>
        <v>4366.2</v>
      </c>
      <c r="O21" s="298">
        <v>40</v>
      </c>
      <c r="P21" s="298">
        <f t="shared" si="11"/>
        <v>870</v>
      </c>
      <c r="Q21" s="298">
        <f t="shared" si="15"/>
        <v>1028</v>
      </c>
      <c r="R21" s="296">
        <f t="shared" si="1"/>
        <v>174648</v>
      </c>
      <c r="S21" s="297">
        <f t="shared" si="9"/>
        <v>2764349.1999999997</v>
      </c>
      <c r="T21" s="296" t="str">
        <f>IF($S21&lt;$C$13,$B$13,IF($S21&lt;$C$14,$B$14,IF($S21&lt;$C$15,$B$15,IF($S21&lt;$C$16,$B$16,$B$17))))</f>
        <v>Starlet</v>
      </c>
      <c r="U21" s="299">
        <f>IF($S21&lt;$C$13,$D$13,IF($S21&lt;$C$14,$D$14,IF($S21&lt;$C$15,$D$15,IF($S21&lt;$C$16,$D$16,$D$17))))*($R21*$H$6*$H$8)/1000000</f>
        <v>18338.04</v>
      </c>
      <c r="V21" s="300">
        <f t="shared" si="4"/>
        <v>52394.400000000001</v>
      </c>
      <c r="W21" s="259"/>
      <c r="X21" s="268">
        <v>2023</v>
      </c>
      <c r="Y21" s="269" t="s">
        <v>99</v>
      </c>
      <c r="Z21" s="270">
        <f>$U$29</f>
        <v>84354.983999999997</v>
      </c>
      <c r="AA21" s="270">
        <f t="shared" si="5"/>
        <v>42177.491999999998</v>
      </c>
      <c r="AB21" s="270">
        <f t="shared" si="10"/>
        <v>9551.0625</v>
      </c>
      <c r="AC21" s="270">
        <f t="shared" si="16"/>
        <v>7640.85</v>
      </c>
      <c r="AD21" s="271">
        <f t="shared" si="6"/>
        <v>59369.404499999997</v>
      </c>
      <c r="AE21"/>
      <c r="AF21" s="271">
        <f>$O$29</f>
        <v>230</v>
      </c>
      <c r="AG21" s="271">
        <f>$V$29</f>
        <v>401690.4</v>
      </c>
      <c r="AH21" s="259"/>
      <c r="AI21" s="259"/>
      <c r="AJ21" s="259"/>
      <c r="AK21" s="1"/>
      <c r="AL21" s="1"/>
      <c r="AM21" s="1"/>
      <c r="AN21" s="1"/>
      <c r="AO21" s="1"/>
      <c r="AP21" s="1"/>
      <c r="AQ21" s="1"/>
      <c r="AR21" s="1"/>
    </row>
    <row r="22" spans="2:44" x14ac:dyDescent="0.25">
      <c r="J22" s="254">
        <v>28</v>
      </c>
      <c r="K22" s="255">
        <v>2023</v>
      </c>
      <c r="L22" s="255" t="s">
        <v>94</v>
      </c>
      <c r="M22" s="256">
        <v>60</v>
      </c>
      <c r="N22" s="256">
        <f>M22*$C$3</f>
        <v>4366.2</v>
      </c>
      <c r="O22" s="307">
        <v>125</v>
      </c>
      <c r="P22" s="307">
        <f t="shared" si="11"/>
        <v>995</v>
      </c>
      <c r="Q22" s="256">
        <f t="shared" si="15"/>
        <v>1153</v>
      </c>
      <c r="R22" s="255">
        <f t="shared" si="1"/>
        <v>545775</v>
      </c>
      <c r="S22" s="256">
        <f t="shared" si="9"/>
        <v>3310124.1999999997</v>
      </c>
      <c r="T22" s="255" t="str">
        <f>IF($S22&lt;$C$13,$B$13,IF($S22&lt;$C$14,$B$14,IF($S22&lt;$C$15,$B$15,IF($S22&lt;$C$16,$B$16,$B$17))))</f>
        <v>Celebrity</v>
      </c>
      <c r="U22" s="257">
        <f>IF($S22&lt;$C$13,$D$13,IF($S22&lt;$C$14,$D$14,IF($S22&lt;$C$15,$D$15,IF($S22&lt;$C$16,$D$16,$D$17))))*($R22*$H$6*$H$8)/1000000</f>
        <v>45845.1</v>
      </c>
      <c r="V22" s="258">
        <f t="shared" si="4"/>
        <v>218310</v>
      </c>
      <c r="W22" s="259"/>
      <c r="X22" s="274">
        <v>2023</v>
      </c>
      <c r="Y22" s="275" t="s">
        <v>100</v>
      </c>
      <c r="Z22" s="276">
        <f>$U$30</f>
        <v>69684.551999999996</v>
      </c>
      <c r="AA22" s="276">
        <f t="shared" si="5"/>
        <v>34842.275999999998</v>
      </c>
      <c r="AB22" s="276">
        <f t="shared" si="10"/>
        <v>11461.275</v>
      </c>
      <c r="AC22" s="276">
        <f t="shared" si="16"/>
        <v>6418.3139999999994</v>
      </c>
      <c r="AD22" s="277">
        <f t="shared" si="6"/>
        <v>52721.864999999998</v>
      </c>
      <c r="AE22"/>
      <c r="AF22" s="277">
        <f>$O$30</f>
        <v>190</v>
      </c>
      <c r="AG22" s="277">
        <f>$V$30</f>
        <v>331831.2</v>
      </c>
      <c r="AH22" s="259"/>
      <c r="AI22" s="259"/>
      <c r="AJ22" s="259"/>
      <c r="AK22" s="1"/>
      <c r="AL22" s="1"/>
      <c r="AM22" s="1"/>
      <c r="AN22" s="1"/>
      <c r="AO22" s="1"/>
      <c r="AP22" s="1"/>
      <c r="AQ22" s="1"/>
      <c r="AR22" s="1"/>
    </row>
    <row r="23" spans="2:44" x14ac:dyDescent="0.25">
      <c r="J23" s="268">
        <v>29</v>
      </c>
      <c r="K23" s="269">
        <v>2023</v>
      </c>
      <c r="L23" s="269" t="s">
        <v>95</v>
      </c>
      <c r="M23" s="270">
        <v>60</v>
      </c>
      <c r="N23" s="270">
        <f>M23*$C$3</f>
        <v>4366.2</v>
      </c>
      <c r="O23" s="278">
        <v>100</v>
      </c>
      <c r="P23" s="278">
        <f t="shared" si="11"/>
        <v>1095</v>
      </c>
      <c r="Q23" s="270">
        <f t="shared" si="15"/>
        <v>1253</v>
      </c>
      <c r="R23" s="269">
        <f t="shared" si="1"/>
        <v>436620</v>
      </c>
      <c r="S23" s="270">
        <f t="shared" si="9"/>
        <v>3746744.1999999997</v>
      </c>
      <c r="T23" s="269" t="str">
        <f>IF($S23&lt;$C$13,$B$13,IF($S23&lt;$C$14,$B$14,IF($S23&lt;$C$15,$B$15,IF($S23&lt;$C$16,$B$16,$B$17))))</f>
        <v>Celebrity</v>
      </c>
      <c r="U23" s="279">
        <f>IF($S23&lt;$C$13,$D$13,IF($S23&lt;$C$14,$D$14,IF($S23&lt;$C$15,$D$15,IF($S23&lt;$C$16,$D$16,$D$17))))*($R23*$H$6*$H$8)/1000000</f>
        <v>36676.080000000002</v>
      </c>
      <c r="V23" s="280">
        <f t="shared" si="4"/>
        <v>174648</v>
      </c>
      <c r="W23" s="259"/>
      <c r="X23" s="281">
        <v>2023</v>
      </c>
      <c r="Y23" s="282" t="s">
        <v>101</v>
      </c>
      <c r="Z23" s="283">
        <f>$U$31</f>
        <v>55014.12</v>
      </c>
      <c r="AA23" s="283">
        <f t="shared" si="5"/>
        <v>27507.06</v>
      </c>
      <c r="AB23" s="283">
        <f t="shared" si="10"/>
        <v>16809.870000000003</v>
      </c>
      <c r="AC23" s="283">
        <f t="shared" si="16"/>
        <v>5730.637499999998</v>
      </c>
      <c r="AD23" s="284">
        <f t="shared" si="6"/>
        <v>50047.567500000005</v>
      </c>
      <c r="AE23"/>
      <c r="AF23" s="284">
        <f>$O$31</f>
        <v>150</v>
      </c>
      <c r="AG23" s="284">
        <f>$V$31</f>
        <v>261972</v>
      </c>
      <c r="AH23" s="259"/>
      <c r="AI23" s="259"/>
      <c r="AJ23" s="259"/>
      <c r="AK23" s="1"/>
      <c r="AL23" s="1"/>
      <c r="AM23" s="1"/>
      <c r="AN23" s="1"/>
      <c r="AO23" s="1"/>
      <c r="AP23" s="1"/>
      <c r="AQ23" s="1"/>
      <c r="AR23" s="1"/>
    </row>
    <row r="24" spans="2:44" x14ac:dyDescent="0.25">
      <c r="J24" s="268">
        <v>30</v>
      </c>
      <c r="K24" s="269">
        <v>2023</v>
      </c>
      <c r="L24" s="269" t="s">
        <v>95</v>
      </c>
      <c r="M24" s="270">
        <v>100</v>
      </c>
      <c r="N24" s="270">
        <f>M24*$C$3</f>
        <v>7277</v>
      </c>
      <c r="O24" s="278">
        <v>50</v>
      </c>
      <c r="P24" s="278">
        <f t="shared" si="11"/>
        <v>1145</v>
      </c>
      <c r="Q24" s="270">
        <f t="shared" si="15"/>
        <v>1303</v>
      </c>
      <c r="R24" s="269">
        <f t="shared" si="1"/>
        <v>363850</v>
      </c>
      <c r="S24" s="270">
        <f t="shared" si="9"/>
        <v>4110594.1999999997</v>
      </c>
      <c r="T24" s="269" t="str">
        <f>IF($S24&lt;$C$13,$B$13,IF($S24&lt;$C$14,$B$14,IF($S24&lt;$C$15,$B$15,IF($S24&lt;$C$16,$B$16,$B$17))))</f>
        <v>Celebrity</v>
      </c>
      <c r="U24" s="279">
        <f>IF($S24&lt;$C$13,$D$13,IF($S24&lt;$C$14,$D$14,IF($S24&lt;$C$15,$D$15,IF($S24&lt;$C$16,$D$16,$D$17))))*($R24*$H$6*$H$8)/1000000</f>
        <v>30563.4</v>
      </c>
      <c r="V24" s="280">
        <f t="shared" si="4"/>
        <v>145540</v>
      </c>
      <c r="W24" s="259"/>
      <c r="X24" s="262">
        <v>2023</v>
      </c>
      <c r="Y24" s="263" t="s">
        <v>102</v>
      </c>
      <c r="Z24" s="264">
        <f>$U$32</f>
        <v>51346.512000000002</v>
      </c>
      <c r="AA24" s="264">
        <f t="shared" si="5"/>
        <v>25673.256000000005</v>
      </c>
      <c r="AB24" s="264">
        <f t="shared" si="10"/>
        <v>3820.4250000000002</v>
      </c>
      <c r="AC24" s="264">
        <f t="shared" si="16"/>
        <v>4966.5524999999989</v>
      </c>
      <c r="AD24" s="285">
        <f t="shared" si="6"/>
        <v>34460.233500000002</v>
      </c>
      <c r="AE24"/>
      <c r="AF24" s="285">
        <f>$O$32</f>
        <v>140</v>
      </c>
      <c r="AG24" s="285">
        <f>$V$32</f>
        <v>244507.2</v>
      </c>
      <c r="AH24" s="259"/>
      <c r="AI24" s="259"/>
      <c r="AJ24" s="259"/>
      <c r="AK24" s="1"/>
      <c r="AL24" s="1"/>
      <c r="AM24" s="1"/>
      <c r="AN24" s="1"/>
      <c r="AO24" s="1"/>
      <c r="AP24" s="1"/>
      <c r="AQ24" s="1"/>
      <c r="AR24" s="1"/>
    </row>
    <row r="25" spans="2:44" x14ac:dyDescent="0.25">
      <c r="J25" s="286">
        <v>31</v>
      </c>
      <c r="K25" s="287">
        <v>2023</v>
      </c>
      <c r="L25" s="287" t="s">
        <v>96</v>
      </c>
      <c r="M25" s="288">
        <v>100</v>
      </c>
      <c r="N25" s="288">
        <f>M25*$C$3</f>
        <v>7277</v>
      </c>
      <c r="O25" s="289">
        <v>25</v>
      </c>
      <c r="P25" s="289">
        <f t="shared" si="11"/>
        <v>1170</v>
      </c>
      <c r="Q25" s="288">
        <f t="shared" si="15"/>
        <v>1328</v>
      </c>
      <c r="R25" s="287">
        <f t="shared" si="1"/>
        <v>181925</v>
      </c>
      <c r="S25" s="288">
        <f t="shared" si="9"/>
        <v>4292519.1999999993</v>
      </c>
      <c r="T25" s="287" t="str">
        <f>IF($S25&lt;$C$13,$B$13,IF($S25&lt;$C$14,$B$14,IF($S25&lt;$C$15,$B$15,IF($S25&lt;$C$16,$B$16,$B$17))))</f>
        <v>Celebrity</v>
      </c>
      <c r="U25" s="290">
        <f>IF($S25&lt;$C$13,$D$13,IF($S25&lt;$C$14,$D$14,IF($S25&lt;$C$15,$D$15,IF($S25&lt;$C$16,$D$16,$D$17))))*($R25*$H$6*$H$8)/1000000</f>
        <v>15281.7</v>
      </c>
      <c r="V25" s="291">
        <f t="shared" si="4"/>
        <v>72770</v>
      </c>
      <c r="W25" s="259"/>
      <c r="X25" s="268">
        <v>2023</v>
      </c>
      <c r="Y25" s="269" t="s">
        <v>103</v>
      </c>
      <c r="Z25" s="270">
        <f>$U$33</f>
        <v>51346.512000000002</v>
      </c>
      <c r="AA25" s="270">
        <f t="shared" si="5"/>
        <v>25673.256000000005</v>
      </c>
      <c r="AB25" s="270">
        <f t="shared" si="10"/>
        <v>20171.844000000001</v>
      </c>
      <c r="AC25" s="270">
        <f t="shared" si="16"/>
        <v>3438.3824999999993</v>
      </c>
      <c r="AD25" s="271">
        <f t="shared" si="6"/>
        <v>49283.482500000006</v>
      </c>
      <c r="AE25"/>
      <c r="AF25" s="271">
        <f>$O$33</f>
        <v>140</v>
      </c>
      <c r="AG25" s="271">
        <f>$V$33</f>
        <v>244507.2</v>
      </c>
      <c r="AH25" s="259"/>
      <c r="AI25" s="259"/>
      <c r="AJ25" s="259"/>
      <c r="AK25" s="1"/>
      <c r="AL25" s="1"/>
      <c r="AM25" s="1"/>
      <c r="AN25" s="1"/>
      <c r="AO25" s="1"/>
      <c r="AP25" s="1"/>
      <c r="AQ25" s="1"/>
      <c r="AR25" s="1"/>
    </row>
    <row r="26" spans="2:44" x14ac:dyDescent="0.25">
      <c r="J26" s="286">
        <v>31</v>
      </c>
      <c r="K26" s="287">
        <v>2023</v>
      </c>
      <c r="L26" s="287" t="s">
        <v>96</v>
      </c>
      <c r="M26" s="288">
        <v>60</v>
      </c>
      <c r="N26" s="288">
        <f>M26*$C$3</f>
        <v>4366.2</v>
      </c>
      <c r="O26" s="289">
        <v>0</v>
      </c>
      <c r="P26" s="289">
        <f t="shared" si="11"/>
        <v>1170</v>
      </c>
      <c r="Q26" s="288">
        <f t="shared" si="15"/>
        <v>1328</v>
      </c>
      <c r="R26" s="287">
        <f t="shared" si="1"/>
        <v>0</v>
      </c>
      <c r="S26" s="288">
        <f t="shared" si="9"/>
        <v>4292519.1999999993</v>
      </c>
      <c r="T26" s="287" t="str">
        <f>IF($S26&lt;$C$13,$B$13,IF($S26&lt;$C$14,$B$14,IF($S26&lt;$C$15,$B$15,IF($S26&lt;$C$16,$B$16,$B$17))))</f>
        <v>Celebrity</v>
      </c>
      <c r="U26" s="290">
        <f>IF($S26&lt;$C$13,$D$13,IF($S26&lt;$C$14,$D$14,IF($S26&lt;$C$15,$D$15,IF($S26&lt;$C$16,$D$16,$D$17))))*($R26*$H$6*$H$8)/1000000</f>
        <v>0</v>
      </c>
      <c r="V26" s="291">
        <f t="shared" si="4"/>
        <v>0</v>
      </c>
      <c r="W26" s="259"/>
      <c r="X26" s="274">
        <v>2023</v>
      </c>
      <c r="Y26" s="275" t="s">
        <v>104</v>
      </c>
      <c r="Z26" s="276">
        <f>$U$34</f>
        <v>47678.904000000002</v>
      </c>
      <c r="AA26" s="276">
        <f t="shared" si="5"/>
        <v>23839.452000000001</v>
      </c>
      <c r="AB26" s="276">
        <f t="shared" si="10"/>
        <v>23839.452000000001</v>
      </c>
      <c r="AC26" s="276">
        <f t="shared" si="16"/>
        <v>6112.6799999999985</v>
      </c>
      <c r="AD26" s="277">
        <f t="shared" si="6"/>
        <v>53791.584000000003</v>
      </c>
      <c r="AE26"/>
      <c r="AF26" s="277">
        <f>$O$34</f>
        <v>130</v>
      </c>
      <c r="AG26" s="277">
        <f>$V$34</f>
        <v>227042.4</v>
      </c>
      <c r="AH26" s="259"/>
      <c r="AI26" s="259"/>
      <c r="AJ26" s="259"/>
      <c r="AK26" s="1"/>
      <c r="AL26" s="1"/>
      <c r="AM26" s="1"/>
      <c r="AN26" s="1"/>
      <c r="AO26" s="1"/>
      <c r="AP26" s="1"/>
      <c r="AQ26" s="1"/>
      <c r="AR26" s="1"/>
    </row>
    <row r="27" spans="2:44" x14ac:dyDescent="0.25">
      <c r="J27" s="281">
        <v>32</v>
      </c>
      <c r="K27" s="282">
        <v>2023</v>
      </c>
      <c r="L27" s="282" t="s">
        <v>97</v>
      </c>
      <c r="M27" s="283">
        <v>60</v>
      </c>
      <c r="N27" s="283">
        <f>M27*$C$3</f>
        <v>4366.2</v>
      </c>
      <c r="O27" s="292">
        <v>220</v>
      </c>
      <c r="P27" s="292">
        <f>O27</f>
        <v>220</v>
      </c>
      <c r="Q27" s="283">
        <f t="shared" si="15"/>
        <v>1548</v>
      </c>
      <c r="R27" s="282">
        <f t="shared" si="1"/>
        <v>960564</v>
      </c>
      <c r="S27" s="283">
        <f t="shared" si="9"/>
        <v>5253083.1999999993</v>
      </c>
      <c r="T27" s="282" t="str">
        <f>IF($S27&lt;$C$13,$B$13,IF($S27&lt;$C$14,$B$14,IF($S27&lt;$C$15,$B$15,IF($S27&lt;$C$16,$B$16,$B$17))))</f>
        <v>Celebrity</v>
      </c>
      <c r="U27" s="293">
        <f>IF($S27&lt;$C$13,$D$13,IF($S27&lt;$C$14,$D$14,IF($S27&lt;$C$15,$D$15,IF($S27&lt;$C$16,$D$16,$D$17))))*($R27*$H$6*$H$8)/1000000</f>
        <v>80687.376000000004</v>
      </c>
      <c r="V27" s="294">
        <f t="shared" si="4"/>
        <v>384225.6</v>
      </c>
      <c r="W27" s="259"/>
      <c r="X27" s="281">
        <v>2023</v>
      </c>
      <c r="Y27" s="282" t="s">
        <v>105</v>
      </c>
      <c r="Z27" s="283">
        <f>$U$35+$U$36</f>
        <v>68462.016000000003</v>
      </c>
      <c r="AA27" s="283">
        <f t="shared" si="5"/>
        <v>34231.008000000002</v>
      </c>
      <c r="AB27" s="283">
        <f t="shared" si="10"/>
        <v>21088.745999999999</v>
      </c>
      <c r="AC27" s="283">
        <f t="shared" si="16"/>
        <v>9551.0625</v>
      </c>
      <c r="AD27" s="284">
        <f t="shared" si="6"/>
        <v>64870.816500000001</v>
      </c>
      <c r="AE27"/>
      <c r="AF27" s="284">
        <f>$O$35+$O$36</f>
        <v>160</v>
      </c>
      <c r="AG27" s="284">
        <f>$V$35+$V$36</f>
        <v>326009.59999999998</v>
      </c>
      <c r="AH27" s="259"/>
      <c r="AI27" s="259"/>
      <c r="AJ27" s="259"/>
      <c r="AK27" s="1"/>
      <c r="AL27" s="1"/>
      <c r="AM27" s="1"/>
      <c r="AN27" s="1"/>
      <c r="AO27" s="1"/>
      <c r="AP27" s="1"/>
      <c r="AQ27" s="1"/>
      <c r="AR27" s="1"/>
    </row>
    <row r="28" spans="2:44" x14ac:dyDescent="0.25">
      <c r="J28" s="262">
        <v>33</v>
      </c>
      <c r="K28" s="263">
        <v>2023</v>
      </c>
      <c r="L28" s="263" t="s">
        <v>98</v>
      </c>
      <c r="M28" s="264">
        <v>60</v>
      </c>
      <c r="N28" s="264">
        <f>M28*$C$3</f>
        <v>4366.2</v>
      </c>
      <c r="O28" s="265">
        <v>260</v>
      </c>
      <c r="P28" s="265">
        <f>P27+O28</f>
        <v>480</v>
      </c>
      <c r="Q28" s="264">
        <f t="shared" si="15"/>
        <v>1808</v>
      </c>
      <c r="R28" s="263">
        <f t="shared" si="1"/>
        <v>1135212</v>
      </c>
      <c r="S28" s="264">
        <f t="shared" si="9"/>
        <v>6388295.1999999993</v>
      </c>
      <c r="T28" s="263" t="str">
        <f>IF($S28&lt;$C$13,$B$13,IF($S28&lt;$C$14,$B$14,IF($S28&lt;$C$15,$B$15,IF($S28&lt;$C$16,$B$16,$B$17))))</f>
        <v>Celebrity</v>
      </c>
      <c r="U28" s="266">
        <f>IF($S28&lt;$C$13,$D$13,IF($S28&lt;$C$14,$D$14,IF($S28&lt;$C$15,$D$15,IF($S28&lt;$C$16,$D$16,$D$17))))*($R28*$H$6*$H$8)/1000000</f>
        <v>95357.808000000005</v>
      </c>
      <c r="V28" s="267">
        <f t="shared" si="4"/>
        <v>454084.8</v>
      </c>
      <c r="W28" s="259"/>
      <c r="X28" s="262">
        <v>2024</v>
      </c>
      <c r="Y28" s="263" t="s">
        <v>94</v>
      </c>
      <c r="Z28" s="264">
        <f>$U$37</f>
        <v>82521.179999999978</v>
      </c>
      <c r="AA28" s="264">
        <f t="shared" si="5"/>
        <v>41260.589999999989</v>
      </c>
      <c r="AB28" s="264">
        <f t="shared" si="10"/>
        <v>17421.137999999999</v>
      </c>
      <c r="AC28" s="264">
        <f t="shared" si="16"/>
        <v>11461.275</v>
      </c>
      <c r="AD28" s="285">
        <f t="shared" si="6"/>
        <v>70143.002999999982</v>
      </c>
      <c r="AE28"/>
      <c r="AF28" s="285">
        <f>$O$37</f>
        <v>225</v>
      </c>
      <c r="AG28" s="285">
        <f>$V$37</f>
        <v>654929.99999999988</v>
      </c>
      <c r="AH28" s="259"/>
      <c r="AI28" s="259"/>
      <c r="AJ28" s="259"/>
      <c r="AK28" s="1"/>
      <c r="AL28" s="1"/>
      <c r="AM28" s="1"/>
      <c r="AN28" s="1"/>
      <c r="AO28" s="1"/>
      <c r="AP28" s="1"/>
      <c r="AQ28" s="1"/>
      <c r="AR28" s="1"/>
    </row>
    <row r="29" spans="2:44" x14ac:dyDescent="0.25">
      <c r="J29" s="268">
        <v>35</v>
      </c>
      <c r="K29" s="269">
        <v>2023</v>
      </c>
      <c r="L29" s="269" t="s">
        <v>99</v>
      </c>
      <c r="M29" s="270">
        <v>60</v>
      </c>
      <c r="N29" s="270">
        <f>M29*$C$3</f>
        <v>4366.2</v>
      </c>
      <c r="O29" s="278">
        <v>230</v>
      </c>
      <c r="P29" s="278">
        <f t="shared" ref="P29:P40" si="17">P28+O29</f>
        <v>710</v>
      </c>
      <c r="Q29" s="270">
        <f t="shared" si="15"/>
        <v>2038</v>
      </c>
      <c r="R29" s="269">
        <f t="shared" si="1"/>
        <v>1004226</v>
      </c>
      <c r="S29" s="270">
        <f t="shared" si="9"/>
        <v>7392521.1999999993</v>
      </c>
      <c r="T29" s="269" t="str">
        <f>IF($S29&lt;$C$13,$B$13,IF($S29&lt;$C$14,$B$14,IF($S29&lt;$C$15,$B$15,IF($S29&lt;$C$16,$B$16,$B$17))))</f>
        <v>Celebrity</v>
      </c>
      <c r="U29" s="279">
        <f>IF($S29&lt;$C$13,$D$13,IF($S29&lt;$C$14,$D$14,IF($S29&lt;$C$15,$D$15,IF($S29&lt;$C$16,$D$16,$D$17))))*($R29*$H$6*$H$8)/1000000</f>
        <v>84354.983999999997</v>
      </c>
      <c r="V29" s="280">
        <f t="shared" si="4"/>
        <v>401690.4</v>
      </c>
      <c r="W29" s="259"/>
      <c r="X29" s="268">
        <v>2024</v>
      </c>
      <c r="Y29" s="269" t="s">
        <v>95</v>
      </c>
      <c r="Z29" s="270">
        <f>$U$38</f>
        <v>137535.29999999999</v>
      </c>
      <c r="AA29" s="270">
        <f t="shared" si="5"/>
        <v>68767.649999999994</v>
      </c>
      <c r="AB29" s="270">
        <f t="shared" si="10"/>
        <v>13753.53</v>
      </c>
      <c r="AC29" s="270">
        <f t="shared" si="16"/>
        <v>16809.870000000003</v>
      </c>
      <c r="AD29" s="271">
        <f t="shared" si="6"/>
        <v>99331.049999999988</v>
      </c>
      <c r="AE29"/>
      <c r="AF29" s="271">
        <f>$O$38</f>
        <v>300</v>
      </c>
      <c r="AG29" s="271">
        <f>$V$38</f>
        <v>1091550</v>
      </c>
      <c r="AH29" s="259"/>
      <c r="AI29" s="259"/>
      <c r="AJ29" s="259"/>
      <c r="AK29" s="1"/>
      <c r="AL29" s="1"/>
      <c r="AM29" s="1"/>
      <c r="AN29" s="1"/>
      <c r="AO29" s="1"/>
      <c r="AP29" s="1"/>
      <c r="AQ29" s="1"/>
      <c r="AR29" s="1"/>
    </row>
    <row r="30" spans="2:44" x14ac:dyDescent="0.25">
      <c r="J30" s="286">
        <v>35</v>
      </c>
      <c r="K30" s="287">
        <v>2023</v>
      </c>
      <c r="L30" s="287" t="s">
        <v>100</v>
      </c>
      <c r="M30" s="288">
        <v>60</v>
      </c>
      <c r="N30" s="288">
        <f t="shared" ref="N30:N39" si="18">M30*$C$3</f>
        <v>4366.2</v>
      </c>
      <c r="O30" s="289">
        <v>190</v>
      </c>
      <c r="P30" s="289">
        <f t="shared" si="17"/>
        <v>900</v>
      </c>
      <c r="Q30" s="288">
        <f t="shared" si="15"/>
        <v>2228</v>
      </c>
      <c r="R30" s="287">
        <f t="shared" si="1"/>
        <v>829578</v>
      </c>
      <c r="S30" s="288">
        <f t="shared" si="9"/>
        <v>8222099.1999999993</v>
      </c>
      <c r="T30" s="287" t="str">
        <f t="shared" ref="T30:T39" si="19">IF($S30&lt;$C$13,$B$13,IF($S30&lt;$C$14,$B$14,IF($S30&lt;$C$15,$B$15,IF($S30&lt;$C$16,$B$16,$B$17))))</f>
        <v>Celebrity</v>
      </c>
      <c r="U30" s="290">
        <f t="shared" ref="U30:U39" si="20">IF($S30&lt;$C$13,$D$13,IF($S30&lt;$C$14,$D$14,IF($S30&lt;$C$15,$D$15,IF($S30&lt;$C$16,$D$16,$D$17))))*($R30*$H$6*$H$8)/1000000</f>
        <v>69684.551999999996</v>
      </c>
      <c r="V30" s="291">
        <f t="shared" si="4"/>
        <v>331831.2</v>
      </c>
      <c r="W30" s="259"/>
      <c r="X30" s="274">
        <v>2024</v>
      </c>
      <c r="Y30" s="275" t="s">
        <v>96</v>
      </c>
      <c r="Z30" s="276">
        <f>$U$39+$U$40</f>
        <v>27507.06</v>
      </c>
      <c r="AA30" s="276">
        <f t="shared" si="5"/>
        <v>13753.53</v>
      </c>
      <c r="AB30" s="276">
        <f t="shared" si="10"/>
        <v>12836.628000000001</v>
      </c>
      <c r="AC30" s="276">
        <f t="shared" si="16"/>
        <v>3820.4250000000002</v>
      </c>
      <c r="AD30" s="277">
        <f t="shared" si="6"/>
        <v>30410.583000000002</v>
      </c>
      <c r="AE30"/>
      <c r="AF30" s="277">
        <f>$O$39+$O$40</f>
        <v>60</v>
      </c>
      <c r="AG30" s="277">
        <f>$V$39+$V$40</f>
        <v>218310</v>
      </c>
      <c r="AH30" s="259"/>
      <c r="AI30" s="259"/>
      <c r="AJ30" s="259"/>
      <c r="AK30" s="1"/>
      <c r="AL30" s="1"/>
      <c r="AM30" s="1"/>
      <c r="AN30" s="1"/>
      <c r="AO30" s="1"/>
      <c r="AP30" s="1"/>
      <c r="AQ30" s="1"/>
      <c r="AR30" s="1"/>
    </row>
    <row r="31" spans="2:44" x14ac:dyDescent="0.25">
      <c r="J31" s="281">
        <v>35</v>
      </c>
      <c r="K31" s="282">
        <v>2023</v>
      </c>
      <c r="L31" s="282" t="s">
        <v>101</v>
      </c>
      <c r="M31" s="283">
        <v>60</v>
      </c>
      <c r="N31" s="283">
        <f t="shared" si="18"/>
        <v>4366.2</v>
      </c>
      <c r="O31" s="292">
        <v>150</v>
      </c>
      <c r="P31" s="292">
        <f t="shared" si="17"/>
        <v>1050</v>
      </c>
      <c r="Q31" s="283">
        <f t="shared" si="15"/>
        <v>2378</v>
      </c>
      <c r="R31" s="282">
        <f t="shared" si="1"/>
        <v>654930</v>
      </c>
      <c r="S31" s="283">
        <f t="shared" si="9"/>
        <v>8877029.1999999993</v>
      </c>
      <c r="T31" s="282" t="str">
        <f t="shared" si="19"/>
        <v>Celebrity</v>
      </c>
      <c r="U31" s="293">
        <f t="shared" si="20"/>
        <v>55014.12</v>
      </c>
      <c r="V31" s="294">
        <f t="shared" si="4"/>
        <v>261972</v>
      </c>
      <c r="W31" s="259"/>
      <c r="X31" s="281">
        <v>2024</v>
      </c>
      <c r="Y31" s="282" t="s">
        <v>97</v>
      </c>
      <c r="Z31" s="283">
        <f>$U$41</f>
        <v>126647.08875</v>
      </c>
      <c r="AA31" s="283">
        <f t="shared" si="5"/>
        <v>63323.544374999998</v>
      </c>
      <c r="AB31" s="283">
        <f t="shared" si="10"/>
        <v>12836.628000000001</v>
      </c>
      <c r="AC31" s="283">
        <f t="shared" si="16"/>
        <v>20171.844000000001</v>
      </c>
      <c r="AD31" s="284">
        <f t="shared" si="6"/>
        <v>96332.016374999992</v>
      </c>
      <c r="AE31"/>
      <c r="AF31" s="284">
        <f>$O$41</f>
        <v>425</v>
      </c>
      <c r="AG31" s="284">
        <f>$V$41</f>
        <v>1005135.625</v>
      </c>
      <c r="AH31" s="259"/>
      <c r="AI31" s="259"/>
      <c r="AJ31" s="259"/>
      <c r="AK31" s="1"/>
      <c r="AL31" s="1"/>
      <c r="AM31" s="1"/>
      <c r="AN31" s="1"/>
      <c r="AO31" s="1"/>
      <c r="AP31" s="1"/>
      <c r="AQ31" s="1"/>
      <c r="AR31" s="1"/>
    </row>
    <row r="32" spans="2:44" x14ac:dyDescent="0.25">
      <c r="J32" s="262">
        <v>35</v>
      </c>
      <c r="K32" s="263">
        <v>2023</v>
      </c>
      <c r="L32" s="263" t="s">
        <v>102</v>
      </c>
      <c r="M32" s="264">
        <v>60</v>
      </c>
      <c r="N32" s="264">
        <f t="shared" si="18"/>
        <v>4366.2</v>
      </c>
      <c r="O32" s="265">
        <v>140</v>
      </c>
      <c r="P32" s="265">
        <f t="shared" si="17"/>
        <v>1190</v>
      </c>
      <c r="Q32" s="264">
        <f t="shared" si="15"/>
        <v>2518</v>
      </c>
      <c r="R32" s="263">
        <f t="shared" si="1"/>
        <v>611268</v>
      </c>
      <c r="S32" s="264">
        <f t="shared" si="9"/>
        <v>9488297.1999999993</v>
      </c>
      <c r="T32" s="263" t="str">
        <f t="shared" si="19"/>
        <v>Celebrity</v>
      </c>
      <c r="U32" s="266">
        <f t="shared" si="20"/>
        <v>51346.512000000002</v>
      </c>
      <c r="V32" s="267">
        <f t="shared" si="4"/>
        <v>244507.2</v>
      </c>
      <c r="W32" s="259"/>
      <c r="X32" s="262">
        <v>2024</v>
      </c>
      <c r="Y32" s="263" t="s">
        <v>98</v>
      </c>
      <c r="Z32" s="264">
        <f>$U$42+$U$43</f>
        <v>241832.90249999997</v>
      </c>
      <c r="AA32" s="264">
        <f t="shared" si="5"/>
        <v>120916.45124999998</v>
      </c>
      <c r="AB32" s="264">
        <f t="shared" si="10"/>
        <v>11919.726000000001</v>
      </c>
      <c r="AC32" s="264">
        <f t="shared" si="16"/>
        <v>23839.452000000001</v>
      </c>
      <c r="AD32" s="285">
        <f t="shared" si="6"/>
        <v>156675.62924999997</v>
      </c>
      <c r="AE32"/>
      <c r="AF32" s="285">
        <f>$O$42+$O$43</f>
        <v>850</v>
      </c>
      <c r="AG32" s="285">
        <f>$V$42+$V$43</f>
        <v>1919308.75</v>
      </c>
      <c r="AH32" s="259"/>
      <c r="AI32" s="259"/>
      <c r="AJ32" s="259"/>
      <c r="AK32" s="1"/>
      <c r="AL32" s="1"/>
      <c r="AM32" s="1"/>
      <c r="AN32" s="1"/>
      <c r="AO32" s="1"/>
      <c r="AP32" s="1"/>
      <c r="AQ32" s="1"/>
      <c r="AR32" s="1"/>
    </row>
    <row r="33" spans="10:44" x14ac:dyDescent="0.25">
      <c r="J33" s="268">
        <v>35</v>
      </c>
      <c r="K33" s="269">
        <v>2023</v>
      </c>
      <c r="L33" s="269" t="s">
        <v>103</v>
      </c>
      <c r="M33" s="270">
        <v>60</v>
      </c>
      <c r="N33" s="270">
        <f t="shared" si="18"/>
        <v>4366.2</v>
      </c>
      <c r="O33" s="278">
        <v>140</v>
      </c>
      <c r="P33" s="278">
        <f t="shared" si="17"/>
        <v>1330</v>
      </c>
      <c r="Q33" s="270">
        <f t="shared" si="15"/>
        <v>2658</v>
      </c>
      <c r="R33" s="269">
        <f t="shared" si="1"/>
        <v>611268</v>
      </c>
      <c r="S33" s="270">
        <f t="shared" si="9"/>
        <v>10099565.199999999</v>
      </c>
      <c r="T33" s="269" t="str">
        <f t="shared" si="19"/>
        <v>Celebrity</v>
      </c>
      <c r="U33" s="279">
        <f t="shared" si="20"/>
        <v>51346.512000000002</v>
      </c>
      <c r="V33" s="280">
        <f t="shared" si="4"/>
        <v>244507.2</v>
      </c>
      <c r="W33" s="259"/>
      <c r="X33" s="268">
        <v>2024</v>
      </c>
      <c r="Y33" s="269" t="s">
        <v>99</v>
      </c>
      <c r="Z33" s="270">
        <f>$U$44</f>
        <v>121031.064</v>
      </c>
      <c r="AA33" s="270">
        <f t="shared" si="5"/>
        <v>60515.531999999999</v>
      </c>
      <c r="AB33" s="270">
        <f t="shared" si="10"/>
        <v>17115.504000000001</v>
      </c>
      <c r="AC33" s="270">
        <f t="shared" si="16"/>
        <v>21088.745999999999</v>
      </c>
      <c r="AD33" s="271">
        <f t="shared" si="6"/>
        <v>98719.781999999992</v>
      </c>
      <c r="AE33"/>
      <c r="AF33" s="271">
        <f>$O$44</f>
        <v>440</v>
      </c>
      <c r="AG33" s="271">
        <f>$V$44</f>
        <v>960564</v>
      </c>
      <c r="AH33" s="259"/>
      <c r="AI33" s="259"/>
      <c r="AJ33" s="259"/>
      <c r="AK33" s="1"/>
      <c r="AL33" s="1"/>
      <c r="AM33" s="1"/>
      <c r="AN33" s="1"/>
      <c r="AO33" s="1"/>
      <c r="AP33" s="1"/>
      <c r="AQ33" s="1"/>
      <c r="AR33" s="1"/>
    </row>
    <row r="34" spans="10:44" x14ac:dyDescent="0.25">
      <c r="J34" s="286">
        <v>35</v>
      </c>
      <c r="K34" s="287">
        <v>2023</v>
      </c>
      <c r="L34" s="287" t="s">
        <v>104</v>
      </c>
      <c r="M34" s="288">
        <v>60</v>
      </c>
      <c r="N34" s="288">
        <f t="shared" si="18"/>
        <v>4366.2</v>
      </c>
      <c r="O34" s="289">
        <v>130</v>
      </c>
      <c r="P34" s="289">
        <f t="shared" si="17"/>
        <v>1460</v>
      </c>
      <c r="Q34" s="288">
        <f t="shared" si="15"/>
        <v>2788</v>
      </c>
      <c r="R34" s="287">
        <f t="shared" si="1"/>
        <v>567606</v>
      </c>
      <c r="S34" s="288">
        <f t="shared" si="9"/>
        <v>10667171.199999999</v>
      </c>
      <c r="T34" s="287" t="str">
        <f t="shared" si="19"/>
        <v>Celebrity</v>
      </c>
      <c r="U34" s="290">
        <f t="shared" si="20"/>
        <v>47678.904000000002</v>
      </c>
      <c r="V34" s="291">
        <f t="shared" si="4"/>
        <v>227042.4</v>
      </c>
      <c r="W34" s="259"/>
      <c r="X34" s="274">
        <v>2024</v>
      </c>
      <c r="Y34" s="275" t="s">
        <v>100</v>
      </c>
      <c r="Z34" s="276">
        <f>$U$45</f>
        <v>110028.24</v>
      </c>
      <c r="AA34" s="276">
        <f t="shared" si="5"/>
        <v>55014.12</v>
      </c>
      <c r="AB34" s="276">
        <f t="shared" si="10"/>
        <v>20630.294999999995</v>
      </c>
      <c r="AC34" s="276">
        <f t="shared" si="16"/>
        <v>17421.137999999999</v>
      </c>
      <c r="AD34" s="277">
        <f t="shared" si="6"/>
        <v>93065.552999999985</v>
      </c>
      <c r="AE34"/>
      <c r="AF34" s="277">
        <f>$O$45</f>
        <v>400</v>
      </c>
      <c r="AG34" s="277">
        <f>$V$45</f>
        <v>873240</v>
      </c>
      <c r="AH34" s="259"/>
      <c r="AI34" s="259"/>
      <c r="AJ34" s="259"/>
      <c r="AK34" s="1"/>
      <c r="AL34" s="1"/>
      <c r="AM34" s="1"/>
      <c r="AN34" s="1"/>
      <c r="AO34" s="1"/>
      <c r="AP34" s="1"/>
      <c r="AQ34" s="1"/>
      <c r="AR34" s="1"/>
    </row>
    <row r="35" spans="10:44" x14ac:dyDescent="0.25">
      <c r="J35" s="281">
        <v>35</v>
      </c>
      <c r="K35" s="282">
        <v>2023</v>
      </c>
      <c r="L35" s="282" t="s">
        <v>105</v>
      </c>
      <c r="M35" s="283">
        <v>60</v>
      </c>
      <c r="N35" s="283">
        <f t="shared" si="18"/>
        <v>4366.2</v>
      </c>
      <c r="O35" s="292">
        <v>80</v>
      </c>
      <c r="P35" s="292">
        <f t="shared" si="17"/>
        <v>1540</v>
      </c>
      <c r="Q35" s="283">
        <f t="shared" si="15"/>
        <v>2868</v>
      </c>
      <c r="R35" s="282">
        <f t="shared" si="1"/>
        <v>349296</v>
      </c>
      <c r="S35" s="283">
        <f t="shared" si="9"/>
        <v>11016467.199999999</v>
      </c>
      <c r="T35" s="282" t="str">
        <f t="shared" si="19"/>
        <v>Celebrity</v>
      </c>
      <c r="U35" s="293">
        <f t="shared" si="20"/>
        <v>29340.864000000001</v>
      </c>
      <c r="V35" s="294">
        <f t="shared" si="4"/>
        <v>139718.39999999999</v>
      </c>
      <c r="W35" s="259"/>
      <c r="X35" s="281">
        <v>2024</v>
      </c>
      <c r="Y35" s="282" t="s">
        <v>101</v>
      </c>
      <c r="Z35" s="283">
        <f>$U$46</f>
        <v>96274.71</v>
      </c>
      <c r="AA35" s="283">
        <f t="shared" si="5"/>
        <v>48137.355000000003</v>
      </c>
      <c r="AB35" s="283">
        <f t="shared" si="10"/>
        <v>34383.824999999997</v>
      </c>
      <c r="AC35" s="283">
        <f t="shared" si="16"/>
        <v>13753.53</v>
      </c>
      <c r="AD35" s="284">
        <f t="shared" si="6"/>
        <v>96274.709999999992</v>
      </c>
      <c r="AE35"/>
      <c r="AF35" s="284">
        <f>$O$46</f>
        <v>350</v>
      </c>
      <c r="AG35" s="284">
        <f>$V$46</f>
        <v>764085</v>
      </c>
      <c r="AH35" s="259"/>
      <c r="AI35" s="259"/>
      <c r="AJ35" s="259"/>
      <c r="AK35" s="1"/>
      <c r="AL35" s="1"/>
      <c r="AM35" s="1"/>
      <c r="AN35" s="1"/>
      <c r="AO35" s="1"/>
      <c r="AP35" s="1"/>
      <c r="AQ35" s="1"/>
      <c r="AR35" s="1"/>
    </row>
    <row r="36" spans="10:44" ht="15.75" thickBot="1" x14ac:dyDescent="0.3">
      <c r="J36" s="295">
        <v>35</v>
      </c>
      <c r="K36" s="296">
        <v>2023</v>
      </c>
      <c r="L36" s="296" t="s">
        <v>105</v>
      </c>
      <c r="M36" s="297">
        <v>80</v>
      </c>
      <c r="N36" s="297">
        <f t="shared" si="18"/>
        <v>5821.5999999999995</v>
      </c>
      <c r="O36" s="298">
        <v>80</v>
      </c>
      <c r="P36" s="298">
        <f t="shared" si="17"/>
        <v>1620</v>
      </c>
      <c r="Q36" s="298">
        <f t="shared" si="15"/>
        <v>2948</v>
      </c>
      <c r="R36" s="296">
        <f t="shared" si="1"/>
        <v>465727.99999999994</v>
      </c>
      <c r="S36" s="297">
        <f t="shared" si="9"/>
        <v>11482195.199999999</v>
      </c>
      <c r="T36" s="296" t="str">
        <f t="shared" si="19"/>
        <v>Celebrity</v>
      </c>
      <c r="U36" s="299">
        <f t="shared" si="20"/>
        <v>39121.151999999995</v>
      </c>
      <c r="V36" s="300">
        <f t="shared" si="4"/>
        <v>186291.19999999995</v>
      </c>
      <c r="W36" s="259"/>
      <c r="X36" s="262">
        <v>2024</v>
      </c>
      <c r="Y36" s="263" t="s">
        <v>102</v>
      </c>
      <c r="Z36" s="264">
        <f>$U$47</f>
        <v>89397.945000000007</v>
      </c>
      <c r="AA36" s="264">
        <f t="shared" si="5"/>
        <v>44698.972500000003</v>
      </c>
      <c r="AB36" s="264">
        <f t="shared" si="10"/>
        <v>6876.7650000000003</v>
      </c>
      <c r="AC36" s="264">
        <f t="shared" si="16"/>
        <v>12836.628000000001</v>
      </c>
      <c r="AD36" s="285">
        <f>AA36+AB36+AC36</f>
        <v>64412.3655</v>
      </c>
      <c r="AE36"/>
      <c r="AF36" s="285">
        <f>$O$47</f>
        <v>325</v>
      </c>
      <c r="AG36" s="285">
        <f>$V$47</f>
        <v>709507.5</v>
      </c>
      <c r="AH36" s="259"/>
      <c r="AI36" s="259"/>
      <c r="AJ36" s="259"/>
      <c r="AK36" s="1"/>
      <c r="AL36" s="1"/>
      <c r="AM36" s="1"/>
      <c r="AN36" s="1"/>
      <c r="AO36" s="1"/>
      <c r="AP36" s="1"/>
      <c r="AQ36" s="1"/>
      <c r="AR36" s="1"/>
    </row>
    <row r="37" spans="10:44" x14ac:dyDescent="0.25">
      <c r="J37" s="308">
        <v>35</v>
      </c>
      <c r="K37" s="309">
        <v>2024</v>
      </c>
      <c r="L37" s="309" t="s">
        <v>94</v>
      </c>
      <c r="M37" s="310">
        <v>80</v>
      </c>
      <c r="N37" s="310">
        <f t="shared" si="18"/>
        <v>5821.5999999999995</v>
      </c>
      <c r="O37" s="311">
        <v>225</v>
      </c>
      <c r="P37" s="311">
        <f t="shared" si="17"/>
        <v>1845</v>
      </c>
      <c r="Q37" s="310">
        <f t="shared" si="15"/>
        <v>3173</v>
      </c>
      <c r="R37" s="309">
        <f t="shared" si="1"/>
        <v>1309859.9999999998</v>
      </c>
      <c r="S37" s="310">
        <f t="shared" si="9"/>
        <v>12792055.199999999</v>
      </c>
      <c r="T37" s="309" t="str">
        <f t="shared" si="19"/>
        <v>Star</v>
      </c>
      <c r="U37" s="312">
        <f t="shared" si="20"/>
        <v>82521.179999999978</v>
      </c>
      <c r="V37" s="313">
        <f t="shared" si="4"/>
        <v>654929.99999999988</v>
      </c>
      <c r="W37" s="259"/>
      <c r="X37" s="268">
        <v>2024</v>
      </c>
      <c r="Y37" s="269" t="s">
        <v>103</v>
      </c>
      <c r="Z37" s="270">
        <f>$U$48</f>
        <v>48687.496200000001</v>
      </c>
      <c r="AA37" s="270">
        <f t="shared" si="5"/>
        <v>24343.748100000001</v>
      </c>
      <c r="AB37" s="270">
        <f t="shared" si="10"/>
        <v>31661.772187499999</v>
      </c>
      <c r="AC37" s="270">
        <f t="shared" si="16"/>
        <v>12836.628000000001</v>
      </c>
      <c r="AD37" s="271">
        <f t="shared" si="6"/>
        <v>68842.148287499993</v>
      </c>
      <c r="AE37"/>
      <c r="AF37" s="271">
        <f>$O$48</f>
        <v>177</v>
      </c>
      <c r="AG37" s="271">
        <f>$V$48</f>
        <v>386408.7</v>
      </c>
      <c r="AH37" s="259"/>
      <c r="AI37" s="259"/>
      <c r="AJ37" s="259"/>
      <c r="AK37" s="1"/>
      <c r="AL37" s="1"/>
      <c r="AM37" s="1"/>
      <c r="AN37" s="1"/>
      <c r="AO37" s="1"/>
      <c r="AP37" s="1"/>
      <c r="AQ37" s="1"/>
      <c r="AR37" s="1"/>
    </row>
    <row r="38" spans="10:44" x14ac:dyDescent="0.25">
      <c r="J38" s="268">
        <v>35</v>
      </c>
      <c r="K38" s="269">
        <v>2024</v>
      </c>
      <c r="L38" s="269" t="s">
        <v>95</v>
      </c>
      <c r="M38" s="270">
        <v>100</v>
      </c>
      <c r="N38" s="270">
        <f t="shared" si="18"/>
        <v>7277</v>
      </c>
      <c r="O38" s="278">
        <v>300</v>
      </c>
      <c r="P38" s="278">
        <f t="shared" si="17"/>
        <v>2145</v>
      </c>
      <c r="Q38" s="270">
        <f t="shared" si="15"/>
        <v>3473</v>
      </c>
      <c r="R38" s="269">
        <f t="shared" si="1"/>
        <v>2183100</v>
      </c>
      <c r="S38" s="270">
        <f t="shared" si="9"/>
        <v>14975155.199999999</v>
      </c>
      <c r="T38" s="269" t="str">
        <f t="shared" si="19"/>
        <v>Star</v>
      </c>
      <c r="U38" s="279">
        <f t="shared" si="20"/>
        <v>137535.29999999999</v>
      </c>
      <c r="V38" s="280">
        <f t="shared" si="4"/>
        <v>1091550</v>
      </c>
      <c r="W38" s="259"/>
      <c r="X38" s="274">
        <v>2024</v>
      </c>
      <c r="Y38" s="275" t="s">
        <v>104</v>
      </c>
      <c r="Z38" s="276">
        <f>$U$49</f>
        <v>59598.63</v>
      </c>
      <c r="AA38" s="276">
        <f t="shared" si="5"/>
        <v>29799.315000000002</v>
      </c>
      <c r="AB38" s="276">
        <f t="shared" si="10"/>
        <v>60458.225624999992</v>
      </c>
      <c r="AC38" s="276">
        <f t="shared" si="16"/>
        <v>11919.726000000001</v>
      </c>
      <c r="AD38" s="277">
        <f t="shared" si="6"/>
        <v>102177.26662499999</v>
      </c>
      <c r="AE38"/>
      <c r="AF38" s="277">
        <f>$O$49</f>
        <v>200</v>
      </c>
      <c r="AG38" s="277">
        <f>$V$49</f>
        <v>473005</v>
      </c>
      <c r="AH38" s="259"/>
      <c r="AI38" s="259"/>
      <c r="AJ38" s="259"/>
      <c r="AK38" s="1"/>
      <c r="AL38" s="1"/>
      <c r="AM38" s="1"/>
      <c r="AN38" s="1"/>
      <c r="AO38" s="1"/>
      <c r="AP38" s="1"/>
      <c r="AQ38" s="1"/>
      <c r="AR38" s="1"/>
    </row>
    <row r="39" spans="10:44" x14ac:dyDescent="0.25">
      <c r="J39" s="286">
        <v>35</v>
      </c>
      <c r="K39" s="287">
        <v>2024</v>
      </c>
      <c r="L39" s="287" t="s">
        <v>96</v>
      </c>
      <c r="M39" s="288">
        <v>100</v>
      </c>
      <c r="N39" s="288">
        <f t="shared" si="18"/>
        <v>7277</v>
      </c>
      <c r="O39" s="289">
        <v>60</v>
      </c>
      <c r="P39" s="289">
        <f t="shared" si="17"/>
        <v>2205</v>
      </c>
      <c r="Q39" s="288">
        <f t="shared" si="15"/>
        <v>3533</v>
      </c>
      <c r="R39" s="287">
        <f t="shared" si="1"/>
        <v>436620</v>
      </c>
      <c r="S39" s="288">
        <f t="shared" si="9"/>
        <v>15411775.199999999</v>
      </c>
      <c r="T39" s="287" t="str">
        <f t="shared" si="19"/>
        <v>Star</v>
      </c>
      <c r="U39" s="290">
        <f t="shared" si="20"/>
        <v>27507.06</v>
      </c>
      <c r="V39" s="291">
        <f t="shared" si="4"/>
        <v>218310</v>
      </c>
      <c r="W39" s="259"/>
      <c r="X39" s="281">
        <v>2024</v>
      </c>
      <c r="Y39" s="282" t="s">
        <v>105</v>
      </c>
      <c r="Z39" s="283">
        <f>$U$50+$U$51</f>
        <v>105443.73</v>
      </c>
      <c r="AA39" s="283">
        <f t="shared" si="5"/>
        <v>52721.865000000005</v>
      </c>
      <c r="AB39" s="283">
        <f t="shared" si="10"/>
        <v>30257.766</v>
      </c>
      <c r="AC39" s="283">
        <f t="shared" si="16"/>
        <v>17115.504000000001</v>
      </c>
      <c r="AD39" s="284">
        <f t="shared" si="6"/>
        <v>100095.13500000001</v>
      </c>
      <c r="AE39"/>
      <c r="AF39" s="284">
        <f>$O$50+$O$51</f>
        <v>300</v>
      </c>
      <c r="AG39" s="284">
        <f>$V$50+$V$51</f>
        <v>836855</v>
      </c>
      <c r="AH39" s="259"/>
      <c r="AI39" s="259"/>
      <c r="AJ39" s="259"/>
      <c r="AK39" s="1"/>
      <c r="AL39" s="1"/>
      <c r="AM39" s="1"/>
      <c r="AN39" s="1"/>
      <c r="AO39" s="1"/>
      <c r="AP39" s="1"/>
      <c r="AQ39" s="1"/>
      <c r="AR39" s="1"/>
    </row>
    <row r="40" spans="10:44" x14ac:dyDescent="0.25">
      <c r="J40" s="286">
        <v>35</v>
      </c>
      <c r="K40" s="287">
        <v>2024</v>
      </c>
      <c r="L40" s="287" t="s">
        <v>96</v>
      </c>
      <c r="M40" s="288">
        <v>65</v>
      </c>
      <c r="N40" s="288">
        <f>M40*$C$3</f>
        <v>4730.05</v>
      </c>
      <c r="O40" s="289">
        <v>0</v>
      </c>
      <c r="P40" s="289">
        <f t="shared" si="17"/>
        <v>2205</v>
      </c>
      <c r="Q40" s="288">
        <f t="shared" si="15"/>
        <v>3533</v>
      </c>
      <c r="R40" s="287">
        <f t="shared" si="1"/>
        <v>0</v>
      </c>
      <c r="S40" s="288">
        <f t="shared" si="9"/>
        <v>15411775.199999999</v>
      </c>
      <c r="T40" s="287" t="str">
        <f>IF($S40&lt;$C$13,$B$13,IF($S40&lt;$C$14,$B$14,IF($S40&lt;$C$15,$B$15,IF($S40&lt;$C$16,$B$16,$B$17))))</f>
        <v>Star</v>
      </c>
      <c r="U40" s="290">
        <f>IF($S40&lt;$C$13,$D$13,IF($S40&lt;$C$14,$D$14,IF($S40&lt;$C$15,$D$15,IF($S40&lt;$C$16,$D$16,$D$17))))*($R40*$H$6*$H$8)/1000000</f>
        <v>0</v>
      </c>
      <c r="V40" s="291">
        <f t="shared" si="4"/>
        <v>0</v>
      </c>
      <c r="W40" s="259"/>
      <c r="X40" s="262">
        <v>2025</v>
      </c>
      <c r="Y40" s="263" t="s">
        <v>94</v>
      </c>
      <c r="Z40" s="264">
        <f>$U$52</f>
        <v>206302.95</v>
      </c>
      <c r="AA40" s="264">
        <f t="shared" si="5"/>
        <v>103151.47500000001</v>
      </c>
      <c r="AB40" s="264">
        <f t="shared" si="10"/>
        <v>27507.06</v>
      </c>
      <c r="AC40" s="264">
        <f t="shared" si="16"/>
        <v>20630.294999999995</v>
      </c>
      <c r="AD40" s="285">
        <f t="shared" si="6"/>
        <v>151288.82999999999</v>
      </c>
      <c r="AE40"/>
      <c r="AF40" s="285">
        <f>$O$52</f>
        <v>450</v>
      </c>
      <c r="AG40" s="285">
        <f>$V$52</f>
        <v>1637325</v>
      </c>
      <c r="AH40" s="259"/>
      <c r="AI40" s="259"/>
      <c r="AJ40" s="259"/>
      <c r="AK40" s="1"/>
      <c r="AL40" s="1"/>
      <c r="AM40" s="1"/>
      <c r="AN40" s="1"/>
      <c r="AO40" s="1"/>
      <c r="AP40" s="1"/>
      <c r="AQ40" s="1"/>
      <c r="AR40" s="1"/>
    </row>
    <row r="41" spans="10:44" x14ac:dyDescent="0.25">
      <c r="J41" s="281">
        <v>35</v>
      </c>
      <c r="K41" s="282">
        <v>2024</v>
      </c>
      <c r="L41" s="282" t="s">
        <v>97</v>
      </c>
      <c r="M41" s="283">
        <v>65</v>
      </c>
      <c r="N41" s="283">
        <f>M41*$C$3</f>
        <v>4730.05</v>
      </c>
      <c r="O41" s="292">
        <v>425</v>
      </c>
      <c r="P41" s="292">
        <f>O41</f>
        <v>425</v>
      </c>
      <c r="Q41" s="283">
        <f t="shared" si="15"/>
        <v>3958</v>
      </c>
      <c r="R41" s="282">
        <f t="shared" si="1"/>
        <v>2010271.25</v>
      </c>
      <c r="S41" s="283">
        <f t="shared" si="9"/>
        <v>17422046.449999999</v>
      </c>
      <c r="T41" s="282" t="str">
        <f>IF($S41&lt;$C$13,$B$13,IF($S41&lt;$C$14,$B$14,IF($S41&lt;$C$15,$B$15,IF($S41&lt;$C$16,$B$16,$B$17))))</f>
        <v>Star</v>
      </c>
      <c r="U41" s="293">
        <f>IF($S41&lt;$C$13,$D$13,IF($S41&lt;$C$14,$D$14,IF($S41&lt;$C$15,$D$15,IF($S41&lt;$C$16,$D$16,$D$17))))*($R41*$H$6*$H$8)/1000000</f>
        <v>126647.08875</v>
      </c>
      <c r="V41" s="294">
        <f t="shared" si="4"/>
        <v>1005135.625</v>
      </c>
      <c r="X41" s="268">
        <v>2025</v>
      </c>
      <c r="Y41" s="269" t="s">
        <v>95</v>
      </c>
      <c r="Z41" s="270">
        <f>$U$53</f>
        <v>275070.59999999998</v>
      </c>
      <c r="AA41" s="270">
        <f t="shared" si="5"/>
        <v>137535.29999999999</v>
      </c>
      <c r="AB41" s="270">
        <f t="shared" si="10"/>
        <v>24068.677500000002</v>
      </c>
      <c r="AC41" s="270">
        <f t="shared" si="16"/>
        <v>34383.824999999997</v>
      </c>
      <c r="AD41" s="271">
        <f t="shared" si="6"/>
        <v>195987.80249999999</v>
      </c>
      <c r="AE41"/>
      <c r="AF41" s="271">
        <f>$O$53</f>
        <v>600</v>
      </c>
      <c r="AG41" s="271">
        <f>$V$53</f>
        <v>2183100</v>
      </c>
    </row>
    <row r="42" spans="10:44" ht="15.75" thickBot="1" x14ac:dyDescent="0.3">
      <c r="J42" s="262">
        <v>35</v>
      </c>
      <c r="K42" s="263">
        <v>2024</v>
      </c>
      <c r="L42" s="263" t="s">
        <v>98</v>
      </c>
      <c r="M42" s="264">
        <v>65</v>
      </c>
      <c r="N42" s="264">
        <f>M42*$C$3</f>
        <v>4730.05</v>
      </c>
      <c r="O42" s="265">
        <v>350</v>
      </c>
      <c r="P42" s="265">
        <f>P41+O42</f>
        <v>775</v>
      </c>
      <c r="Q42" s="264">
        <f t="shared" si="15"/>
        <v>4308</v>
      </c>
      <c r="R42" s="263">
        <f t="shared" si="1"/>
        <v>1655517.5</v>
      </c>
      <c r="S42" s="264">
        <f t="shared" si="9"/>
        <v>19077563.949999999</v>
      </c>
      <c r="T42" s="263" t="str">
        <f>IF($S42&lt;$C$13,$B$13,IF($S42&lt;$C$14,$B$14,IF($S42&lt;$C$15,$B$15,IF($S42&lt;$C$16,$B$16,$B$17))))</f>
        <v>Star</v>
      </c>
      <c r="U42" s="266">
        <f>IF($S42&lt;$C$13,$D$13,IF($S42&lt;$C$14,$D$14,IF($S42&lt;$C$15,$D$15,IF($S42&lt;$C$16,$D$16,$D$17))))*($R42*$H$6*$H$8)/1000000</f>
        <v>104297.60249999999</v>
      </c>
      <c r="V42" s="267">
        <f t="shared" si="4"/>
        <v>827758.75</v>
      </c>
      <c r="X42" s="274">
        <v>2025</v>
      </c>
      <c r="Y42" s="275" t="s">
        <v>96</v>
      </c>
      <c r="Z42" s="276">
        <f>$U$54+$U$55</f>
        <v>46945.382400000002</v>
      </c>
      <c r="AA42" s="276">
        <f>$AJ$3*Z42%</f>
        <v>23472.691200000001</v>
      </c>
      <c r="AB42" s="276">
        <f t="shared" si="10"/>
        <v>22349.486250000002</v>
      </c>
      <c r="AC42" s="276">
        <f t="shared" si="16"/>
        <v>6876.7650000000003</v>
      </c>
      <c r="AD42" s="277">
        <f t="shared" si="6"/>
        <v>52698.942450000002</v>
      </c>
      <c r="AE42"/>
      <c r="AF42" s="337">
        <f>$O$54+$O$55</f>
        <v>106</v>
      </c>
      <c r="AG42" s="337">
        <f>$V$54+$V$55</f>
        <v>372582.40000000002</v>
      </c>
    </row>
    <row r="43" spans="10:44" x14ac:dyDescent="0.25">
      <c r="J43" s="262">
        <v>35</v>
      </c>
      <c r="K43" s="263">
        <v>2024</v>
      </c>
      <c r="L43" s="263" t="s">
        <v>98</v>
      </c>
      <c r="M43" s="264">
        <v>60</v>
      </c>
      <c r="N43" s="264">
        <f>M43*$C$3</f>
        <v>4366.2</v>
      </c>
      <c r="O43" s="265">
        <v>500</v>
      </c>
      <c r="P43" s="265">
        <f t="shared" ref="P43:P55" si="21">P42+O43</f>
        <v>1275</v>
      </c>
      <c r="Q43" s="264">
        <f t="shared" si="15"/>
        <v>4808</v>
      </c>
      <c r="R43" s="263">
        <f t="shared" si="1"/>
        <v>2183100</v>
      </c>
      <c r="S43" s="264">
        <f t="shared" si="9"/>
        <v>21260663.949999999</v>
      </c>
      <c r="T43" s="263" t="str">
        <f>IF($S43&lt;$C$13,$B$13,IF($S43&lt;$C$14,$B$14,IF($S43&lt;$C$15,$B$15,IF($S43&lt;$C$16,$B$16,$B$17))))</f>
        <v>Star</v>
      </c>
      <c r="U43" s="266">
        <f>IF($S43&lt;$C$13,$D$13,IF($S43&lt;$C$14,$D$14,IF($S43&lt;$C$15,$D$15,IF($S43&lt;$C$16,$D$16,$D$17))))*($R43*$H$6*$H$8)/1000000</f>
        <v>137535.29999999999</v>
      </c>
      <c r="V43" s="267">
        <f t="shared" si="4"/>
        <v>1091550</v>
      </c>
      <c r="X43" s="314">
        <v>2025</v>
      </c>
      <c r="Y43" s="315" t="s">
        <v>97</v>
      </c>
      <c r="Z43" s="315">
        <v>0</v>
      </c>
      <c r="AA43" s="316">
        <f t="shared" ref="AA43:AA56" si="22">$AJ$3*Z43%</f>
        <v>0</v>
      </c>
      <c r="AB43" s="316">
        <f t="shared" si="10"/>
        <v>12171.87405</v>
      </c>
      <c r="AC43" s="316">
        <f t="shared" si="16"/>
        <v>31661.772187499999</v>
      </c>
      <c r="AD43" s="317">
        <f t="shared" si="6"/>
        <v>43833.646237499997</v>
      </c>
      <c r="AE43"/>
    </row>
    <row r="44" spans="10:44" x14ac:dyDescent="0.25">
      <c r="J44" s="268">
        <v>35</v>
      </c>
      <c r="K44" s="269">
        <v>2024</v>
      </c>
      <c r="L44" s="269" t="s">
        <v>99</v>
      </c>
      <c r="M44" s="270">
        <v>60</v>
      </c>
      <c r="N44" s="270">
        <f>M44*$C$3</f>
        <v>4366.2</v>
      </c>
      <c r="O44" s="278">
        <v>440</v>
      </c>
      <c r="P44" s="278">
        <f t="shared" si="21"/>
        <v>1715</v>
      </c>
      <c r="Q44" s="270">
        <f t="shared" si="15"/>
        <v>5248</v>
      </c>
      <c r="R44" s="269">
        <f t="shared" si="1"/>
        <v>1921128</v>
      </c>
      <c r="S44" s="270">
        <f t="shared" si="9"/>
        <v>23181791.949999999</v>
      </c>
      <c r="T44" s="269" t="str">
        <f>IF($S44&lt;$C$13,$B$13,IF($S44&lt;$C$14,$B$14,IF($S44&lt;$C$15,$B$15,IF($S44&lt;$C$16,$B$16,$B$17))))</f>
        <v>Star</v>
      </c>
      <c r="U44" s="279">
        <f>IF($S44&lt;$C$13,$D$13,IF($S44&lt;$C$14,$D$14,IF($S44&lt;$C$15,$D$15,IF($S44&lt;$C$16,$D$16,$D$17))))*($R44*$H$6*$H$8)/1000000</f>
        <v>121031.064</v>
      </c>
      <c r="V44" s="280">
        <f t="shared" si="4"/>
        <v>960564</v>
      </c>
      <c r="X44" s="314">
        <v>2025</v>
      </c>
      <c r="Y44" s="315" t="s">
        <v>98</v>
      </c>
      <c r="Z44" s="315">
        <v>0</v>
      </c>
      <c r="AA44" s="316">
        <f t="shared" si="22"/>
        <v>0</v>
      </c>
      <c r="AB44" s="316">
        <f t="shared" si="10"/>
        <v>14899.657499999999</v>
      </c>
      <c r="AC44" s="316">
        <f t="shared" si="16"/>
        <v>60458.225624999992</v>
      </c>
      <c r="AD44" s="317">
        <f t="shared" si="6"/>
        <v>75357.883124999993</v>
      </c>
      <c r="AE44"/>
    </row>
    <row r="45" spans="10:44" x14ac:dyDescent="0.25">
      <c r="J45" s="286">
        <v>35</v>
      </c>
      <c r="K45" s="287">
        <v>2024</v>
      </c>
      <c r="L45" s="287" t="s">
        <v>100</v>
      </c>
      <c r="M45" s="288">
        <v>60</v>
      </c>
      <c r="N45" s="288">
        <f>M45*$C$3</f>
        <v>4366.2</v>
      </c>
      <c r="O45" s="289">
        <v>400</v>
      </c>
      <c r="P45" s="289">
        <f t="shared" si="21"/>
        <v>2115</v>
      </c>
      <c r="Q45" s="288">
        <f t="shared" si="15"/>
        <v>5648</v>
      </c>
      <c r="R45" s="287">
        <f t="shared" si="1"/>
        <v>1746480</v>
      </c>
      <c r="S45" s="288">
        <f t="shared" si="9"/>
        <v>24928271.949999999</v>
      </c>
      <c r="T45" s="287" t="str">
        <f>IF($S45&lt;$C$13,$B$13,IF($S45&lt;$C$14,$B$14,IF($S45&lt;$C$15,$B$15,IF($S45&lt;$C$16,$B$16,$B$17))))</f>
        <v>Star</v>
      </c>
      <c r="U45" s="290">
        <f>IF($S45&lt;$C$13,$D$13,IF($S45&lt;$C$14,$D$14,IF($S45&lt;$C$15,$D$15,IF($S45&lt;$C$16,$D$16,$D$17))))*($R45*$H$6*$H$8)/1000000</f>
        <v>110028.24</v>
      </c>
      <c r="V45" s="291">
        <f t="shared" si="4"/>
        <v>873240</v>
      </c>
      <c r="X45" s="314">
        <v>2025</v>
      </c>
      <c r="Y45" s="315" t="s">
        <v>99</v>
      </c>
      <c r="Z45" s="315">
        <v>0</v>
      </c>
      <c r="AA45" s="316">
        <f t="shared" si="22"/>
        <v>0</v>
      </c>
      <c r="AB45" s="316">
        <f t="shared" si="10"/>
        <v>26360.932499999999</v>
      </c>
      <c r="AC45" s="316">
        <f t="shared" si="16"/>
        <v>30257.766</v>
      </c>
      <c r="AD45" s="317">
        <f t="shared" si="6"/>
        <v>56618.698499999999</v>
      </c>
      <c r="AE45"/>
    </row>
    <row r="46" spans="10:44" x14ac:dyDescent="0.25">
      <c r="J46" s="281">
        <v>35</v>
      </c>
      <c r="K46" s="282">
        <v>2024</v>
      </c>
      <c r="L46" s="282" t="s">
        <v>101</v>
      </c>
      <c r="M46" s="283">
        <v>60</v>
      </c>
      <c r="N46" s="283">
        <f>M46*$C$3</f>
        <v>4366.2</v>
      </c>
      <c r="O46" s="292">
        <v>350</v>
      </c>
      <c r="P46" s="292">
        <f t="shared" si="21"/>
        <v>2465</v>
      </c>
      <c r="Q46" s="283">
        <f t="shared" si="15"/>
        <v>5998</v>
      </c>
      <c r="R46" s="282">
        <f t="shared" si="1"/>
        <v>1528170</v>
      </c>
      <c r="S46" s="283">
        <f t="shared" si="9"/>
        <v>26456441.949999999</v>
      </c>
      <c r="T46" s="282" t="str">
        <f>IF($S46&lt;$C$13,$B$13,IF($S46&lt;$C$14,$B$14,IF($S46&lt;$C$15,$B$15,IF($S46&lt;$C$16,$B$16,$B$17))))</f>
        <v>Star</v>
      </c>
      <c r="U46" s="293">
        <f>IF($S46&lt;$C$13,$D$13,IF($S46&lt;$C$14,$D$14,IF($S46&lt;$C$15,$D$15,IF($S46&lt;$C$16,$D$16,$D$17))))*($R46*$H$6*$H$8)/1000000</f>
        <v>96274.71</v>
      </c>
      <c r="V46" s="294">
        <f t="shared" si="4"/>
        <v>764085</v>
      </c>
      <c r="X46" s="314">
        <v>2025</v>
      </c>
      <c r="Y46" s="315" t="s">
        <v>100</v>
      </c>
      <c r="Z46" s="315">
        <v>0</v>
      </c>
      <c r="AA46" s="316">
        <f t="shared" si="22"/>
        <v>0</v>
      </c>
      <c r="AB46" s="316">
        <f t="shared" si="10"/>
        <v>51575.737500000003</v>
      </c>
      <c r="AC46" s="316">
        <f t="shared" si="16"/>
        <v>27507.06</v>
      </c>
      <c r="AD46" s="317">
        <f t="shared" si="6"/>
        <v>79082.797500000001</v>
      </c>
      <c r="AE46"/>
    </row>
    <row r="47" spans="10:44" x14ac:dyDescent="0.25">
      <c r="J47" s="262">
        <v>35</v>
      </c>
      <c r="K47" s="263">
        <v>2024</v>
      </c>
      <c r="L47" s="263" t="s">
        <v>102</v>
      </c>
      <c r="M47" s="264">
        <v>60</v>
      </c>
      <c r="N47" s="264">
        <f>M47*$C$3</f>
        <v>4366.2</v>
      </c>
      <c r="O47" s="265">
        <v>325</v>
      </c>
      <c r="P47" s="265">
        <f t="shared" si="21"/>
        <v>2790</v>
      </c>
      <c r="Q47" s="264">
        <f t="shared" si="15"/>
        <v>6323</v>
      </c>
      <c r="R47" s="263">
        <f t="shared" si="1"/>
        <v>1419015</v>
      </c>
      <c r="S47" s="264">
        <f t="shared" si="9"/>
        <v>27875456.949999999</v>
      </c>
      <c r="T47" s="263" t="str">
        <f>IF($S47&lt;$C$13,$B$13,IF($S47&lt;$C$14,$B$14,IF($S47&lt;$C$15,$B$15,IF($S47&lt;$C$16,$B$16,$B$17))))</f>
        <v>Star</v>
      </c>
      <c r="U47" s="266">
        <f>IF($S47&lt;$C$13,$D$13,IF($S47&lt;$C$14,$D$14,IF($S47&lt;$C$15,$D$15,IF($S47&lt;$C$16,$D$16,$D$17))))*($R47*$H$6*$H$8)/1000000</f>
        <v>89397.945000000007</v>
      </c>
      <c r="V47" s="267">
        <f t="shared" si="4"/>
        <v>709507.5</v>
      </c>
      <c r="X47" s="314">
        <v>2025</v>
      </c>
      <c r="Y47" s="315" t="s">
        <v>101</v>
      </c>
      <c r="Z47" s="315">
        <v>0</v>
      </c>
      <c r="AA47" s="316">
        <f t="shared" si="22"/>
        <v>0</v>
      </c>
      <c r="AB47" s="316">
        <f t="shared" si="10"/>
        <v>68767.649999999994</v>
      </c>
      <c r="AC47" s="316">
        <f t="shared" si="16"/>
        <v>24068.677500000002</v>
      </c>
      <c r="AD47" s="317">
        <f t="shared" si="6"/>
        <v>92836.327499999999</v>
      </c>
      <c r="AE47"/>
    </row>
    <row r="48" spans="10:44" x14ac:dyDescent="0.25">
      <c r="J48" s="268">
        <v>35</v>
      </c>
      <c r="K48" s="269">
        <v>2024</v>
      </c>
      <c r="L48" s="269" t="s">
        <v>103</v>
      </c>
      <c r="M48" s="270">
        <v>60</v>
      </c>
      <c r="N48" s="270">
        <f>M48*$C$3</f>
        <v>4366.2</v>
      </c>
      <c r="O48" s="278">
        <v>177</v>
      </c>
      <c r="P48" s="278">
        <f t="shared" si="21"/>
        <v>2967</v>
      </c>
      <c r="Q48" s="270">
        <f t="shared" si="15"/>
        <v>6500</v>
      </c>
      <c r="R48" s="269">
        <f t="shared" si="1"/>
        <v>772817.4</v>
      </c>
      <c r="S48" s="270">
        <f t="shared" si="9"/>
        <v>28648274.349999998</v>
      </c>
      <c r="T48" s="269" t="str">
        <f>IF($S48&lt;$C$13,$B$13,IF($S48&lt;$C$14,$B$14,IF($S48&lt;$C$15,$B$15,IF($S48&lt;$C$16,$B$16,$B$17))))</f>
        <v>Star</v>
      </c>
      <c r="U48" s="279">
        <f>IF($S48&lt;$C$13,$D$13,IF($S48&lt;$C$14,$D$14,IF($S48&lt;$C$15,$D$15,IF($S48&lt;$C$16,$D$16,$D$17))))*($R48*$H$6*$H$8)/1000000</f>
        <v>48687.496200000001</v>
      </c>
      <c r="V48" s="280">
        <f t="shared" si="4"/>
        <v>386408.7</v>
      </c>
      <c r="X48" s="314">
        <v>2025</v>
      </c>
      <c r="Y48" s="315" t="s">
        <v>102</v>
      </c>
      <c r="Z48" s="315">
        <v>0</v>
      </c>
      <c r="AA48" s="316">
        <f t="shared" si="22"/>
        <v>0</v>
      </c>
      <c r="AB48" s="316">
        <f t="shared" si="10"/>
        <v>11736.345600000001</v>
      </c>
      <c r="AC48" s="316">
        <f t="shared" si="16"/>
        <v>22349.486250000002</v>
      </c>
      <c r="AD48" s="317">
        <f t="shared" si="6"/>
        <v>34085.831850000002</v>
      </c>
      <c r="AE48"/>
    </row>
    <row r="49" spans="10:31" x14ac:dyDescent="0.25">
      <c r="J49" s="286">
        <v>35</v>
      </c>
      <c r="K49" s="287">
        <v>2024</v>
      </c>
      <c r="L49" s="287" t="s">
        <v>104</v>
      </c>
      <c r="M49" s="288">
        <v>65</v>
      </c>
      <c r="N49" s="288">
        <f>M49*$C$3</f>
        <v>4730.05</v>
      </c>
      <c r="O49" s="289">
        <v>200</v>
      </c>
      <c r="P49" s="289">
        <f t="shared" si="21"/>
        <v>3167</v>
      </c>
      <c r="Q49" s="288">
        <f t="shared" si="15"/>
        <v>6700</v>
      </c>
      <c r="R49" s="287">
        <f t="shared" si="1"/>
        <v>946010</v>
      </c>
      <c r="S49" s="288">
        <f t="shared" si="9"/>
        <v>29594284.349999998</v>
      </c>
      <c r="T49" s="287" t="str">
        <f>IF($S49&lt;$C$13,$B$13,IF($S49&lt;$C$14,$B$14,IF($S49&lt;$C$15,$B$15,IF($S49&lt;$C$16,$B$16,$B$17))))</f>
        <v>Star</v>
      </c>
      <c r="U49" s="290">
        <f>IF($S49&lt;$C$13,$D$13,IF($S49&lt;$C$14,$D$14,IF($S49&lt;$C$15,$D$15,IF($S49&lt;$C$16,$D$16,$D$17))))*($R49*$H$6*$H$8)/1000000</f>
        <v>59598.63</v>
      </c>
      <c r="V49" s="291">
        <f t="shared" si="4"/>
        <v>473005</v>
      </c>
      <c r="X49" s="314">
        <v>2025</v>
      </c>
      <c r="Y49" s="315" t="s">
        <v>103</v>
      </c>
      <c r="Z49" s="315">
        <v>0</v>
      </c>
      <c r="AA49" s="316">
        <f t="shared" si="22"/>
        <v>0</v>
      </c>
      <c r="AB49" s="316">
        <f t="shared" si="10"/>
        <v>0</v>
      </c>
      <c r="AC49" s="316">
        <f t="shared" si="16"/>
        <v>12171.87405</v>
      </c>
      <c r="AD49" s="317">
        <f t="shared" si="6"/>
        <v>12171.87405</v>
      </c>
      <c r="AE49"/>
    </row>
    <row r="50" spans="10:31" x14ac:dyDescent="0.25">
      <c r="J50" s="281">
        <v>35</v>
      </c>
      <c r="K50" s="282">
        <v>2024</v>
      </c>
      <c r="L50" s="282" t="s">
        <v>105</v>
      </c>
      <c r="M50" s="283">
        <v>65</v>
      </c>
      <c r="N50" s="283">
        <f>M50*$C$3</f>
        <v>4730.05</v>
      </c>
      <c r="O50" s="292">
        <v>200</v>
      </c>
      <c r="P50" s="292">
        <f t="shared" si="21"/>
        <v>3367</v>
      </c>
      <c r="Q50" s="318">
        <f t="shared" si="15"/>
        <v>6900</v>
      </c>
      <c r="R50" s="282">
        <f t="shared" si="1"/>
        <v>946010</v>
      </c>
      <c r="S50" s="283">
        <f t="shared" si="9"/>
        <v>30540294.349999998</v>
      </c>
      <c r="T50" s="282" t="str">
        <f>IF($S50&lt;$C$13,$B$13,IF($S50&lt;$C$14,$B$14,IF($S50&lt;$C$15,$B$15,IF($S50&lt;$C$16,$B$16,$B$17))))</f>
        <v>Star</v>
      </c>
      <c r="U50" s="293">
        <f>IF($S50&lt;$C$13,$D$13,IF($S50&lt;$C$14,$D$14,IF($S50&lt;$C$15,$D$15,IF($S50&lt;$C$16,$D$16,$D$17))))*($R50*$H$6*$H$8)/1000000</f>
        <v>59598.63</v>
      </c>
      <c r="V50" s="294">
        <f t="shared" si="4"/>
        <v>473005</v>
      </c>
      <c r="X50" s="314">
        <v>2025</v>
      </c>
      <c r="Y50" s="315" t="s">
        <v>104</v>
      </c>
      <c r="Z50" s="315">
        <v>0</v>
      </c>
      <c r="AA50" s="316">
        <f t="shared" si="22"/>
        <v>0</v>
      </c>
      <c r="AB50" s="316">
        <f t="shared" si="10"/>
        <v>0</v>
      </c>
      <c r="AC50" s="316">
        <f t="shared" si="16"/>
        <v>14899.657499999999</v>
      </c>
      <c r="AD50" s="317">
        <f t="shared" si="6"/>
        <v>14899.657499999999</v>
      </c>
      <c r="AE50"/>
    </row>
    <row r="51" spans="10:31" x14ac:dyDescent="0.25">
      <c r="J51" s="281">
        <v>35</v>
      </c>
      <c r="K51" s="282">
        <v>2024</v>
      </c>
      <c r="L51" s="282" t="s">
        <v>105</v>
      </c>
      <c r="M51" s="283">
        <v>100</v>
      </c>
      <c r="N51" s="283">
        <f>M51*$C$3</f>
        <v>7277</v>
      </c>
      <c r="O51" s="292">
        <v>100</v>
      </c>
      <c r="P51" s="292">
        <f t="shared" si="21"/>
        <v>3467</v>
      </c>
      <c r="Q51" s="292">
        <f t="shared" si="15"/>
        <v>7000</v>
      </c>
      <c r="R51" s="282">
        <f t="shared" si="1"/>
        <v>727700</v>
      </c>
      <c r="S51" s="283">
        <f t="shared" si="9"/>
        <v>31267994.349999998</v>
      </c>
      <c r="T51" s="282" t="str">
        <f>IF($S51&lt;$C$13,$B$13,IF($S51&lt;$C$14,$B$14,IF($S51&lt;$C$15,$B$15,IF($S51&lt;$C$16,$B$16,$B$17))))</f>
        <v>Star</v>
      </c>
      <c r="U51" s="293">
        <f>IF($S51&lt;$C$13,$D$13,IF($S51&lt;$C$14,$D$14,IF($S51&lt;$C$15,$D$15,IF($S51&lt;$C$16,$D$16,$D$17))))*($R51*$H$6*$H$8)/1000000</f>
        <v>45845.1</v>
      </c>
      <c r="V51" s="294">
        <f t="shared" si="4"/>
        <v>363850</v>
      </c>
      <c r="X51" s="314">
        <v>2025</v>
      </c>
      <c r="Y51" s="315" t="s">
        <v>105</v>
      </c>
      <c r="Z51" s="315">
        <v>0</v>
      </c>
      <c r="AA51" s="316">
        <f t="shared" si="22"/>
        <v>0</v>
      </c>
      <c r="AB51" s="316">
        <f t="shared" si="10"/>
        <v>0</v>
      </c>
      <c r="AC51" s="316">
        <f t="shared" si="16"/>
        <v>26360.932499999999</v>
      </c>
      <c r="AD51" s="317">
        <f t="shared" si="6"/>
        <v>26360.932499999999</v>
      </c>
      <c r="AE51"/>
    </row>
    <row r="52" spans="10:31" x14ac:dyDescent="0.25">
      <c r="J52" s="262">
        <v>35</v>
      </c>
      <c r="K52" s="263">
        <v>2025</v>
      </c>
      <c r="L52" s="263" t="s">
        <v>94</v>
      </c>
      <c r="M52" s="264">
        <v>100</v>
      </c>
      <c r="N52" s="264">
        <f>M52*$C$3</f>
        <v>7277</v>
      </c>
      <c r="O52" s="265">
        <v>450</v>
      </c>
      <c r="P52" s="265">
        <f t="shared" si="21"/>
        <v>3917</v>
      </c>
      <c r="Q52" s="264">
        <f t="shared" si="15"/>
        <v>7450</v>
      </c>
      <c r="R52" s="263">
        <f t="shared" si="1"/>
        <v>3274650</v>
      </c>
      <c r="S52" s="264">
        <f t="shared" si="9"/>
        <v>34542644.349999994</v>
      </c>
      <c r="T52" s="263" t="str">
        <f>IF($S52&lt;$C$13,$B$13,IF($S52&lt;$C$14,$B$14,IF($S52&lt;$C$15,$B$15,IF($S52&lt;$C$16,$B$16,$B$17))))</f>
        <v>Star</v>
      </c>
      <c r="U52" s="266">
        <f>IF($S52&lt;$C$13,$D$13,IF($S52&lt;$C$14,$D$14,IF($S52&lt;$C$15,$D$15,IF($S52&lt;$C$16,$D$16,$D$17))))*($R52*$H$6*$H$8)/1000000</f>
        <v>206302.95</v>
      </c>
      <c r="V52" s="267">
        <f t="shared" si="4"/>
        <v>1637325</v>
      </c>
      <c r="X52" s="314">
        <v>2026</v>
      </c>
      <c r="Y52" s="315" t="s">
        <v>94</v>
      </c>
      <c r="Z52" s="315">
        <v>0</v>
      </c>
      <c r="AA52" s="316">
        <f t="shared" si="22"/>
        <v>0</v>
      </c>
      <c r="AB52" s="316">
        <f t="shared" si="10"/>
        <v>0</v>
      </c>
      <c r="AC52" s="316">
        <f t="shared" si="16"/>
        <v>51575.737500000003</v>
      </c>
      <c r="AD52" s="317">
        <f t="shared" si="6"/>
        <v>51575.737500000003</v>
      </c>
      <c r="AE52"/>
    </row>
    <row r="53" spans="10:31" x14ac:dyDescent="0.25">
      <c r="J53" s="268">
        <v>35</v>
      </c>
      <c r="K53" s="269">
        <v>2025</v>
      </c>
      <c r="L53" s="269" t="s">
        <v>95</v>
      </c>
      <c r="M53" s="270">
        <v>100</v>
      </c>
      <c r="N53" s="270">
        <f>M53*$C$3</f>
        <v>7277</v>
      </c>
      <c r="O53" s="278">
        <v>600</v>
      </c>
      <c r="P53" s="278">
        <f t="shared" si="21"/>
        <v>4517</v>
      </c>
      <c r="Q53" s="270">
        <f t="shared" si="15"/>
        <v>8050</v>
      </c>
      <c r="R53" s="269">
        <f t="shared" si="1"/>
        <v>4366200</v>
      </c>
      <c r="S53" s="270">
        <f t="shared" si="9"/>
        <v>38908844.349999994</v>
      </c>
      <c r="T53" s="269" t="str">
        <f>IF($S53&lt;$C$13,$B$13,IF($S53&lt;$C$14,$B$14,IF($S53&lt;$C$15,$B$15,IF($S53&lt;$C$16,$B$16,$B$17))))</f>
        <v>Star</v>
      </c>
      <c r="U53" s="279">
        <f>IF($S53&lt;$C$13,$D$13,IF($S53&lt;$C$14,$D$14,IF($S53&lt;$C$15,$D$15,IF($S53&lt;$C$16,$D$16,$D$17))))*($R53*$H$6*$H$8)/1000000</f>
        <v>275070.59999999998</v>
      </c>
      <c r="V53" s="280">
        <f t="shared" si="4"/>
        <v>2183100</v>
      </c>
      <c r="X53" s="314">
        <v>2026</v>
      </c>
      <c r="Y53" s="315" t="s">
        <v>95</v>
      </c>
      <c r="Z53" s="315">
        <v>0</v>
      </c>
      <c r="AA53" s="316">
        <f t="shared" si="22"/>
        <v>0</v>
      </c>
      <c r="AB53" s="316">
        <f t="shared" si="10"/>
        <v>0</v>
      </c>
      <c r="AC53" s="316">
        <f t="shared" si="16"/>
        <v>68767.649999999994</v>
      </c>
      <c r="AD53" s="317">
        <f t="shared" si="6"/>
        <v>68767.649999999994</v>
      </c>
      <c r="AE53"/>
    </row>
    <row r="54" spans="10:31" x14ac:dyDescent="0.25">
      <c r="J54" s="286">
        <v>35</v>
      </c>
      <c r="K54" s="287">
        <v>2025</v>
      </c>
      <c r="L54" s="287" t="s">
        <v>96</v>
      </c>
      <c r="M54" s="288">
        <v>100</v>
      </c>
      <c r="N54" s="288">
        <f>M54*$C$3</f>
        <v>7277</v>
      </c>
      <c r="O54" s="289">
        <v>100</v>
      </c>
      <c r="P54" s="289">
        <f t="shared" si="21"/>
        <v>4617</v>
      </c>
      <c r="Q54" s="288">
        <f t="shared" si="15"/>
        <v>8150</v>
      </c>
      <c r="R54" s="287">
        <f t="shared" si="1"/>
        <v>727700</v>
      </c>
      <c r="S54" s="288">
        <f t="shared" si="9"/>
        <v>39636544.349999994</v>
      </c>
      <c r="T54" s="287" t="str">
        <f>IF($S54&lt;$C$13,$B$13,IF($S54&lt;$C$14,$B$14,IF($S54&lt;$C$15,$B$15,IF($S54&lt;$C$16,$B$16,$B$17))))</f>
        <v>Star</v>
      </c>
      <c r="U54" s="290">
        <f>IF($S54&lt;$C$13,$D$13,IF($S54&lt;$C$14,$D$14,IF($S54&lt;$C$15,$D$15,IF($S54&lt;$C$16,$D$16,$D$17))))*($R54*$H$6*$H$8)/1000000</f>
        <v>45845.1</v>
      </c>
      <c r="V54" s="291">
        <f t="shared" si="4"/>
        <v>363850</v>
      </c>
      <c r="X54" s="314">
        <v>2026</v>
      </c>
      <c r="Y54" s="315" t="s">
        <v>96</v>
      </c>
      <c r="Z54" s="315">
        <v>0</v>
      </c>
      <c r="AA54" s="316">
        <f t="shared" si="22"/>
        <v>0</v>
      </c>
      <c r="AB54" s="316">
        <f t="shared" si="10"/>
        <v>0</v>
      </c>
      <c r="AC54" s="316">
        <f t="shared" si="16"/>
        <v>11736.345600000001</v>
      </c>
      <c r="AD54" s="317">
        <f t="shared" si="6"/>
        <v>11736.345600000001</v>
      </c>
      <c r="AE54"/>
    </row>
    <row r="55" spans="10:31" ht="15.75" thickBot="1" x14ac:dyDescent="0.3">
      <c r="J55" s="319">
        <v>35</v>
      </c>
      <c r="K55" s="320">
        <v>2025</v>
      </c>
      <c r="L55" s="320" t="s">
        <v>96</v>
      </c>
      <c r="M55" s="321">
        <v>40</v>
      </c>
      <c r="N55" s="321">
        <f>M55*$C$3</f>
        <v>2910.7999999999997</v>
      </c>
      <c r="O55" s="322">
        <v>6</v>
      </c>
      <c r="P55" s="322">
        <f t="shared" si="21"/>
        <v>4623</v>
      </c>
      <c r="Q55" s="321">
        <f t="shared" si="15"/>
        <v>8156</v>
      </c>
      <c r="R55" s="320">
        <f t="shared" si="1"/>
        <v>17464.8</v>
      </c>
      <c r="S55" s="321">
        <f t="shared" si="9"/>
        <v>39654009.149999991</v>
      </c>
      <c r="T55" s="320" t="str">
        <f>IF($S55&lt;$C$13,$B$13,IF($S55&lt;$C$14,$B$14,IF($S55&lt;$C$15,$B$15,IF($S55&lt;$C$16,$B$16,$B$17))))</f>
        <v>Star</v>
      </c>
      <c r="U55" s="323">
        <f>IF($S55&lt;$C$13,$D$13,IF($S55&lt;$C$14,$D$14,IF($S55&lt;$C$15,$D$15,IF($S55&lt;$C$16,$D$16,$D$17))))*($R55*$H$6*$H$8)/1000000</f>
        <v>1100.2824000000001</v>
      </c>
      <c r="V55" s="324">
        <f t="shared" si="4"/>
        <v>8732.4</v>
      </c>
      <c r="X55" s="314">
        <v>2026</v>
      </c>
      <c r="Y55" s="315" t="s">
        <v>97</v>
      </c>
      <c r="Z55" s="315">
        <v>0</v>
      </c>
      <c r="AA55" s="316">
        <f t="shared" si="22"/>
        <v>0</v>
      </c>
      <c r="AB55" s="316">
        <f t="shared" si="10"/>
        <v>0</v>
      </c>
      <c r="AC55" s="316">
        <f t="shared" si="16"/>
        <v>0</v>
      </c>
      <c r="AD55" s="317">
        <f t="shared" si="6"/>
        <v>0</v>
      </c>
      <c r="AE55"/>
    </row>
    <row r="56" spans="10:31" ht="15.75" thickBot="1" x14ac:dyDescent="0.3">
      <c r="X56" s="325">
        <v>2026</v>
      </c>
      <c r="Y56" s="326" t="s">
        <v>98</v>
      </c>
      <c r="Z56" s="326">
        <v>0</v>
      </c>
      <c r="AA56" s="327">
        <f t="shared" si="22"/>
        <v>0</v>
      </c>
      <c r="AB56" s="327">
        <f t="shared" si="10"/>
        <v>0</v>
      </c>
      <c r="AC56" s="327">
        <f t="shared" si="16"/>
        <v>0</v>
      </c>
      <c r="AD56" s="328">
        <f t="shared" si="6"/>
        <v>0</v>
      </c>
      <c r="AE56"/>
    </row>
    <row r="57" spans="10:31" x14ac:dyDescent="0.25">
      <c r="AE57"/>
    </row>
    <row r="58" spans="10:31" x14ac:dyDescent="0.25">
      <c r="AE58"/>
    </row>
    <row r="59" spans="10:31" x14ac:dyDescent="0.25">
      <c r="AE59"/>
    </row>
    <row r="60" spans="10:31" x14ac:dyDescent="0.25">
      <c r="AE60"/>
    </row>
    <row r="61" spans="10:31" x14ac:dyDescent="0.25">
      <c r="AE61"/>
    </row>
    <row r="62" spans="10:31" x14ac:dyDescent="0.25">
      <c r="AE62"/>
    </row>
    <row r="63" spans="10:31" x14ac:dyDescent="0.25">
      <c r="AE63"/>
    </row>
    <row r="64" spans="10:31" x14ac:dyDescent="0.25">
      <c r="AE64"/>
    </row>
    <row r="65" spans="31:31" x14ac:dyDescent="0.25">
      <c r="AE65"/>
    </row>
    <row r="66" spans="31:31" x14ac:dyDescent="0.25">
      <c r="AE66"/>
    </row>
    <row r="67" spans="31:31" x14ac:dyDescent="0.25">
      <c r="AE67"/>
    </row>
    <row r="68" spans="31:31" x14ac:dyDescent="0.25">
      <c r="AE68"/>
    </row>
    <row r="69" spans="31:31" x14ac:dyDescent="0.25">
      <c r="AE69"/>
    </row>
    <row r="70" spans="31:31" x14ac:dyDescent="0.25">
      <c r="AE70"/>
    </row>
    <row r="71" spans="31:31" x14ac:dyDescent="0.25">
      <c r="AE71"/>
    </row>
    <row r="72" spans="31:31" x14ac:dyDescent="0.25">
      <c r="AE72"/>
    </row>
    <row r="73" spans="31:31" x14ac:dyDescent="0.25">
      <c r="AE73"/>
    </row>
    <row r="74" spans="31:31" x14ac:dyDescent="0.25">
      <c r="AE74"/>
    </row>
    <row r="75" spans="31:31" x14ac:dyDescent="0.25">
      <c r="AE75"/>
    </row>
    <row r="76" spans="31:31" x14ac:dyDescent="0.25">
      <c r="AE76"/>
    </row>
    <row r="77" spans="31:31" x14ac:dyDescent="0.25">
      <c r="AE77"/>
    </row>
    <row r="78" spans="31:31" x14ac:dyDescent="0.25">
      <c r="AE78"/>
    </row>
    <row r="79" spans="31:31" x14ac:dyDescent="0.25">
      <c r="AE79"/>
    </row>
    <row r="80" spans="31:31" x14ac:dyDescent="0.25">
      <c r="AE80"/>
    </row>
    <row r="81" spans="31:31" x14ac:dyDescent="0.25">
      <c r="AE81"/>
    </row>
    <row r="82" spans="31:31" x14ac:dyDescent="0.25">
      <c r="AE82"/>
    </row>
    <row r="83" spans="31:31" x14ac:dyDescent="0.25">
      <c r="AE83"/>
    </row>
    <row r="84" spans="31:31" x14ac:dyDescent="0.25">
      <c r="AE84"/>
    </row>
    <row r="85" spans="31:31" x14ac:dyDescent="0.25">
      <c r="AE85"/>
    </row>
    <row r="86" spans="31:31" x14ac:dyDescent="0.25">
      <c r="AE86"/>
    </row>
    <row r="1048562" spans="1:1" x14ac:dyDescent="0.25">
      <c r="A1048562" t="s">
        <v>130</v>
      </c>
    </row>
  </sheetData>
  <mergeCells count="8">
    <mergeCell ref="AF2:AG2"/>
    <mergeCell ref="B11:C11"/>
    <mergeCell ref="D11:E11"/>
    <mergeCell ref="H8:H9"/>
    <mergeCell ref="E8:G9"/>
    <mergeCell ref="E2:H4"/>
    <mergeCell ref="X2:AD2"/>
    <mergeCell ref="J2:V2"/>
  </mergeCells>
  <pageMargins left="0.7" right="0.7" top="0.75" bottom="0.75" header="0.3" footer="0.3"/>
  <pageSetup orientation="portrait" horizontalDpi="4294967293" verticalDpi="4294967293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OrganizationalFinPlan!$L$9:$L$15</xm:f>
          </x14:formula1>
          <xm:sqref>C2</xm:sqref>
        </x14:dataValidation>
        <x14:dataValidation type="list" allowBlank="1" showInputMessage="1" showErrorMessage="1">
          <x14:formula1>
            <xm:f>OrganizationalFinPlan!$U$6:$U$13</xm:f>
          </x14:formula1>
          <xm:sqref>F6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0" zoomScaleNormal="70" workbookViewId="0">
      <selection activeCell="V16" sqref="V16"/>
    </sheetView>
  </sheetViews>
  <sheetFormatPr defaultRowHeight="15" x14ac:dyDescent="0.25"/>
  <sheetData/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Sheet</vt:lpstr>
      <vt:lpstr>OrganizationalFinPlan</vt:lpstr>
      <vt:lpstr>PartnerPayoutStructure</vt:lpstr>
      <vt:lpstr>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2021-02-07T07:12:08Z</dcterms:created>
  <dcterms:modified xsi:type="dcterms:W3CDTF">2021-02-13T14:23:10Z</dcterms:modified>
</cp:coreProperties>
</file>