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ceWalker\Desktop\"/>
    </mc:Choice>
  </mc:AlternateContent>
  <xr:revisionPtr revIDLastSave="0" documentId="13_ncr:1_{35080A69-F5F6-4370-9DC4-FE5100F3E211}" xr6:coauthVersionLast="47" xr6:coauthVersionMax="47" xr10:uidLastSave="{00000000-0000-0000-0000-000000000000}"/>
  <bookViews>
    <workbookView xWindow="-110" yWindow="-110" windowWidth="19420" windowHeight="10420" activeTab="3" xr2:uid="{20125003-CDBF-4B68-8085-2C5D27996332}"/>
  </bookViews>
  <sheets>
    <sheet name="Merged" sheetId="1" r:id="rId1"/>
    <sheet name="Merged_modified" sheetId="7" r:id="rId2"/>
    <sheet name="Sheet2" sheetId="8" r:id="rId3"/>
    <sheet name="Sheet3" sheetId="9" r:id="rId4"/>
    <sheet name="actions_prob" sheetId="2" r:id="rId5"/>
    <sheet name="assets_prob" sheetId="3" r:id="rId6"/>
    <sheet name="attributes_prob" sheetId="4" r:id="rId7"/>
    <sheet name="actor_prob" sheetId="5" r:id="rId8"/>
    <sheet name="impact_prob" sheetId="6" r:id="rId9"/>
  </sheets>
  <definedNames>
    <definedName name="_xlnm._FilterDatabase" localSheetId="1" hidden="1">Merged_modified!$A$1:$AA$19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9" l="1"/>
  <c r="T37" i="9"/>
  <c r="T40" i="9"/>
  <c r="T41" i="9"/>
  <c r="S46" i="9"/>
  <c r="T32" i="9" s="1"/>
  <c r="S45" i="9"/>
  <c r="S44" i="9"/>
  <c r="S43" i="9"/>
  <c r="S32" i="9"/>
  <c r="S33" i="9"/>
  <c r="S34" i="9"/>
  <c r="S35" i="9"/>
  <c r="S36" i="9"/>
  <c r="S37" i="9"/>
  <c r="S38" i="9"/>
  <c r="S39" i="9"/>
  <c r="S40" i="9"/>
  <c r="S41" i="9"/>
  <c r="S31" i="9"/>
  <c r="AB26" i="9"/>
  <c r="AB25" i="9"/>
  <c r="AB24" i="9"/>
  <c r="AB23" i="9"/>
  <c r="AB22" i="9"/>
  <c r="AB21" i="9"/>
  <c r="AB20" i="9"/>
  <c r="AB19" i="9"/>
  <c r="AB18" i="9"/>
  <c r="AB17" i="9"/>
  <c r="AB16" i="9"/>
  <c r="P5" i="8"/>
  <c r="P6" i="8"/>
  <c r="P7" i="8"/>
  <c r="P8" i="8"/>
  <c r="P9" i="8"/>
  <c r="P10" i="8"/>
  <c r="P11" i="8"/>
  <c r="P12" i="8"/>
  <c r="P13" i="8"/>
  <c r="P14" i="8"/>
  <c r="P4" i="8"/>
  <c r="AA19" i="7"/>
  <c r="Z19" i="7"/>
  <c r="Y19" i="7"/>
  <c r="X19" i="7"/>
  <c r="W19" i="7"/>
  <c r="V19" i="7"/>
  <c r="U19" i="7"/>
  <c r="T19" i="7"/>
  <c r="S19" i="7"/>
  <c r="R19" i="7"/>
  <c r="C19" i="7"/>
  <c r="B19" i="7"/>
  <c r="AA18" i="7"/>
  <c r="Z18" i="7"/>
  <c r="Y18" i="7"/>
  <c r="X18" i="7"/>
  <c r="W18" i="7"/>
  <c r="V18" i="7"/>
  <c r="U18" i="7"/>
  <c r="T18" i="7"/>
  <c r="S18" i="7"/>
  <c r="R18" i="7"/>
  <c r="C18" i="7"/>
  <c r="B18" i="7"/>
  <c r="AA17" i="7"/>
  <c r="Z17" i="7"/>
  <c r="Y17" i="7"/>
  <c r="X17" i="7"/>
  <c r="W17" i="7"/>
  <c r="V17" i="7"/>
  <c r="U17" i="7"/>
  <c r="T17" i="7"/>
  <c r="S17" i="7"/>
  <c r="R17" i="7"/>
  <c r="C17" i="7"/>
  <c r="B17" i="7"/>
  <c r="AA16" i="7"/>
  <c r="Z16" i="7"/>
  <c r="Y16" i="7"/>
  <c r="X16" i="7"/>
  <c r="W16" i="7"/>
  <c r="V16" i="7"/>
  <c r="U16" i="7"/>
  <c r="T16" i="7"/>
  <c r="S16" i="7"/>
  <c r="R16" i="7"/>
  <c r="C16" i="7"/>
  <c r="B16" i="7"/>
  <c r="AA15" i="7"/>
  <c r="Z15" i="7"/>
  <c r="Y15" i="7"/>
  <c r="X15" i="7"/>
  <c r="W15" i="7"/>
  <c r="V15" i="7"/>
  <c r="U15" i="7"/>
  <c r="T15" i="7"/>
  <c r="S15" i="7"/>
  <c r="R15" i="7"/>
  <c r="C15" i="7"/>
  <c r="B15" i="7"/>
  <c r="AA14" i="7"/>
  <c r="Z14" i="7"/>
  <c r="Y14" i="7"/>
  <c r="X14" i="7"/>
  <c r="W14" i="7"/>
  <c r="V14" i="7"/>
  <c r="U14" i="7"/>
  <c r="T14" i="7"/>
  <c r="S14" i="7"/>
  <c r="R14" i="7"/>
  <c r="C14" i="7"/>
  <c r="B14" i="7"/>
  <c r="AA13" i="7"/>
  <c r="Z13" i="7"/>
  <c r="Y13" i="7"/>
  <c r="X13" i="7"/>
  <c r="W13" i="7"/>
  <c r="V13" i="7"/>
  <c r="U13" i="7"/>
  <c r="T13" i="7"/>
  <c r="S13" i="7"/>
  <c r="R13" i="7"/>
  <c r="C13" i="7"/>
  <c r="B13" i="7"/>
  <c r="AA12" i="7"/>
  <c r="Z12" i="7"/>
  <c r="Y12" i="7"/>
  <c r="X12" i="7"/>
  <c r="W12" i="7"/>
  <c r="V12" i="7"/>
  <c r="U12" i="7"/>
  <c r="T12" i="7"/>
  <c r="S12" i="7"/>
  <c r="R12" i="7"/>
  <c r="C12" i="7"/>
  <c r="B12" i="7"/>
  <c r="AA11" i="7"/>
  <c r="Z11" i="7"/>
  <c r="Y11" i="7"/>
  <c r="X11" i="7"/>
  <c r="W11" i="7"/>
  <c r="V11" i="7"/>
  <c r="U11" i="7"/>
  <c r="T11" i="7"/>
  <c r="S11" i="7"/>
  <c r="R11" i="7"/>
  <c r="C11" i="7"/>
  <c r="B11" i="7"/>
  <c r="AA10" i="7"/>
  <c r="Z10" i="7"/>
  <c r="Y10" i="7"/>
  <c r="X10" i="7"/>
  <c r="W10" i="7"/>
  <c r="V10" i="7"/>
  <c r="U10" i="7"/>
  <c r="T10" i="7"/>
  <c r="S10" i="7"/>
  <c r="R10" i="7"/>
  <c r="C10" i="7"/>
  <c r="B10" i="7"/>
  <c r="AA9" i="7"/>
  <c r="Z9" i="7"/>
  <c r="Y9" i="7"/>
  <c r="X9" i="7"/>
  <c r="W9" i="7"/>
  <c r="V9" i="7"/>
  <c r="U9" i="7"/>
  <c r="T9" i="7"/>
  <c r="S9" i="7"/>
  <c r="R9" i="7"/>
  <c r="C9" i="7"/>
  <c r="B9" i="7"/>
  <c r="AA8" i="7"/>
  <c r="Z8" i="7"/>
  <c r="Y8" i="7"/>
  <c r="X8" i="7"/>
  <c r="W8" i="7"/>
  <c r="V8" i="7"/>
  <c r="U8" i="7"/>
  <c r="T8" i="7"/>
  <c r="S8" i="7"/>
  <c r="R8" i="7"/>
  <c r="C8" i="7"/>
  <c r="B8" i="7"/>
  <c r="AA7" i="7"/>
  <c r="Z7" i="7"/>
  <c r="Y7" i="7"/>
  <c r="X7" i="7"/>
  <c r="W7" i="7"/>
  <c r="V7" i="7"/>
  <c r="U7" i="7"/>
  <c r="T7" i="7"/>
  <c r="S7" i="7"/>
  <c r="R7" i="7"/>
  <c r="C7" i="7"/>
  <c r="B7" i="7"/>
  <c r="AA6" i="7"/>
  <c r="Z6" i="7"/>
  <c r="Y6" i="7"/>
  <c r="X6" i="7"/>
  <c r="W6" i="7"/>
  <c r="V6" i="7"/>
  <c r="U6" i="7"/>
  <c r="T6" i="7"/>
  <c r="S6" i="7"/>
  <c r="R6" i="7"/>
  <c r="C6" i="7"/>
  <c r="B6" i="7"/>
  <c r="AA5" i="7"/>
  <c r="Z5" i="7"/>
  <c r="Y5" i="7"/>
  <c r="X5" i="7"/>
  <c r="W5" i="7"/>
  <c r="V5" i="7"/>
  <c r="U5" i="7"/>
  <c r="T5" i="7"/>
  <c r="S5" i="7"/>
  <c r="R5" i="7"/>
  <c r="C5" i="7"/>
  <c r="B5" i="7"/>
  <c r="AA4" i="7"/>
  <c r="Z4" i="7"/>
  <c r="Y4" i="7"/>
  <c r="X4" i="7"/>
  <c r="W4" i="7"/>
  <c r="V4" i="7"/>
  <c r="U4" i="7"/>
  <c r="T4" i="7"/>
  <c r="S4" i="7"/>
  <c r="R4" i="7"/>
  <c r="C4" i="7"/>
  <c r="B4" i="7"/>
  <c r="AA3" i="7"/>
  <c r="Z3" i="7"/>
  <c r="Y3" i="7"/>
  <c r="X3" i="7"/>
  <c r="W3" i="7"/>
  <c r="V3" i="7"/>
  <c r="U3" i="7"/>
  <c r="T3" i="7"/>
  <c r="S3" i="7"/>
  <c r="R3" i="7"/>
  <c r="C3" i="7"/>
  <c r="B3" i="7"/>
  <c r="AA2" i="7"/>
  <c r="Z2" i="7"/>
  <c r="Y2" i="7"/>
  <c r="X2" i="7"/>
  <c r="W2" i="7"/>
  <c r="V2" i="7"/>
  <c r="U2" i="7"/>
  <c r="T2" i="7"/>
  <c r="S2" i="7"/>
  <c r="R2" i="7"/>
  <c r="C2" i="7"/>
  <c r="B2" i="7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T35" i="9" l="1"/>
  <c r="T39" i="9"/>
  <c r="T31" i="9"/>
  <c r="T38" i="9"/>
  <c r="T34" i="9"/>
  <c r="T33" i="9"/>
</calcChain>
</file>

<file path=xl/sharedStrings.xml><?xml version="1.0" encoding="utf-8"?>
<sst xmlns="http://schemas.openxmlformats.org/spreadsheetml/2006/main" count="1085" uniqueCount="120">
  <si>
    <t>Industry</t>
  </si>
  <si>
    <t>Impact Rating</t>
  </si>
  <si>
    <t>Accommodation</t>
  </si>
  <si>
    <t>Unknown</t>
  </si>
  <si>
    <t>Backdoor</t>
  </si>
  <si>
    <t>NA</t>
  </si>
  <si>
    <t>Extortion</t>
  </si>
  <si>
    <t>Snap picture</t>
  </si>
  <si>
    <t>Insignificant</t>
  </si>
  <si>
    <t>Administrative</t>
  </si>
  <si>
    <t>Misconfiguration</t>
  </si>
  <si>
    <t>Infiltrate</t>
  </si>
  <si>
    <t>Obscuration</t>
  </si>
  <si>
    <t>Damaging</t>
  </si>
  <si>
    <t>Construction</t>
  </si>
  <si>
    <t>Theft</t>
  </si>
  <si>
    <t>Loss</t>
  </si>
  <si>
    <t>Educational</t>
  </si>
  <si>
    <t>Data mishandling</t>
  </si>
  <si>
    <t>victim.industry.name</t>
  </si>
  <si>
    <t>hack_type</t>
  </si>
  <si>
    <t>hack_probability</t>
  </si>
  <si>
    <t>mal_type</t>
  </si>
  <si>
    <t>mal_probability</t>
  </si>
  <si>
    <t>phy_type</t>
  </si>
  <si>
    <t>phy_probability</t>
  </si>
  <si>
    <t>soc_type</t>
  </si>
  <si>
    <t>soc_probability</t>
  </si>
  <si>
    <t>mis_type</t>
  </si>
  <si>
    <t>mis_probability</t>
  </si>
  <si>
    <t>err_type</t>
  </si>
  <si>
    <t>err_probability</t>
  </si>
  <si>
    <t>uk_type</t>
  </si>
  <si>
    <t>uk_probability</t>
  </si>
  <si>
    <t>Accomodation</t>
  </si>
  <si>
    <t>backdoor</t>
  </si>
  <si>
    <t xml:space="preserve"> </t>
  </si>
  <si>
    <t>ransomware</t>
  </si>
  <si>
    <t>Entertainment</t>
  </si>
  <si>
    <t>Finance</t>
  </si>
  <si>
    <t>Exploit vuln</t>
  </si>
  <si>
    <t>Skimmer</t>
  </si>
  <si>
    <t>Privilege abuse</t>
  </si>
  <si>
    <t>Publishing error</t>
  </si>
  <si>
    <t>Exfiltrate</t>
  </si>
  <si>
    <t>Healthcare</t>
  </si>
  <si>
    <t>Phishing</t>
  </si>
  <si>
    <t>Information</t>
  </si>
  <si>
    <t>Manufacturing</t>
  </si>
  <si>
    <t>Other Services</t>
  </si>
  <si>
    <t>Professional</t>
  </si>
  <si>
    <t>Public</t>
  </si>
  <si>
    <t>Disabled controls</t>
  </si>
  <si>
    <t>Real Estate</t>
  </si>
  <si>
    <t>Retail</t>
  </si>
  <si>
    <t>Trade</t>
  </si>
  <si>
    <t>Transportation</t>
  </si>
  <si>
    <t>Tampering</t>
  </si>
  <si>
    <t>Misdelivery</t>
  </si>
  <si>
    <t>Utilities</t>
  </si>
  <si>
    <t>Combined Asset Types</t>
  </si>
  <si>
    <t>Common Probability</t>
  </si>
  <si>
    <t>S - Web application</t>
  </si>
  <si>
    <t>S - Database</t>
  </si>
  <si>
    <t>S - Web application, P - End-user or employee, S - Database, S - File</t>
  </si>
  <si>
    <t>S - Database, S - File, S - Web application</t>
  </si>
  <si>
    <t>P - End-user or employee, S - File, S - Web application</t>
  </si>
  <si>
    <t>S - File, S - Unknown</t>
  </si>
  <si>
    <t>S - Web application, U - Desktop, U - Desktop or laptop</t>
  </si>
  <si>
    <t>M - Documents, S - Database, S - Unknown, S - Web application</t>
  </si>
  <si>
    <t>confidentiality</t>
  </si>
  <si>
    <t>conf_prob</t>
  </si>
  <si>
    <t>integrity</t>
  </si>
  <si>
    <t>integ_probability</t>
  </si>
  <si>
    <t>avail</t>
  </si>
  <si>
    <t>avail_prob</t>
  </si>
  <si>
    <t>personal</t>
  </si>
  <si>
    <t>software.installation</t>
  </si>
  <si>
    <t>medical</t>
  </si>
  <si>
    <t>actor_type</t>
  </si>
  <si>
    <t>count</t>
  </si>
  <si>
    <t>total_count</t>
  </si>
  <si>
    <t>actor_prob</t>
  </si>
  <si>
    <t>actor.External</t>
  </si>
  <si>
    <t>actor.Internal</t>
  </si>
  <si>
    <t>Impact Probability</t>
  </si>
  <si>
    <t>Distracting</t>
  </si>
  <si>
    <t>Damaging, Insignificant, Painful</t>
  </si>
  <si>
    <t>Catastrophic, Damaging, Painful</t>
  </si>
  <si>
    <t>Damaging, Distracting, Insignificant</t>
  </si>
  <si>
    <t>Damaging, Painful</t>
  </si>
  <si>
    <t>Damaging, Insignificant</t>
  </si>
  <si>
    <t>asset_types</t>
  </si>
  <si>
    <t>asset_prob</t>
  </si>
  <si>
    <t>actor.type</t>
  </si>
  <si>
    <t>availability_prob</t>
  </si>
  <si>
    <t>availability</t>
  </si>
  <si>
    <t>integrity_prob</t>
  </si>
  <si>
    <t>administr_prob</t>
  </si>
  <si>
    <t>administrative</t>
  </si>
  <si>
    <t>overall_impact</t>
  </si>
  <si>
    <t>impact_prob</t>
  </si>
  <si>
    <t>ATTACK TYPES</t>
  </si>
  <si>
    <t>ASSETS</t>
  </si>
  <si>
    <t>ATTRIBUTES</t>
  </si>
  <si>
    <t>IMPACT</t>
  </si>
  <si>
    <t>THREAT ACTOR</t>
  </si>
  <si>
    <t>ACTION TYPES</t>
  </si>
  <si>
    <t>Painful</t>
  </si>
  <si>
    <t>Catastrophic</t>
  </si>
  <si>
    <t>overall_impact_score</t>
  </si>
  <si>
    <t>Impact</t>
  </si>
  <si>
    <t>Score</t>
  </si>
  <si>
    <t>Assuming the impact ranks</t>
  </si>
  <si>
    <t>Final risk score</t>
  </si>
  <si>
    <t>Risk scores across all industries</t>
  </si>
  <si>
    <t>Norm Risk Scores</t>
  </si>
  <si>
    <t>Max</t>
  </si>
  <si>
    <t>Min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</si>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</sst>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 tint="4.9989318521683403E-2"/>
      <name val="Segoe UI"/>
      <family val="2"/>
    </font>
    <font>
      <sz val="8"/>
      <color theme="1" tint="4.9989318521683403E-2"/>
      <name val="Segoe UI"/>
      <family val="2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2" fontId="0" fillId="0" borderId="0" xfId="0" applyNumberFormat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2" fontId="1" fillId="0" borderId="11" xfId="0" applyNumberFormat="1" applyFont="1" applyBorder="1"/>
    <xf numFmtId="2" fontId="1" fillId="0" borderId="10" xfId="0" applyNumberFormat="1" applyFont="1" applyBorder="1"/>
    <xf numFmtId="0" fontId="6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textRotation="90"/>
    </xf>
    <xf numFmtId="2" fontId="1" fillId="2" borderId="10" xfId="0" applyNumberFormat="1" applyFont="1" applyFill="1" applyBorder="1" applyAlignment="1">
      <alignment horizontal="center" textRotation="90"/>
    </xf>
    <xf numFmtId="2" fontId="1" fillId="3" borderId="10" xfId="0" applyNumberFormat="1" applyFont="1" applyFill="1" applyBorder="1" applyAlignment="1">
      <alignment horizontal="center" textRotation="90"/>
    </xf>
    <xf numFmtId="2" fontId="1" fillId="4" borderId="10" xfId="0" applyNumberFormat="1" applyFont="1" applyFill="1" applyBorder="1" applyAlignment="1">
      <alignment horizontal="center" textRotation="90"/>
    </xf>
    <xf numFmtId="2" fontId="1" fillId="5" borderId="11" xfId="0" applyNumberFormat="1" applyFont="1" applyFill="1" applyBorder="1" applyAlignment="1">
      <alignment horizontal="center" textRotation="90"/>
    </xf>
    <xf numFmtId="0" fontId="6" fillId="6" borderId="12" xfId="0" applyFont="1" applyFill="1" applyBorder="1" applyAlignment="1">
      <alignment horizontal="center"/>
    </xf>
    <xf numFmtId="2" fontId="1" fillId="6" borderId="10" xfId="0" applyNumberFormat="1" applyFont="1" applyFill="1" applyBorder="1" applyAlignment="1">
      <alignment horizontal="center" textRotation="90"/>
    </xf>
    <xf numFmtId="0" fontId="1" fillId="6" borderId="10" xfId="0" applyFont="1" applyFill="1" applyBorder="1" applyAlignment="1">
      <alignment horizontal="center" textRotation="90"/>
    </xf>
    <xf numFmtId="0" fontId="1" fillId="7" borderId="10" xfId="0" applyFont="1" applyFill="1" applyBorder="1" applyAlignment="1">
      <alignment horizontal="center" textRotation="90"/>
    </xf>
    <xf numFmtId="2" fontId="1" fillId="7" borderId="10" xfId="0" applyNumberFormat="1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1" fillId="4" borderId="10" xfId="0" applyFont="1" applyFill="1" applyBorder="1" applyAlignment="1">
      <alignment horizontal="center" textRotation="90"/>
    </xf>
    <xf numFmtId="0" fontId="6" fillId="8" borderId="13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textRotation="90"/>
    </xf>
    <xf numFmtId="2" fontId="0" fillId="0" borderId="0" xfId="0" applyNumberFormat="1" applyFill="1" applyBorder="1"/>
    <xf numFmtId="10" fontId="0" fillId="0" borderId="0" xfId="0" applyNumberFormat="1" applyAlignment="1">
      <alignment horizontal="left"/>
    </xf>
    <xf numFmtId="2" fontId="0" fillId="0" borderId="15" xfId="0" applyNumberFormat="1" applyBorder="1"/>
    <xf numFmtId="2" fontId="0" fillId="0" borderId="16" xfId="0" applyNumberFormat="1" applyBorder="1"/>
    <xf numFmtId="0" fontId="6" fillId="6" borderId="1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 textRotation="90"/>
    </xf>
    <xf numFmtId="0" fontId="6" fillId="8" borderId="14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textRotation="90"/>
    </xf>
    <xf numFmtId="0" fontId="6" fillId="0" borderId="1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9" borderId="17" xfId="0" applyFill="1" applyBorder="1"/>
    <xf numFmtId="0" fontId="0" fillId="9" borderId="3" xfId="0" applyFill="1" applyBorder="1"/>
    <xf numFmtId="0" fontId="0" fillId="9" borderId="18" xfId="0" applyFill="1" applyBorder="1"/>
    <xf numFmtId="0" fontId="0" fillId="9" borderId="5" xfId="0" applyFill="1" applyBorder="1"/>
    <xf numFmtId="0" fontId="0" fillId="9" borderId="18" xfId="0" applyFill="1" applyBorder="1" applyAlignment="1">
      <alignment horizontal="left"/>
    </xf>
    <xf numFmtId="0" fontId="0" fillId="9" borderId="5" xfId="0" applyFill="1" applyBorder="1" applyAlignment="1">
      <alignment horizontal="right"/>
    </xf>
    <xf numFmtId="0" fontId="0" fillId="9" borderId="19" xfId="0" applyFill="1" applyBorder="1"/>
    <xf numFmtId="0" fontId="0" fillId="9" borderId="8" xfId="0" applyFill="1" applyBorder="1"/>
    <xf numFmtId="169" fontId="0" fillId="0" borderId="0" xfId="0" applyNumberFormat="1"/>
    <xf numFmtId="0" fontId="0" fillId="0" borderId="0" xfId="0" applyFill="1" applyBorder="1"/>
    <xf numFmtId="169" fontId="0" fillId="0" borderId="0" xfId="0" applyNumberFormat="1" applyBorder="1"/>
    <xf numFmtId="169" fontId="0" fillId="0" borderId="7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FFCC"/>
      <color rgb="FFFF00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93FA-6B44-42ED-A8E7-E3888CEA540C}">
  <dimension ref="A1:AA19"/>
  <sheetViews>
    <sheetView zoomScale="85" zoomScaleNormal="85" workbookViewId="0">
      <selection activeCell="R20" sqref="R20"/>
    </sheetView>
  </sheetViews>
  <sheetFormatPr defaultRowHeight="14" x14ac:dyDescent="0.3"/>
  <cols>
    <col min="1" max="1" width="20" bestFit="1" customWidth="1"/>
    <col min="2" max="2" width="11.4140625" bestFit="1" customWidth="1"/>
    <col min="3" max="3" width="9.08203125" style="5" bestFit="1" customWidth="1"/>
    <col min="4" max="4" width="9.6640625" bestFit="1" customWidth="1"/>
    <col min="5" max="5" width="13.6640625" style="5" bestFit="1" customWidth="1"/>
    <col min="6" max="6" width="10.08203125" bestFit="1" customWidth="1"/>
    <col min="7" max="7" width="12.83203125" style="5" bestFit="1" customWidth="1"/>
    <col min="8" max="8" width="14.1640625" bestFit="1" customWidth="1"/>
    <col min="9" max="9" width="12.75" style="5" bestFit="1" customWidth="1"/>
    <col min="10" max="10" width="7.75" bestFit="1" customWidth="1"/>
    <col min="11" max="11" width="12.75" style="5" bestFit="1" customWidth="1"/>
    <col min="12" max="12" width="14.08203125" bestFit="1" customWidth="1"/>
    <col min="13" max="13" width="12.83203125" style="5" bestFit="1" customWidth="1"/>
    <col min="14" max="14" width="13.5" bestFit="1" customWidth="1"/>
    <col min="15" max="15" width="12.08203125" style="5" bestFit="1" customWidth="1"/>
    <col min="16" max="16" width="7.5" bestFit="1" customWidth="1"/>
    <col min="17" max="17" width="11.83203125" style="5" bestFit="1" customWidth="1"/>
    <col min="18" max="18" width="52.25" bestFit="1" customWidth="1"/>
    <col min="19" max="19" width="9.4140625" style="5" bestFit="1" customWidth="1"/>
    <col min="20" max="20" width="12" bestFit="1" customWidth="1"/>
    <col min="21" max="21" width="12.5" style="5" bestFit="1" customWidth="1"/>
    <col min="22" max="22" width="16.25" bestFit="1" customWidth="1"/>
    <col min="23" max="23" width="11.58203125" style="5" bestFit="1" customWidth="1"/>
    <col min="24" max="24" width="10.1640625" bestFit="1" customWidth="1"/>
    <col min="25" max="25" width="13.58203125" style="5" bestFit="1" customWidth="1"/>
    <col min="26" max="26" width="27.83203125" bestFit="1" customWidth="1"/>
    <col min="27" max="27" width="12.33203125" style="5" bestFit="1" customWidth="1"/>
  </cols>
  <sheetData>
    <row r="1" spans="1:27" ht="14.5" thickBot="1" x14ac:dyDescent="0.35">
      <c r="A1" s="20" t="s">
        <v>19</v>
      </c>
      <c r="B1" s="21" t="s">
        <v>94</v>
      </c>
      <c r="C1" s="37" t="s">
        <v>82</v>
      </c>
      <c r="D1" s="21" t="s">
        <v>20</v>
      </c>
      <c r="E1" s="37" t="s">
        <v>21</v>
      </c>
      <c r="F1" s="21" t="s">
        <v>22</v>
      </c>
      <c r="G1" s="37" t="s">
        <v>23</v>
      </c>
      <c r="H1" s="21" t="s">
        <v>24</v>
      </c>
      <c r="I1" s="37" t="s">
        <v>25</v>
      </c>
      <c r="J1" s="21" t="s">
        <v>26</v>
      </c>
      <c r="K1" s="37" t="s">
        <v>27</v>
      </c>
      <c r="L1" s="21" t="s">
        <v>28</v>
      </c>
      <c r="M1" s="37" t="s">
        <v>29</v>
      </c>
      <c r="N1" s="21" t="s">
        <v>30</v>
      </c>
      <c r="O1" s="37" t="s">
        <v>31</v>
      </c>
      <c r="P1" s="21" t="s">
        <v>32</v>
      </c>
      <c r="Q1" s="37" t="s">
        <v>33</v>
      </c>
      <c r="R1" s="21" t="s">
        <v>92</v>
      </c>
      <c r="S1" s="37" t="s">
        <v>93</v>
      </c>
      <c r="T1" s="21" t="s">
        <v>99</v>
      </c>
      <c r="U1" s="37" t="s">
        <v>98</v>
      </c>
      <c r="V1" s="21" t="s">
        <v>72</v>
      </c>
      <c r="W1" s="37" t="s">
        <v>97</v>
      </c>
      <c r="X1" s="21" t="s">
        <v>96</v>
      </c>
      <c r="Y1" s="37" t="s">
        <v>95</v>
      </c>
      <c r="Z1" s="21" t="s">
        <v>100</v>
      </c>
      <c r="AA1" s="36" t="s">
        <v>101</v>
      </c>
    </row>
    <row r="2" spans="1:27" x14ac:dyDescent="0.3">
      <c r="A2" s="4" t="s">
        <v>34</v>
      </c>
      <c r="B2" t="str">
        <f>VLOOKUP($A2,actor_prob!$A$2:$B$19, 2, FALSE)</f>
        <v>actor.External</v>
      </c>
      <c r="C2" s="5">
        <f>VLOOKUP($A2, actor_prob!$A$2:$E$19,5, FALSE)</f>
        <v>0.85714285714285698</v>
      </c>
      <c r="D2" t="s">
        <v>3</v>
      </c>
      <c r="E2" s="5">
        <v>0.5</v>
      </c>
      <c r="F2" t="s">
        <v>35</v>
      </c>
      <c r="G2" s="5">
        <v>0.66666666699999999</v>
      </c>
      <c r="H2" t="s">
        <v>36</v>
      </c>
      <c r="I2" s="5" t="s">
        <v>36</v>
      </c>
      <c r="J2" t="s">
        <v>6</v>
      </c>
      <c r="K2" s="5">
        <v>1</v>
      </c>
      <c r="L2" t="s">
        <v>7</v>
      </c>
      <c r="M2" s="5">
        <v>1</v>
      </c>
      <c r="N2" t="s">
        <v>36</v>
      </c>
      <c r="O2" s="5" t="s">
        <v>36</v>
      </c>
      <c r="P2" t="s">
        <v>36</v>
      </c>
      <c r="Q2" s="5" t="s">
        <v>36</v>
      </c>
      <c r="R2" s="5" t="str">
        <f>VLOOKUP($A2,assets_prob!$A$2:$B$19,2,FALSE)</f>
        <v>S - Web application</v>
      </c>
      <c r="S2" s="5">
        <f>VLOOKUP(A2, assets_prob!$A$2:$C$19,3,FALSE)</f>
        <v>0.2727</v>
      </c>
      <c r="T2" t="str">
        <f>VLOOKUP($A2, attributes_prob!$A$2:$B$20, 2, FALSE)</f>
        <v>personal</v>
      </c>
      <c r="U2" s="5">
        <f>VLOOKUP($A2, attributes_prob!$A$2:$C$20, 3, FALSE)</f>
        <v>0.625</v>
      </c>
      <c r="V2" t="str">
        <f>VLOOKUP($A2, attributes_prob!$A$2:$D$20, 4, FALSE)</f>
        <v>software.installation</v>
      </c>
      <c r="W2" s="5">
        <f>VLOOKUP($A2, attributes_prob!$A$2:$E$20, 5, FALSE)</f>
        <v>0.6</v>
      </c>
      <c r="X2" t="str">
        <f>VLOOKUP($A2, attributes_prob!$A$2:$F$20, 6, FALSE)</f>
        <v>NA</v>
      </c>
      <c r="Y2" s="5" t="str">
        <f>VLOOKUP($A2, attributes_prob!$A$2:$G$20, 7, FALSE)</f>
        <v>NA</v>
      </c>
      <c r="Z2" t="e">
        <f>VLOOKUP($A2, impact_prob!$A$2:$B$13, 2, FALSE)</f>
        <v>#N/A</v>
      </c>
      <c r="AA2" s="6" t="e">
        <f>VLOOKUP($A2, impact_prob!$A$2:$C$13, 3, FALSE)</f>
        <v>#N/A</v>
      </c>
    </row>
    <row r="3" spans="1:27" x14ac:dyDescent="0.3">
      <c r="A3" s="4" t="s">
        <v>9</v>
      </c>
      <c r="B3" t="str">
        <f>VLOOKUP($A3,actor_prob!$A$2:$B$19, 2, FALSE)</f>
        <v>actor.External</v>
      </c>
      <c r="C3" s="5">
        <f>VLOOKUP($A3, actor_prob!$A$2:$E$19,5, FALSE)</f>
        <v>0.54545454545454497</v>
      </c>
      <c r="D3" t="s">
        <v>3</v>
      </c>
      <c r="E3" s="5">
        <v>1</v>
      </c>
      <c r="F3" t="s">
        <v>37</v>
      </c>
      <c r="G3" s="5">
        <v>1</v>
      </c>
      <c r="H3" t="s">
        <v>36</v>
      </c>
      <c r="I3" s="5" t="s">
        <v>36</v>
      </c>
      <c r="J3" t="s">
        <v>36</v>
      </c>
      <c r="K3" s="5" t="s">
        <v>36</v>
      </c>
      <c r="L3" t="s">
        <v>36</v>
      </c>
      <c r="M3" s="5" t="s">
        <v>36</v>
      </c>
      <c r="N3" t="s">
        <v>10</v>
      </c>
      <c r="O3" s="5">
        <v>0.66666666699999999</v>
      </c>
      <c r="P3" t="s">
        <v>11</v>
      </c>
      <c r="Q3" s="5">
        <v>0.571428571</v>
      </c>
      <c r="R3" s="5" t="str">
        <f>VLOOKUP($A3,assets_prob!$A$2:$B$19,2,FALSE)</f>
        <v>S - Web application</v>
      </c>
      <c r="S3" s="5">
        <f>VLOOKUP(A3, assets_prob!$A$2:$C$19,3,FALSE)</f>
        <v>0.33329999999999999</v>
      </c>
      <c r="T3" t="str">
        <f>VLOOKUP($A3, attributes_prob!$A$2:$B$20, 2, FALSE)</f>
        <v>personal</v>
      </c>
      <c r="U3" s="5">
        <f>VLOOKUP($A3, attributes_prob!$A$2:$C$20, 3, FALSE)</f>
        <v>0.33333333333333298</v>
      </c>
      <c r="V3" t="str">
        <f>VLOOKUP($A3, attributes_prob!$A$2:$D$20, 4, FALSE)</f>
        <v>software.installation</v>
      </c>
      <c r="W3" s="5">
        <f>VLOOKUP($A3, attributes_prob!$A$2:$E$20, 5, FALSE)</f>
        <v>1</v>
      </c>
      <c r="X3" t="str">
        <f>VLOOKUP($A3, attributes_prob!$A$2:$F$20, 6, FALSE)</f>
        <v>Obscuration</v>
      </c>
      <c r="Y3" s="5">
        <f>VLOOKUP($A3, attributes_prob!$A$2:$G$20, 7, FALSE)</f>
        <v>1</v>
      </c>
      <c r="Z3" t="str">
        <f>VLOOKUP($A3, impact_prob!$A$2:$B$13, 2, FALSE)</f>
        <v>Damaging, Painful</v>
      </c>
      <c r="AA3" s="6">
        <f>VLOOKUP($A3, impact_prob!$A$2:$C$13, 3, FALSE)</f>
        <v>0.5</v>
      </c>
    </row>
    <row r="4" spans="1:27" x14ac:dyDescent="0.3">
      <c r="A4" s="4" t="s">
        <v>14</v>
      </c>
      <c r="B4" t="str">
        <f>VLOOKUP($A4,actor_prob!$A$2:$B$19, 2, FALSE)</f>
        <v>actor.External</v>
      </c>
      <c r="C4" s="5">
        <f>VLOOKUP($A4, actor_prob!$A$2:$E$19,5, FALSE)</f>
        <v>1</v>
      </c>
      <c r="D4" t="s">
        <v>3</v>
      </c>
      <c r="E4" s="5">
        <v>1</v>
      </c>
      <c r="F4" t="s">
        <v>36</v>
      </c>
      <c r="G4" s="5" t="s">
        <v>36</v>
      </c>
      <c r="H4" t="s">
        <v>15</v>
      </c>
      <c r="I4" s="5">
        <v>1</v>
      </c>
      <c r="J4" t="s">
        <v>36</v>
      </c>
      <c r="K4" s="5" t="s">
        <v>36</v>
      </c>
      <c r="L4" t="s">
        <v>36</v>
      </c>
      <c r="M4" s="5" t="s">
        <v>36</v>
      </c>
      <c r="N4" t="s">
        <v>36</v>
      </c>
      <c r="O4" s="5" t="s">
        <v>36</v>
      </c>
      <c r="P4" t="s">
        <v>36</v>
      </c>
      <c r="Q4" s="5" t="s">
        <v>36</v>
      </c>
      <c r="R4" s="5" t="str">
        <f>VLOOKUP($A4,assets_prob!$A$2:$B$19,2,FALSE)</f>
        <v>S - Web application, U - Desktop, U - Desktop or laptop</v>
      </c>
      <c r="S4" s="5">
        <f>VLOOKUP(A4, assets_prob!$A$2:$C$19,3,FALSE)</f>
        <v>0.33329999999999999</v>
      </c>
      <c r="T4" t="str">
        <f>VLOOKUP($A4, attributes_prob!$A$2:$B$20, 2, FALSE)</f>
        <v>medical</v>
      </c>
      <c r="U4" s="5">
        <f>VLOOKUP($A4, attributes_prob!$A$2:$C$20, 3, FALSE)</f>
        <v>1</v>
      </c>
      <c r="V4" t="str">
        <f>VLOOKUP($A4, attributes_prob!$A$2:$D$20, 4, FALSE)</f>
        <v>NA</v>
      </c>
      <c r="W4" s="5" t="str">
        <f>VLOOKUP($A4, attributes_prob!$A$2:$E$20, 5, FALSE)</f>
        <v>NA</v>
      </c>
      <c r="X4" t="str">
        <f>VLOOKUP($A4, attributes_prob!$A$2:$F$20, 6, FALSE)</f>
        <v>Loss</v>
      </c>
      <c r="Y4" s="5">
        <f>VLOOKUP($A4, attributes_prob!$A$2:$G$20, 7, FALSE)</f>
        <v>1</v>
      </c>
      <c r="Z4" t="e">
        <f>VLOOKUP($A4, impact_prob!$A$2:$B$13, 2, FALSE)</f>
        <v>#N/A</v>
      </c>
      <c r="AA4" s="6" t="e">
        <f>VLOOKUP($A4, impact_prob!$A$2:$C$13, 3, FALSE)</f>
        <v>#N/A</v>
      </c>
    </row>
    <row r="5" spans="1:27" x14ac:dyDescent="0.3">
      <c r="A5" s="4" t="s">
        <v>17</v>
      </c>
      <c r="B5" t="str">
        <f>VLOOKUP($A5,actor_prob!$A$2:$B$19, 2, FALSE)</f>
        <v>actor.External</v>
      </c>
      <c r="C5" s="5">
        <f>VLOOKUP($A5, actor_prob!$A$2:$E$19,5, FALSE)</f>
        <v>0.98136645962732905</v>
      </c>
      <c r="D5" t="s">
        <v>4</v>
      </c>
      <c r="E5" s="5">
        <v>0.458715596</v>
      </c>
      <c r="F5" t="s">
        <v>35</v>
      </c>
      <c r="G5" s="5">
        <v>0.97142857100000002</v>
      </c>
      <c r="H5" t="s">
        <v>36</v>
      </c>
      <c r="I5" s="5" t="s">
        <v>36</v>
      </c>
      <c r="J5" t="s">
        <v>6</v>
      </c>
      <c r="K5" s="5">
        <v>0.99836867900000004</v>
      </c>
      <c r="L5" t="s">
        <v>18</v>
      </c>
      <c r="M5" s="5">
        <v>1</v>
      </c>
      <c r="N5" t="s">
        <v>10</v>
      </c>
      <c r="O5" s="5">
        <v>0.5</v>
      </c>
      <c r="P5" t="s">
        <v>11</v>
      </c>
      <c r="Q5" s="5">
        <v>0.6</v>
      </c>
      <c r="R5" s="5" t="str">
        <f>VLOOKUP($A5,assets_prob!$A$2:$B$19,2,FALSE)</f>
        <v>S - Web application</v>
      </c>
      <c r="S5" s="5">
        <f>VLOOKUP(A5, assets_prob!$A$2:$C$19,3,FALSE)</f>
        <v>0.32869999999999999</v>
      </c>
      <c r="T5" t="str">
        <f>VLOOKUP($A5, attributes_prob!$A$2:$B$20, 2, FALSE)</f>
        <v>personal</v>
      </c>
      <c r="U5" s="5">
        <f>VLOOKUP($A5, attributes_prob!$A$2:$C$20, 3, FALSE)</f>
        <v>0.97688751926040096</v>
      </c>
      <c r="V5" t="str">
        <f>VLOOKUP($A5, attributes_prob!$A$2:$D$20, 4, FALSE)</f>
        <v>software.installation</v>
      </c>
      <c r="W5" s="5">
        <f>VLOOKUP($A5, attributes_prob!$A$2:$E$20, 5, FALSE)</f>
        <v>0.50603378921963005</v>
      </c>
      <c r="X5" t="str">
        <f>VLOOKUP($A5, attributes_prob!$A$2:$F$20, 6, FALSE)</f>
        <v>Obscuration</v>
      </c>
      <c r="Y5" s="5">
        <f>VLOOKUP($A5, attributes_prob!$A$2:$G$20, 7, FALSE)</f>
        <v>1</v>
      </c>
      <c r="Z5" t="str">
        <f>VLOOKUP($A5, impact_prob!$A$2:$B$13, 2, FALSE)</f>
        <v>Catastrophic, Damaging, Painful</v>
      </c>
      <c r="AA5" s="6">
        <f>VLOOKUP($A5, impact_prob!$A$2:$C$13, 3, FALSE)</f>
        <v>0.33</v>
      </c>
    </row>
    <row r="6" spans="1:27" x14ac:dyDescent="0.3">
      <c r="A6" s="4" t="s">
        <v>38</v>
      </c>
      <c r="B6" t="str">
        <f>VLOOKUP($A6,actor_prob!$A$2:$B$19, 2, FALSE)</f>
        <v>actor.Internal</v>
      </c>
      <c r="C6" s="5">
        <f>VLOOKUP($A6, actor_prob!$A$2:$E$19,5, FALSE)</f>
        <v>0.6</v>
      </c>
      <c r="D6" t="s">
        <v>3</v>
      </c>
      <c r="E6" s="5">
        <v>1</v>
      </c>
      <c r="F6" t="s">
        <v>37</v>
      </c>
      <c r="G6" s="5">
        <v>1</v>
      </c>
      <c r="H6" t="s">
        <v>36</v>
      </c>
      <c r="I6" s="5" t="s">
        <v>36</v>
      </c>
      <c r="J6" t="s">
        <v>36</v>
      </c>
      <c r="K6" s="5" t="s">
        <v>36</v>
      </c>
      <c r="L6" t="s">
        <v>36</v>
      </c>
      <c r="M6" s="5" t="s">
        <v>36</v>
      </c>
      <c r="N6" t="s">
        <v>10</v>
      </c>
      <c r="O6" s="5">
        <v>1</v>
      </c>
      <c r="P6" t="s">
        <v>11</v>
      </c>
      <c r="Q6" s="5">
        <v>1</v>
      </c>
      <c r="R6" s="5" t="str">
        <f>VLOOKUP($A6,assets_prob!$A$2:$B$19,2,FALSE)</f>
        <v>S - File, S - Unknown</v>
      </c>
      <c r="S6" s="5">
        <f>VLOOKUP(A6, assets_prob!$A$2:$C$19,3,FALSE)</f>
        <v>0.4</v>
      </c>
      <c r="T6" t="str">
        <f>VLOOKUP($A6, attributes_prob!$A$2:$B$20, 2, FALSE)</f>
        <v>personal</v>
      </c>
      <c r="U6" s="5">
        <f>VLOOKUP($A6, attributes_prob!$A$2:$C$20, 3, FALSE)</f>
        <v>0.66666666666666696</v>
      </c>
      <c r="V6" t="str">
        <f>VLOOKUP($A6, attributes_prob!$A$2:$D$20, 4, FALSE)</f>
        <v>software.installation</v>
      </c>
      <c r="W6" s="5">
        <f>VLOOKUP($A6, attributes_prob!$A$2:$E$20, 5, FALSE)</f>
        <v>1</v>
      </c>
      <c r="X6" t="str">
        <f>VLOOKUP($A6, attributes_prob!$A$2:$F$20, 6, FALSE)</f>
        <v>Obscuration</v>
      </c>
      <c r="Y6" s="5">
        <f>VLOOKUP($A6, attributes_prob!$A$2:$G$20, 7, FALSE)</f>
        <v>1</v>
      </c>
      <c r="Z6" t="e">
        <f>VLOOKUP($A6, impact_prob!$A$2:$B$13, 2, FALSE)</f>
        <v>#N/A</v>
      </c>
      <c r="AA6" s="6" t="e">
        <f>VLOOKUP($A6, impact_prob!$A$2:$C$13, 3, FALSE)</f>
        <v>#N/A</v>
      </c>
    </row>
    <row r="7" spans="1:27" x14ac:dyDescent="0.3">
      <c r="A7" s="4" t="s">
        <v>39</v>
      </c>
      <c r="B7" t="str">
        <f>VLOOKUP($A7,actor_prob!$A$2:$B$19, 2, FALSE)</f>
        <v>actor.External</v>
      </c>
      <c r="C7" s="5">
        <f>VLOOKUP($A7, actor_prob!$A$2:$E$19,5, FALSE)</f>
        <v>0.94339622641509402</v>
      </c>
      <c r="D7" t="s">
        <v>40</v>
      </c>
      <c r="E7" s="5">
        <v>0.43902438999999999</v>
      </c>
      <c r="F7" t="s">
        <v>35</v>
      </c>
      <c r="G7" s="5">
        <v>0.92771084299999995</v>
      </c>
      <c r="H7" t="s">
        <v>41</v>
      </c>
      <c r="I7" s="5">
        <v>0.33333333300000001</v>
      </c>
      <c r="J7" t="s">
        <v>6</v>
      </c>
      <c r="K7" s="5">
        <v>0.95121951199999999</v>
      </c>
      <c r="L7" t="s">
        <v>42</v>
      </c>
      <c r="M7" s="5">
        <v>1</v>
      </c>
      <c r="N7" t="s">
        <v>43</v>
      </c>
      <c r="O7" s="5">
        <v>0.5</v>
      </c>
      <c r="P7" t="s">
        <v>44</v>
      </c>
      <c r="Q7" s="5">
        <v>1</v>
      </c>
      <c r="R7" s="5" t="str">
        <f>VLOOKUP($A7,assets_prob!$A$2:$B$19,2,FALSE)</f>
        <v>S - Web application</v>
      </c>
      <c r="S7" s="5">
        <f>VLOOKUP(A7, assets_prob!$A$2:$C$19,3,FALSE)</f>
        <v>0.3261</v>
      </c>
      <c r="T7" t="str">
        <f>VLOOKUP($A7, attributes_prob!$A$2:$B$20, 2, FALSE)</f>
        <v>personal</v>
      </c>
      <c r="U7" s="5">
        <f>VLOOKUP($A7, attributes_prob!$A$2:$C$20, 3, FALSE)</f>
        <v>0.73387096774193505</v>
      </c>
      <c r="V7" t="str">
        <f>VLOOKUP($A7, attributes_prob!$A$2:$D$20, 4, FALSE)</f>
        <v>software.installation</v>
      </c>
      <c r="W7" s="5">
        <f>VLOOKUP($A7, attributes_prob!$A$2:$E$20, 5, FALSE)</f>
        <v>0.48823529411764699</v>
      </c>
      <c r="X7" t="str">
        <f>VLOOKUP($A7, attributes_prob!$A$2:$F$20, 6, FALSE)</f>
        <v>Obscuration</v>
      </c>
      <c r="Y7" s="5">
        <f>VLOOKUP($A7, attributes_prob!$A$2:$G$20, 7, FALSE)</f>
        <v>0.75</v>
      </c>
      <c r="Z7" t="str">
        <f>VLOOKUP($A7, impact_prob!$A$2:$B$13, 2, FALSE)</f>
        <v>Damaging, Insignificant</v>
      </c>
      <c r="AA7" s="6">
        <f>VLOOKUP($A7, impact_prob!$A$2:$C$13, 3, FALSE)</f>
        <v>0.5</v>
      </c>
    </row>
    <row r="8" spans="1:27" x14ac:dyDescent="0.3">
      <c r="A8" s="4" t="s">
        <v>45</v>
      </c>
      <c r="B8" t="str">
        <f>VLOOKUP($A8,actor_prob!$A$2:$B$19, 2, FALSE)</f>
        <v>actor.External</v>
      </c>
      <c r="C8" s="5">
        <f>VLOOKUP($A8, actor_prob!$A$2:$E$19,5, FALSE)</f>
        <v>0.75</v>
      </c>
      <c r="D8" t="s">
        <v>3</v>
      </c>
      <c r="E8" s="5">
        <v>0.47727272700000001</v>
      </c>
      <c r="F8" t="s">
        <v>37</v>
      </c>
      <c r="G8" s="5">
        <v>0.813953488</v>
      </c>
      <c r="H8" t="s">
        <v>15</v>
      </c>
      <c r="I8" s="5">
        <v>1</v>
      </c>
      <c r="J8" t="s">
        <v>46</v>
      </c>
      <c r="K8" s="5">
        <v>0.46666666699999998</v>
      </c>
      <c r="L8" t="s">
        <v>42</v>
      </c>
      <c r="M8" s="5">
        <v>0.6</v>
      </c>
      <c r="N8" t="s">
        <v>16</v>
      </c>
      <c r="O8" s="5">
        <v>0.23076923099999999</v>
      </c>
      <c r="P8" t="s">
        <v>11</v>
      </c>
      <c r="Q8" s="5">
        <v>0.63333333300000005</v>
      </c>
      <c r="R8" s="5" t="str">
        <f>VLOOKUP($A8,assets_prob!$A$2:$B$19,2,FALSE)</f>
        <v>S - Database</v>
      </c>
      <c r="S8" s="5">
        <f>VLOOKUP(A8, assets_prob!$A$2:$C$19,3,FALSE)</f>
        <v>0.1953</v>
      </c>
      <c r="T8" t="str">
        <f>VLOOKUP($A8, attributes_prob!$A$2:$B$20, 2, FALSE)</f>
        <v>medical</v>
      </c>
      <c r="U8" s="5">
        <f>VLOOKUP($A8, attributes_prob!$A$2:$C$20, 3, FALSE)</f>
        <v>0.55414012738853502</v>
      </c>
      <c r="V8" t="str">
        <f>VLOOKUP($A8, attributes_prob!$A$2:$D$20, 4, FALSE)</f>
        <v>software.installation</v>
      </c>
      <c r="W8" s="5">
        <f>VLOOKUP($A8, attributes_prob!$A$2:$E$20, 5, FALSE)</f>
        <v>0.7</v>
      </c>
      <c r="X8" t="str">
        <f>VLOOKUP($A8, attributes_prob!$A$2:$F$20, 6, FALSE)</f>
        <v>Obscuration</v>
      </c>
      <c r="Y8" s="5">
        <f>VLOOKUP($A8, attributes_prob!$A$2:$G$20, 7, FALSE)</f>
        <v>0.79545454545454497</v>
      </c>
      <c r="Z8" t="str">
        <f>VLOOKUP($A8, impact_prob!$A$2:$B$13, 2, FALSE)</f>
        <v>Distracting</v>
      </c>
      <c r="AA8" s="6">
        <f>VLOOKUP($A8, impact_prob!$A$2:$C$13, 3, FALSE)</f>
        <v>0.38</v>
      </c>
    </row>
    <row r="9" spans="1:27" x14ac:dyDescent="0.3">
      <c r="A9" s="4" t="s">
        <v>47</v>
      </c>
      <c r="B9" t="str">
        <f>VLOOKUP($A9,actor_prob!$A$2:$B$19, 2, FALSE)</f>
        <v>actor.External</v>
      </c>
      <c r="C9" s="5">
        <f>VLOOKUP($A9, actor_prob!$A$2:$E$19,5, FALSE)</f>
        <v>0.65625</v>
      </c>
      <c r="D9" t="s">
        <v>40</v>
      </c>
      <c r="E9" s="5">
        <v>0.256410256</v>
      </c>
      <c r="F9" t="s">
        <v>37</v>
      </c>
      <c r="G9" s="5">
        <v>0.33333333300000001</v>
      </c>
      <c r="H9" t="s">
        <v>36</v>
      </c>
      <c r="I9" s="5" t="s">
        <v>36</v>
      </c>
      <c r="J9" t="s">
        <v>6</v>
      </c>
      <c r="K9" s="5">
        <v>0.5</v>
      </c>
      <c r="L9" t="s">
        <v>42</v>
      </c>
      <c r="M9" s="5">
        <v>1</v>
      </c>
      <c r="N9" t="s">
        <v>10</v>
      </c>
      <c r="O9" s="5">
        <v>0.71428571399999996</v>
      </c>
      <c r="P9" t="s">
        <v>11</v>
      </c>
      <c r="Q9" s="5">
        <v>0.66666666699999999</v>
      </c>
      <c r="R9" s="5" t="str">
        <f>VLOOKUP($A9,assets_prob!$A$2:$B$19,2,FALSE)</f>
        <v>S - Web application</v>
      </c>
      <c r="S9" s="5">
        <f>VLOOKUP(A9, assets_prob!$A$2:$C$19,3,FALSE)</f>
        <v>0.33329999999999999</v>
      </c>
      <c r="T9" t="str">
        <f>VLOOKUP($A9, attributes_prob!$A$2:$B$20, 2, FALSE)</f>
        <v>personal</v>
      </c>
      <c r="U9" s="5">
        <f>VLOOKUP($A9, attributes_prob!$A$2:$C$20, 3, FALSE)</f>
        <v>0.48421052631578898</v>
      </c>
      <c r="V9" t="str">
        <f>VLOOKUP($A9, attributes_prob!$A$2:$D$20, 4, FALSE)</f>
        <v>software.installation</v>
      </c>
      <c r="W9" s="5">
        <f>VLOOKUP($A9, attributes_prob!$A$2:$E$20, 5, FALSE)</f>
        <v>0.42857142857142899</v>
      </c>
      <c r="X9" t="str">
        <f>VLOOKUP($A9, attributes_prob!$A$2:$F$20, 6, FALSE)</f>
        <v>Obscuration</v>
      </c>
      <c r="Y9" s="5">
        <f>VLOOKUP($A9, attributes_prob!$A$2:$G$20, 7, FALSE)</f>
        <v>0.6</v>
      </c>
      <c r="Z9" t="str">
        <f>VLOOKUP($A9, impact_prob!$A$2:$B$13, 2, FALSE)</f>
        <v>Insignificant</v>
      </c>
      <c r="AA9" s="6">
        <f>VLOOKUP($A9, impact_prob!$A$2:$C$13, 3, FALSE)</f>
        <v>0.6</v>
      </c>
    </row>
    <row r="10" spans="1:27" x14ac:dyDescent="0.3">
      <c r="A10" s="4" t="s">
        <v>48</v>
      </c>
      <c r="B10" t="str">
        <f>VLOOKUP($A10,actor_prob!$A$2:$B$19, 2, FALSE)</f>
        <v>actor.External</v>
      </c>
      <c r="C10" s="5">
        <f>VLOOKUP($A10, actor_prob!$A$2:$E$19,5, FALSE)</f>
        <v>0.66666666666666696</v>
      </c>
      <c r="D10" t="s">
        <v>3</v>
      </c>
      <c r="E10" s="5">
        <v>0.33333333300000001</v>
      </c>
      <c r="F10" t="s">
        <v>37</v>
      </c>
      <c r="G10" s="5">
        <v>0.61538461499999997</v>
      </c>
      <c r="H10" t="s">
        <v>36</v>
      </c>
      <c r="I10" s="5" t="s">
        <v>36</v>
      </c>
      <c r="J10" t="s">
        <v>6</v>
      </c>
      <c r="K10" s="5">
        <v>0.625</v>
      </c>
      <c r="L10" t="s">
        <v>42</v>
      </c>
      <c r="M10" s="5">
        <v>1</v>
      </c>
      <c r="N10" t="s">
        <v>10</v>
      </c>
      <c r="O10" s="5">
        <v>1</v>
      </c>
      <c r="P10" t="s">
        <v>11</v>
      </c>
      <c r="Q10" s="5">
        <v>0.5</v>
      </c>
      <c r="R10" s="5" t="str">
        <f>VLOOKUP($A10,assets_prob!$A$2:$B$19,2,FALSE)</f>
        <v>S - Web application, P - End-user or employee, S - Database, S - File</v>
      </c>
      <c r="S10" s="5">
        <f>VLOOKUP(A10, assets_prob!$A$2:$C$19,3,FALSE)</f>
        <v>0.17949999999999999</v>
      </c>
      <c r="T10" t="str">
        <f>VLOOKUP($A10, attributes_prob!$A$2:$B$20, 2, FALSE)</f>
        <v>personal</v>
      </c>
      <c r="U10" s="5">
        <f>VLOOKUP($A10, attributes_prob!$A$2:$C$20, 3, FALSE)</f>
        <v>0.36666666666666697</v>
      </c>
      <c r="V10" t="str">
        <f>VLOOKUP($A10, attributes_prob!$A$2:$D$20, 4, FALSE)</f>
        <v>software.installation</v>
      </c>
      <c r="W10" s="5">
        <f>VLOOKUP($A10, attributes_prob!$A$2:$E$20, 5, FALSE)</f>
        <v>0.61904761904761896</v>
      </c>
      <c r="X10" t="str">
        <f>VLOOKUP($A10, attributes_prob!$A$2:$F$20, 6, FALSE)</f>
        <v>Obscuration</v>
      </c>
      <c r="Y10" s="5">
        <f>VLOOKUP($A10, attributes_prob!$A$2:$G$20, 7, FALSE)</f>
        <v>1</v>
      </c>
      <c r="Z10" t="str">
        <f>VLOOKUP($A10, impact_prob!$A$2:$B$13, 2, FALSE)</f>
        <v>Damaging, Painful</v>
      </c>
      <c r="AA10" s="6">
        <f>VLOOKUP($A10, impact_prob!$A$2:$C$13, 3, FALSE)</f>
        <v>0.5</v>
      </c>
    </row>
    <row r="11" spans="1:27" x14ac:dyDescent="0.3">
      <c r="A11" s="4" t="s">
        <v>49</v>
      </c>
      <c r="B11" t="str">
        <f>VLOOKUP($A11,actor_prob!$A$2:$B$19, 2, FALSE)</f>
        <v>actor.External</v>
      </c>
      <c r="C11" s="5">
        <f>VLOOKUP($A11, actor_prob!$A$2:$E$19,5, FALSE)</f>
        <v>1</v>
      </c>
      <c r="D11" t="s">
        <v>3</v>
      </c>
      <c r="E11" s="5">
        <v>0.5</v>
      </c>
      <c r="F11" t="s">
        <v>37</v>
      </c>
      <c r="G11" s="5">
        <v>0.66666666699999999</v>
      </c>
      <c r="H11" t="s">
        <v>36</v>
      </c>
      <c r="I11" s="5" t="s">
        <v>36</v>
      </c>
      <c r="J11" t="s">
        <v>6</v>
      </c>
      <c r="K11" s="5">
        <v>0.5</v>
      </c>
      <c r="L11" t="s">
        <v>36</v>
      </c>
      <c r="M11" s="5" t="s">
        <v>36</v>
      </c>
      <c r="N11" t="s">
        <v>36</v>
      </c>
      <c r="O11" s="5" t="s">
        <v>36</v>
      </c>
      <c r="P11" t="s">
        <v>36</v>
      </c>
      <c r="Q11" s="5" t="s">
        <v>36</v>
      </c>
      <c r="R11" s="5" t="str">
        <f>VLOOKUP($A11,assets_prob!$A$2:$B$19,2,FALSE)</f>
        <v>S - Web application</v>
      </c>
      <c r="S11" s="5">
        <f>VLOOKUP(A11, assets_prob!$A$2:$C$19,3,FALSE)</f>
        <v>0.36359999999999998</v>
      </c>
      <c r="T11" t="str">
        <f>VLOOKUP($A11, attributes_prob!$A$2:$B$20, 2, FALSE)</f>
        <v>personal</v>
      </c>
      <c r="U11" s="5">
        <f>VLOOKUP($A11, attributes_prob!$A$2:$C$20, 3, FALSE)</f>
        <v>0.4</v>
      </c>
      <c r="V11" t="str">
        <f>VLOOKUP($A11, attributes_prob!$A$2:$D$20, 4, FALSE)</f>
        <v>software.installation</v>
      </c>
      <c r="W11" s="5">
        <f>VLOOKUP($A11, attributes_prob!$A$2:$E$20, 5, FALSE)</f>
        <v>0.5</v>
      </c>
      <c r="X11" t="str">
        <f>VLOOKUP($A11, attributes_prob!$A$2:$F$20, 6, FALSE)</f>
        <v>Loss</v>
      </c>
      <c r="Y11" s="5">
        <f>VLOOKUP($A11, attributes_prob!$A$2:$G$20, 7, FALSE)</f>
        <v>0.5</v>
      </c>
      <c r="Z11" t="e">
        <f>VLOOKUP($A11, impact_prob!$A$2:$B$13, 2, FALSE)</f>
        <v>#N/A</v>
      </c>
      <c r="AA11" s="6" t="e">
        <f>VLOOKUP($A11, impact_prob!$A$2:$C$13, 3, FALSE)</f>
        <v>#N/A</v>
      </c>
    </row>
    <row r="12" spans="1:27" x14ac:dyDescent="0.3">
      <c r="A12" s="4" t="s">
        <v>50</v>
      </c>
      <c r="B12" t="str">
        <f>VLOOKUP($A12,actor_prob!$A$2:$B$19, 2, FALSE)</f>
        <v>actor.External</v>
      </c>
      <c r="C12" s="5">
        <f>VLOOKUP($A12, actor_prob!$A$2:$E$19,5, FALSE)</f>
        <v>0.72727272727272696</v>
      </c>
      <c r="D12" t="s">
        <v>40</v>
      </c>
      <c r="E12" s="5">
        <v>0.28571428599999998</v>
      </c>
      <c r="F12" t="s">
        <v>37</v>
      </c>
      <c r="G12" s="5">
        <v>0.51851851900000001</v>
      </c>
      <c r="H12" t="s">
        <v>36</v>
      </c>
      <c r="I12" s="5" t="s">
        <v>36</v>
      </c>
      <c r="J12" t="s">
        <v>6</v>
      </c>
      <c r="K12" s="5">
        <v>0.764705882</v>
      </c>
      <c r="L12" t="s">
        <v>18</v>
      </c>
      <c r="M12" s="5">
        <v>0.4</v>
      </c>
      <c r="N12" t="s">
        <v>10</v>
      </c>
      <c r="O12" s="5">
        <v>0.72727272700000001</v>
      </c>
      <c r="P12" t="s">
        <v>11</v>
      </c>
      <c r="Q12" s="5">
        <v>0.66666666699999999</v>
      </c>
      <c r="R12" s="5" t="str">
        <f>VLOOKUP($A12,assets_prob!$A$2:$B$19,2,FALSE)</f>
        <v>S - Web application</v>
      </c>
      <c r="S12" s="5">
        <f>VLOOKUP(A12, assets_prob!$A$2:$C$19,3,FALSE)</f>
        <v>0.25530000000000003</v>
      </c>
      <c r="T12" t="str">
        <f>VLOOKUP($A12, attributes_prob!$A$2:$B$20, 2, FALSE)</f>
        <v>personal</v>
      </c>
      <c r="U12" s="5">
        <f>VLOOKUP($A12, attributes_prob!$A$2:$C$20, 3, FALSE)</f>
        <v>0.57142857142857095</v>
      </c>
      <c r="V12" t="str">
        <f>VLOOKUP($A12, attributes_prob!$A$2:$D$20, 4, FALSE)</f>
        <v>software.installation</v>
      </c>
      <c r="W12" s="5">
        <f>VLOOKUP($A12, attributes_prob!$A$2:$E$20, 5, FALSE)</f>
        <v>0.57446808510638303</v>
      </c>
      <c r="X12" t="str">
        <f>VLOOKUP($A12, attributes_prob!$A$2:$F$20, 6, FALSE)</f>
        <v>Obscuration</v>
      </c>
      <c r="Y12" s="5">
        <f>VLOOKUP($A12, attributes_prob!$A$2:$G$20, 7, FALSE)</f>
        <v>0.76470588235294101</v>
      </c>
      <c r="Z12" t="str">
        <f>VLOOKUP($A12, impact_prob!$A$2:$B$13, 2, FALSE)</f>
        <v>Damaging, Distracting, Insignificant</v>
      </c>
      <c r="AA12" s="6">
        <f>VLOOKUP($A12, impact_prob!$A$2:$C$13, 3, FALSE)</f>
        <v>0.33</v>
      </c>
    </row>
    <row r="13" spans="1:27" x14ac:dyDescent="0.3">
      <c r="A13" s="4" t="s">
        <v>51</v>
      </c>
      <c r="B13" t="str">
        <f>VLOOKUP($A13,actor_prob!$A$2:$B$19, 2, FALSE)</f>
        <v>actor.External</v>
      </c>
      <c r="C13" s="5">
        <f>VLOOKUP($A13, actor_prob!$A$2:$E$19,5, FALSE)</f>
        <v>0.6</v>
      </c>
      <c r="D13" t="s">
        <v>3</v>
      </c>
      <c r="E13" s="5">
        <v>0.38709677399999998</v>
      </c>
      <c r="F13" t="s">
        <v>37</v>
      </c>
      <c r="G13" s="5">
        <v>0.33333333300000001</v>
      </c>
      <c r="H13" t="s">
        <v>52</v>
      </c>
      <c r="I13" s="5">
        <v>0.5</v>
      </c>
      <c r="J13" t="s">
        <v>6</v>
      </c>
      <c r="K13" s="5">
        <v>0.81818181800000001</v>
      </c>
      <c r="L13" t="s">
        <v>42</v>
      </c>
      <c r="M13" s="5">
        <v>0.66666666699999999</v>
      </c>
      <c r="N13" t="s">
        <v>10</v>
      </c>
      <c r="O13" s="5">
        <v>0.4375</v>
      </c>
      <c r="P13" t="s">
        <v>11</v>
      </c>
      <c r="Q13" s="5">
        <v>0.6</v>
      </c>
      <c r="R13" s="5" t="str">
        <f>VLOOKUP($A13,assets_prob!$A$2:$B$19,2,FALSE)</f>
        <v>S - Web application</v>
      </c>
      <c r="S13" s="5">
        <f>VLOOKUP(A13, assets_prob!$A$2:$C$19,3,FALSE)</f>
        <v>0.3095</v>
      </c>
      <c r="T13" t="str">
        <f>VLOOKUP($A13, attributes_prob!$A$2:$B$20, 2, FALSE)</f>
        <v>personal</v>
      </c>
      <c r="U13" s="5">
        <f>VLOOKUP($A13, attributes_prob!$A$2:$C$20, 3, FALSE)</f>
        <v>0.61290322580645196</v>
      </c>
      <c r="V13" t="str">
        <f>VLOOKUP($A13, attributes_prob!$A$2:$D$20, 4, FALSE)</f>
        <v>software.installation</v>
      </c>
      <c r="W13" s="5">
        <f>VLOOKUP($A13, attributes_prob!$A$2:$E$20, 5, FALSE)</f>
        <v>0.54285714285714304</v>
      </c>
      <c r="X13" t="str">
        <f>VLOOKUP($A13, attributes_prob!$A$2:$F$20, 6, FALSE)</f>
        <v>Obscuration</v>
      </c>
      <c r="Y13" s="5">
        <f>VLOOKUP($A13, attributes_prob!$A$2:$G$20, 7, FALSE)</f>
        <v>0.8</v>
      </c>
      <c r="Z13" t="str">
        <f>VLOOKUP($A13, impact_prob!$A$2:$B$13, 2, FALSE)</f>
        <v>Damaging, Insignificant, Painful</v>
      </c>
      <c r="AA13" s="6">
        <f>VLOOKUP($A13, impact_prob!$A$2:$C$13, 3, FALSE)</f>
        <v>0.28999999999999998</v>
      </c>
    </row>
    <row r="14" spans="1:27" x14ac:dyDescent="0.3">
      <c r="A14" s="4" t="s">
        <v>53</v>
      </c>
      <c r="B14" t="str">
        <f>VLOOKUP($A14,actor_prob!$A$2:$B$19, 2, FALSE)</f>
        <v>actor.External</v>
      </c>
      <c r="C14" s="5">
        <f>VLOOKUP($A14, actor_prob!$A$2:$E$19,5, FALSE)</f>
        <v>0.75</v>
      </c>
      <c r="D14" t="s">
        <v>3</v>
      </c>
      <c r="E14" s="5">
        <v>1</v>
      </c>
      <c r="F14" t="s">
        <v>36</v>
      </c>
      <c r="G14" s="5" t="s">
        <v>36</v>
      </c>
      <c r="H14" t="s">
        <v>36</v>
      </c>
      <c r="I14" s="5" t="s">
        <v>36</v>
      </c>
      <c r="J14" t="s">
        <v>36</v>
      </c>
      <c r="K14" s="5" t="s">
        <v>36</v>
      </c>
      <c r="L14" t="s">
        <v>36</v>
      </c>
      <c r="M14" s="5" t="s">
        <v>36</v>
      </c>
      <c r="N14" t="s">
        <v>10</v>
      </c>
      <c r="O14" s="5">
        <v>1</v>
      </c>
      <c r="P14" t="s">
        <v>44</v>
      </c>
      <c r="Q14" s="5">
        <v>0.5</v>
      </c>
      <c r="R14" s="5" t="str">
        <f>VLOOKUP($A14,assets_prob!$A$2:$B$19,2,FALSE)</f>
        <v>S - Database</v>
      </c>
      <c r="S14" s="5">
        <f>VLOOKUP(A14, assets_prob!$A$2:$C$19,3,FALSE)</f>
        <v>0.5</v>
      </c>
      <c r="T14" t="str">
        <f>VLOOKUP($A14, attributes_prob!$A$2:$B$20, 2, FALSE)</f>
        <v>personal</v>
      </c>
      <c r="U14" s="5">
        <f>VLOOKUP($A14, attributes_prob!$A$2:$C$20, 3, FALSE)</f>
        <v>0.5</v>
      </c>
      <c r="V14" t="str">
        <f>VLOOKUP($A14, attributes_prob!$A$2:$D$20, 4, FALSE)</f>
        <v>NA</v>
      </c>
      <c r="W14" s="5" t="str">
        <f>VLOOKUP($A14, attributes_prob!$A$2:$E$20, 5, FALSE)</f>
        <v>NA</v>
      </c>
      <c r="X14" t="str">
        <f>VLOOKUP($A14, attributes_prob!$A$2:$F$20, 6, FALSE)</f>
        <v>NA</v>
      </c>
      <c r="Y14" s="5" t="str">
        <f>VLOOKUP($A14, attributes_prob!$A$2:$G$20, 7, FALSE)</f>
        <v>NA</v>
      </c>
      <c r="Z14" t="str">
        <f>VLOOKUP($A14, impact_prob!$A$2:$B$13, 2, FALSE)</f>
        <v>Insignificant</v>
      </c>
      <c r="AA14" s="6">
        <f>VLOOKUP($A14, impact_prob!$A$2:$C$13, 3, FALSE)</f>
        <v>1</v>
      </c>
    </row>
    <row r="15" spans="1:27" x14ac:dyDescent="0.3">
      <c r="A15" s="4" t="s">
        <v>54</v>
      </c>
      <c r="B15" t="str">
        <f>VLOOKUP($A15,actor_prob!$A$2:$B$19, 2, FALSE)</f>
        <v>actor.External</v>
      </c>
      <c r="C15" s="5">
        <f>VLOOKUP($A15, actor_prob!$A$2:$E$19,5, FALSE)</f>
        <v>0.86956521739130399</v>
      </c>
      <c r="D15" t="s">
        <v>3</v>
      </c>
      <c r="E15" s="5">
        <v>0.4375</v>
      </c>
      <c r="F15" t="s">
        <v>35</v>
      </c>
      <c r="G15" s="5">
        <v>0.6</v>
      </c>
      <c r="H15" t="s">
        <v>41</v>
      </c>
      <c r="I15" s="5">
        <v>0.66666666699999999</v>
      </c>
      <c r="J15" t="s">
        <v>6</v>
      </c>
      <c r="K15" s="5">
        <v>0.75</v>
      </c>
      <c r="L15" t="s">
        <v>42</v>
      </c>
      <c r="M15" s="5">
        <v>1</v>
      </c>
      <c r="N15" t="s">
        <v>10</v>
      </c>
      <c r="O15" s="5">
        <v>1</v>
      </c>
      <c r="P15" t="s">
        <v>11</v>
      </c>
      <c r="Q15" s="5">
        <v>1</v>
      </c>
      <c r="R15" s="5" t="str">
        <f>VLOOKUP($A15,assets_prob!$A$2:$B$19,2,FALSE)</f>
        <v>S - Database</v>
      </c>
      <c r="S15" s="5">
        <f>VLOOKUP(A15, assets_prob!$A$2:$C$19,3,FALSE)</f>
        <v>0.2059</v>
      </c>
      <c r="T15" t="str">
        <f>VLOOKUP($A15, attributes_prob!$A$2:$B$20, 2, FALSE)</f>
        <v>personal</v>
      </c>
      <c r="U15" s="5">
        <f>VLOOKUP($A15, attributes_prob!$A$2:$C$20, 3, FALSE)</f>
        <v>0.41935483870967699</v>
      </c>
      <c r="V15" t="str">
        <f>VLOOKUP($A15, attributes_prob!$A$2:$D$20, 4, FALSE)</f>
        <v>software.installation</v>
      </c>
      <c r="W15" s="5">
        <f>VLOOKUP($A15, attributes_prob!$A$2:$E$20, 5, FALSE)</f>
        <v>0.38461538461538503</v>
      </c>
      <c r="X15" t="str">
        <f>VLOOKUP($A15, attributes_prob!$A$2:$F$20, 6, FALSE)</f>
        <v>Obscuration</v>
      </c>
      <c r="Y15" s="5">
        <f>VLOOKUP($A15, attributes_prob!$A$2:$G$20, 7, FALSE)</f>
        <v>0.66666666666666696</v>
      </c>
      <c r="Z15" t="str">
        <f>VLOOKUP($A15, impact_prob!$A$2:$B$13, 2, FALSE)</f>
        <v>Insignificant</v>
      </c>
      <c r="AA15" s="6">
        <f>VLOOKUP($A15, impact_prob!$A$2:$C$13, 3, FALSE)</f>
        <v>1</v>
      </c>
    </row>
    <row r="16" spans="1:27" x14ac:dyDescent="0.3">
      <c r="A16" s="4" t="s">
        <v>55</v>
      </c>
      <c r="B16" t="str">
        <f>VLOOKUP($A16,actor_prob!$A$2:$B$19, 2, FALSE)</f>
        <v>actor.External</v>
      </c>
      <c r="C16" s="5">
        <f>VLOOKUP($A16, actor_prob!$A$2:$E$19,5, FALSE)</f>
        <v>0.85714285714285698</v>
      </c>
      <c r="D16" t="s">
        <v>3</v>
      </c>
      <c r="E16" s="5">
        <v>0.28571428599999998</v>
      </c>
      <c r="F16" t="s">
        <v>37</v>
      </c>
      <c r="G16" s="5">
        <v>0.5</v>
      </c>
      <c r="H16" t="s">
        <v>36</v>
      </c>
      <c r="I16" s="5" t="s">
        <v>36</v>
      </c>
      <c r="J16" t="s">
        <v>6</v>
      </c>
      <c r="K16" s="5">
        <v>1</v>
      </c>
      <c r="L16" t="s">
        <v>42</v>
      </c>
      <c r="M16" s="5">
        <v>1</v>
      </c>
      <c r="N16" t="s">
        <v>36</v>
      </c>
      <c r="O16" s="5" t="s">
        <v>36</v>
      </c>
      <c r="P16" t="s">
        <v>11</v>
      </c>
      <c r="Q16" s="5">
        <v>1</v>
      </c>
      <c r="R16" s="5" t="str">
        <f>VLOOKUP($A16,assets_prob!$A$2:$B$19,2,FALSE)</f>
        <v>S - Web application</v>
      </c>
      <c r="S16" s="5">
        <f>VLOOKUP(A16, assets_prob!$A$2:$C$19,3,FALSE)</f>
        <v>0.25</v>
      </c>
      <c r="T16" t="str">
        <f>VLOOKUP($A16, attributes_prob!$A$2:$B$20, 2, FALSE)</f>
        <v>personal</v>
      </c>
      <c r="U16" s="5">
        <f>VLOOKUP($A16, attributes_prob!$A$2:$C$20, 3, FALSE)</f>
        <v>0.45454545454545497</v>
      </c>
      <c r="V16" t="str">
        <f>VLOOKUP($A16, attributes_prob!$A$2:$D$20, 4, FALSE)</f>
        <v>software.installation</v>
      </c>
      <c r="W16" s="5">
        <f>VLOOKUP($A16, attributes_prob!$A$2:$E$20, 5, FALSE)</f>
        <v>0.66666666666666696</v>
      </c>
      <c r="X16" t="str">
        <f>VLOOKUP($A16, attributes_prob!$A$2:$F$20, 6, FALSE)</f>
        <v>Obscuration</v>
      </c>
      <c r="Y16" s="5">
        <f>VLOOKUP($A16, attributes_prob!$A$2:$G$20, 7, FALSE)</f>
        <v>1</v>
      </c>
      <c r="Z16" t="e">
        <f>VLOOKUP($A16, impact_prob!$A$2:$B$13, 2, FALSE)</f>
        <v>#N/A</v>
      </c>
      <c r="AA16" s="6" t="e">
        <f>VLOOKUP($A16, impact_prob!$A$2:$C$13, 3, FALSE)</f>
        <v>#N/A</v>
      </c>
    </row>
    <row r="17" spans="1:27" x14ac:dyDescent="0.3">
      <c r="A17" s="4" t="s">
        <v>56</v>
      </c>
      <c r="B17" t="str">
        <f>VLOOKUP($A17,actor_prob!$A$2:$B$19, 2, FALSE)</f>
        <v>actor.External</v>
      </c>
      <c r="C17" s="5">
        <f>VLOOKUP($A17, actor_prob!$A$2:$E$19,5, FALSE)</f>
        <v>0.8</v>
      </c>
      <c r="D17" t="s">
        <v>40</v>
      </c>
      <c r="E17" s="5">
        <v>0.428571429</v>
      </c>
      <c r="F17" t="s">
        <v>37</v>
      </c>
      <c r="G17" s="5">
        <v>0.428571429</v>
      </c>
      <c r="H17" t="s">
        <v>57</v>
      </c>
      <c r="I17" s="5">
        <v>1</v>
      </c>
      <c r="J17" t="s">
        <v>6</v>
      </c>
      <c r="K17" s="5">
        <v>0.66666666699999999</v>
      </c>
      <c r="L17" t="s">
        <v>42</v>
      </c>
      <c r="M17" s="5">
        <v>1</v>
      </c>
      <c r="N17" t="s">
        <v>10</v>
      </c>
      <c r="O17" s="5">
        <v>1</v>
      </c>
      <c r="P17" t="s">
        <v>11</v>
      </c>
      <c r="Q17" s="5">
        <v>1</v>
      </c>
      <c r="R17" s="5" t="str">
        <f>VLOOKUP($A17,assets_prob!$A$2:$B$19,2,FALSE)</f>
        <v>S - Database, S - File, S - Web application</v>
      </c>
      <c r="S17" s="5">
        <f>VLOOKUP(A17, assets_prob!$A$2:$C$19,3,FALSE)</f>
        <v>0.22220000000000001</v>
      </c>
      <c r="T17" t="str">
        <f>VLOOKUP($A17, attributes_prob!$A$2:$B$20, 2, FALSE)</f>
        <v>personal</v>
      </c>
      <c r="U17" s="5">
        <f>VLOOKUP($A17, attributes_prob!$A$2:$C$20, 3, FALSE)</f>
        <v>0.38461538461538503</v>
      </c>
      <c r="V17" t="str">
        <f>VLOOKUP($A17, attributes_prob!$A$2:$D$20, 4, FALSE)</f>
        <v>software.installation</v>
      </c>
      <c r="W17" s="5">
        <f>VLOOKUP($A17, attributes_prob!$A$2:$E$20, 5, FALSE)</f>
        <v>0.6</v>
      </c>
      <c r="X17" t="str">
        <f>VLOOKUP($A17, attributes_prob!$A$2:$F$20, 6, FALSE)</f>
        <v>Obscuration</v>
      </c>
      <c r="Y17" s="5">
        <f>VLOOKUP($A17, attributes_prob!$A$2:$G$20, 7, FALSE)</f>
        <v>1</v>
      </c>
      <c r="Z17" t="str">
        <f>VLOOKUP($A17, impact_prob!$A$2:$B$13, 2, FALSE)</f>
        <v>Damaging</v>
      </c>
      <c r="AA17" s="6">
        <f>VLOOKUP($A17, impact_prob!$A$2:$C$13, 3, FALSE)</f>
        <v>1</v>
      </c>
    </row>
    <row r="18" spans="1:27" x14ac:dyDescent="0.3">
      <c r="A18" s="4" t="s">
        <v>3</v>
      </c>
      <c r="B18" t="str">
        <f>VLOOKUP($A18,actor_prob!$A$2:$B$19, 2, FALSE)</f>
        <v>actor.External</v>
      </c>
      <c r="C18" s="5">
        <f>VLOOKUP($A18, actor_prob!$A$2:$E$19,5, FALSE)</f>
        <v>0.66666666666666696</v>
      </c>
      <c r="D18" t="s">
        <v>3</v>
      </c>
      <c r="E18" s="5">
        <v>1</v>
      </c>
      <c r="F18" t="s">
        <v>37</v>
      </c>
      <c r="G18" s="5">
        <v>1</v>
      </c>
      <c r="H18" t="s">
        <v>36</v>
      </c>
      <c r="I18" s="5" t="s">
        <v>36</v>
      </c>
      <c r="J18" t="s">
        <v>36</v>
      </c>
      <c r="K18" s="5" t="s">
        <v>36</v>
      </c>
      <c r="L18" t="s">
        <v>36</v>
      </c>
      <c r="M18" s="5" t="s">
        <v>36</v>
      </c>
      <c r="N18" t="s">
        <v>58</v>
      </c>
      <c r="O18" s="5">
        <v>1</v>
      </c>
      <c r="P18" t="s">
        <v>36</v>
      </c>
      <c r="Q18" s="5" t="s">
        <v>36</v>
      </c>
      <c r="R18" s="5" t="str">
        <f>VLOOKUP($A18,assets_prob!$A$2:$B$19,2,FALSE)</f>
        <v>M - Documents, S - Database, S - Unknown, S - Web application</v>
      </c>
      <c r="S18" s="5">
        <f>VLOOKUP(A18, assets_prob!$A$2:$C$19,3,FALSE)</f>
        <v>0.25</v>
      </c>
      <c r="T18" t="str">
        <f>VLOOKUP($A18, attributes_prob!$A$2:$B$20, 2, FALSE)</f>
        <v>medical</v>
      </c>
      <c r="U18" s="5">
        <f>VLOOKUP($A18, attributes_prob!$A$2:$C$20, 3, FALSE)</f>
        <v>0.5</v>
      </c>
      <c r="V18" t="str">
        <f>VLOOKUP($A18, attributes_prob!$A$2:$D$20, 4, FALSE)</f>
        <v>software.installation</v>
      </c>
      <c r="W18" s="5">
        <f>VLOOKUP($A18, attributes_prob!$A$2:$E$20, 5, FALSE)</f>
        <v>1</v>
      </c>
      <c r="X18" t="str">
        <f>VLOOKUP($A18, attributes_prob!$A$2:$F$20, 6, FALSE)</f>
        <v>Obscuration</v>
      </c>
      <c r="Y18" s="5">
        <f>VLOOKUP($A18, attributes_prob!$A$2:$G$20, 7, FALSE)</f>
        <v>1</v>
      </c>
      <c r="Z18" t="e">
        <f>VLOOKUP($A18, impact_prob!$A$2:$B$13, 2, FALSE)</f>
        <v>#N/A</v>
      </c>
      <c r="AA18" s="6" t="e">
        <f>VLOOKUP($A18, impact_prob!$A$2:$C$13, 3, FALSE)</f>
        <v>#N/A</v>
      </c>
    </row>
    <row r="19" spans="1:27" ht="14.5" thickBot="1" x14ac:dyDescent="0.35">
      <c r="A19" s="7" t="s">
        <v>59</v>
      </c>
      <c r="B19" s="8" t="str">
        <f>VLOOKUP($A19,actor_prob!$A$2:$B$19, 2, FALSE)</f>
        <v>actor.External</v>
      </c>
      <c r="C19" s="9">
        <f>VLOOKUP($A19, actor_prob!$A$2:$E$19,5, FALSE)</f>
        <v>1</v>
      </c>
      <c r="D19" s="8" t="s">
        <v>40</v>
      </c>
      <c r="E19" s="9">
        <v>0.375</v>
      </c>
      <c r="F19" s="8" t="s">
        <v>35</v>
      </c>
      <c r="G19" s="9">
        <v>0.75</v>
      </c>
      <c r="H19" s="8" t="s">
        <v>36</v>
      </c>
      <c r="I19" s="9" t="s">
        <v>36</v>
      </c>
      <c r="J19" s="8" t="s">
        <v>6</v>
      </c>
      <c r="K19" s="9">
        <v>1</v>
      </c>
      <c r="L19" s="8" t="s">
        <v>36</v>
      </c>
      <c r="M19" s="9" t="s">
        <v>36</v>
      </c>
      <c r="N19" s="8" t="s">
        <v>36</v>
      </c>
      <c r="O19" s="9" t="s">
        <v>36</v>
      </c>
      <c r="P19" s="8" t="s">
        <v>36</v>
      </c>
      <c r="Q19" s="9" t="s">
        <v>36</v>
      </c>
      <c r="R19" s="9" t="str">
        <f>VLOOKUP($A19,assets_prob!$A$2:$B$19,2,FALSE)</f>
        <v>P - End-user or employee, S - File, S - Web application</v>
      </c>
      <c r="S19" s="9">
        <f>VLOOKUP(A19, assets_prob!$A$2:$C$19,3,FALSE)</f>
        <v>0.2727</v>
      </c>
      <c r="T19" s="8" t="str">
        <f>VLOOKUP($A19, attributes_prob!$A$2:$B$20, 2, FALSE)</f>
        <v>personal</v>
      </c>
      <c r="U19" s="9">
        <f>VLOOKUP($A19, attributes_prob!$A$2:$C$20, 3, FALSE)</f>
        <v>0.6</v>
      </c>
      <c r="V19" s="8" t="str">
        <f>VLOOKUP($A19, attributes_prob!$A$2:$D$20, 4, FALSE)</f>
        <v>software.installation</v>
      </c>
      <c r="W19" s="9">
        <f>VLOOKUP($A19, attributes_prob!$A$2:$E$20, 5, FALSE)</f>
        <v>0.5</v>
      </c>
      <c r="X19" s="8" t="str">
        <f>VLOOKUP($A19, attributes_prob!$A$2:$F$20, 6, FALSE)</f>
        <v>Obscuration</v>
      </c>
      <c r="Y19" s="9">
        <f>VLOOKUP($A19, attributes_prob!$A$2:$G$20, 7, FALSE)</f>
        <v>1</v>
      </c>
      <c r="Z19" s="8" t="e">
        <f>VLOOKUP($A19, impact_prob!$A$2:$B$13, 2, FALSE)</f>
        <v>#N/A</v>
      </c>
      <c r="AA19" s="23" t="e">
        <f>VLOOKUP($A19, impact_prob!$A$2:$C$13, 3, FALSE)</f>
        <v>#N/A</v>
      </c>
    </row>
  </sheetData>
  <conditionalFormatting sqref="A1:B1 A2:R19 D1:AA1">
    <cfRule type="colorScale" priority="3">
      <colorScale>
        <cfvo type="min"/>
        <cfvo type="max"/>
        <color rgb="FFFCFCFF"/>
        <color rgb="FFF8696B"/>
      </colorScale>
    </cfRule>
  </conditionalFormatting>
  <conditionalFormatting sqref="S2:X19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Z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B481-4DFA-4C27-99A7-BAC030B55D8C}">
  <sheetPr filterMode="1"/>
  <dimension ref="A1:AA19"/>
  <sheetViews>
    <sheetView topLeftCell="T1" workbookViewId="0">
      <selection activeCell="AC24" sqref="AC24"/>
    </sheetView>
  </sheetViews>
  <sheetFormatPr defaultRowHeight="14" x14ac:dyDescent="0.3"/>
  <cols>
    <col min="1" max="1" width="19.5" bestFit="1" customWidth="1"/>
    <col min="2" max="2" width="11.1640625" bestFit="1" customWidth="1"/>
    <col min="3" max="3" width="11" bestFit="1" customWidth="1"/>
    <col min="4" max="4" width="10.6640625" bestFit="1" customWidth="1"/>
    <col min="5" max="5" width="15.75" bestFit="1" customWidth="1"/>
    <col min="6" max="6" width="9.9140625" bestFit="1" customWidth="1"/>
    <col min="7" max="7" width="14.9140625" bestFit="1" customWidth="1"/>
    <col min="8" max="8" width="13.75" bestFit="1" customWidth="1"/>
    <col min="9" max="9" width="14.83203125" bestFit="1" customWidth="1"/>
    <col min="10" max="10" width="9.58203125" bestFit="1" customWidth="1"/>
    <col min="11" max="11" width="14.6640625" bestFit="1" customWidth="1"/>
    <col min="12" max="12" width="13.6640625" bestFit="1" customWidth="1"/>
    <col min="13" max="13" width="14.83203125" bestFit="1" customWidth="1"/>
    <col min="14" max="14" width="13.1640625" bestFit="1" customWidth="1"/>
    <col min="15" max="15" width="14.08203125" bestFit="1" customWidth="1"/>
    <col min="16" max="16" width="8.83203125" bestFit="1" customWidth="1"/>
    <col min="17" max="17" width="13.9140625" bestFit="1" customWidth="1"/>
    <col min="18" max="18" width="50.58203125" bestFit="1" customWidth="1"/>
    <col min="19" max="19" width="11.1640625" bestFit="1" customWidth="1"/>
    <col min="20" max="20" width="14.08203125" bestFit="1" customWidth="1"/>
    <col min="21" max="21" width="14.58203125" bestFit="1" customWidth="1"/>
    <col min="22" max="22" width="16.08203125" bestFit="1" customWidth="1"/>
    <col min="23" max="23" width="13.4140625" bestFit="1" customWidth="1"/>
    <col min="24" max="24" width="11.33203125" bestFit="1" customWidth="1"/>
    <col min="25" max="25" width="15.6640625" bestFit="1" customWidth="1"/>
    <col min="26" max="26" width="27.4140625" bestFit="1" customWidth="1"/>
    <col min="27" max="27" width="12.5" bestFit="1" customWidth="1"/>
  </cols>
  <sheetData>
    <row r="1" spans="1:27" ht="14.5" thickBot="1" x14ac:dyDescent="0.35">
      <c r="A1" s="20" t="s">
        <v>19</v>
      </c>
      <c r="B1" s="21" t="s">
        <v>94</v>
      </c>
      <c r="C1" s="37" t="s">
        <v>82</v>
      </c>
      <c r="D1" s="21" t="s">
        <v>20</v>
      </c>
      <c r="E1" s="37" t="s">
        <v>21</v>
      </c>
      <c r="F1" s="21" t="s">
        <v>22</v>
      </c>
      <c r="G1" s="37" t="s">
        <v>23</v>
      </c>
      <c r="H1" s="21" t="s">
        <v>24</v>
      </c>
      <c r="I1" s="37" t="s">
        <v>25</v>
      </c>
      <c r="J1" s="21" t="s">
        <v>26</v>
      </c>
      <c r="K1" s="37" t="s">
        <v>27</v>
      </c>
      <c r="L1" s="21" t="s">
        <v>28</v>
      </c>
      <c r="M1" s="37" t="s">
        <v>29</v>
      </c>
      <c r="N1" s="21" t="s">
        <v>30</v>
      </c>
      <c r="O1" s="37" t="s">
        <v>31</v>
      </c>
      <c r="P1" s="21" t="s">
        <v>32</v>
      </c>
      <c r="Q1" s="37" t="s">
        <v>33</v>
      </c>
      <c r="R1" s="21" t="s">
        <v>92</v>
      </c>
      <c r="S1" s="37" t="s">
        <v>93</v>
      </c>
      <c r="T1" s="21" t="s">
        <v>99</v>
      </c>
      <c r="U1" s="37" t="s">
        <v>98</v>
      </c>
      <c r="V1" s="21" t="s">
        <v>72</v>
      </c>
      <c r="W1" s="37" t="s">
        <v>97</v>
      </c>
      <c r="X1" s="21" t="s">
        <v>96</v>
      </c>
      <c r="Y1" s="37" t="s">
        <v>95</v>
      </c>
      <c r="Z1" s="21" t="s">
        <v>100</v>
      </c>
      <c r="AA1" s="36" t="s">
        <v>101</v>
      </c>
    </row>
    <row r="2" spans="1:27" hidden="1" x14ac:dyDescent="0.3">
      <c r="A2" s="4" t="s">
        <v>34</v>
      </c>
      <c r="B2" t="str">
        <f>VLOOKUP($A2,actor_prob!$A$2:$B$19, 2, FALSE)</f>
        <v>actor.External</v>
      </c>
      <c r="C2" s="5">
        <f>VLOOKUP($A2, actor_prob!$A$2:$E$19,5, FALSE)</f>
        <v>0.85714285714285698</v>
      </c>
      <c r="D2" t="s">
        <v>3</v>
      </c>
      <c r="E2" s="5">
        <v>0.5</v>
      </c>
      <c r="F2" t="s">
        <v>35</v>
      </c>
      <c r="G2" s="5">
        <v>0.66666666699999999</v>
      </c>
      <c r="H2" t="s">
        <v>36</v>
      </c>
      <c r="I2" s="5" t="s">
        <v>36</v>
      </c>
      <c r="J2" t="s">
        <v>6</v>
      </c>
      <c r="K2" s="5">
        <v>1</v>
      </c>
      <c r="L2" t="s">
        <v>7</v>
      </c>
      <c r="M2" s="5">
        <v>1</v>
      </c>
      <c r="N2" t="s">
        <v>36</v>
      </c>
      <c r="O2" s="5" t="s">
        <v>36</v>
      </c>
      <c r="P2" t="s">
        <v>36</v>
      </c>
      <c r="Q2" s="5" t="s">
        <v>36</v>
      </c>
      <c r="R2" s="5" t="str">
        <f>VLOOKUP($A2,assets_prob!$A$2:$B$19,2,FALSE)</f>
        <v>S - Web application</v>
      </c>
      <c r="S2" s="5">
        <f>VLOOKUP(A2, assets_prob!$A$2:$C$19,3,FALSE)</f>
        <v>0.2727</v>
      </c>
      <c r="T2" t="str">
        <f>VLOOKUP($A2, attributes_prob!$A$2:$B$20, 2, FALSE)</f>
        <v>personal</v>
      </c>
      <c r="U2" s="5">
        <f>VLOOKUP($A2, attributes_prob!$A$2:$C$20, 3, FALSE)</f>
        <v>0.625</v>
      </c>
      <c r="V2" t="str">
        <f>VLOOKUP($A2, attributes_prob!$A$2:$D$20, 4, FALSE)</f>
        <v>software.installation</v>
      </c>
      <c r="W2" s="5">
        <f>VLOOKUP($A2, attributes_prob!$A$2:$E$20, 5, FALSE)</f>
        <v>0.6</v>
      </c>
      <c r="X2" t="str">
        <f>VLOOKUP($A2, attributes_prob!$A$2:$F$20, 6, FALSE)</f>
        <v>NA</v>
      </c>
      <c r="Y2" s="5" t="str">
        <f>VLOOKUP($A2, attributes_prob!$A$2:$G$20, 7, FALSE)</f>
        <v>NA</v>
      </c>
      <c r="Z2" t="e">
        <f>VLOOKUP($A2, impact_prob!$A$2:$B$13, 2, FALSE)</f>
        <v>#N/A</v>
      </c>
      <c r="AA2" s="6" t="e">
        <f>VLOOKUP($A2, impact_prob!$A$2:$C$13, 3, FALSE)</f>
        <v>#N/A</v>
      </c>
    </row>
    <row r="3" spans="1:27" x14ac:dyDescent="0.3">
      <c r="A3" s="4" t="s">
        <v>9</v>
      </c>
      <c r="B3" t="str">
        <f>VLOOKUP($A3,actor_prob!$A$2:$B$19, 2, FALSE)</f>
        <v>actor.External</v>
      </c>
      <c r="C3" s="5">
        <f>VLOOKUP($A3, actor_prob!$A$2:$E$19,5, FALSE)</f>
        <v>0.54545454545454497</v>
      </c>
      <c r="D3" t="s">
        <v>3</v>
      </c>
      <c r="E3" s="5">
        <v>1</v>
      </c>
      <c r="F3" t="s">
        <v>37</v>
      </c>
      <c r="G3" s="5">
        <v>1</v>
      </c>
      <c r="H3" t="s">
        <v>36</v>
      </c>
      <c r="I3" s="5" t="s">
        <v>36</v>
      </c>
      <c r="J3" t="s">
        <v>36</v>
      </c>
      <c r="K3" s="5" t="s">
        <v>36</v>
      </c>
      <c r="L3" t="s">
        <v>36</v>
      </c>
      <c r="M3" s="5" t="s">
        <v>36</v>
      </c>
      <c r="N3" t="s">
        <v>10</v>
      </c>
      <c r="O3" s="5">
        <v>0.66666666699999999</v>
      </c>
      <c r="P3" t="s">
        <v>11</v>
      </c>
      <c r="Q3" s="5">
        <v>0.571428571</v>
      </c>
      <c r="R3" s="5" t="str">
        <f>VLOOKUP($A3,assets_prob!$A$2:$B$19,2,FALSE)</f>
        <v>S - Web application</v>
      </c>
      <c r="S3" s="5">
        <f>VLOOKUP(A3, assets_prob!$A$2:$C$19,3,FALSE)</f>
        <v>0.33329999999999999</v>
      </c>
      <c r="T3" t="str">
        <f>VLOOKUP($A3, attributes_prob!$A$2:$B$20, 2, FALSE)</f>
        <v>personal</v>
      </c>
      <c r="U3" s="5">
        <f>VLOOKUP($A3, attributes_prob!$A$2:$C$20, 3, FALSE)</f>
        <v>0.33333333333333298</v>
      </c>
      <c r="V3" t="str">
        <f>VLOOKUP($A3, attributes_prob!$A$2:$D$20, 4, FALSE)</f>
        <v>software.installation</v>
      </c>
      <c r="W3" s="5">
        <f>VLOOKUP($A3, attributes_prob!$A$2:$E$20, 5, FALSE)</f>
        <v>1</v>
      </c>
      <c r="X3" t="str">
        <f>VLOOKUP($A3, attributes_prob!$A$2:$F$20, 6, FALSE)</f>
        <v>Obscuration</v>
      </c>
      <c r="Y3" s="5">
        <f>VLOOKUP($A3, attributes_prob!$A$2:$G$20, 7, FALSE)</f>
        <v>1</v>
      </c>
      <c r="Z3" t="str">
        <f>VLOOKUP($A3, impact_prob!$A$2:$B$13, 2, FALSE)</f>
        <v>Damaging, Painful</v>
      </c>
      <c r="AA3" s="6">
        <f>VLOOKUP($A3, impact_prob!$A$2:$C$13, 3, FALSE)</f>
        <v>0.5</v>
      </c>
    </row>
    <row r="4" spans="1:27" hidden="1" x14ac:dyDescent="0.3">
      <c r="A4" s="4" t="s">
        <v>14</v>
      </c>
      <c r="B4" t="str">
        <f>VLOOKUP($A4,actor_prob!$A$2:$B$19, 2, FALSE)</f>
        <v>actor.External</v>
      </c>
      <c r="C4" s="5">
        <f>VLOOKUP($A4, actor_prob!$A$2:$E$19,5, FALSE)</f>
        <v>1</v>
      </c>
      <c r="D4" t="s">
        <v>3</v>
      </c>
      <c r="E4" s="5">
        <v>1</v>
      </c>
      <c r="F4" t="s">
        <v>36</v>
      </c>
      <c r="G4" s="5" t="s">
        <v>36</v>
      </c>
      <c r="H4" t="s">
        <v>15</v>
      </c>
      <c r="I4" s="5">
        <v>1</v>
      </c>
      <c r="J4" t="s">
        <v>36</v>
      </c>
      <c r="K4" s="5" t="s">
        <v>36</v>
      </c>
      <c r="L4" t="s">
        <v>36</v>
      </c>
      <c r="M4" s="5" t="s">
        <v>36</v>
      </c>
      <c r="N4" t="s">
        <v>36</v>
      </c>
      <c r="O4" s="5" t="s">
        <v>36</v>
      </c>
      <c r="P4" t="s">
        <v>36</v>
      </c>
      <c r="Q4" s="5" t="s">
        <v>36</v>
      </c>
      <c r="R4" s="5" t="str">
        <f>VLOOKUP($A4,assets_prob!$A$2:$B$19,2,FALSE)</f>
        <v>S - Web application, U - Desktop, U - Desktop or laptop</v>
      </c>
      <c r="S4" s="5">
        <f>VLOOKUP(A4, assets_prob!$A$2:$C$19,3,FALSE)</f>
        <v>0.33329999999999999</v>
      </c>
      <c r="T4" t="str">
        <f>VLOOKUP($A4, attributes_prob!$A$2:$B$20, 2, FALSE)</f>
        <v>medical</v>
      </c>
      <c r="U4" s="5">
        <f>VLOOKUP($A4, attributes_prob!$A$2:$C$20, 3, FALSE)</f>
        <v>1</v>
      </c>
      <c r="V4" t="str">
        <f>VLOOKUP($A4, attributes_prob!$A$2:$D$20, 4, FALSE)</f>
        <v>NA</v>
      </c>
      <c r="W4" s="5" t="str">
        <f>VLOOKUP($A4, attributes_prob!$A$2:$E$20, 5, FALSE)</f>
        <v>NA</v>
      </c>
      <c r="X4" t="str">
        <f>VLOOKUP($A4, attributes_prob!$A$2:$F$20, 6, FALSE)</f>
        <v>Loss</v>
      </c>
      <c r="Y4" s="5">
        <f>VLOOKUP($A4, attributes_prob!$A$2:$G$20, 7, FALSE)</f>
        <v>1</v>
      </c>
      <c r="Z4" t="e">
        <f>VLOOKUP($A4, impact_prob!$A$2:$B$13, 2, FALSE)</f>
        <v>#N/A</v>
      </c>
      <c r="AA4" s="6" t="e">
        <f>VLOOKUP($A4, impact_prob!$A$2:$C$13, 3, FALSE)</f>
        <v>#N/A</v>
      </c>
    </row>
    <row r="5" spans="1:27" x14ac:dyDescent="0.3">
      <c r="A5" s="4" t="s">
        <v>17</v>
      </c>
      <c r="B5" t="str">
        <f>VLOOKUP($A5,actor_prob!$A$2:$B$19, 2, FALSE)</f>
        <v>actor.External</v>
      </c>
      <c r="C5" s="5">
        <f>VLOOKUP($A5, actor_prob!$A$2:$E$19,5, FALSE)</f>
        <v>0.98136645962732905</v>
      </c>
      <c r="D5" t="s">
        <v>4</v>
      </c>
      <c r="E5" s="5">
        <v>0.458715596</v>
      </c>
      <c r="F5" t="s">
        <v>35</v>
      </c>
      <c r="G5" s="5">
        <v>0.97142857100000002</v>
      </c>
      <c r="H5" t="s">
        <v>36</v>
      </c>
      <c r="I5" s="5" t="s">
        <v>36</v>
      </c>
      <c r="J5" t="s">
        <v>6</v>
      </c>
      <c r="K5" s="5">
        <v>0.99836867900000004</v>
      </c>
      <c r="L5" t="s">
        <v>18</v>
      </c>
      <c r="M5" s="5">
        <v>1</v>
      </c>
      <c r="N5" t="s">
        <v>10</v>
      </c>
      <c r="O5" s="5">
        <v>0.5</v>
      </c>
      <c r="P5" t="s">
        <v>11</v>
      </c>
      <c r="Q5" s="5">
        <v>0.6</v>
      </c>
      <c r="R5" s="5" t="str">
        <f>VLOOKUP($A5,assets_prob!$A$2:$B$19,2,FALSE)</f>
        <v>S - Web application</v>
      </c>
      <c r="S5" s="5">
        <f>VLOOKUP(A5, assets_prob!$A$2:$C$19,3,FALSE)</f>
        <v>0.32869999999999999</v>
      </c>
      <c r="T5" t="str">
        <f>VLOOKUP($A5, attributes_prob!$A$2:$B$20, 2, FALSE)</f>
        <v>personal</v>
      </c>
      <c r="U5" s="5">
        <f>VLOOKUP($A5, attributes_prob!$A$2:$C$20, 3, FALSE)</f>
        <v>0.97688751926040096</v>
      </c>
      <c r="V5" t="str">
        <f>VLOOKUP($A5, attributes_prob!$A$2:$D$20, 4, FALSE)</f>
        <v>software.installation</v>
      </c>
      <c r="W5" s="5">
        <f>VLOOKUP($A5, attributes_prob!$A$2:$E$20, 5, FALSE)</f>
        <v>0.50603378921963005</v>
      </c>
      <c r="X5" t="str">
        <f>VLOOKUP($A5, attributes_prob!$A$2:$F$20, 6, FALSE)</f>
        <v>Obscuration</v>
      </c>
      <c r="Y5" s="5">
        <f>VLOOKUP($A5, attributes_prob!$A$2:$G$20, 7, FALSE)</f>
        <v>1</v>
      </c>
      <c r="Z5" t="str">
        <f>VLOOKUP($A5, impact_prob!$A$2:$B$13, 2, FALSE)</f>
        <v>Catastrophic, Damaging, Painful</v>
      </c>
      <c r="AA5" s="6">
        <f>VLOOKUP($A5, impact_prob!$A$2:$C$13, 3, FALSE)</f>
        <v>0.33</v>
      </c>
    </row>
    <row r="6" spans="1:27" hidden="1" x14ac:dyDescent="0.3">
      <c r="A6" s="4" t="s">
        <v>38</v>
      </c>
      <c r="B6" t="str">
        <f>VLOOKUP($A6,actor_prob!$A$2:$B$19, 2, FALSE)</f>
        <v>actor.Internal</v>
      </c>
      <c r="C6" s="5">
        <f>VLOOKUP($A6, actor_prob!$A$2:$E$19,5, FALSE)</f>
        <v>0.6</v>
      </c>
      <c r="D6" t="s">
        <v>3</v>
      </c>
      <c r="E6" s="5">
        <v>1</v>
      </c>
      <c r="F6" t="s">
        <v>37</v>
      </c>
      <c r="G6" s="5">
        <v>1</v>
      </c>
      <c r="H6" t="s">
        <v>36</v>
      </c>
      <c r="I6" s="5" t="s">
        <v>36</v>
      </c>
      <c r="J6" t="s">
        <v>36</v>
      </c>
      <c r="K6" s="5" t="s">
        <v>36</v>
      </c>
      <c r="L6" t="s">
        <v>36</v>
      </c>
      <c r="M6" s="5" t="s">
        <v>36</v>
      </c>
      <c r="N6" t="s">
        <v>10</v>
      </c>
      <c r="O6" s="5">
        <v>1</v>
      </c>
      <c r="P6" t="s">
        <v>11</v>
      </c>
      <c r="Q6" s="5">
        <v>1</v>
      </c>
      <c r="R6" s="5" t="str">
        <f>VLOOKUP($A6,assets_prob!$A$2:$B$19,2,FALSE)</f>
        <v>S - File, S - Unknown</v>
      </c>
      <c r="S6" s="5">
        <f>VLOOKUP(A6, assets_prob!$A$2:$C$19,3,FALSE)</f>
        <v>0.4</v>
      </c>
      <c r="T6" t="str">
        <f>VLOOKUP($A6, attributes_prob!$A$2:$B$20, 2, FALSE)</f>
        <v>personal</v>
      </c>
      <c r="U6" s="5">
        <f>VLOOKUP($A6, attributes_prob!$A$2:$C$20, 3, FALSE)</f>
        <v>0.66666666666666696</v>
      </c>
      <c r="V6" t="str">
        <f>VLOOKUP($A6, attributes_prob!$A$2:$D$20, 4, FALSE)</f>
        <v>software.installation</v>
      </c>
      <c r="W6" s="5">
        <f>VLOOKUP($A6, attributes_prob!$A$2:$E$20, 5, FALSE)</f>
        <v>1</v>
      </c>
      <c r="X6" t="str">
        <f>VLOOKUP($A6, attributes_prob!$A$2:$F$20, 6, FALSE)</f>
        <v>Obscuration</v>
      </c>
      <c r="Y6" s="5">
        <f>VLOOKUP($A6, attributes_prob!$A$2:$G$20, 7, FALSE)</f>
        <v>1</v>
      </c>
      <c r="Z6" t="e">
        <f>VLOOKUP($A6, impact_prob!$A$2:$B$13, 2, FALSE)</f>
        <v>#N/A</v>
      </c>
      <c r="AA6" s="6" t="e">
        <f>VLOOKUP($A6, impact_prob!$A$2:$C$13, 3, FALSE)</f>
        <v>#N/A</v>
      </c>
    </row>
    <row r="7" spans="1:27" x14ac:dyDescent="0.3">
      <c r="A7" s="4" t="s">
        <v>39</v>
      </c>
      <c r="B7" t="str">
        <f>VLOOKUP($A7,actor_prob!$A$2:$B$19, 2, FALSE)</f>
        <v>actor.External</v>
      </c>
      <c r="C7" s="5">
        <f>VLOOKUP($A7, actor_prob!$A$2:$E$19,5, FALSE)</f>
        <v>0.94339622641509402</v>
      </c>
      <c r="D7" t="s">
        <v>40</v>
      </c>
      <c r="E7" s="5">
        <v>0.43902438999999999</v>
      </c>
      <c r="F7" t="s">
        <v>35</v>
      </c>
      <c r="G7" s="5">
        <v>0.92771084299999995</v>
      </c>
      <c r="H7" t="s">
        <v>41</v>
      </c>
      <c r="I7" s="5">
        <v>0.33333333300000001</v>
      </c>
      <c r="J7" t="s">
        <v>6</v>
      </c>
      <c r="K7" s="5">
        <v>0.95121951199999999</v>
      </c>
      <c r="L7" t="s">
        <v>42</v>
      </c>
      <c r="M7" s="5">
        <v>1</v>
      </c>
      <c r="N7" t="s">
        <v>43</v>
      </c>
      <c r="O7" s="5">
        <v>0.5</v>
      </c>
      <c r="P7" t="s">
        <v>44</v>
      </c>
      <c r="Q7" s="5">
        <v>1</v>
      </c>
      <c r="R7" s="5" t="str">
        <f>VLOOKUP($A7,assets_prob!$A$2:$B$19,2,FALSE)</f>
        <v>S - Web application</v>
      </c>
      <c r="S7" s="5">
        <f>VLOOKUP(A7, assets_prob!$A$2:$C$19,3,FALSE)</f>
        <v>0.3261</v>
      </c>
      <c r="T7" t="str">
        <f>VLOOKUP($A7, attributes_prob!$A$2:$B$20, 2, FALSE)</f>
        <v>personal</v>
      </c>
      <c r="U7" s="5">
        <f>VLOOKUP($A7, attributes_prob!$A$2:$C$20, 3, FALSE)</f>
        <v>0.73387096774193505</v>
      </c>
      <c r="V7" t="str">
        <f>VLOOKUP($A7, attributes_prob!$A$2:$D$20, 4, FALSE)</f>
        <v>software.installation</v>
      </c>
      <c r="W7" s="5">
        <f>VLOOKUP($A7, attributes_prob!$A$2:$E$20, 5, FALSE)</f>
        <v>0.48823529411764699</v>
      </c>
      <c r="X7" t="str">
        <f>VLOOKUP($A7, attributes_prob!$A$2:$F$20, 6, FALSE)</f>
        <v>Obscuration</v>
      </c>
      <c r="Y7" s="5">
        <f>VLOOKUP($A7, attributes_prob!$A$2:$G$20, 7, FALSE)</f>
        <v>0.75</v>
      </c>
      <c r="Z7" t="str">
        <f>VLOOKUP($A7, impact_prob!$A$2:$B$13, 2, FALSE)</f>
        <v>Damaging, Insignificant</v>
      </c>
      <c r="AA7" s="6">
        <f>VLOOKUP($A7, impact_prob!$A$2:$C$13, 3, FALSE)</f>
        <v>0.5</v>
      </c>
    </row>
    <row r="8" spans="1:27" x14ac:dyDescent="0.3">
      <c r="A8" s="4" t="s">
        <v>45</v>
      </c>
      <c r="B8" t="str">
        <f>VLOOKUP($A8,actor_prob!$A$2:$B$19, 2, FALSE)</f>
        <v>actor.External</v>
      </c>
      <c r="C8" s="5">
        <f>VLOOKUP($A8, actor_prob!$A$2:$E$19,5, FALSE)</f>
        <v>0.75</v>
      </c>
      <c r="D8" t="s">
        <v>3</v>
      </c>
      <c r="E8" s="5">
        <v>0.47727272700000001</v>
      </c>
      <c r="F8" t="s">
        <v>37</v>
      </c>
      <c r="G8" s="5">
        <v>0.813953488</v>
      </c>
      <c r="H8" t="s">
        <v>15</v>
      </c>
      <c r="I8" s="5">
        <v>1</v>
      </c>
      <c r="J8" t="s">
        <v>46</v>
      </c>
      <c r="K8" s="5">
        <v>0.46666666699999998</v>
      </c>
      <c r="L8" t="s">
        <v>42</v>
      </c>
      <c r="M8" s="5">
        <v>0.6</v>
      </c>
      <c r="N8" t="s">
        <v>16</v>
      </c>
      <c r="O8" s="5">
        <v>0.23076923099999999</v>
      </c>
      <c r="P8" t="s">
        <v>11</v>
      </c>
      <c r="Q8" s="5">
        <v>0.63333333300000005</v>
      </c>
      <c r="R8" s="5" t="str">
        <f>VLOOKUP($A8,assets_prob!$A$2:$B$19,2,FALSE)</f>
        <v>S - Database</v>
      </c>
      <c r="S8" s="5">
        <f>VLOOKUP(A8, assets_prob!$A$2:$C$19,3,FALSE)</f>
        <v>0.1953</v>
      </c>
      <c r="T8" t="str">
        <f>VLOOKUP($A8, attributes_prob!$A$2:$B$20, 2, FALSE)</f>
        <v>medical</v>
      </c>
      <c r="U8" s="5">
        <f>VLOOKUP($A8, attributes_prob!$A$2:$C$20, 3, FALSE)</f>
        <v>0.55414012738853502</v>
      </c>
      <c r="V8" t="str">
        <f>VLOOKUP($A8, attributes_prob!$A$2:$D$20, 4, FALSE)</f>
        <v>software.installation</v>
      </c>
      <c r="W8" s="5">
        <f>VLOOKUP($A8, attributes_prob!$A$2:$E$20, 5, FALSE)</f>
        <v>0.7</v>
      </c>
      <c r="X8" t="str">
        <f>VLOOKUP($A8, attributes_prob!$A$2:$F$20, 6, FALSE)</f>
        <v>Obscuration</v>
      </c>
      <c r="Y8" s="5">
        <f>VLOOKUP($A8, attributes_prob!$A$2:$G$20, 7, FALSE)</f>
        <v>0.79545454545454497</v>
      </c>
      <c r="Z8" t="str">
        <f>VLOOKUP($A8, impact_prob!$A$2:$B$13, 2, FALSE)</f>
        <v>Distracting</v>
      </c>
      <c r="AA8" s="6">
        <f>VLOOKUP($A8, impact_prob!$A$2:$C$13, 3, FALSE)</f>
        <v>0.38</v>
      </c>
    </row>
    <row r="9" spans="1:27" x14ac:dyDescent="0.3">
      <c r="A9" s="4" t="s">
        <v>47</v>
      </c>
      <c r="B9" t="str">
        <f>VLOOKUP($A9,actor_prob!$A$2:$B$19, 2, FALSE)</f>
        <v>actor.External</v>
      </c>
      <c r="C9" s="5">
        <f>VLOOKUP($A9, actor_prob!$A$2:$E$19,5, FALSE)</f>
        <v>0.65625</v>
      </c>
      <c r="D9" t="s">
        <v>40</v>
      </c>
      <c r="E9" s="5">
        <v>0.256410256</v>
      </c>
      <c r="F9" t="s">
        <v>37</v>
      </c>
      <c r="G9" s="5">
        <v>0.33333333300000001</v>
      </c>
      <c r="H9" t="s">
        <v>36</v>
      </c>
      <c r="I9" s="5" t="s">
        <v>36</v>
      </c>
      <c r="J9" t="s">
        <v>6</v>
      </c>
      <c r="K9" s="5">
        <v>0.5</v>
      </c>
      <c r="L9" t="s">
        <v>42</v>
      </c>
      <c r="M9" s="5">
        <v>1</v>
      </c>
      <c r="N9" t="s">
        <v>10</v>
      </c>
      <c r="O9" s="5">
        <v>0.71428571399999996</v>
      </c>
      <c r="P9" t="s">
        <v>11</v>
      </c>
      <c r="Q9" s="5">
        <v>0.66666666699999999</v>
      </c>
      <c r="R9" s="5" t="str">
        <f>VLOOKUP($A9,assets_prob!$A$2:$B$19,2,FALSE)</f>
        <v>S - Web application</v>
      </c>
      <c r="S9" s="5">
        <f>VLOOKUP(A9, assets_prob!$A$2:$C$19,3,FALSE)</f>
        <v>0.33329999999999999</v>
      </c>
      <c r="T9" t="str">
        <f>VLOOKUP($A9, attributes_prob!$A$2:$B$20, 2, FALSE)</f>
        <v>personal</v>
      </c>
      <c r="U9" s="5">
        <f>VLOOKUP($A9, attributes_prob!$A$2:$C$20, 3, FALSE)</f>
        <v>0.48421052631578898</v>
      </c>
      <c r="V9" t="str">
        <f>VLOOKUP($A9, attributes_prob!$A$2:$D$20, 4, FALSE)</f>
        <v>software.installation</v>
      </c>
      <c r="W9" s="5">
        <f>VLOOKUP($A9, attributes_prob!$A$2:$E$20, 5, FALSE)</f>
        <v>0.42857142857142899</v>
      </c>
      <c r="X9" t="str">
        <f>VLOOKUP($A9, attributes_prob!$A$2:$F$20, 6, FALSE)</f>
        <v>Obscuration</v>
      </c>
      <c r="Y9" s="5">
        <f>VLOOKUP($A9, attributes_prob!$A$2:$G$20, 7, FALSE)</f>
        <v>0.6</v>
      </c>
      <c r="Z9" t="str">
        <f>VLOOKUP($A9, impact_prob!$A$2:$B$13, 2, FALSE)</f>
        <v>Insignificant</v>
      </c>
      <c r="AA9" s="6">
        <f>VLOOKUP($A9, impact_prob!$A$2:$C$13, 3, FALSE)</f>
        <v>0.6</v>
      </c>
    </row>
    <row r="10" spans="1:27" x14ac:dyDescent="0.3">
      <c r="A10" s="4" t="s">
        <v>48</v>
      </c>
      <c r="B10" t="str">
        <f>VLOOKUP($A10,actor_prob!$A$2:$B$19, 2, FALSE)</f>
        <v>actor.External</v>
      </c>
      <c r="C10" s="5">
        <f>VLOOKUP($A10, actor_prob!$A$2:$E$19,5, FALSE)</f>
        <v>0.66666666666666696</v>
      </c>
      <c r="D10" t="s">
        <v>3</v>
      </c>
      <c r="E10" s="5">
        <v>0.33333333300000001</v>
      </c>
      <c r="F10" t="s">
        <v>37</v>
      </c>
      <c r="G10" s="5">
        <v>0.61538461499999997</v>
      </c>
      <c r="H10" t="s">
        <v>36</v>
      </c>
      <c r="I10" s="5" t="s">
        <v>36</v>
      </c>
      <c r="J10" t="s">
        <v>6</v>
      </c>
      <c r="K10" s="5">
        <v>0.625</v>
      </c>
      <c r="L10" t="s">
        <v>42</v>
      </c>
      <c r="M10" s="5">
        <v>1</v>
      </c>
      <c r="N10" t="s">
        <v>10</v>
      </c>
      <c r="O10" s="5">
        <v>1</v>
      </c>
      <c r="P10" t="s">
        <v>11</v>
      </c>
      <c r="Q10" s="5">
        <v>0.5</v>
      </c>
      <c r="R10" s="5" t="str">
        <f>VLOOKUP($A10,assets_prob!$A$2:$B$19,2,FALSE)</f>
        <v>S - Web application, P - End-user or employee, S - Database, S - File</v>
      </c>
      <c r="S10" s="5">
        <f>VLOOKUP(A10, assets_prob!$A$2:$C$19,3,FALSE)</f>
        <v>0.17949999999999999</v>
      </c>
      <c r="T10" t="str">
        <f>VLOOKUP($A10, attributes_prob!$A$2:$B$20, 2, FALSE)</f>
        <v>personal</v>
      </c>
      <c r="U10" s="5">
        <f>VLOOKUP($A10, attributes_prob!$A$2:$C$20, 3, FALSE)</f>
        <v>0.36666666666666697</v>
      </c>
      <c r="V10" t="str">
        <f>VLOOKUP($A10, attributes_prob!$A$2:$D$20, 4, FALSE)</f>
        <v>software.installation</v>
      </c>
      <c r="W10" s="5">
        <f>VLOOKUP($A10, attributes_prob!$A$2:$E$20, 5, FALSE)</f>
        <v>0.61904761904761896</v>
      </c>
      <c r="X10" t="str">
        <f>VLOOKUP($A10, attributes_prob!$A$2:$F$20, 6, FALSE)</f>
        <v>Obscuration</v>
      </c>
      <c r="Y10" s="5">
        <f>VLOOKUP($A10, attributes_prob!$A$2:$G$20, 7, FALSE)</f>
        <v>1</v>
      </c>
      <c r="Z10" t="str">
        <f>VLOOKUP($A10, impact_prob!$A$2:$B$13, 2, FALSE)</f>
        <v>Damaging, Painful</v>
      </c>
      <c r="AA10" s="6">
        <f>VLOOKUP($A10, impact_prob!$A$2:$C$13, 3, FALSE)</f>
        <v>0.5</v>
      </c>
    </row>
    <row r="11" spans="1:27" hidden="1" x14ac:dyDescent="0.3">
      <c r="A11" s="4" t="s">
        <v>49</v>
      </c>
      <c r="B11" t="str">
        <f>VLOOKUP($A11,actor_prob!$A$2:$B$19, 2, FALSE)</f>
        <v>actor.External</v>
      </c>
      <c r="C11" s="5">
        <f>VLOOKUP($A11, actor_prob!$A$2:$E$19,5, FALSE)</f>
        <v>1</v>
      </c>
      <c r="D11" t="s">
        <v>3</v>
      </c>
      <c r="E11" s="5">
        <v>0.5</v>
      </c>
      <c r="F11" t="s">
        <v>37</v>
      </c>
      <c r="G11" s="5">
        <v>0.66666666699999999</v>
      </c>
      <c r="H11" t="s">
        <v>36</v>
      </c>
      <c r="I11" s="5" t="s">
        <v>36</v>
      </c>
      <c r="J11" t="s">
        <v>6</v>
      </c>
      <c r="K11" s="5">
        <v>0.5</v>
      </c>
      <c r="L11" t="s">
        <v>36</v>
      </c>
      <c r="M11" s="5" t="s">
        <v>36</v>
      </c>
      <c r="N11" t="s">
        <v>36</v>
      </c>
      <c r="O11" s="5" t="s">
        <v>36</v>
      </c>
      <c r="P11" t="s">
        <v>36</v>
      </c>
      <c r="Q11" s="5" t="s">
        <v>36</v>
      </c>
      <c r="R11" s="5" t="str">
        <f>VLOOKUP($A11,assets_prob!$A$2:$B$19,2,FALSE)</f>
        <v>S - Web application</v>
      </c>
      <c r="S11" s="5">
        <f>VLOOKUP(A11, assets_prob!$A$2:$C$19,3,FALSE)</f>
        <v>0.36359999999999998</v>
      </c>
      <c r="T11" t="str">
        <f>VLOOKUP($A11, attributes_prob!$A$2:$B$20, 2, FALSE)</f>
        <v>personal</v>
      </c>
      <c r="U11" s="5">
        <f>VLOOKUP($A11, attributes_prob!$A$2:$C$20, 3, FALSE)</f>
        <v>0.4</v>
      </c>
      <c r="V11" t="str">
        <f>VLOOKUP($A11, attributes_prob!$A$2:$D$20, 4, FALSE)</f>
        <v>software.installation</v>
      </c>
      <c r="W11" s="5">
        <f>VLOOKUP($A11, attributes_prob!$A$2:$E$20, 5, FALSE)</f>
        <v>0.5</v>
      </c>
      <c r="X11" t="str">
        <f>VLOOKUP($A11, attributes_prob!$A$2:$F$20, 6, FALSE)</f>
        <v>Loss</v>
      </c>
      <c r="Y11" s="5">
        <f>VLOOKUP($A11, attributes_prob!$A$2:$G$20, 7, FALSE)</f>
        <v>0.5</v>
      </c>
      <c r="Z11" t="e">
        <f>VLOOKUP($A11, impact_prob!$A$2:$B$13, 2, FALSE)</f>
        <v>#N/A</v>
      </c>
      <c r="AA11" s="6" t="e">
        <f>VLOOKUP($A11, impact_prob!$A$2:$C$13, 3, FALSE)</f>
        <v>#N/A</v>
      </c>
    </row>
    <row r="12" spans="1:27" x14ac:dyDescent="0.3">
      <c r="A12" s="4" t="s">
        <v>50</v>
      </c>
      <c r="B12" t="str">
        <f>VLOOKUP($A12,actor_prob!$A$2:$B$19, 2, FALSE)</f>
        <v>actor.External</v>
      </c>
      <c r="C12" s="5">
        <f>VLOOKUP($A12, actor_prob!$A$2:$E$19,5, FALSE)</f>
        <v>0.72727272727272696</v>
      </c>
      <c r="D12" t="s">
        <v>40</v>
      </c>
      <c r="E12" s="5">
        <v>0.28571428599999998</v>
      </c>
      <c r="F12" t="s">
        <v>37</v>
      </c>
      <c r="G12" s="5">
        <v>0.51851851900000001</v>
      </c>
      <c r="H12" t="s">
        <v>36</v>
      </c>
      <c r="I12" s="5" t="s">
        <v>36</v>
      </c>
      <c r="J12" t="s">
        <v>6</v>
      </c>
      <c r="K12" s="5">
        <v>0.764705882</v>
      </c>
      <c r="L12" t="s">
        <v>18</v>
      </c>
      <c r="M12" s="5">
        <v>0.4</v>
      </c>
      <c r="N12" t="s">
        <v>10</v>
      </c>
      <c r="O12" s="5">
        <v>0.72727272700000001</v>
      </c>
      <c r="P12" t="s">
        <v>11</v>
      </c>
      <c r="Q12" s="5">
        <v>0.66666666699999999</v>
      </c>
      <c r="R12" s="5" t="str">
        <f>VLOOKUP($A12,assets_prob!$A$2:$B$19,2,FALSE)</f>
        <v>S - Web application</v>
      </c>
      <c r="S12" s="5">
        <f>VLOOKUP(A12, assets_prob!$A$2:$C$19,3,FALSE)</f>
        <v>0.25530000000000003</v>
      </c>
      <c r="T12" t="str">
        <f>VLOOKUP($A12, attributes_prob!$A$2:$B$20, 2, FALSE)</f>
        <v>personal</v>
      </c>
      <c r="U12" s="5">
        <f>VLOOKUP($A12, attributes_prob!$A$2:$C$20, 3, FALSE)</f>
        <v>0.57142857142857095</v>
      </c>
      <c r="V12" t="str">
        <f>VLOOKUP($A12, attributes_prob!$A$2:$D$20, 4, FALSE)</f>
        <v>software.installation</v>
      </c>
      <c r="W12" s="5">
        <f>VLOOKUP($A12, attributes_prob!$A$2:$E$20, 5, FALSE)</f>
        <v>0.57446808510638303</v>
      </c>
      <c r="X12" t="str">
        <f>VLOOKUP($A12, attributes_prob!$A$2:$F$20, 6, FALSE)</f>
        <v>Obscuration</v>
      </c>
      <c r="Y12" s="5">
        <f>VLOOKUP($A12, attributes_prob!$A$2:$G$20, 7, FALSE)</f>
        <v>0.76470588235294101</v>
      </c>
      <c r="Z12" t="str">
        <f>VLOOKUP($A12, impact_prob!$A$2:$B$13, 2, FALSE)</f>
        <v>Damaging, Distracting, Insignificant</v>
      </c>
      <c r="AA12" s="6">
        <f>VLOOKUP($A12, impact_prob!$A$2:$C$13, 3, FALSE)</f>
        <v>0.33</v>
      </c>
    </row>
    <row r="13" spans="1:27" x14ac:dyDescent="0.3">
      <c r="A13" s="4" t="s">
        <v>51</v>
      </c>
      <c r="B13" t="str">
        <f>VLOOKUP($A13,actor_prob!$A$2:$B$19, 2, FALSE)</f>
        <v>actor.External</v>
      </c>
      <c r="C13" s="5">
        <f>VLOOKUP($A13, actor_prob!$A$2:$E$19,5, FALSE)</f>
        <v>0.6</v>
      </c>
      <c r="D13" t="s">
        <v>3</v>
      </c>
      <c r="E13" s="5">
        <v>0.38709677399999998</v>
      </c>
      <c r="F13" t="s">
        <v>37</v>
      </c>
      <c r="G13" s="5">
        <v>0.33333333300000001</v>
      </c>
      <c r="H13" t="s">
        <v>52</v>
      </c>
      <c r="I13" s="5">
        <v>0.5</v>
      </c>
      <c r="J13" t="s">
        <v>6</v>
      </c>
      <c r="K13" s="5">
        <v>0.81818181800000001</v>
      </c>
      <c r="L13" t="s">
        <v>42</v>
      </c>
      <c r="M13" s="5">
        <v>0.66666666699999999</v>
      </c>
      <c r="N13" t="s">
        <v>10</v>
      </c>
      <c r="O13" s="5">
        <v>0.4375</v>
      </c>
      <c r="P13" t="s">
        <v>11</v>
      </c>
      <c r="Q13" s="5">
        <v>0.6</v>
      </c>
      <c r="R13" s="5" t="str">
        <f>VLOOKUP($A13,assets_prob!$A$2:$B$19,2,FALSE)</f>
        <v>S - Web application</v>
      </c>
      <c r="S13" s="5">
        <f>VLOOKUP(A13, assets_prob!$A$2:$C$19,3,FALSE)</f>
        <v>0.3095</v>
      </c>
      <c r="T13" t="str">
        <f>VLOOKUP($A13, attributes_prob!$A$2:$B$20, 2, FALSE)</f>
        <v>personal</v>
      </c>
      <c r="U13" s="5">
        <f>VLOOKUP($A13, attributes_prob!$A$2:$C$20, 3, FALSE)</f>
        <v>0.61290322580645196</v>
      </c>
      <c r="V13" t="str">
        <f>VLOOKUP($A13, attributes_prob!$A$2:$D$20, 4, FALSE)</f>
        <v>software.installation</v>
      </c>
      <c r="W13" s="5">
        <f>VLOOKUP($A13, attributes_prob!$A$2:$E$20, 5, FALSE)</f>
        <v>0.54285714285714304</v>
      </c>
      <c r="X13" t="str">
        <f>VLOOKUP($A13, attributes_prob!$A$2:$F$20, 6, FALSE)</f>
        <v>Obscuration</v>
      </c>
      <c r="Y13" s="5">
        <f>VLOOKUP($A13, attributes_prob!$A$2:$G$20, 7, FALSE)</f>
        <v>0.8</v>
      </c>
      <c r="Z13" t="str">
        <f>VLOOKUP($A13, impact_prob!$A$2:$B$13, 2, FALSE)</f>
        <v>Damaging, Insignificant, Painful</v>
      </c>
      <c r="AA13" s="6">
        <f>VLOOKUP($A13, impact_prob!$A$2:$C$13, 3, FALSE)</f>
        <v>0.28999999999999998</v>
      </c>
    </row>
    <row r="14" spans="1:27" x14ac:dyDescent="0.3">
      <c r="A14" s="4" t="s">
        <v>53</v>
      </c>
      <c r="B14" t="str">
        <f>VLOOKUP($A14,actor_prob!$A$2:$B$19, 2, FALSE)</f>
        <v>actor.External</v>
      </c>
      <c r="C14" s="5">
        <f>VLOOKUP($A14, actor_prob!$A$2:$E$19,5, FALSE)</f>
        <v>0.75</v>
      </c>
      <c r="D14" t="s">
        <v>3</v>
      </c>
      <c r="E14" s="5">
        <v>1</v>
      </c>
      <c r="F14" t="s">
        <v>36</v>
      </c>
      <c r="G14" s="5" t="s">
        <v>36</v>
      </c>
      <c r="H14" t="s">
        <v>36</v>
      </c>
      <c r="I14" s="5" t="s">
        <v>36</v>
      </c>
      <c r="J14" t="s">
        <v>36</v>
      </c>
      <c r="K14" s="5" t="s">
        <v>36</v>
      </c>
      <c r="L14" t="s">
        <v>36</v>
      </c>
      <c r="M14" s="5" t="s">
        <v>36</v>
      </c>
      <c r="N14" t="s">
        <v>10</v>
      </c>
      <c r="O14" s="5">
        <v>1</v>
      </c>
      <c r="P14" t="s">
        <v>44</v>
      </c>
      <c r="Q14" s="5">
        <v>0.5</v>
      </c>
      <c r="R14" s="5" t="str">
        <f>VLOOKUP($A14,assets_prob!$A$2:$B$19,2,FALSE)</f>
        <v>S - Database</v>
      </c>
      <c r="S14" s="5">
        <f>VLOOKUP(A14, assets_prob!$A$2:$C$19,3,FALSE)</f>
        <v>0.5</v>
      </c>
      <c r="T14" t="str">
        <f>VLOOKUP($A14, attributes_prob!$A$2:$B$20, 2, FALSE)</f>
        <v>personal</v>
      </c>
      <c r="U14" s="5">
        <f>VLOOKUP($A14, attributes_prob!$A$2:$C$20, 3, FALSE)</f>
        <v>0.5</v>
      </c>
      <c r="V14" t="str">
        <f>VLOOKUP($A14, attributes_prob!$A$2:$D$20, 4, FALSE)</f>
        <v>NA</v>
      </c>
      <c r="W14" s="5" t="str">
        <f>VLOOKUP($A14, attributes_prob!$A$2:$E$20, 5, FALSE)</f>
        <v>NA</v>
      </c>
      <c r="X14" t="str">
        <f>VLOOKUP($A14, attributes_prob!$A$2:$F$20, 6, FALSE)</f>
        <v>NA</v>
      </c>
      <c r="Y14" s="5" t="str">
        <f>VLOOKUP($A14, attributes_prob!$A$2:$G$20, 7, FALSE)</f>
        <v>NA</v>
      </c>
      <c r="Z14" t="str">
        <f>VLOOKUP($A14, impact_prob!$A$2:$B$13, 2, FALSE)</f>
        <v>Insignificant</v>
      </c>
      <c r="AA14" s="6">
        <f>VLOOKUP($A14, impact_prob!$A$2:$C$13, 3, FALSE)</f>
        <v>1</v>
      </c>
    </row>
    <row r="15" spans="1:27" x14ac:dyDescent="0.3">
      <c r="A15" s="4" t="s">
        <v>54</v>
      </c>
      <c r="B15" t="str">
        <f>VLOOKUP($A15,actor_prob!$A$2:$B$19, 2, FALSE)</f>
        <v>actor.External</v>
      </c>
      <c r="C15" s="5">
        <f>VLOOKUP($A15, actor_prob!$A$2:$E$19,5, FALSE)</f>
        <v>0.86956521739130399</v>
      </c>
      <c r="D15" t="s">
        <v>3</v>
      </c>
      <c r="E15" s="5">
        <v>0.4375</v>
      </c>
      <c r="F15" t="s">
        <v>35</v>
      </c>
      <c r="G15" s="5">
        <v>0.6</v>
      </c>
      <c r="H15" t="s">
        <v>41</v>
      </c>
      <c r="I15" s="5">
        <v>0.66666666699999999</v>
      </c>
      <c r="J15" t="s">
        <v>6</v>
      </c>
      <c r="K15" s="5">
        <v>0.75</v>
      </c>
      <c r="L15" t="s">
        <v>42</v>
      </c>
      <c r="M15" s="5">
        <v>1</v>
      </c>
      <c r="N15" t="s">
        <v>10</v>
      </c>
      <c r="O15" s="5">
        <v>1</v>
      </c>
      <c r="P15" t="s">
        <v>11</v>
      </c>
      <c r="Q15" s="5">
        <v>1</v>
      </c>
      <c r="R15" s="5" t="str">
        <f>VLOOKUP($A15,assets_prob!$A$2:$B$19,2,FALSE)</f>
        <v>S - Database</v>
      </c>
      <c r="S15" s="5">
        <f>VLOOKUP(A15, assets_prob!$A$2:$C$19,3,FALSE)</f>
        <v>0.2059</v>
      </c>
      <c r="T15" t="str">
        <f>VLOOKUP($A15, attributes_prob!$A$2:$B$20, 2, FALSE)</f>
        <v>personal</v>
      </c>
      <c r="U15" s="5">
        <f>VLOOKUP($A15, attributes_prob!$A$2:$C$20, 3, FALSE)</f>
        <v>0.41935483870967699</v>
      </c>
      <c r="V15" t="str">
        <f>VLOOKUP($A15, attributes_prob!$A$2:$D$20, 4, FALSE)</f>
        <v>software.installation</v>
      </c>
      <c r="W15" s="5">
        <f>VLOOKUP($A15, attributes_prob!$A$2:$E$20, 5, FALSE)</f>
        <v>0.38461538461538503</v>
      </c>
      <c r="X15" t="str">
        <f>VLOOKUP($A15, attributes_prob!$A$2:$F$20, 6, FALSE)</f>
        <v>Obscuration</v>
      </c>
      <c r="Y15" s="5">
        <f>VLOOKUP($A15, attributes_prob!$A$2:$G$20, 7, FALSE)</f>
        <v>0.66666666666666696</v>
      </c>
      <c r="Z15" t="str">
        <f>VLOOKUP($A15, impact_prob!$A$2:$B$13, 2, FALSE)</f>
        <v>Insignificant</v>
      </c>
      <c r="AA15" s="6">
        <f>VLOOKUP($A15, impact_prob!$A$2:$C$13, 3, FALSE)</f>
        <v>1</v>
      </c>
    </row>
    <row r="16" spans="1:27" hidden="1" x14ac:dyDescent="0.3">
      <c r="A16" s="4" t="s">
        <v>55</v>
      </c>
      <c r="B16" t="str">
        <f>VLOOKUP($A16,actor_prob!$A$2:$B$19, 2, FALSE)</f>
        <v>actor.External</v>
      </c>
      <c r="C16" s="5">
        <f>VLOOKUP($A16, actor_prob!$A$2:$E$19,5, FALSE)</f>
        <v>0.85714285714285698</v>
      </c>
      <c r="D16" t="s">
        <v>3</v>
      </c>
      <c r="E16" s="5">
        <v>0.28571428599999998</v>
      </c>
      <c r="F16" t="s">
        <v>37</v>
      </c>
      <c r="G16" s="5">
        <v>0.5</v>
      </c>
      <c r="H16" t="s">
        <v>36</v>
      </c>
      <c r="I16" s="5" t="s">
        <v>36</v>
      </c>
      <c r="J16" t="s">
        <v>6</v>
      </c>
      <c r="K16" s="5">
        <v>1</v>
      </c>
      <c r="L16" t="s">
        <v>42</v>
      </c>
      <c r="M16" s="5">
        <v>1</v>
      </c>
      <c r="N16" t="s">
        <v>36</v>
      </c>
      <c r="O16" s="5" t="s">
        <v>36</v>
      </c>
      <c r="P16" t="s">
        <v>11</v>
      </c>
      <c r="Q16" s="5">
        <v>1</v>
      </c>
      <c r="R16" s="5" t="str">
        <f>VLOOKUP($A16,assets_prob!$A$2:$B$19,2,FALSE)</f>
        <v>S - Web application</v>
      </c>
      <c r="S16" s="5">
        <f>VLOOKUP(A16, assets_prob!$A$2:$C$19,3,FALSE)</f>
        <v>0.25</v>
      </c>
      <c r="T16" t="str">
        <f>VLOOKUP($A16, attributes_prob!$A$2:$B$20, 2, FALSE)</f>
        <v>personal</v>
      </c>
      <c r="U16" s="5">
        <f>VLOOKUP($A16, attributes_prob!$A$2:$C$20, 3, FALSE)</f>
        <v>0.45454545454545497</v>
      </c>
      <c r="V16" t="str">
        <f>VLOOKUP($A16, attributes_prob!$A$2:$D$20, 4, FALSE)</f>
        <v>software.installation</v>
      </c>
      <c r="W16" s="5">
        <f>VLOOKUP($A16, attributes_prob!$A$2:$E$20, 5, FALSE)</f>
        <v>0.66666666666666696</v>
      </c>
      <c r="X16" t="str">
        <f>VLOOKUP($A16, attributes_prob!$A$2:$F$20, 6, FALSE)</f>
        <v>Obscuration</v>
      </c>
      <c r="Y16" s="5">
        <f>VLOOKUP($A16, attributes_prob!$A$2:$G$20, 7, FALSE)</f>
        <v>1</v>
      </c>
      <c r="Z16" t="e">
        <f>VLOOKUP($A16, impact_prob!$A$2:$B$13, 2, FALSE)</f>
        <v>#N/A</v>
      </c>
      <c r="AA16" s="6" t="e">
        <f>VLOOKUP($A16, impact_prob!$A$2:$C$13, 3, FALSE)</f>
        <v>#N/A</v>
      </c>
    </row>
    <row r="17" spans="1:27" x14ac:dyDescent="0.3">
      <c r="A17" s="4" t="s">
        <v>56</v>
      </c>
      <c r="B17" t="str">
        <f>VLOOKUP($A17,actor_prob!$A$2:$B$19, 2, FALSE)</f>
        <v>actor.External</v>
      </c>
      <c r="C17" s="5">
        <f>VLOOKUP($A17, actor_prob!$A$2:$E$19,5, FALSE)</f>
        <v>0.8</v>
      </c>
      <c r="D17" t="s">
        <v>40</v>
      </c>
      <c r="E17" s="5">
        <v>0.428571429</v>
      </c>
      <c r="F17" t="s">
        <v>37</v>
      </c>
      <c r="G17" s="5">
        <v>0.428571429</v>
      </c>
      <c r="H17" t="s">
        <v>57</v>
      </c>
      <c r="I17" s="5">
        <v>1</v>
      </c>
      <c r="J17" t="s">
        <v>6</v>
      </c>
      <c r="K17" s="5">
        <v>0.66666666699999999</v>
      </c>
      <c r="L17" t="s">
        <v>42</v>
      </c>
      <c r="M17" s="5">
        <v>1</v>
      </c>
      <c r="N17" t="s">
        <v>10</v>
      </c>
      <c r="O17" s="5">
        <v>1</v>
      </c>
      <c r="P17" t="s">
        <v>11</v>
      </c>
      <c r="Q17" s="5">
        <v>1</v>
      </c>
      <c r="R17" s="5" t="str">
        <f>VLOOKUP($A17,assets_prob!$A$2:$B$19,2,FALSE)</f>
        <v>S - Database, S - File, S - Web application</v>
      </c>
      <c r="S17" s="5">
        <f>VLOOKUP(A17, assets_prob!$A$2:$C$19,3,FALSE)</f>
        <v>0.22220000000000001</v>
      </c>
      <c r="T17" t="str">
        <f>VLOOKUP($A17, attributes_prob!$A$2:$B$20, 2, FALSE)</f>
        <v>personal</v>
      </c>
      <c r="U17" s="5">
        <f>VLOOKUP($A17, attributes_prob!$A$2:$C$20, 3, FALSE)</f>
        <v>0.38461538461538503</v>
      </c>
      <c r="V17" t="str">
        <f>VLOOKUP($A17, attributes_prob!$A$2:$D$20, 4, FALSE)</f>
        <v>software.installation</v>
      </c>
      <c r="W17" s="5">
        <f>VLOOKUP($A17, attributes_prob!$A$2:$E$20, 5, FALSE)</f>
        <v>0.6</v>
      </c>
      <c r="X17" t="str">
        <f>VLOOKUP($A17, attributes_prob!$A$2:$F$20, 6, FALSE)</f>
        <v>Obscuration</v>
      </c>
      <c r="Y17" s="5">
        <f>VLOOKUP($A17, attributes_prob!$A$2:$G$20, 7, FALSE)</f>
        <v>1</v>
      </c>
      <c r="Z17" t="str">
        <f>VLOOKUP($A17, impact_prob!$A$2:$B$13, 2, FALSE)</f>
        <v>Damaging</v>
      </c>
      <c r="AA17" s="6">
        <f>VLOOKUP($A17, impact_prob!$A$2:$C$13, 3, FALSE)</f>
        <v>1</v>
      </c>
    </row>
    <row r="18" spans="1:27" hidden="1" x14ac:dyDescent="0.3">
      <c r="A18" s="4" t="s">
        <v>3</v>
      </c>
      <c r="B18" t="str">
        <f>VLOOKUP($A18,actor_prob!$A$2:$B$19, 2, FALSE)</f>
        <v>actor.External</v>
      </c>
      <c r="C18" s="5">
        <f>VLOOKUP($A18, actor_prob!$A$2:$E$19,5, FALSE)</f>
        <v>0.66666666666666696</v>
      </c>
      <c r="D18" t="s">
        <v>3</v>
      </c>
      <c r="E18" s="5">
        <v>1</v>
      </c>
      <c r="F18" t="s">
        <v>37</v>
      </c>
      <c r="G18" s="5">
        <v>1</v>
      </c>
      <c r="H18" t="s">
        <v>36</v>
      </c>
      <c r="I18" s="5" t="s">
        <v>36</v>
      </c>
      <c r="J18" t="s">
        <v>36</v>
      </c>
      <c r="K18" s="5" t="s">
        <v>36</v>
      </c>
      <c r="L18" t="s">
        <v>36</v>
      </c>
      <c r="M18" s="5" t="s">
        <v>36</v>
      </c>
      <c r="N18" t="s">
        <v>58</v>
      </c>
      <c r="O18" s="5">
        <v>1</v>
      </c>
      <c r="P18" t="s">
        <v>36</v>
      </c>
      <c r="Q18" s="5" t="s">
        <v>36</v>
      </c>
      <c r="R18" s="5" t="str">
        <f>VLOOKUP($A18,assets_prob!$A$2:$B$19,2,FALSE)</f>
        <v>M - Documents, S - Database, S - Unknown, S - Web application</v>
      </c>
      <c r="S18" s="5">
        <f>VLOOKUP(A18, assets_prob!$A$2:$C$19,3,FALSE)</f>
        <v>0.25</v>
      </c>
      <c r="T18" t="str">
        <f>VLOOKUP($A18, attributes_prob!$A$2:$B$20, 2, FALSE)</f>
        <v>medical</v>
      </c>
      <c r="U18" s="5">
        <f>VLOOKUP($A18, attributes_prob!$A$2:$C$20, 3, FALSE)</f>
        <v>0.5</v>
      </c>
      <c r="V18" t="str">
        <f>VLOOKUP($A18, attributes_prob!$A$2:$D$20, 4, FALSE)</f>
        <v>software.installation</v>
      </c>
      <c r="W18" s="5">
        <f>VLOOKUP($A18, attributes_prob!$A$2:$E$20, 5, FALSE)</f>
        <v>1</v>
      </c>
      <c r="X18" t="str">
        <f>VLOOKUP($A18, attributes_prob!$A$2:$F$20, 6, FALSE)</f>
        <v>Obscuration</v>
      </c>
      <c r="Y18" s="5">
        <f>VLOOKUP($A18, attributes_prob!$A$2:$G$20, 7, FALSE)</f>
        <v>1</v>
      </c>
      <c r="Z18" t="e">
        <f>VLOOKUP($A18, impact_prob!$A$2:$B$13, 2, FALSE)</f>
        <v>#N/A</v>
      </c>
      <c r="AA18" s="6" t="e">
        <f>VLOOKUP($A18, impact_prob!$A$2:$C$13, 3, FALSE)</f>
        <v>#N/A</v>
      </c>
    </row>
    <row r="19" spans="1:27" ht="14.5" hidden="1" thickBot="1" x14ac:dyDescent="0.35">
      <c r="A19" s="7" t="s">
        <v>59</v>
      </c>
      <c r="B19" s="8" t="str">
        <f>VLOOKUP($A19,actor_prob!$A$2:$B$19, 2, FALSE)</f>
        <v>actor.External</v>
      </c>
      <c r="C19" s="9">
        <f>VLOOKUP($A19, actor_prob!$A$2:$E$19,5, FALSE)</f>
        <v>1</v>
      </c>
      <c r="D19" s="8" t="s">
        <v>40</v>
      </c>
      <c r="E19" s="9">
        <v>0.375</v>
      </c>
      <c r="F19" s="8" t="s">
        <v>35</v>
      </c>
      <c r="G19" s="9">
        <v>0.75</v>
      </c>
      <c r="H19" s="8" t="s">
        <v>36</v>
      </c>
      <c r="I19" s="9" t="s">
        <v>36</v>
      </c>
      <c r="J19" s="8" t="s">
        <v>6</v>
      </c>
      <c r="K19" s="9">
        <v>1</v>
      </c>
      <c r="L19" s="8" t="s">
        <v>36</v>
      </c>
      <c r="M19" s="9" t="s">
        <v>36</v>
      </c>
      <c r="N19" s="8" t="s">
        <v>36</v>
      </c>
      <c r="O19" s="9" t="s">
        <v>36</v>
      </c>
      <c r="P19" s="8" t="s">
        <v>36</v>
      </c>
      <c r="Q19" s="9" t="s">
        <v>36</v>
      </c>
      <c r="R19" s="9" t="str">
        <f>VLOOKUP($A19,assets_prob!$A$2:$B$19,2,FALSE)</f>
        <v>P - End-user or employee, S - File, S - Web application</v>
      </c>
      <c r="S19" s="9">
        <f>VLOOKUP(A19, assets_prob!$A$2:$C$19,3,FALSE)</f>
        <v>0.2727</v>
      </c>
      <c r="T19" s="8" t="str">
        <f>VLOOKUP($A19, attributes_prob!$A$2:$B$20, 2, FALSE)</f>
        <v>personal</v>
      </c>
      <c r="U19" s="9">
        <f>VLOOKUP($A19, attributes_prob!$A$2:$C$20, 3, FALSE)</f>
        <v>0.6</v>
      </c>
      <c r="V19" s="8" t="str">
        <f>VLOOKUP($A19, attributes_prob!$A$2:$D$20, 4, FALSE)</f>
        <v>software.installation</v>
      </c>
      <c r="W19" s="9">
        <f>VLOOKUP($A19, attributes_prob!$A$2:$E$20, 5, FALSE)</f>
        <v>0.5</v>
      </c>
      <c r="X19" s="8" t="str">
        <f>VLOOKUP($A19, attributes_prob!$A$2:$F$20, 6, FALSE)</f>
        <v>Obscuration</v>
      </c>
      <c r="Y19" s="9">
        <f>VLOOKUP($A19, attributes_prob!$A$2:$G$20, 7, FALSE)</f>
        <v>1</v>
      </c>
      <c r="Z19" s="8" t="e">
        <f>VLOOKUP($A19, impact_prob!$A$2:$B$13, 2, FALSE)</f>
        <v>#N/A</v>
      </c>
      <c r="AA19" s="23" t="e">
        <f>VLOOKUP($A19, impact_prob!$A$2:$C$13, 3, FALSE)</f>
        <v>#N/A</v>
      </c>
    </row>
  </sheetData>
  <autoFilter ref="A1:AA19" xr:uid="{9F4EB481-4DFA-4C27-99A7-BAC030B55D8C}">
    <filterColumn colId="26">
      <filters>
        <filter val="0.29"/>
        <filter val="0.33"/>
        <filter val="0.38"/>
        <filter val="0.50"/>
        <filter val="0.60"/>
        <filter val="1.00"/>
      </filters>
    </filterColumn>
  </autoFilter>
  <conditionalFormatting sqref="A1:B1 A2:R19 D1:AA1">
    <cfRule type="colorScale" priority="4">
      <colorScale>
        <cfvo type="min"/>
        <cfvo type="max"/>
        <color rgb="FFFCFCFF"/>
        <color rgb="FFF8696B"/>
      </colorScale>
    </cfRule>
  </conditionalFormatting>
  <conditionalFormatting sqref="S2:X1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Z19">
    <cfRule type="colorScale" priority="2">
      <colorScale>
        <cfvo type="min"/>
        <cfvo type="max"/>
        <color rgb="FFFCFCFF"/>
        <color rgb="FFF8696B"/>
      </colorScale>
    </cfRule>
  </conditionalFormatting>
  <conditionalFormatting sqref="AA2:AA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62C2-BC0D-4E4A-AF8F-6B2FAFE7D822}">
  <dimension ref="A1:P14"/>
  <sheetViews>
    <sheetView zoomScale="85" zoomScaleNormal="85" workbookViewId="0">
      <selection activeCell="P7" sqref="P7"/>
    </sheetView>
  </sheetViews>
  <sheetFormatPr defaultRowHeight="14" x14ac:dyDescent="0.3"/>
  <cols>
    <col min="1" max="1" width="12.4140625" bestFit="1" customWidth="1"/>
    <col min="2" max="2" width="11.75" bestFit="1" customWidth="1"/>
    <col min="3" max="3" width="12.6640625" bestFit="1" customWidth="1"/>
    <col min="4" max="10" width="4.25" bestFit="1" customWidth="1"/>
    <col min="11" max="11" width="7.1640625" bestFit="1" customWidth="1"/>
    <col min="12" max="14" width="4.25" bestFit="1" customWidth="1"/>
    <col min="15" max="15" width="7.25" bestFit="1" customWidth="1"/>
  </cols>
  <sheetData>
    <row r="1" spans="1:16" ht="14.5" thickBot="1" x14ac:dyDescent="0.35"/>
    <row r="2" spans="1:16" ht="15" thickBot="1" x14ac:dyDescent="0.4">
      <c r="C2" s="60" t="s">
        <v>106</v>
      </c>
      <c r="D2" s="38" t="s">
        <v>102</v>
      </c>
      <c r="E2" s="39"/>
      <c r="F2" s="39"/>
      <c r="G2" s="39"/>
      <c r="H2" s="39"/>
      <c r="I2" s="39"/>
      <c r="J2" s="40"/>
      <c r="K2" s="42" t="s">
        <v>103</v>
      </c>
      <c r="L2" s="44" t="s">
        <v>104</v>
      </c>
      <c r="M2" s="45"/>
      <c r="N2" s="46"/>
      <c r="O2" s="47" t="s">
        <v>105</v>
      </c>
    </row>
    <row r="3" spans="1:16" ht="111.5" thickBot="1" x14ac:dyDescent="0.35">
      <c r="A3" s="54" t="s">
        <v>19</v>
      </c>
      <c r="B3" s="55" t="s">
        <v>94</v>
      </c>
      <c r="C3" s="61" t="s">
        <v>82</v>
      </c>
      <c r="D3" s="56" t="s">
        <v>21</v>
      </c>
      <c r="E3" s="56" t="s">
        <v>23</v>
      </c>
      <c r="F3" s="56" t="s">
        <v>25</v>
      </c>
      <c r="G3" s="56" t="s">
        <v>27</v>
      </c>
      <c r="H3" s="56" t="s">
        <v>29</v>
      </c>
      <c r="I3" s="56" t="s">
        <v>31</v>
      </c>
      <c r="J3" s="56" t="s">
        <v>33</v>
      </c>
      <c r="K3" s="57" t="s">
        <v>93</v>
      </c>
      <c r="L3" s="58" t="s">
        <v>98</v>
      </c>
      <c r="M3" s="58" t="s">
        <v>97</v>
      </c>
      <c r="N3" s="58" t="s">
        <v>95</v>
      </c>
      <c r="O3" s="59" t="s">
        <v>101</v>
      </c>
    </row>
    <row r="4" spans="1:16" x14ac:dyDescent="0.3">
      <c r="A4" s="48" t="s">
        <v>9</v>
      </c>
      <c r="B4" s="49" t="s">
        <v>83</v>
      </c>
      <c r="C4" s="50">
        <v>0.54545454545454497</v>
      </c>
      <c r="D4" s="50">
        <v>1</v>
      </c>
      <c r="E4" s="50">
        <v>1</v>
      </c>
      <c r="F4" s="50" t="s">
        <v>36</v>
      </c>
      <c r="G4" s="50" t="s">
        <v>36</v>
      </c>
      <c r="H4" s="50" t="s">
        <v>36</v>
      </c>
      <c r="I4" s="50">
        <v>0.66666666699999999</v>
      </c>
      <c r="J4" s="50">
        <v>0.571428571</v>
      </c>
      <c r="K4" s="50">
        <v>0.33329999999999999</v>
      </c>
      <c r="L4" s="50">
        <v>0.33333333333333298</v>
      </c>
      <c r="M4" s="50">
        <v>1</v>
      </c>
      <c r="N4" s="50">
        <v>1</v>
      </c>
      <c r="O4" s="51">
        <v>0.5</v>
      </c>
      <c r="P4">
        <f>((SUM(D4:J4))*(C4)*(K4)*(SUM(L4:N4))*O4)</f>
        <v>0.68679999997979913</v>
      </c>
    </row>
    <row r="5" spans="1:16" x14ac:dyDescent="0.3">
      <c r="A5" s="4" t="s">
        <v>17</v>
      </c>
      <c r="B5" s="52" t="s">
        <v>83</v>
      </c>
      <c r="C5" s="53">
        <v>0.98136645962732905</v>
      </c>
      <c r="D5" s="53">
        <v>0.458715596</v>
      </c>
      <c r="E5" s="53">
        <v>0.97142857100000002</v>
      </c>
      <c r="F5" s="53" t="s">
        <v>36</v>
      </c>
      <c r="G5" s="53">
        <v>0.99836867900000004</v>
      </c>
      <c r="H5" s="53">
        <v>1</v>
      </c>
      <c r="I5" s="53">
        <v>0.5</v>
      </c>
      <c r="J5" s="53">
        <v>0.6</v>
      </c>
      <c r="K5" s="53">
        <v>0.32869999999999999</v>
      </c>
      <c r="L5" s="53">
        <v>0.97688751926040096</v>
      </c>
      <c r="M5" s="53">
        <v>0.50603378921963005</v>
      </c>
      <c r="N5" s="53">
        <v>1</v>
      </c>
      <c r="O5" s="6">
        <v>0.33</v>
      </c>
      <c r="P5">
        <f t="shared" ref="P5:P14" si="0">((SUM(D5:J5))*(C5)*(K5)*(SUM(L5:N5))*O5)</f>
        <v>1.1969152890001455</v>
      </c>
    </row>
    <row r="6" spans="1:16" x14ac:dyDescent="0.3">
      <c r="A6" s="4" t="s">
        <v>39</v>
      </c>
      <c r="B6" s="52" t="s">
        <v>83</v>
      </c>
      <c r="C6" s="53">
        <v>0.94339622641509402</v>
      </c>
      <c r="D6" s="53">
        <v>0.43902438999999999</v>
      </c>
      <c r="E6" s="53">
        <v>0.92771084299999995</v>
      </c>
      <c r="F6" s="53">
        <v>0.33333333300000001</v>
      </c>
      <c r="G6" s="53">
        <v>0.95121951199999999</v>
      </c>
      <c r="H6" s="53">
        <v>1</v>
      </c>
      <c r="I6" s="53">
        <v>0.5</v>
      </c>
      <c r="J6" s="53">
        <v>1</v>
      </c>
      <c r="K6" s="53">
        <v>0.3261</v>
      </c>
      <c r="L6" s="53">
        <v>0.73387096774193505</v>
      </c>
      <c r="M6" s="53">
        <v>0.48823529411764699</v>
      </c>
      <c r="N6" s="53">
        <v>0.75</v>
      </c>
      <c r="O6" s="6">
        <v>0.5</v>
      </c>
      <c r="P6">
        <f t="shared" si="0"/>
        <v>1.5626477385303659</v>
      </c>
    </row>
    <row r="7" spans="1:16" x14ac:dyDescent="0.3">
      <c r="A7" s="4" t="s">
        <v>45</v>
      </c>
      <c r="B7" s="52" t="s">
        <v>83</v>
      </c>
      <c r="C7" s="53">
        <v>0.75</v>
      </c>
      <c r="D7" s="53">
        <v>0.47727272700000001</v>
      </c>
      <c r="E7" s="53">
        <v>0.813953488</v>
      </c>
      <c r="F7" s="53">
        <v>1</v>
      </c>
      <c r="G7" s="53">
        <v>0.46666666699999998</v>
      </c>
      <c r="H7" s="53">
        <v>0.6</v>
      </c>
      <c r="I7" s="53">
        <v>0.23076923099999999</v>
      </c>
      <c r="J7" s="53">
        <v>0.63333333300000005</v>
      </c>
      <c r="K7" s="53">
        <v>0.1953</v>
      </c>
      <c r="L7" s="53">
        <v>0.55414012738853502</v>
      </c>
      <c r="M7" s="53">
        <v>0.7</v>
      </c>
      <c r="N7" s="53">
        <v>0.79545454545454497</v>
      </c>
      <c r="O7" s="6">
        <v>0.38</v>
      </c>
      <c r="P7">
        <f t="shared" si="0"/>
        <v>0.48165142269602823</v>
      </c>
    </row>
    <row r="8" spans="1:16" x14ac:dyDescent="0.3">
      <c r="A8" s="4" t="s">
        <v>47</v>
      </c>
      <c r="B8" s="52" t="s">
        <v>83</v>
      </c>
      <c r="C8" s="53">
        <v>0.65625</v>
      </c>
      <c r="D8" s="53">
        <v>0.256410256</v>
      </c>
      <c r="E8" s="53">
        <v>0.33333333300000001</v>
      </c>
      <c r="F8" s="53" t="s">
        <v>36</v>
      </c>
      <c r="G8" s="53">
        <v>0.5</v>
      </c>
      <c r="H8" s="53">
        <v>1</v>
      </c>
      <c r="I8" s="53">
        <v>0.71428571399999996</v>
      </c>
      <c r="J8" s="53">
        <v>0.66666666699999999</v>
      </c>
      <c r="K8" s="53">
        <v>0.33329999999999999</v>
      </c>
      <c r="L8" s="53">
        <v>0.48421052631578898</v>
      </c>
      <c r="M8" s="53">
        <v>0.42857142857142899</v>
      </c>
      <c r="N8" s="53">
        <v>0.6</v>
      </c>
      <c r="O8" s="6">
        <v>0.6</v>
      </c>
      <c r="P8">
        <f t="shared" si="0"/>
        <v>0.68904690667212198</v>
      </c>
    </row>
    <row r="9" spans="1:16" x14ac:dyDescent="0.3">
      <c r="A9" s="4" t="s">
        <v>48</v>
      </c>
      <c r="B9" s="52" t="s">
        <v>83</v>
      </c>
      <c r="C9" s="53">
        <v>0.66666666666666696</v>
      </c>
      <c r="D9" s="53">
        <v>0.33333333300000001</v>
      </c>
      <c r="E9" s="53">
        <v>0.61538461499999997</v>
      </c>
      <c r="F9" s="53" t="s">
        <v>36</v>
      </c>
      <c r="G9" s="53">
        <v>0.625</v>
      </c>
      <c r="H9" s="53">
        <v>1</v>
      </c>
      <c r="I9" s="53">
        <v>1</v>
      </c>
      <c r="J9" s="53">
        <v>0.5</v>
      </c>
      <c r="K9" s="53">
        <v>0.17949999999999999</v>
      </c>
      <c r="L9" s="53">
        <v>0.36666666666666697</v>
      </c>
      <c r="M9" s="53">
        <v>0.61904761904761896</v>
      </c>
      <c r="N9" s="53">
        <v>1</v>
      </c>
      <c r="O9" s="6">
        <v>0.5</v>
      </c>
      <c r="P9">
        <f t="shared" si="0"/>
        <v>0.48400618886463848</v>
      </c>
    </row>
    <row r="10" spans="1:16" x14ac:dyDescent="0.3">
      <c r="A10" s="4" t="s">
        <v>50</v>
      </c>
      <c r="B10" s="52" t="s">
        <v>83</v>
      </c>
      <c r="C10" s="53">
        <v>0.72727272727272696</v>
      </c>
      <c r="D10" s="53">
        <v>0.28571428599999998</v>
      </c>
      <c r="E10" s="53">
        <v>0.51851851900000001</v>
      </c>
      <c r="F10" s="53" t="s">
        <v>36</v>
      </c>
      <c r="G10" s="53">
        <v>0.764705882</v>
      </c>
      <c r="H10" s="53">
        <v>0.4</v>
      </c>
      <c r="I10" s="53">
        <v>0.72727272700000001</v>
      </c>
      <c r="J10" s="53">
        <v>0.66666666699999999</v>
      </c>
      <c r="K10" s="53">
        <v>0.25530000000000003</v>
      </c>
      <c r="L10" s="53">
        <v>0.57142857142857095</v>
      </c>
      <c r="M10" s="53">
        <v>0.57446808510638303</v>
      </c>
      <c r="N10" s="53">
        <v>0.76470588235294101</v>
      </c>
      <c r="O10" s="6">
        <v>0.33</v>
      </c>
      <c r="P10">
        <f t="shared" si="0"/>
        <v>0.39368016093594393</v>
      </c>
    </row>
    <row r="11" spans="1:16" x14ac:dyDescent="0.3">
      <c r="A11" s="4" t="s">
        <v>51</v>
      </c>
      <c r="B11" s="52" t="s">
        <v>83</v>
      </c>
      <c r="C11" s="53">
        <v>0.6</v>
      </c>
      <c r="D11" s="53">
        <v>0.38709677399999998</v>
      </c>
      <c r="E11" s="53">
        <v>0.33333333300000001</v>
      </c>
      <c r="F11" s="53">
        <v>0.5</v>
      </c>
      <c r="G11" s="53">
        <v>0.81818181800000001</v>
      </c>
      <c r="H11" s="53">
        <v>0.66666666699999999</v>
      </c>
      <c r="I11" s="53">
        <v>0.4375</v>
      </c>
      <c r="J11" s="53">
        <v>0.6</v>
      </c>
      <c r="K11" s="53">
        <v>0.3095</v>
      </c>
      <c r="L11" s="53">
        <v>0.61290322580645196</v>
      </c>
      <c r="M11" s="53">
        <v>0.54285714285714304</v>
      </c>
      <c r="N11" s="53">
        <v>0.8</v>
      </c>
      <c r="O11" s="6">
        <v>0.28999999999999998</v>
      </c>
      <c r="P11">
        <f t="shared" si="0"/>
        <v>0.39420277732975034</v>
      </c>
    </row>
    <row r="12" spans="1:16" x14ac:dyDescent="0.3">
      <c r="A12" s="4" t="s">
        <v>53</v>
      </c>
      <c r="B12" s="52" t="s">
        <v>83</v>
      </c>
      <c r="C12" s="53">
        <v>0.75</v>
      </c>
      <c r="D12" s="53">
        <v>1</v>
      </c>
      <c r="E12" s="53" t="s">
        <v>36</v>
      </c>
      <c r="F12" s="53" t="s">
        <v>36</v>
      </c>
      <c r="G12" s="53" t="s">
        <v>36</v>
      </c>
      <c r="H12" s="53" t="s">
        <v>36</v>
      </c>
      <c r="I12" s="53">
        <v>1</v>
      </c>
      <c r="J12" s="53">
        <v>0.5</v>
      </c>
      <c r="K12" s="53">
        <v>0.5</v>
      </c>
      <c r="L12" s="53">
        <v>0.5</v>
      </c>
      <c r="M12" s="53" t="s">
        <v>5</v>
      </c>
      <c r="N12" s="53" t="s">
        <v>5</v>
      </c>
      <c r="O12" s="6">
        <v>1</v>
      </c>
      <c r="P12">
        <f t="shared" si="0"/>
        <v>0.46875</v>
      </c>
    </row>
    <row r="13" spans="1:16" x14ac:dyDescent="0.3">
      <c r="A13" s="4" t="s">
        <v>54</v>
      </c>
      <c r="B13" s="52" t="s">
        <v>83</v>
      </c>
      <c r="C13" s="53">
        <v>0.86956521739130399</v>
      </c>
      <c r="D13" s="53">
        <v>0.4375</v>
      </c>
      <c r="E13" s="53">
        <v>0.6</v>
      </c>
      <c r="F13" s="53">
        <v>0.66666666699999999</v>
      </c>
      <c r="G13" s="53">
        <v>0.75</v>
      </c>
      <c r="H13" s="53">
        <v>1</v>
      </c>
      <c r="I13" s="53">
        <v>1</v>
      </c>
      <c r="J13" s="53">
        <v>1</v>
      </c>
      <c r="K13" s="53">
        <v>0.2059</v>
      </c>
      <c r="L13" s="53">
        <v>0.41935483870967699</v>
      </c>
      <c r="M13" s="53">
        <v>0.38461538461538503</v>
      </c>
      <c r="N13" s="53">
        <v>0.66666666666666696</v>
      </c>
      <c r="O13" s="6">
        <v>1</v>
      </c>
      <c r="P13">
        <f t="shared" si="0"/>
        <v>1.4361254115549056</v>
      </c>
    </row>
    <row r="14" spans="1:16" ht="14.5" thickBot="1" x14ac:dyDescent="0.35">
      <c r="A14" s="7" t="s">
        <v>56</v>
      </c>
      <c r="B14" s="8" t="s">
        <v>83</v>
      </c>
      <c r="C14" s="9">
        <v>0.8</v>
      </c>
      <c r="D14" s="9">
        <v>0.428571429</v>
      </c>
      <c r="E14" s="9">
        <v>0.428571429</v>
      </c>
      <c r="F14" s="9">
        <v>1</v>
      </c>
      <c r="G14" s="9">
        <v>0.66666666699999999</v>
      </c>
      <c r="H14" s="9">
        <v>1</v>
      </c>
      <c r="I14" s="9">
        <v>1</v>
      </c>
      <c r="J14" s="9">
        <v>1</v>
      </c>
      <c r="K14" s="9">
        <v>0.22220000000000001</v>
      </c>
      <c r="L14" s="9">
        <v>0.38461538461538503</v>
      </c>
      <c r="M14" s="9">
        <v>0.6</v>
      </c>
      <c r="N14" s="9">
        <v>1</v>
      </c>
      <c r="O14" s="23">
        <v>1</v>
      </c>
      <c r="P14">
        <f t="shared" si="0"/>
        <v>1.9487184180024004</v>
      </c>
    </row>
  </sheetData>
  <mergeCells count="2">
    <mergeCell ref="D2:J2"/>
    <mergeCell ref="L2:N2"/>
  </mergeCells>
  <conditionalFormatting sqref="A4:J14 A3:B3 D3:O3">
    <cfRule type="colorScale" priority="6">
      <colorScale>
        <cfvo type="min"/>
        <cfvo type="max"/>
        <color rgb="FFFCFCFF"/>
        <color rgb="FFF8696B"/>
      </colorScale>
    </cfRule>
  </conditionalFormatting>
  <conditionalFormatting sqref="K4:M14">
    <cfRule type="colorScale" priority="5">
      <colorScale>
        <cfvo type="min"/>
        <cfvo type="max"/>
        <color rgb="FFFCFCFF"/>
        <color rgb="FFF8696B"/>
      </colorScale>
    </cfRule>
  </conditionalFormatting>
  <conditionalFormatting sqref="N4:N14">
    <cfRule type="colorScale" priority="4">
      <colorScale>
        <cfvo type="min"/>
        <cfvo type="max"/>
        <color rgb="FFFCFCFF"/>
        <color rgb="FFF8696B"/>
      </colorScale>
    </cfRule>
  </conditionalFormatting>
  <conditionalFormatting sqref="O4:O14">
    <cfRule type="colorScale" priority="3">
      <colorScale>
        <cfvo type="min"/>
        <cfvo type="max"/>
        <color rgb="FFFCFCFF"/>
        <color rgb="FFF8696B"/>
      </colorScale>
    </cfRule>
  </conditionalFormatting>
  <conditionalFormatting sqref="C4:O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752B-DABE-412E-B3B7-FF28A6B8F54F}">
  <dimension ref="A1:AD47"/>
  <sheetViews>
    <sheetView tabSelected="1" topLeftCell="C15" zoomScale="70" zoomScaleNormal="70" workbookViewId="0">
      <selection activeCell="V31" sqref="V31"/>
    </sheetView>
  </sheetViews>
  <sheetFormatPr defaultRowHeight="14.5" x14ac:dyDescent="0.3"/>
  <cols>
    <col min="1" max="1" width="11.83203125" bestFit="1" customWidth="1"/>
    <col min="2" max="2" width="11.4140625" bestFit="1" customWidth="1"/>
    <col min="3" max="3" width="4.33203125" bestFit="1" customWidth="1"/>
    <col min="4" max="4" width="9.6640625" bestFit="1" customWidth="1"/>
    <col min="5" max="5" width="4.33203125" bestFit="1" customWidth="1"/>
    <col min="6" max="6" width="10.08203125" bestFit="1" customWidth="1"/>
    <col min="7" max="7" width="4.33203125" bestFit="1" customWidth="1"/>
    <col min="8" max="8" width="14.1640625" bestFit="1" customWidth="1"/>
    <col min="9" max="9" width="4.33203125" bestFit="1" customWidth="1"/>
    <col min="10" max="10" width="7.75" bestFit="1" customWidth="1"/>
    <col min="11" max="11" width="4.33203125" bestFit="1" customWidth="1"/>
    <col min="12" max="12" width="14.08203125" bestFit="1" customWidth="1"/>
    <col min="13" max="13" width="4.33203125" bestFit="1" customWidth="1"/>
    <col min="14" max="14" width="13.5" bestFit="1" customWidth="1"/>
    <col min="15" max="15" width="4.33203125" bestFit="1" customWidth="1"/>
    <col min="16" max="16" width="7.5" bestFit="1" customWidth="1"/>
    <col min="17" max="17" width="4.33203125" bestFit="1" customWidth="1"/>
    <col min="18" max="18" width="17.4140625" bestFit="1" customWidth="1"/>
    <col min="19" max="19" width="12.33203125" bestFit="1" customWidth="1"/>
    <col min="20" max="20" width="14.4140625" bestFit="1" customWidth="1"/>
    <col min="21" max="21" width="4.33203125" bestFit="1" customWidth="1"/>
    <col min="22" max="22" width="16.25" bestFit="1" customWidth="1"/>
    <col min="23" max="23" width="4.33203125" bestFit="1" customWidth="1"/>
    <col min="24" max="24" width="10.1640625" bestFit="1" customWidth="1"/>
    <col min="25" max="25" width="4.33203125" bestFit="1" customWidth="1"/>
    <col min="26" max="26" width="27.83203125" bestFit="1" customWidth="1"/>
    <col min="27" max="28" width="4.33203125" bestFit="1" customWidth="1"/>
    <col min="29" max="29" width="12.9140625" bestFit="1" customWidth="1"/>
  </cols>
  <sheetData>
    <row r="1" spans="1:30" thickBot="1" x14ac:dyDescent="0.35"/>
    <row r="2" spans="1:30" ht="15" thickBot="1" x14ac:dyDescent="0.4">
      <c r="V2" s="43" t="s">
        <v>113</v>
      </c>
      <c r="W2" s="43"/>
      <c r="X2" s="43"/>
      <c r="Z2" s="87" t="s">
        <v>111</v>
      </c>
      <c r="AA2" s="88" t="s">
        <v>112</v>
      </c>
    </row>
    <row r="3" spans="1:30" ht="14" x14ac:dyDescent="0.3">
      <c r="Z3" s="89" t="s">
        <v>8</v>
      </c>
      <c r="AA3" s="90">
        <v>0.2</v>
      </c>
    </row>
    <row r="4" spans="1:30" ht="14" x14ac:dyDescent="0.3">
      <c r="Z4" s="91" t="s">
        <v>86</v>
      </c>
      <c r="AA4" s="92">
        <v>0.4</v>
      </c>
    </row>
    <row r="5" spans="1:30" ht="14" x14ac:dyDescent="0.3">
      <c r="Z5" s="91" t="s">
        <v>108</v>
      </c>
      <c r="AA5" s="92">
        <v>0.6</v>
      </c>
    </row>
    <row r="6" spans="1:30" s="41" customFormat="1" ht="14" x14ac:dyDescent="0.3">
      <c r="Z6" s="93" t="s">
        <v>13</v>
      </c>
      <c r="AA6" s="94">
        <v>0.8</v>
      </c>
    </row>
    <row r="7" spans="1:30" ht="14" x14ac:dyDescent="0.3">
      <c r="Z7" s="91" t="s">
        <v>109</v>
      </c>
      <c r="AA7" s="92">
        <v>1</v>
      </c>
      <c r="AD7" s="71"/>
    </row>
    <row r="8" spans="1:30" thickBot="1" x14ac:dyDescent="0.35">
      <c r="Z8" s="95" t="s">
        <v>3</v>
      </c>
      <c r="AA8" s="96">
        <v>0.5</v>
      </c>
      <c r="AD8" s="71"/>
    </row>
    <row r="9" spans="1:30" ht="14" x14ac:dyDescent="0.3">
      <c r="AD9" s="71"/>
    </row>
    <row r="10" spans="1:30" ht="14" x14ac:dyDescent="0.3">
      <c r="AD10" s="71"/>
    </row>
    <row r="11" spans="1:30" ht="14" x14ac:dyDescent="0.3">
      <c r="AD11" s="71"/>
    </row>
    <row r="12" spans="1:30" ht="14" x14ac:dyDescent="0.3">
      <c r="AD12" s="71"/>
    </row>
    <row r="13" spans="1:30" thickBot="1" x14ac:dyDescent="0.35">
      <c r="AD13" s="71"/>
    </row>
    <row r="14" spans="1:30" ht="15" thickBot="1" x14ac:dyDescent="0.4">
      <c r="A14" s="48"/>
      <c r="B14" s="74" t="s">
        <v>106</v>
      </c>
      <c r="C14" s="75"/>
      <c r="D14" s="76" t="s">
        <v>107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8"/>
      <c r="R14" s="79" t="s">
        <v>103</v>
      </c>
      <c r="S14" s="80"/>
      <c r="T14" s="81" t="s">
        <v>104</v>
      </c>
      <c r="U14" s="82"/>
      <c r="V14" s="82"/>
      <c r="W14" s="82"/>
      <c r="X14" s="82"/>
      <c r="Y14" s="83"/>
      <c r="Z14" s="67" t="s">
        <v>105</v>
      </c>
      <c r="AA14" s="85"/>
      <c r="AB14" s="68"/>
      <c r="AD14" s="71"/>
    </row>
    <row r="15" spans="1:30" ht="105" thickBot="1" x14ac:dyDescent="0.35">
      <c r="A15" s="54" t="s">
        <v>19</v>
      </c>
      <c r="B15" s="62" t="s">
        <v>94</v>
      </c>
      <c r="C15" s="61" t="s">
        <v>82</v>
      </c>
      <c r="D15" s="63" t="s">
        <v>20</v>
      </c>
      <c r="E15" s="64" t="s">
        <v>21</v>
      </c>
      <c r="F15" s="63" t="s">
        <v>22</v>
      </c>
      <c r="G15" s="64" t="s">
        <v>23</v>
      </c>
      <c r="H15" s="63" t="s">
        <v>24</v>
      </c>
      <c r="I15" s="64" t="s">
        <v>25</v>
      </c>
      <c r="J15" s="63" t="s">
        <v>26</v>
      </c>
      <c r="K15" s="64" t="s">
        <v>27</v>
      </c>
      <c r="L15" s="63" t="s">
        <v>28</v>
      </c>
      <c r="M15" s="64" t="s">
        <v>29</v>
      </c>
      <c r="N15" s="63" t="s">
        <v>30</v>
      </c>
      <c r="O15" s="64" t="s">
        <v>31</v>
      </c>
      <c r="P15" s="63" t="s">
        <v>32</v>
      </c>
      <c r="Q15" s="64" t="s">
        <v>33</v>
      </c>
      <c r="R15" s="65" t="s">
        <v>92</v>
      </c>
      <c r="S15" s="57" t="s">
        <v>93</v>
      </c>
      <c r="T15" s="66" t="s">
        <v>99</v>
      </c>
      <c r="U15" s="58" t="s">
        <v>98</v>
      </c>
      <c r="V15" s="66" t="s">
        <v>72</v>
      </c>
      <c r="W15" s="58" t="s">
        <v>97</v>
      </c>
      <c r="X15" s="66" t="s">
        <v>96</v>
      </c>
      <c r="Y15" s="58" t="s">
        <v>95</v>
      </c>
      <c r="Z15" s="69" t="s">
        <v>100</v>
      </c>
      <c r="AA15" s="84" t="s">
        <v>101</v>
      </c>
      <c r="AB15" s="86" t="s">
        <v>110</v>
      </c>
      <c r="AD15" s="71"/>
    </row>
    <row r="16" spans="1:30" ht="14" x14ac:dyDescent="0.3">
      <c r="A16" s="4" t="s">
        <v>9</v>
      </c>
      <c r="B16" s="52" t="s">
        <v>83</v>
      </c>
      <c r="C16" s="53">
        <v>0.54545454545454497</v>
      </c>
      <c r="D16" s="52" t="s">
        <v>3</v>
      </c>
      <c r="E16" s="53">
        <v>1</v>
      </c>
      <c r="F16" s="52" t="s">
        <v>37</v>
      </c>
      <c r="G16" s="53">
        <v>1</v>
      </c>
      <c r="H16" s="52" t="s">
        <v>36</v>
      </c>
      <c r="I16" s="53" t="s">
        <v>36</v>
      </c>
      <c r="J16" s="52" t="s">
        <v>36</v>
      </c>
      <c r="K16" s="53" t="s">
        <v>36</v>
      </c>
      <c r="L16" s="52" t="s">
        <v>36</v>
      </c>
      <c r="M16" s="53" t="s">
        <v>36</v>
      </c>
      <c r="N16" s="52" t="s">
        <v>10</v>
      </c>
      <c r="O16" s="53">
        <v>0.66666666699999999</v>
      </c>
      <c r="P16" s="52" t="s">
        <v>11</v>
      </c>
      <c r="Q16" s="53">
        <v>0.571428571</v>
      </c>
      <c r="R16" s="53" t="s">
        <v>62</v>
      </c>
      <c r="S16" s="53">
        <v>0.33329999999999999</v>
      </c>
      <c r="T16" s="52" t="s">
        <v>76</v>
      </c>
      <c r="U16" s="53">
        <v>0.33333333333333298</v>
      </c>
      <c r="V16" s="52" t="s">
        <v>77</v>
      </c>
      <c r="W16" s="53">
        <v>1</v>
      </c>
      <c r="X16" s="52" t="s">
        <v>12</v>
      </c>
      <c r="Y16" s="53">
        <v>1</v>
      </c>
      <c r="Z16" s="52" t="s">
        <v>90</v>
      </c>
      <c r="AA16" s="6">
        <v>0.5</v>
      </c>
      <c r="AB16" s="72">
        <f>((AA6*AA16)+(AA5*AA16))</f>
        <v>0.7</v>
      </c>
      <c r="AD16" s="71"/>
    </row>
    <row r="17" spans="1:30" ht="14" x14ac:dyDescent="0.3">
      <c r="A17" s="4" t="s">
        <v>17</v>
      </c>
      <c r="B17" s="52" t="s">
        <v>83</v>
      </c>
      <c r="C17" s="53">
        <v>0.98136645962732905</v>
      </c>
      <c r="D17" s="52" t="s">
        <v>4</v>
      </c>
      <c r="E17" s="53">
        <v>0.458715596</v>
      </c>
      <c r="F17" s="52" t="s">
        <v>35</v>
      </c>
      <c r="G17" s="53">
        <v>0.97142857100000002</v>
      </c>
      <c r="H17" s="52" t="s">
        <v>36</v>
      </c>
      <c r="I17" s="53" t="s">
        <v>36</v>
      </c>
      <c r="J17" s="52" t="s">
        <v>6</v>
      </c>
      <c r="K17" s="53">
        <v>0.99836867900000004</v>
      </c>
      <c r="L17" s="52" t="s">
        <v>18</v>
      </c>
      <c r="M17" s="53">
        <v>1</v>
      </c>
      <c r="N17" s="52" t="s">
        <v>10</v>
      </c>
      <c r="O17" s="53">
        <v>0.5</v>
      </c>
      <c r="P17" s="52" t="s">
        <v>11</v>
      </c>
      <c r="Q17" s="53">
        <v>0.6</v>
      </c>
      <c r="R17" s="53" t="s">
        <v>62</v>
      </c>
      <c r="S17" s="53">
        <v>0.32869999999999999</v>
      </c>
      <c r="T17" s="52" t="s">
        <v>76</v>
      </c>
      <c r="U17" s="53">
        <v>0.97688751926040096</v>
      </c>
      <c r="V17" s="52" t="s">
        <v>77</v>
      </c>
      <c r="W17" s="53">
        <v>0.50603378921963005</v>
      </c>
      <c r="X17" s="52" t="s">
        <v>12</v>
      </c>
      <c r="Y17" s="53">
        <v>1</v>
      </c>
      <c r="Z17" s="52" t="s">
        <v>88</v>
      </c>
      <c r="AA17" s="6">
        <v>0.33</v>
      </c>
      <c r="AB17" s="72">
        <f>(SUM(AA7,AA6,AA5)*AA17)</f>
        <v>0.79200000000000004</v>
      </c>
      <c r="AD17" s="71"/>
    </row>
    <row r="18" spans="1:30" ht="14" x14ac:dyDescent="0.3">
      <c r="A18" s="4" t="s">
        <v>39</v>
      </c>
      <c r="B18" s="52" t="s">
        <v>83</v>
      </c>
      <c r="C18" s="53">
        <v>0.94339622641509402</v>
      </c>
      <c r="D18" s="52" t="s">
        <v>40</v>
      </c>
      <c r="E18" s="53">
        <v>0.43902438999999999</v>
      </c>
      <c r="F18" s="52" t="s">
        <v>35</v>
      </c>
      <c r="G18" s="53">
        <v>0.92771084299999995</v>
      </c>
      <c r="H18" s="52" t="s">
        <v>41</v>
      </c>
      <c r="I18" s="53">
        <v>0.33333333300000001</v>
      </c>
      <c r="J18" s="52" t="s">
        <v>6</v>
      </c>
      <c r="K18" s="53">
        <v>0.95121951199999999</v>
      </c>
      <c r="L18" s="52" t="s">
        <v>42</v>
      </c>
      <c r="M18" s="53">
        <v>1</v>
      </c>
      <c r="N18" s="52" t="s">
        <v>43</v>
      </c>
      <c r="O18" s="53">
        <v>0.5</v>
      </c>
      <c r="P18" s="52" t="s">
        <v>44</v>
      </c>
      <c r="Q18" s="53">
        <v>1</v>
      </c>
      <c r="R18" s="53" t="s">
        <v>62</v>
      </c>
      <c r="S18" s="53">
        <v>0.3261</v>
      </c>
      <c r="T18" s="52" t="s">
        <v>76</v>
      </c>
      <c r="U18" s="53">
        <v>0.73387096774193505</v>
      </c>
      <c r="V18" s="52" t="s">
        <v>77</v>
      </c>
      <c r="W18" s="53">
        <v>0.48823529411764699</v>
      </c>
      <c r="X18" s="52" t="s">
        <v>12</v>
      </c>
      <c r="Y18" s="53">
        <v>0.75</v>
      </c>
      <c r="Z18" s="52" t="s">
        <v>91</v>
      </c>
      <c r="AA18" s="6">
        <v>0.5</v>
      </c>
      <c r="AB18" s="72">
        <f>(SUM(AA6,AA3)*AA18)</f>
        <v>0.5</v>
      </c>
    </row>
    <row r="19" spans="1:30" ht="14" x14ac:dyDescent="0.3">
      <c r="A19" s="4" t="s">
        <v>45</v>
      </c>
      <c r="B19" s="52" t="s">
        <v>83</v>
      </c>
      <c r="C19" s="53">
        <v>0.75</v>
      </c>
      <c r="D19" s="52" t="s">
        <v>3</v>
      </c>
      <c r="E19" s="53">
        <v>0.47727272700000001</v>
      </c>
      <c r="F19" s="52" t="s">
        <v>37</v>
      </c>
      <c r="G19" s="53">
        <v>0.813953488</v>
      </c>
      <c r="H19" s="52" t="s">
        <v>15</v>
      </c>
      <c r="I19" s="53">
        <v>1</v>
      </c>
      <c r="J19" s="52" t="s">
        <v>46</v>
      </c>
      <c r="K19" s="53">
        <v>0.46666666699999998</v>
      </c>
      <c r="L19" s="52" t="s">
        <v>42</v>
      </c>
      <c r="M19" s="53">
        <v>0.6</v>
      </c>
      <c r="N19" s="52" t="s">
        <v>16</v>
      </c>
      <c r="O19" s="53">
        <v>0.23076923099999999</v>
      </c>
      <c r="P19" s="52" t="s">
        <v>11</v>
      </c>
      <c r="Q19" s="53">
        <v>0.63333333300000005</v>
      </c>
      <c r="R19" s="53" t="s">
        <v>63</v>
      </c>
      <c r="S19" s="53">
        <v>0.1953</v>
      </c>
      <c r="T19" s="52" t="s">
        <v>78</v>
      </c>
      <c r="U19" s="53">
        <v>0.55414012738853502</v>
      </c>
      <c r="V19" s="52" t="s">
        <v>77</v>
      </c>
      <c r="W19" s="53">
        <v>0.7</v>
      </c>
      <c r="X19" s="52" t="s">
        <v>12</v>
      </c>
      <c r="Y19" s="53">
        <v>0.79545454545454497</v>
      </c>
      <c r="Z19" s="52" t="s">
        <v>86</v>
      </c>
      <c r="AA19" s="6">
        <v>0.38</v>
      </c>
      <c r="AB19" s="72">
        <f>(AA4*AA19)</f>
        <v>0.15200000000000002</v>
      </c>
    </row>
    <row r="20" spans="1:30" ht="14" x14ac:dyDescent="0.3">
      <c r="A20" s="4" t="s">
        <v>47</v>
      </c>
      <c r="B20" s="52" t="s">
        <v>83</v>
      </c>
      <c r="C20" s="53">
        <v>0.65625</v>
      </c>
      <c r="D20" s="52" t="s">
        <v>40</v>
      </c>
      <c r="E20" s="53">
        <v>0.256410256</v>
      </c>
      <c r="F20" s="52" t="s">
        <v>37</v>
      </c>
      <c r="G20" s="53">
        <v>0.33333333300000001</v>
      </c>
      <c r="H20" s="52" t="s">
        <v>36</v>
      </c>
      <c r="I20" s="53" t="s">
        <v>36</v>
      </c>
      <c r="J20" s="52" t="s">
        <v>6</v>
      </c>
      <c r="K20" s="53">
        <v>0.5</v>
      </c>
      <c r="L20" s="52" t="s">
        <v>42</v>
      </c>
      <c r="M20" s="53">
        <v>1</v>
      </c>
      <c r="N20" s="52" t="s">
        <v>10</v>
      </c>
      <c r="O20" s="53">
        <v>0.71428571399999996</v>
      </c>
      <c r="P20" s="52" t="s">
        <v>11</v>
      </c>
      <c r="Q20" s="53">
        <v>0.66666666699999999</v>
      </c>
      <c r="R20" s="53" t="s">
        <v>62</v>
      </c>
      <c r="S20" s="53">
        <v>0.33329999999999999</v>
      </c>
      <c r="T20" s="52" t="s">
        <v>76</v>
      </c>
      <c r="U20" s="53">
        <v>0.48421052631578898</v>
      </c>
      <c r="V20" s="52" t="s">
        <v>77</v>
      </c>
      <c r="W20" s="53">
        <v>0.42857142857142899</v>
      </c>
      <c r="X20" s="52" t="s">
        <v>12</v>
      </c>
      <c r="Y20" s="53">
        <v>0.6</v>
      </c>
      <c r="Z20" s="52" t="s">
        <v>8</v>
      </c>
      <c r="AA20" s="6">
        <v>0.6</v>
      </c>
      <c r="AB20" s="72">
        <f>(AA3*AA20)</f>
        <v>0.12</v>
      </c>
    </row>
    <row r="21" spans="1:30" ht="14" x14ac:dyDescent="0.3">
      <c r="A21" s="4" t="s">
        <v>48</v>
      </c>
      <c r="B21" s="52" t="s">
        <v>83</v>
      </c>
      <c r="C21" s="53">
        <v>0.66666666666666696</v>
      </c>
      <c r="D21" s="52" t="s">
        <v>3</v>
      </c>
      <c r="E21" s="53">
        <v>0.33333333300000001</v>
      </c>
      <c r="F21" s="52" t="s">
        <v>37</v>
      </c>
      <c r="G21" s="53">
        <v>0.61538461499999997</v>
      </c>
      <c r="H21" s="52" t="s">
        <v>36</v>
      </c>
      <c r="I21" s="53" t="s">
        <v>36</v>
      </c>
      <c r="J21" s="52" t="s">
        <v>6</v>
      </c>
      <c r="K21" s="53">
        <v>0.625</v>
      </c>
      <c r="L21" s="52" t="s">
        <v>42</v>
      </c>
      <c r="M21" s="53">
        <v>1</v>
      </c>
      <c r="N21" s="52" t="s">
        <v>10</v>
      </c>
      <c r="O21" s="53">
        <v>1</v>
      </c>
      <c r="P21" s="52" t="s">
        <v>11</v>
      </c>
      <c r="Q21" s="53">
        <v>0.5</v>
      </c>
      <c r="R21" s="53" t="s">
        <v>64</v>
      </c>
      <c r="S21" s="53">
        <v>0.17949999999999999</v>
      </c>
      <c r="T21" s="52" t="s">
        <v>76</v>
      </c>
      <c r="U21" s="53">
        <v>0.36666666666666697</v>
      </c>
      <c r="V21" s="52" t="s">
        <v>77</v>
      </c>
      <c r="W21" s="53">
        <v>0.61904761904761896</v>
      </c>
      <c r="X21" s="52" t="s">
        <v>12</v>
      </c>
      <c r="Y21" s="53">
        <v>1</v>
      </c>
      <c r="Z21" s="52" t="s">
        <v>90</v>
      </c>
      <c r="AA21" s="6">
        <v>0.5</v>
      </c>
      <c r="AB21" s="72">
        <f>(SUM(AA6,AA5)*AA21)</f>
        <v>0.7</v>
      </c>
    </row>
    <row r="22" spans="1:30" ht="14" x14ac:dyDescent="0.3">
      <c r="A22" s="4" t="s">
        <v>50</v>
      </c>
      <c r="B22" s="52" t="s">
        <v>83</v>
      </c>
      <c r="C22" s="53">
        <v>0.72727272727272696</v>
      </c>
      <c r="D22" s="52" t="s">
        <v>40</v>
      </c>
      <c r="E22" s="53">
        <v>0.28571428599999998</v>
      </c>
      <c r="F22" s="52" t="s">
        <v>37</v>
      </c>
      <c r="G22" s="53">
        <v>0.51851851900000001</v>
      </c>
      <c r="H22" s="52" t="s">
        <v>36</v>
      </c>
      <c r="I22" s="53" t="s">
        <v>36</v>
      </c>
      <c r="J22" s="52" t="s">
        <v>6</v>
      </c>
      <c r="K22" s="53">
        <v>0.764705882</v>
      </c>
      <c r="L22" s="52" t="s">
        <v>18</v>
      </c>
      <c r="M22" s="53">
        <v>0.4</v>
      </c>
      <c r="N22" s="52" t="s">
        <v>10</v>
      </c>
      <c r="O22" s="53">
        <v>0.72727272700000001</v>
      </c>
      <c r="P22" s="52" t="s">
        <v>11</v>
      </c>
      <c r="Q22" s="53">
        <v>0.66666666699999999</v>
      </c>
      <c r="R22" s="53" t="s">
        <v>62</v>
      </c>
      <c r="S22" s="53">
        <v>0.25530000000000003</v>
      </c>
      <c r="T22" s="52" t="s">
        <v>76</v>
      </c>
      <c r="U22" s="53">
        <v>0.57142857142857095</v>
      </c>
      <c r="V22" s="52" t="s">
        <v>77</v>
      </c>
      <c r="W22" s="53">
        <v>0.57446808510638303</v>
      </c>
      <c r="X22" s="52" t="s">
        <v>12</v>
      </c>
      <c r="Y22" s="53">
        <v>0.76470588235294101</v>
      </c>
      <c r="Z22" s="52" t="s">
        <v>89</v>
      </c>
      <c r="AA22" s="6">
        <v>0.33</v>
      </c>
      <c r="AB22" s="72">
        <f>(SUM(AA6,AA4,AA3)*AA22)</f>
        <v>0.46200000000000008</v>
      </c>
    </row>
    <row r="23" spans="1:30" ht="14" x14ac:dyDescent="0.3">
      <c r="A23" s="4" t="s">
        <v>51</v>
      </c>
      <c r="B23" s="52" t="s">
        <v>83</v>
      </c>
      <c r="C23" s="53">
        <v>0.6</v>
      </c>
      <c r="D23" s="52" t="s">
        <v>3</v>
      </c>
      <c r="E23" s="53">
        <v>0.38709677399999998</v>
      </c>
      <c r="F23" s="52" t="s">
        <v>37</v>
      </c>
      <c r="G23" s="53">
        <v>0.33333333300000001</v>
      </c>
      <c r="H23" s="52" t="s">
        <v>52</v>
      </c>
      <c r="I23" s="53">
        <v>0.5</v>
      </c>
      <c r="J23" s="52" t="s">
        <v>6</v>
      </c>
      <c r="K23" s="53">
        <v>0.81818181800000001</v>
      </c>
      <c r="L23" s="52" t="s">
        <v>42</v>
      </c>
      <c r="M23" s="53">
        <v>0.66666666699999999</v>
      </c>
      <c r="N23" s="52" t="s">
        <v>10</v>
      </c>
      <c r="O23" s="53">
        <v>0.4375</v>
      </c>
      <c r="P23" s="52" t="s">
        <v>11</v>
      </c>
      <c r="Q23" s="53">
        <v>0.6</v>
      </c>
      <c r="R23" s="53" t="s">
        <v>62</v>
      </c>
      <c r="S23" s="53">
        <v>0.3095</v>
      </c>
      <c r="T23" s="52" t="s">
        <v>76</v>
      </c>
      <c r="U23" s="53">
        <v>0.61290322580645196</v>
      </c>
      <c r="V23" s="52" t="s">
        <v>77</v>
      </c>
      <c r="W23" s="53">
        <v>0.54285714285714304</v>
      </c>
      <c r="X23" s="52" t="s">
        <v>12</v>
      </c>
      <c r="Y23" s="53">
        <v>0.8</v>
      </c>
      <c r="Z23" s="52" t="s">
        <v>87</v>
      </c>
      <c r="AA23" s="6">
        <v>0.28999999999999998</v>
      </c>
      <c r="AB23" s="72">
        <f>(SUM(AA6,AA3,AA5)*AA23)</f>
        <v>0.46399999999999997</v>
      </c>
    </row>
    <row r="24" spans="1:30" ht="14" x14ac:dyDescent="0.3">
      <c r="A24" s="4" t="s">
        <v>53</v>
      </c>
      <c r="B24" s="52" t="s">
        <v>83</v>
      </c>
      <c r="C24" s="53">
        <v>0.75</v>
      </c>
      <c r="D24" s="52" t="s">
        <v>3</v>
      </c>
      <c r="E24" s="53">
        <v>1</v>
      </c>
      <c r="F24" s="52" t="s">
        <v>36</v>
      </c>
      <c r="G24" s="53" t="s">
        <v>36</v>
      </c>
      <c r="H24" s="52" t="s">
        <v>36</v>
      </c>
      <c r="I24" s="53" t="s">
        <v>36</v>
      </c>
      <c r="J24" s="52" t="s">
        <v>36</v>
      </c>
      <c r="K24" s="53" t="s">
        <v>36</v>
      </c>
      <c r="L24" s="52" t="s">
        <v>36</v>
      </c>
      <c r="M24" s="53" t="s">
        <v>36</v>
      </c>
      <c r="N24" s="52" t="s">
        <v>10</v>
      </c>
      <c r="O24" s="53">
        <v>1</v>
      </c>
      <c r="P24" s="52" t="s">
        <v>44</v>
      </c>
      <c r="Q24" s="53">
        <v>0.5</v>
      </c>
      <c r="R24" s="53" t="s">
        <v>63</v>
      </c>
      <c r="S24" s="53">
        <v>0.5</v>
      </c>
      <c r="T24" s="52" t="s">
        <v>76</v>
      </c>
      <c r="U24" s="53">
        <v>0.5</v>
      </c>
      <c r="V24" s="52" t="s">
        <v>5</v>
      </c>
      <c r="W24" s="53" t="s">
        <v>5</v>
      </c>
      <c r="X24" s="52" t="s">
        <v>5</v>
      </c>
      <c r="Y24" s="53" t="s">
        <v>5</v>
      </c>
      <c r="Z24" s="52" t="s">
        <v>8</v>
      </c>
      <c r="AA24" s="6">
        <v>1</v>
      </c>
      <c r="AB24" s="72">
        <f>(SUM(AA3)*AA24)</f>
        <v>0.2</v>
      </c>
    </row>
    <row r="25" spans="1:30" ht="14" x14ac:dyDescent="0.3">
      <c r="A25" s="4" t="s">
        <v>54</v>
      </c>
      <c r="B25" s="52" t="s">
        <v>83</v>
      </c>
      <c r="C25" s="53">
        <v>0.86956521739130399</v>
      </c>
      <c r="D25" s="52" t="s">
        <v>3</v>
      </c>
      <c r="E25" s="53">
        <v>0.4375</v>
      </c>
      <c r="F25" s="52" t="s">
        <v>35</v>
      </c>
      <c r="G25" s="53">
        <v>0.6</v>
      </c>
      <c r="H25" s="52" t="s">
        <v>41</v>
      </c>
      <c r="I25" s="53">
        <v>0.66666666699999999</v>
      </c>
      <c r="J25" s="52" t="s">
        <v>6</v>
      </c>
      <c r="K25" s="53">
        <v>0.75</v>
      </c>
      <c r="L25" s="52" t="s">
        <v>42</v>
      </c>
      <c r="M25" s="53">
        <v>1</v>
      </c>
      <c r="N25" s="52" t="s">
        <v>10</v>
      </c>
      <c r="O25" s="53">
        <v>1</v>
      </c>
      <c r="P25" s="52" t="s">
        <v>11</v>
      </c>
      <c r="Q25" s="53">
        <v>1</v>
      </c>
      <c r="R25" s="53" t="s">
        <v>63</v>
      </c>
      <c r="S25" s="53">
        <v>0.2059</v>
      </c>
      <c r="T25" s="52" t="s">
        <v>76</v>
      </c>
      <c r="U25" s="53">
        <v>0.41935483870967699</v>
      </c>
      <c r="V25" s="52" t="s">
        <v>77</v>
      </c>
      <c r="W25" s="53">
        <v>0.38461538461538503</v>
      </c>
      <c r="X25" s="52" t="s">
        <v>12</v>
      </c>
      <c r="Y25" s="53">
        <v>0.66666666666666696</v>
      </c>
      <c r="Z25" s="52" t="s">
        <v>8</v>
      </c>
      <c r="AA25" s="6">
        <v>1</v>
      </c>
      <c r="AB25" s="72">
        <f>(AA3*AA25)</f>
        <v>0.2</v>
      </c>
    </row>
    <row r="26" spans="1:30" thickBot="1" x14ac:dyDescent="0.35">
      <c r="A26" s="7" t="s">
        <v>56</v>
      </c>
      <c r="B26" s="8" t="s">
        <v>83</v>
      </c>
      <c r="C26" s="9">
        <v>0.8</v>
      </c>
      <c r="D26" s="8" t="s">
        <v>40</v>
      </c>
      <c r="E26" s="9">
        <v>0.428571429</v>
      </c>
      <c r="F26" s="8" t="s">
        <v>37</v>
      </c>
      <c r="G26" s="9">
        <v>0.428571429</v>
      </c>
      <c r="H26" s="8" t="s">
        <v>57</v>
      </c>
      <c r="I26" s="9">
        <v>1</v>
      </c>
      <c r="J26" s="8" t="s">
        <v>6</v>
      </c>
      <c r="K26" s="9">
        <v>0.66666666699999999</v>
      </c>
      <c r="L26" s="8" t="s">
        <v>42</v>
      </c>
      <c r="M26" s="9">
        <v>1</v>
      </c>
      <c r="N26" s="8" t="s">
        <v>10</v>
      </c>
      <c r="O26" s="9">
        <v>1</v>
      </c>
      <c r="P26" s="8" t="s">
        <v>11</v>
      </c>
      <c r="Q26" s="9">
        <v>1</v>
      </c>
      <c r="R26" s="9" t="s">
        <v>65</v>
      </c>
      <c r="S26" s="9">
        <v>0.22220000000000001</v>
      </c>
      <c r="T26" s="8" t="s">
        <v>76</v>
      </c>
      <c r="U26" s="9">
        <v>0.38461538461538503</v>
      </c>
      <c r="V26" s="8" t="s">
        <v>77</v>
      </c>
      <c r="W26" s="9">
        <v>0.6</v>
      </c>
      <c r="X26" s="8" t="s">
        <v>12</v>
      </c>
      <c r="Y26" s="9">
        <v>1</v>
      </c>
      <c r="Z26" s="8" t="s">
        <v>13</v>
      </c>
      <c r="AA26" s="23">
        <v>1</v>
      </c>
      <c r="AB26" s="73">
        <f>(AA6*AA26)</f>
        <v>0.8</v>
      </c>
    </row>
    <row r="27" spans="1:30" ht="14" x14ac:dyDescent="0.3">
      <c r="A27" s="52"/>
      <c r="C27" s="70"/>
      <c r="E27" s="70"/>
      <c r="G27" s="70"/>
      <c r="I27" s="70"/>
      <c r="K27" s="70"/>
      <c r="M27" s="70"/>
      <c r="O27" s="70"/>
      <c r="Q27" s="70"/>
      <c r="S27" s="70"/>
      <c r="U27" s="70"/>
      <c r="W27" s="70"/>
      <c r="Y27" s="70"/>
      <c r="AA27" s="70"/>
      <c r="AB27" s="53"/>
    </row>
    <row r="28" spans="1:30" ht="14" x14ac:dyDescent="0.3"/>
    <row r="29" spans="1:30" thickBot="1" x14ac:dyDescent="0.35"/>
    <row r="30" spans="1:30" thickBot="1" x14ac:dyDescent="0.35">
      <c r="R30" s="101" t="s">
        <v>19</v>
      </c>
      <c r="S30" s="102" t="s">
        <v>114</v>
      </c>
      <c r="T30" s="22" t="s">
        <v>116</v>
      </c>
    </row>
    <row r="31" spans="1:30" ht="14" x14ac:dyDescent="0.3">
      <c r="R31" s="4" t="s">
        <v>9</v>
      </c>
      <c r="S31" s="99">
        <f>($C16*(SUM($E16,$G16,$I16,$K16,$M16,$O16,$Q16))*($S16)*(SUM($U16,$W16,$Y16))*$AB16)</f>
        <v>0.96151999997171866</v>
      </c>
      <c r="T31" s="6">
        <f>(S31-$S$45)/($S$46)</f>
        <v>0.3122770327597354</v>
      </c>
    </row>
    <row r="32" spans="1:30" ht="14" x14ac:dyDescent="0.3">
      <c r="R32" s="4" t="s">
        <v>17</v>
      </c>
      <c r="S32" s="99">
        <f t="shared" ref="S32:AA42" si="0">($C17*(SUM($E17,$G17,$I17,$K17,$M17,$O17,$Q17))*($S17)*(SUM($U17,$W17,$Y17))*$AB17)</f>
        <v>2.8725966936003493</v>
      </c>
      <c r="T32" s="6">
        <f t="shared" ref="T32:T41" si="1">(S32-$S$45)/($S$46)</f>
        <v>1</v>
      </c>
    </row>
    <row r="33" spans="18:20" ht="14" x14ac:dyDescent="0.3">
      <c r="R33" s="4" t="s">
        <v>39</v>
      </c>
      <c r="S33" s="99">
        <f t="shared" si="0"/>
        <v>1.5626477385303659</v>
      </c>
      <c r="T33" s="6">
        <f t="shared" si="1"/>
        <v>0.52859977555192939</v>
      </c>
    </row>
    <row r="34" spans="18:20" ht="14" x14ac:dyDescent="0.3">
      <c r="R34" s="4" t="s">
        <v>45</v>
      </c>
      <c r="S34" s="99">
        <f t="shared" si="0"/>
        <v>0.19266056907841131</v>
      </c>
      <c r="T34" s="6">
        <f t="shared" si="1"/>
        <v>3.5594107910379209E-2</v>
      </c>
    </row>
    <row r="35" spans="18:20" ht="14" x14ac:dyDescent="0.3">
      <c r="R35" s="4" t="s">
        <v>47</v>
      </c>
      <c r="S35" s="99">
        <f t="shared" si="0"/>
        <v>0.13780938133442439</v>
      </c>
      <c r="T35" s="6">
        <f t="shared" si="1"/>
        <v>1.5855276016446901E-2</v>
      </c>
    </row>
    <row r="36" spans="18:20" ht="14" x14ac:dyDescent="0.3">
      <c r="R36" s="4" t="s">
        <v>48</v>
      </c>
      <c r="S36" s="99">
        <f t="shared" si="0"/>
        <v>0.67760866441049383</v>
      </c>
      <c r="T36" s="6">
        <f t="shared" si="1"/>
        <v>0.21010826748921174</v>
      </c>
    </row>
    <row r="37" spans="18:20" ht="14" x14ac:dyDescent="0.3">
      <c r="R37" s="4" t="s">
        <v>50</v>
      </c>
      <c r="S37" s="99">
        <f t="shared" si="0"/>
        <v>0.55115222531032149</v>
      </c>
      <c r="T37" s="6">
        <f t="shared" si="1"/>
        <v>0.16460146087357513</v>
      </c>
    </row>
    <row r="38" spans="18:20" ht="14" x14ac:dyDescent="0.3">
      <c r="R38" s="4" t="s">
        <v>51</v>
      </c>
      <c r="S38" s="99">
        <f t="shared" si="0"/>
        <v>0.6307244437276005</v>
      </c>
      <c r="T38" s="6">
        <f t="shared" si="1"/>
        <v>0.19323644048599234</v>
      </c>
    </row>
    <row r="39" spans="18:20" ht="14" x14ac:dyDescent="0.3">
      <c r="R39" s="4" t="s">
        <v>53</v>
      </c>
      <c r="S39" s="99">
        <f t="shared" si="0"/>
        <v>9.375E-2</v>
      </c>
      <c r="T39" s="6">
        <f t="shared" si="1"/>
        <v>0</v>
      </c>
    </row>
    <row r="40" spans="18:20" ht="14" x14ac:dyDescent="0.3">
      <c r="R40" s="4" t="s">
        <v>54</v>
      </c>
      <c r="S40" s="99">
        <f t="shared" si="0"/>
        <v>0.28722508231098115</v>
      </c>
      <c r="T40" s="6">
        <f t="shared" si="1"/>
        <v>6.9624237550258511E-2</v>
      </c>
    </row>
    <row r="41" spans="18:20" thickBot="1" x14ac:dyDescent="0.35">
      <c r="R41" s="7" t="s">
        <v>56</v>
      </c>
      <c r="S41" s="100">
        <f t="shared" si="0"/>
        <v>1.5589747344019205</v>
      </c>
      <c r="T41" s="23">
        <f t="shared" si="1"/>
        <v>0.52727800269669989</v>
      </c>
    </row>
    <row r="42" spans="18:20" ht="14" x14ac:dyDescent="0.3">
      <c r="R42" s="98"/>
      <c r="S42" s="97"/>
      <c r="T42" s="5"/>
    </row>
    <row r="43" spans="18:20" ht="14" hidden="1" x14ac:dyDescent="0.3">
      <c r="R43" s="98" t="s">
        <v>115</v>
      </c>
      <c r="S43" s="97">
        <f>SUM(S31:S41)</f>
        <v>9.5266695326765873</v>
      </c>
    </row>
    <row r="44" spans="18:20" ht="14" hidden="1" x14ac:dyDescent="0.3">
      <c r="R44" s="98" t="s">
        <v>117</v>
      </c>
      <c r="S44" s="97">
        <f>MAX(S31:S41)</f>
        <v>2.8725966936003493</v>
      </c>
    </row>
    <row r="45" spans="18:20" hidden="1" x14ac:dyDescent="0.3">
      <c r="R45" s="98" t="s">
        <v>118</v>
      </c>
      <c r="S45" s="97">
        <f>MIN(S31:S41)</f>
        <v>9.375E-2</v>
      </c>
    </row>
    <row r="46" spans="18:20" hidden="1" x14ac:dyDescent="0.3">
      <c r="R46" s="98" t="s">
        <v>119</v>
      </c>
      <c r="S46" s="97">
        <f>(S44-S45)</f>
        <v>2.7788466936003493</v>
      </c>
    </row>
    <row r="47" spans="18:20" ht="14" x14ac:dyDescent="0.3"/>
  </sheetData>
  <mergeCells count="6">
    <mergeCell ref="V2:X2"/>
    <mergeCell ref="B14:C14"/>
    <mergeCell ref="D14:Q14"/>
    <mergeCell ref="R14:S14"/>
    <mergeCell ref="T14:Y14"/>
    <mergeCell ref="Z14:AB14"/>
  </mergeCells>
  <conditionalFormatting sqref="A16:R26 A15:B15 D15:AA15 C27 E27 G27 I27 K27 M27 O27 Q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S16:X26 S27 U27 W27">
    <cfRule type="colorScale" priority="9">
      <colorScale>
        <cfvo type="min"/>
        <cfvo type="max"/>
        <color rgb="FFFCFCFF"/>
        <color rgb="FFF8696B"/>
      </colorScale>
    </cfRule>
  </conditionalFormatting>
  <conditionalFormatting sqref="Y16:Z26 Y27">
    <cfRule type="colorScale" priority="8">
      <colorScale>
        <cfvo type="min"/>
        <cfvo type="max"/>
        <color rgb="FFFCFCFF"/>
        <color rgb="FFF8696B"/>
      </colorScale>
    </cfRule>
  </conditionalFormatting>
  <conditionalFormatting sqref="AA16:AA27">
    <cfRule type="colorScale" priority="7">
      <colorScale>
        <cfvo type="min"/>
        <cfvo type="max"/>
        <color rgb="FFFCFCFF"/>
        <color rgb="FFF8696B"/>
      </colorScale>
    </cfRule>
  </conditionalFormatting>
  <conditionalFormatting sqref="C16:C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7 G16:G27 I16:I27 K16:K27 M16:M27 O16:O27 Q16:Q27 S16:S27 U16:U27 W16:W27 Y16:Y27 AA16:AA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:AB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46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AEE-102D-472C-8DCE-37CBE0EE2514}">
  <dimension ref="A1:O19"/>
  <sheetViews>
    <sheetView workbookViewId="0">
      <selection activeCell="A22" sqref="A22"/>
    </sheetView>
  </sheetViews>
  <sheetFormatPr defaultRowHeight="14" x14ac:dyDescent="0.3"/>
  <cols>
    <col min="1" max="1" width="17.4140625" bestFit="1" customWidth="1"/>
  </cols>
  <sheetData>
    <row r="1" spans="1:15" x14ac:dyDescent="0.3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3" t="s">
        <v>33</v>
      </c>
    </row>
    <row r="2" spans="1:15" x14ac:dyDescent="0.3">
      <c r="A2" s="4" t="s">
        <v>34</v>
      </c>
      <c r="B2" t="s">
        <v>3</v>
      </c>
      <c r="C2" s="5">
        <v>0.5</v>
      </c>
      <c r="D2" t="s">
        <v>35</v>
      </c>
      <c r="E2" s="5">
        <v>0.66666666699999999</v>
      </c>
      <c r="F2" t="s">
        <v>36</v>
      </c>
      <c r="G2" s="5" t="s">
        <v>36</v>
      </c>
      <c r="H2" t="s">
        <v>6</v>
      </c>
      <c r="I2" s="5">
        <v>1</v>
      </c>
      <c r="J2" t="s">
        <v>7</v>
      </c>
      <c r="K2" s="5">
        <v>1</v>
      </c>
      <c r="L2" t="s">
        <v>36</v>
      </c>
      <c r="M2" s="5" t="s">
        <v>36</v>
      </c>
      <c r="N2" t="s">
        <v>36</v>
      </c>
      <c r="O2" s="6" t="s">
        <v>36</v>
      </c>
    </row>
    <row r="3" spans="1:15" x14ac:dyDescent="0.3">
      <c r="A3" s="4" t="s">
        <v>9</v>
      </c>
      <c r="B3" t="s">
        <v>3</v>
      </c>
      <c r="C3" s="5">
        <v>1</v>
      </c>
      <c r="D3" t="s">
        <v>37</v>
      </c>
      <c r="E3" s="5">
        <v>1</v>
      </c>
      <c r="F3" t="s">
        <v>36</v>
      </c>
      <c r="G3" s="5" t="s">
        <v>36</v>
      </c>
      <c r="H3" t="s">
        <v>36</v>
      </c>
      <c r="I3" s="5" t="s">
        <v>36</v>
      </c>
      <c r="J3" t="s">
        <v>36</v>
      </c>
      <c r="K3" s="5" t="s">
        <v>36</v>
      </c>
      <c r="L3" t="s">
        <v>10</v>
      </c>
      <c r="M3" s="5">
        <v>0.66666666699999999</v>
      </c>
      <c r="N3" t="s">
        <v>11</v>
      </c>
      <c r="O3" s="6">
        <v>0.571428571</v>
      </c>
    </row>
    <row r="4" spans="1:15" x14ac:dyDescent="0.3">
      <c r="A4" s="4" t="s">
        <v>14</v>
      </c>
      <c r="B4" t="s">
        <v>3</v>
      </c>
      <c r="C4" s="5">
        <v>1</v>
      </c>
      <c r="D4" t="s">
        <v>36</v>
      </c>
      <c r="E4" s="5" t="s">
        <v>36</v>
      </c>
      <c r="F4" t="s">
        <v>15</v>
      </c>
      <c r="G4" s="5">
        <v>1</v>
      </c>
      <c r="H4" t="s">
        <v>36</v>
      </c>
      <c r="I4" s="5" t="s">
        <v>36</v>
      </c>
      <c r="J4" t="s">
        <v>36</v>
      </c>
      <c r="K4" s="5" t="s">
        <v>36</v>
      </c>
      <c r="L4" t="s">
        <v>36</v>
      </c>
      <c r="M4" s="5" t="s">
        <v>36</v>
      </c>
      <c r="N4" t="s">
        <v>36</v>
      </c>
      <c r="O4" s="6" t="s">
        <v>36</v>
      </c>
    </row>
    <row r="5" spans="1:15" x14ac:dyDescent="0.3">
      <c r="A5" s="4" t="s">
        <v>17</v>
      </c>
      <c r="B5" t="s">
        <v>4</v>
      </c>
      <c r="C5" s="5">
        <v>0.458715596</v>
      </c>
      <c r="D5" t="s">
        <v>35</v>
      </c>
      <c r="E5" s="5">
        <v>0.97142857100000002</v>
      </c>
      <c r="F5" t="s">
        <v>36</v>
      </c>
      <c r="G5" s="5" t="s">
        <v>36</v>
      </c>
      <c r="H5" t="s">
        <v>6</v>
      </c>
      <c r="I5" s="5">
        <v>0.99836867900000004</v>
      </c>
      <c r="J5" t="s">
        <v>18</v>
      </c>
      <c r="K5" s="5">
        <v>1</v>
      </c>
      <c r="L5" t="s">
        <v>10</v>
      </c>
      <c r="M5" s="5">
        <v>0.5</v>
      </c>
      <c r="N5" t="s">
        <v>11</v>
      </c>
      <c r="O5" s="6">
        <v>0.6</v>
      </c>
    </row>
    <row r="6" spans="1:15" x14ac:dyDescent="0.3">
      <c r="A6" s="4" t="s">
        <v>38</v>
      </c>
      <c r="B6" t="s">
        <v>3</v>
      </c>
      <c r="C6" s="5">
        <v>1</v>
      </c>
      <c r="D6" t="s">
        <v>37</v>
      </c>
      <c r="E6" s="5">
        <v>1</v>
      </c>
      <c r="F6" t="s">
        <v>36</v>
      </c>
      <c r="G6" s="5" t="s">
        <v>36</v>
      </c>
      <c r="H6" t="s">
        <v>36</v>
      </c>
      <c r="I6" s="5" t="s">
        <v>36</v>
      </c>
      <c r="J6" t="s">
        <v>36</v>
      </c>
      <c r="K6" s="5" t="s">
        <v>36</v>
      </c>
      <c r="L6" t="s">
        <v>10</v>
      </c>
      <c r="M6" s="5">
        <v>1</v>
      </c>
      <c r="N6" t="s">
        <v>11</v>
      </c>
      <c r="O6" s="6">
        <v>1</v>
      </c>
    </row>
    <row r="7" spans="1:15" x14ac:dyDescent="0.3">
      <c r="A7" s="4" t="s">
        <v>39</v>
      </c>
      <c r="B7" t="s">
        <v>40</v>
      </c>
      <c r="C7" s="5">
        <v>0.43902438999999999</v>
      </c>
      <c r="D7" t="s">
        <v>35</v>
      </c>
      <c r="E7" s="5">
        <v>0.92771084299999995</v>
      </c>
      <c r="F7" t="s">
        <v>41</v>
      </c>
      <c r="G7" s="5">
        <v>0.33333333300000001</v>
      </c>
      <c r="H7" t="s">
        <v>6</v>
      </c>
      <c r="I7" s="5">
        <v>0.95121951199999999</v>
      </c>
      <c r="J7" t="s">
        <v>42</v>
      </c>
      <c r="K7" s="5">
        <v>1</v>
      </c>
      <c r="L7" t="s">
        <v>43</v>
      </c>
      <c r="M7" s="5">
        <v>0.5</v>
      </c>
      <c r="N7" t="s">
        <v>44</v>
      </c>
      <c r="O7" s="6">
        <v>1</v>
      </c>
    </row>
    <row r="8" spans="1:15" x14ac:dyDescent="0.3">
      <c r="A8" s="4" t="s">
        <v>45</v>
      </c>
      <c r="B8" t="s">
        <v>3</v>
      </c>
      <c r="C8" s="5">
        <v>0.47727272700000001</v>
      </c>
      <c r="D8" t="s">
        <v>37</v>
      </c>
      <c r="E8" s="5">
        <v>0.813953488</v>
      </c>
      <c r="F8" t="s">
        <v>15</v>
      </c>
      <c r="G8" s="5">
        <v>1</v>
      </c>
      <c r="H8" t="s">
        <v>46</v>
      </c>
      <c r="I8" s="5">
        <v>0.46666666699999998</v>
      </c>
      <c r="J8" t="s">
        <v>42</v>
      </c>
      <c r="K8" s="5">
        <v>0.6</v>
      </c>
      <c r="L8" t="s">
        <v>16</v>
      </c>
      <c r="M8" s="5">
        <v>0.23076923099999999</v>
      </c>
      <c r="N8" t="s">
        <v>11</v>
      </c>
      <c r="O8" s="6">
        <v>0.63333333300000005</v>
      </c>
    </row>
    <row r="9" spans="1:15" x14ac:dyDescent="0.3">
      <c r="A9" s="4" t="s">
        <v>47</v>
      </c>
      <c r="B9" t="s">
        <v>40</v>
      </c>
      <c r="C9" s="5">
        <v>0.256410256</v>
      </c>
      <c r="D9" t="s">
        <v>37</v>
      </c>
      <c r="E9" s="5">
        <v>0.33333333300000001</v>
      </c>
      <c r="F9" t="s">
        <v>36</v>
      </c>
      <c r="G9" s="5" t="s">
        <v>36</v>
      </c>
      <c r="H9" t="s">
        <v>6</v>
      </c>
      <c r="I9" s="5">
        <v>0.5</v>
      </c>
      <c r="J9" t="s">
        <v>42</v>
      </c>
      <c r="K9" s="5">
        <v>1</v>
      </c>
      <c r="L9" t="s">
        <v>10</v>
      </c>
      <c r="M9" s="5">
        <v>0.71428571399999996</v>
      </c>
      <c r="N9" t="s">
        <v>11</v>
      </c>
      <c r="O9" s="6">
        <v>0.66666666699999999</v>
      </c>
    </row>
    <row r="10" spans="1:15" x14ac:dyDescent="0.3">
      <c r="A10" s="4" t="s">
        <v>48</v>
      </c>
      <c r="B10" t="s">
        <v>3</v>
      </c>
      <c r="C10" s="5">
        <v>0.33333333300000001</v>
      </c>
      <c r="D10" t="s">
        <v>37</v>
      </c>
      <c r="E10" s="5">
        <v>0.61538461499999997</v>
      </c>
      <c r="F10" t="s">
        <v>36</v>
      </c>
      <c r="G10" s="5" t="s">
        <v>36</v>
      </c>
      <c r="H10" t="s">
        <v>6</v>
      </c>
      <c r="I10" s="5">
        <v>0.625</v>
      </c>
      <c r="J10" t="s">
        <v>42</v>
      </c>
      <c r="K10" s="5">
        <v>1</v>
      </c>
      <c r="L10" t="s">
        <v>10</v>
      </c>
      <c r="M10" s="5">
        <v>1</v>
      </c>
      <c r="N10" t="s">
        <v>11</v>
      </c>
      <c r="O10" s="6">
        <v>0.5</v>
      </c>
    </row>
    <row r="11" spans="1:15" x14ac:dyDescent="0.3">
      <c r="A11" s="4" t="s">
        <v>49</v>
      </c>
      <c r="B11" t="s">
        <v>3</v>
      </c>
      <c r="C11" s="5">
        <v>0.5</v>
      </c>
      <c r="D11" t="s">
        <v>37</v>
      </c>
      <c r="E11" s="5">
        <v>0.66666666699999999</v>
      </c>
      <c r="F11" t="s">
        <v>36</v>
      </c>
      <c r="G11" s="5" t="s">
        <v>36</v>
      </c>
      <c r="H11" t="s">
        <v>6</v>
      </c>
      <c r="I11" s="5">
        <v>0.5</v>
      </c>
      <c r="J11" t="s">
        <v>36</v>
      </c>
      <c r="K11" s="5" t="s">
        <v>36</v>
      </c>
      <c r="L11" t="s">
        <v>36</v>
      </c>
      <c r="M11" s="5" t="s">
        <v>36</v>
      </c>
      <c r="N11" t="s">
        <v>36</v>
      </c>
      <c r="O11" s="6" t="s">
        <v>36</v>
      </c>
    </row>
    <row r="12" spans="1:15" x14ac:dyDescent="0.3">
      <c r="A12" s="4" t="s">
        <v>50</v>
      </c>
      <c r="B12" t="s">
        <v>40</v>
      </c>
      <c r="C12" s="5">
        <v>0.28571428599999998</v>
      </c>
      <c r="D12" t="s">
        <v>37</v>
      </c>
      <c r="E12" s="5">
        <v>0.51851851900000001</v>
      </c>
      <c r="F12" t="s">
        <v>36</v>
      </c>
      <c r="G12" s="5" t="s">
        <v>36</v>
      </c>
      <c r="H12" t="s">
        <v>6</v>
      </c>
      <c r="I12" s="5">
        <v>0.764705882</v>
      </c>
      <c r="J12" t="s">
        <v>18</v>
      </c>
      <c r="K12" s="5">
        <v>0.4</v>
      </c>
      <c r="L12" t="s">
        <v>10</v>
      </c>
      <c r="M12" s="5">
        <v>0.72727272700000001</v>
      </c>
      <c r="N12" t="s">
        <v>11</v>
      </c>
      <c r="O12" s="6">
        <v>0.66666666699999999</v>
      </c>
    </row>
    <row r="13" spans="1:15" x14ac:dyDescent="0.3">
      <c r="A13" s="4" t="s">
        <v>51</v>
      </c>
      <c r="B13" t="s">
        <v>3</v>
      </c>
      <c r="C13" s="5">
        <v>0.38709677399999998</v>
      </c>
      <c r="D13" t="s">
        <v>37</v>
      </c>
      <c r="E13" s="5">
        <v>0.33333333300000001</v>
      </c>
      <c r="F13" t="s">
        <v>52</v>
      </c>
      <c r="G13" s="5">
        <v>0.5</v>
      </c>
      <c r="H13" t="s">
        <v>6</v>
      </c>
      <c r="I13" s="5">
        <v>0.81818181800000001</v>
      </c>
      <c r="J13" t="s">
        <v>42</v>
      </c>
      <c r="K13" s="5">
        <v>0.66666666699999999</v>
      </c>
      <c r="L13" t="s">
        <v>10</v>
      </c>
      <c r="M13" s="5">
        <v>0.4375</v>
      </c>
      <c r="N13" t="s">
        <v>11</v>
      </c>
      <c r="O13" s="6">
        <v>0.6</v>
      </c>
    </row>
    <row r="14" spans="1:15" x14ac:dyDescent="0.3">
      <c r="A14" s="4" t="s">
        <v>53</v>
      </c>
      <c r="B14" t="s">
        <v>3</v>
      </c>
      <c r="C14" s="5">
        <v>1</v>
      </c>
      <c r="D14" t="s">
        <v>36</v>
      </c>
      <c r="E14" s="5" t="s">
        <v>36</v>
      </c>
      <c r="F14" t="s">
        <v>36</v>
      </c>
      <c r="G14" s="5" t="s">
        <v>36</v>
      </c>
      <c r="H14" t="s">
        <v>36</v>
      </c>
      <c r="I14" s="5" t="s">
        <v>36</v>
      </c>
      <c r="J14" t="s">
        <v>36</v>
      </c>
      <c r="K14" s="5" t="s">
        <v>36</v>
      </c>
      <c r="L14" t="s">
        <v>10</v>
      </c>
      <c r="M14" s="5">
        <v>1</v>
      </c>
      <c r="N14" t="s">
        <v>44</v>
      </c>
      <c r="O14" s="6">
        <v>0.5</v>
      </c>
    </row>
    <row r="15" spans="1:15" x14ac:dyDescent="0.3">
      <c r="A15" s="4" t="s">
        <v>54</v>
      </c>
      <c r="B15" t="s">
        <v>3</v>
      </c>
      <c r="C15" s="5">
        <v>0.4375</v>
      </c>
      <c r="D15" t="s">
        <v>35</v>
      </c>
      <c r="E15" s="5">
        <v>0.6</v>
      </c>
      <c r="F15" t="s">
        <v>41</v>
      </c>
      <c r="G15" s="5">
        <v>0.66666666699999999</v>
      </c>
      <c r="H15" t="s">
        <v>6</v>
      </c>
      <c r="I15" s="5">
        <v>0.75</v>
      </c>
      <c r="J15" t="s">
        <v>42</v>
      </c>
      <c r="K15" s="5">
        <v>1</v>
      </c>
      <c r="L15" t="s">
        <v>10</v>
      </c>
      <c r="M15" s="5">
        <v>1</v>
      </c>
      <c r="N15" t="s">
        <v>11</v>
      </c>
      <c r="O15" s="6">
        <v>1</v>
      </c>
    </row>
    <row r="16" spans="1:15" x14ac:dyDescent="0.3">
      <c r="A16" s="4" t="s">
        <v>55</v>
      </c>
      <c r="B16" t="s">
        <v>3</v>
      </c>
      <c r="C16" s="5">
        <v>0.28571428599999998</v>
      </c>
      <c r="D16" t="s">
        <v>37</v>
      </c>
      <c r="E16" s="5">
        <v>0.5</v>
      </c>
      <c r="F16" t="s">
        <v>36</v>
      </c>
      <c r="G16" s="5" t="s">
        <v>36</v>
      </c>
      <c r="H16" t="s">
        <v>6</v>
      </c>
      <c r="I16" s="5">
        <v>1</v>
      </c>
      <c r="J16" t="s">
        <v>42</v>
      </c>
      <c r="K16" s="5">
        <v>1</v>
      </c>
      <c r="L16" t="s">
        <v>36</v>
      </c>
      <c r="M16" s="5" t="s">
        <v>36</v>
      </c>
      <c r="N16" t="s">
        <v>11</v>
      </c>
      <c r="O16" s="6">
        <v>1</v>
      </c>
    </row>
    <row r="17" spans="1:15" x14ac:dyDescent="0.3">
      <c r="A17" s="4" t="s">
        <v>56</v>
      </c>
      <c r="B17" t="s">
        <v>40</v>
      </c>
      <c r="C17" s="5">
        <v>0.428571429</v>
      </c>
      <c r="D17" t="s">
        <v>37</v>
      </c>
      <c r="E17" s="5">
        <v>0.428571429</v>
      </c>
      <c r="F17" t="s">
        <v>57</v>
      </c>
      <c r="G17" s="5">
        <v>1</v>
      </c>
      <c r="H17" t="s">
        <v>6</v>
      </c>
      <c r="I17" s="5">
        <v>0.66666666699999999</v>
      </c>
      <c r="J17" t="s">
        <v>42</v>
      </c>
      <c r="K17" s="5">
        <v>1</v>
      </c>
      <c r="L17" t="s">
        <v>10</v>
      </c>
      <c r="M17" s="5">
        <v>1</v>
      </c>
      <c r="N17" t="s">
        <v>11</v>
      </c>
      <c r="O17" s="6">
        <v>1</v>
      </c>
    </row>
    <row r="18" spans="1:15" x14ac:dyDescent="0.3">
      <c r="A18" s="4" t="s">
        <v>3</v>
      </c>
      <c r="B18" t="s">
        <v>3</v>
      </c>
      <c r="C18" s="5">
        <v>1</v>
      </c>
      <c r="D18" t="s">
        <v>37</v>
      </c>
      <c r="E18" s="5">
        <v>1</v>
      </c>
      <c r="F18" t="s">
        <v>36</v>
      </c>
      <c r="G18" s="5" t="s">
        <v>36</v>
      </c>
      <c r="H18" t="s">
        <v>36</v>
      </c>
      <c r="I18" s="5" t="s">
        <v>36</v>
      </c>
      <c r="J18" t="s">
        <v>36</v>
      </c>
      <c r="K18" s="5" t="s">
        <v>36</v>
      </c>
      <c r="L18" t="s">
        <v>58</v>
      </c>
      <c r="M18" s="5">
        <v>1</v>
      </c>
      <c r="N18" t="s">
        <v>36</v>
      </c>
      <c r="O18" s="6" t="s">
        <v>36</v>
      </c>
    </row>
    <row r="19" spans="1:15" ht="14.5" thickBot="1" x14ac:dyDescent="0.35">
      <c r="A19" s="7" t="s">
        <v>59</v>
      </c>
      <c r="B19" s="8" t="s">
        <v>40</v>
      </c>
      <c r="C19" s="9">
        <v>0.375</v>
      </c>
      <c r="D19" s="8" t="s">
        <v>35</v>
      </c>
      <c r="E19" s="9">
        <v>0.75</v>
      </c>
      <c r="F19" s="8" t="s">
        <v>36</v>
      </c>
      <c r="G19" s="9" t="s">
        <v>36</v>
      </c>
      <c r="H19" s="8" t="s">
        <v>6</v>
      </c>
      <c r="I19" s="9">
        <v>1</v>
      </c>
      <c r="J19" s="8" t="s">
        <v>36</v>
      </c>
      <c r="K19" s="9" t="s">
        <v>36</v>
      </c>
      <c r="L19" s="8" t="s">
        <v>36</v>
      </c>
      <c r="M19" s="8" t="s">
        <v>36</v>
      </c>
      <c r="N19" s="8" t="s">
        <v>36</v>
      </c>
      <c r="O19" s="10" t="s">
        <v>36</v>
      </c>
    </row>
  </sheetData>
  <conditionalFormatting sqref="A1:O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C686-0CE1-40AE-B0EB-A343A9FB8D75}">
  <dimension ref="A1:C19"/>
  <sheetViews>
    <sheetView workbookViewId="0">
      <selection activeCell="C8" sqref="C8"/>
    </sheetView>
  </sheetViews>
  <sheetFormatPr defaultRowHeight="14" x14ac:dyDescent="0.3"/>
  <sheetData>
    <row r="1" spans="1:3" ht="21.5" thickBot="1" x14ac:dyDescent="0.35">
      <c r="A1" s="11" t="s">
        <v>0</v>
      </c>
      <c r="B1" s="12" t="s">
        <v>60</v>
      </c>
      <c r="C1" s="13" t="s">
        <v>61</v>
      </c>
    </row>
    <row r="2" spans="1:3" ht="20" x14ac:dyDescent="0.3">
      <c r="A2" s="14" t="s">
        <v>17</v>
      </c>
      <c r="B2" s="15" t="s">
        <v>62</v>
      </c>
      <c r="C2" s="16">
        <v>0.32869999999999999</v>
      </c>
    </row>
    <row r="3" spans="1:3" ht="20" x14ac:dyDescent="0.3">
      <c r="A3" s="14" t="s">
        <v>39</v>
      </c>
      <c r="B3" s="15" t="s">
        <v>62</v>
      </c>
      <c r="C3" s="16">
        <v>0.3261</v>
      </c>
    </row>
    <row r="4" spans="1:3" x14ac:dyDescent="0.3">
      <c r="A4" s="14" t="s">
        <v>45</v>
      </c>
      <c r="B4" s="15" t="s">
        <v>63</v>
      </c>
      <c r="C4" s="16">
        <v>0.1953</v>
      </c>
    </row>
    <row r="5" spans="1:3" ht="20" x14ac:dyDescent="0.3">
      <c r="A5" s="14" t="s">
        <v>47</v>
      </c>
      <c r="B5" s="15" t="s">
        <v>62</v>
      </c>
      <c r="C5" s="16">
        <v>0.33329999999999999</v>
      </c>
    </row>
    <row r="6" spans="1:3" ht="20" x14ac:dyDescent="0.3">
      <c r="A6" s="14" t="s">
        <v>51</v>
      </c>
      <c r="B6" s="15" t="s">
        <v>62</v>
      </c>
      <c r="C6" s="16">
        <v>0.3095</v>
      </c>
    </row>
    <row r="7" spans="1:3" ht="20" x14ac:dyDescent="0.3">
      <c r="A7" s="14" t="s">
        <v>50</v>
      </c>
      <c r="B7" s="15" t="s">
        <v>62</v>
      </c>
      <c r="C7" s="16">
        <v>0.25530000000000003</v>
      </c>
    </row>
    <row r="8" spans="1:3" ht="60" x14ac:dyDescent="0.3">
      <c r="A8" s="14" t="s">
        <v>48</v>
      </c>
      <c r="B8" s="15" t="s">
        <v>64</v>
      </c>
      <c r="C8" s="16">
        <v>0.17949999999999999</v>
      </c>
    </row>
    <row r="9" spans="1:3" x14ac:dyDescent="0.3">
      <c r="A9" s="14" t="s">
        <v>54</v>
      </c>
      <c r="B9" s="15" t="s">
        <v>63</v>
      </c>
      <c r="C9" s="16">
        <v>0.2059</v>
      </c>
    </row>
    <row r="10" spans="1:3" ht="20" x14ac:dyDescent="0.3">
      <c r="A10" s="14" t="s">
        <v>49</v>
      </c>
      <c r="B10" s="15" t="s">
        <v>62</v>
      </c>
      <c r="C10" s="16">
        <v>0.36359999999999998</v>
      </c>
    </row>
    <row r="11" spans="1:3" ht="40" x14ac:dyDescent="0.3">
      <c r="A11" s="14" t="s">
        <v>56</v>
      </c>
      <c r="B11" s="15" t="s">
        <v>65</v>
      </c>
      <c r="C11" s="16">
        <v>0.22220000000000001</v>
      </c>
    </row>
    <row r="12" spans="1:3" ht="20" x14ac:dyDescent="0.3">
      <c r="A12" s="14" t="s">
        <v>34</v>
      </c>
      <c r="B12" s="15" t="s">
        <v>62</v>
      </c>
      <c r="C12" s="16">
        <v>0.2727</v>
      </c>
    </row>
    <row r="13" spans="1:3" ht="20" x14ac:dyDescent="0.3">
      <c r="A13" s="14" t="s">
        <v>9</v>
      </c>
      <c r="B13" s="15" t="s">
        <v>62</v>
      </c>
      <c r="C13" s="16">
        <v>0.33329999999999999</v>
      </c>
    </row>
    <row r="14" spans="1:3" ht="20" x14ac:dyDescent="0.3">
      <c r="A14" s="14" t="s">
        <v>55</v>
      </c>
      <c r="B14" s="15" t="s">
        <v>62</v>
      </c>
      <c r="C14" s="16">
        <v>0.25</v>
      </c>
    </row>
    <row r="15" spans="1:3" ht="42" x14ac:dyDescent="0.3">
      <c r="A15" s="14" t="s">
        <v>59</v>
      </c>
      <c r="B15" s="15" t="s">
        <v>66</v>
      </c>
      <c r="C15" s="16">
        <v>0.2727</v>
      </c>
    </row>
    <row r="16" spans="1:3" ht="21" x14ac:dyDescent="0.3">
      <c r="A16" s="14" t="s">
        <v>38</v>
      </c>
      <c r="B16" s="15" t="s">
        <v>67</v>
      </c>
      <c r="C16" s="16">
        <v>0.4</v>
      </c>
    </row>
    <row r="17" spans="1:3" x14ac:dyDescent="0.3">
      <c r="A17" s="14" t="s">
        <v>53</v>
      </c>
      <c r="B17" s="15" t="s">
        <v>63</v>
      </c>
      <c r="C17" s="16">
        <v>0.5</v>
      </c>
    </row>
    <row r="18" spans="1:3" ht="52.5" x14ac:dyDescent="0.3">
      <c r="A18" s="14" t="s">
        <v>14</v>
      </c>
      <c r="B18" s="15" t="s">
        <v>68</v>
      </c>
      <c r="C18" s="16">
        <v>0.33329999999999999</v>
      </c>
    </row>
    <row r="19" spans="1:3" ht="63.5" thickBot="1" x14ac:dyDescent="0.35">
      <c r="A19" s="17" t="s">
        <v>3</v>
      </c>
      <c r="B19" s="18" t="s">
        <v>69</v>
      </c>
      <c r="C19" s="19">
        <v>0.25</v>
      </c>
    </row>
  </sheetData>
  <conditionalFormatting sqref="C2:C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C4EA-52DA-417C-9813-1705B2A50A1B}">
  <dimension ref="A1:G20"/>
  <sheetViews>
    <sheetView workbookViewId="0">
      <selection activeCell="A3" sqref="A3"/>
    </sheetView>
  </sheetViews>
  <sheetFormatPr defaultRowHeight="14" x14ac:dyDescent="0.3"/>
  <sheetData>
    <row r="1" spans="1:7" ht="14.5" thickBot="1" x14ac:dyDescent="0.35">
      <c r="A1" s="20" t="s">
        <v>19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2" t="s">
        <v>75</v>
      </c>
    </row>
    <row r="2" spans="1:7" x14ac:dyDescent="0.3">
      <c r="A2" s="4" t="s">
        <v>34</v>
      </c>
      <c r="B2" t="s">
        <v>76</v>
      </c>
      <c r="C2" s="5">
        <v>0.625</v>
      </c>
      <c r="D2" t="s">
        <v>77</v>
      </c>
      <c r="E2" s="5">
        <v>0.6</v>
      </c>
      <c r="F2" t="s">
        <v>5</v>
      </c>
      <c r="G2" s="6" t="s">
        <v>5</v>
      </c>
    </row>
    <row r="3" spans="1:7" x14ac:dyDescent="0.3">
      <c r="A3" s="4" t="s">
        <v>9</v>
      </c>
      <c r="B3" t="s">
        <v>76</v>
      </c>
      <c r="C3" s="5">
        <v>0.33333333333333298</v>
      </c>
      <c r="D3" t="s">
        <v>77</v>
      </c>
      <c r="E3" s="5">
        <v>1</v>
      </c>
      <c r="F3" t="s">
        <v>12</v>
      </c>
      <c r="G3" s="6">
        <v>1</v>
      </c>
    </row>
    <row r="4" spans="1:7" x14ac:dyDescent="0.3">
      <c r="A4" s="4" t="s">
        <v>14</v>
      </c>
      <c r="B4" t="s">
        <v>78</v>
      </c>
      <c r="C4" s="5">
        <v>1</v>
      </c>
      <c r="D4" t="s">
        <v>5</v>
      </c>
      <c r="E4" s="5" t="s">
        <v>5</v>
      </c>
      <c r="F4" t="s">
        <v>16</v>
      </c>
      <c r="G4" s="6">
        <v>1</v>
      </c>
    </row>
    <row r="5" spans="1:7" x14ac:dyDescent="0.3">
      <c r="A5" s="4" t="s">
        <v>17</v>
      </c>
      <c r="B5" t="s">
        <v>76</v>
      </c>
      <c r="C5" s="5">
        <v>0.97688751926040096</v>
      </c>
      <c r="D5" t="s">
        <v>77</v>
      </c>
      <c r="E5" s="5">
        <v>0.50603378921963005</v>
      </c>
      <c r="F5" t="s">
        <v>12</v>
      </c>
      <c r="G5" s="6">
        <v>1</v>
      </c>
    </row>
    <row r="6" spans="1:7" x14ac:dyDescent="0.3">
      <c r="A6" s="4" t="s">
        <v>38</v>
      </c>
      <c r="B6" t="s">
        <v>76</v>
      </c>
      <c r="C6" s="5">
        <v>0.66666666666666696</v>
      </c>
      <c r="D6" t="s">
        <v>77</v>
      </c>
      <c r="E6" s="5">
        <v>1</v>
      </c>
      <c r="F6" t="s">
        <v>12</v>
      </c>
      <c r="G6" s="6">
        <v>1</v>
      </c>
    </row>
    <row r="7" spans="1:7" x14ac:dyDescent="0.3">
      <c r="A7" s="4" t="s">
        <v>39</v>
      </c>
      <c r="B7" t="s">
        <v>76</v>
      </c>
      <c r="C7" s="5">
        <v>0.73387096774193505</v>
      </c>
      <c r="D7" t="s">
        <v>77</v>
      </c>
      <c r="E7" s="5">
        <v>0.48823529411764699</v>
      </c>
      <c r="F7" t="s">
        <v>12</v>
      </c>
      <c r="G7" s="6">
        <v>0.75</v>
      </c>
    </row>
    <row r="8" spans="1:7" x14ac:dyDescent="0.3">
      <c r="A8" s="4" t="s">
        <v>45</v>
      </c>
      <c r="B8" t="s">
        <v>78</v>
      </c>
      <c r="C8" s="5">
        <v>0.55414012738853502</v>
      </c>
      <c r="D8" t="s">
        <v>77</v>
      </c>
      <c r="E8" s="5">
        <v>0.7</v>
      </c>
      <c r="F8" t="s">
        <v>12</v>
      </c>
      <c r="G8" s="6">
        <v>0.79545454545454497</v>
      </c>
    </row>
    <row r="9" spans="1:7" x14ac:dyDescent="0.3">
      <c r="A9" s="4" t="s">
        <v>47</v>
      </c>
      <c r="B9" t="s">
        <v>76</v>
      </c>
      <c r="C9" s="5">
        <v>0.48421052631578898</v>
      </c>
      <c r="D9" t="s">
        <v>77</v>
      </c>
      <c r="E9" s="5">
        <v>0.42857142857142899</v>
      </c>
      <c r="F9" t="s">
        <v>12</v>
      </c>
      <c r="G9" s="6">
        <v>0.6</v>
      </c>
    </row>
    <row r="10" spans="1:7" x14ac:dyDescent="0.3">
      <c r="A10" s="4" t="s">
        <v>48</v>
      </c>
      <c r="B10" t="s">
        <v>76</v>
      </c>
      <c r="C10" s="5">
        <v>0.36666666666666697</v>
      </c>
      <c r="D10" t="s">
        <v>77</v>
      </c>
      <c r="E10" s="5">
        <v>0.61904761904761896</v>
      </c>
      <c r="F10" t="s">
        <v>12</v>
      </c>
      <c r="G10" s="6">
        <v>1</v>
      </c>
    </row>
    <row r="11" spans="1:7" x14ac:dyDescent="0.3">
      <c r="A11" s="4" t="s">
        <v>49</v>
      </c>
      <c r="B11" t="s">
        <v>76</v>
      </c>
      <c r="C11" s="5">
        <v>0.4</v>
      </c>
      <c r="D11" t="s">
        <v>77</v>
      </c>
      <c r="E11" s="5">
        <v>0.5</v>
      </c>
      <c r="F11" t="s">
        <v>16</v>
      </c>
      <c r="G11" s="6">
        <v>0.5</v>
      </c>
    </row>
    <row r="12" spans="1:7" x14ac:dyDescent="0.3">
      <c r="A12" s="4" t="s">
        <v>49</v>
      </c>
      <c r="B12" t="s">
        <v>76</v>
      </c>
      <c r="C12" s="5">
        <v>0.4</v>
      </c>
      <c r="D12" t="s">
        <v>77</v>
      </c>
      <c r="E12" s="5">
        <v>0.5</v>
      </c>
      <c r="F12" t="s">
        <v>12</v>
      </c>
      <c r="G12" s="6">
        <v>0.5</v>
      </c>
    </row>
    <row r="13" spans="1:7" x14ac:dyDescent="0.3">
      <c r="A13" s="4" t="s">
        <v>50</v>
      </c>
      <c r="B13" t="s">
        <v>76</v>
      </c>
      <c r="C13" s="5">
        <v>0.57142857142857095</v>
      </c>
      <c r="D13" t="s">
        <v>77</v>
      </c>
      <c r="E13" s="5">
        <v>0.57446808510638303</v>
      </c>
      <c r="F13" t="s">
        <v>12</v>
      </c>
      <c r="G13" s="6">
        <v>0.76470588235294101</v>
      </c>
    </row>
    <row r="14" spans="1:7" x14ac:dyDescent="0.3">
      <c r="A14" s="4" t="s">
        <v>51</v>
      </c>
      <c r="B14" t="s">
        <v>76</v>
      </c>
      <c r="C14" s="5">
        <v>0.61290322580645196</v>
      </c>
      <c r="D14" t="s">
        <v>77</v>
      </c>
      <c r="E14" s="5">
        <v>0.54285714285714304</v>
      </c>
      <c r="F14" t="s">
        <v>12</v>
      </c>
      <c r="G14" s="6">
        <v>0.8</v>
      </c>
    </row>
    <row r="15" spans="1:7" x14ac:dyDescent="0.3">
      <c r="A15" s="4" t="s">
        <v>53</v>
      </c>
      <c r="B15" t="s">
        <v>76</v>
      </c>
      <c r="C15" s="5">
        <v>0.5</v>
      </c>
      <c r="D15" t="s">
        <v>5</v>
      </c>
      <c r="E15" s="5" t="s">
        <v>5</v>
      </c>
      <c r="F15" t="s">
        <v>5</v>
      </c>
      <c r="G15" s="6" t="s">
        <v>5</v>
      </c>
    </row>
    <row r="16" spans="1:7" x14ac:dyDescent="0.3">
      <c r="A16" s="4" t="s">
        <v>54</v>
      </c>
      <c r="B16" t="s">
        <v>76</v>
      </c>
      <c r="C16" s="5">
        <v>0.41935483870967699</v>
      </c>
      <c r="D16" t="s">
        <v>77</v>
      </c>
      <c r="E16" s="5">
        <v>0.38461538461538503</v>
      </c>
      <c r="F16" t="s">
        <v>12</v>
      </c>
      <c r="G16" s="6">
        <v>0.66666666666666696</v>
      </c>
    </row>
    <row r="17" spans="1:7" x14ac:dyDescent="0.3">
      <c r="A17" s="4" t="s">
        <v>55</v>
      </c>
      <c r="B17" t="s">
        <v>76</v>
      </c>
      <c r="C17" s="5">
        <v>0.45454545454545497</v>
      </c>
      <c r="D17" t="s">
        <v>77</v>
      </c>
      <c r="E17" s="5">
        <v>0.66666666666666696</v>
      </c>
      <c r="F17" t="s">
        <v>12</v>
      </c>
      <c r="G17" s="6">
        <v>1</v>
      </c>
    </row>
    <row r="18" spans="1:7" x14ac:dyDescent="0.3">
      <c r="A18" s="4" t="s">
        <v>56</v>
      </c>
      <c r="B18" t="s">
        <v>76</v>
      </c>
      <c r="C18" s="5">
        <v>0.38461538461538503</v>
      </c>
      <c r="D18" t="s">
        <v>77</v>
      </c>
      <c r="E18" s="5">
        <v>0.6</v>
      </c>
      <c r="F18" t="s">
        <v>12</v>
      </c>
      <c r="G18" s="6">
        <v>1</v>
      </c>
    </row>
    <row r="19" spans="1:7" x14ac:dyDescent="0.3">
      <c r="A19" s="4" t="s">
        <v>3</v>
      </c>
      <c r="B19" t="s">
        <v>78</v>
      </c>
      <c r="C19" s="5">
        <v>0.5</v>
      </c>
      <c r="D19" t="s">
        <v>77</v>
      </c>
      <c r="E19" s="5">
        <v>1</v>
      </c>
      <c r="F19" t="s">
        <v>12</v>
      </c>
      <c r="G19" s="6">
        <v>1</v>
      </c>
    </row>
    <row r="20" spans="1:7" ht="14.5" thickBot="1" x14ac:dyDescent="0.35">
      <c r="A20" s="7" t="s">
        <v>59</v>
      </c>
      <c r="B20" s="8" t="s">
        <v>76</v>
      </c>
      <c r="C20" s="9">
        <v>0.6</v>
      </c>
      <c r="D20" s="8" t="s">
        <v>77</v>
      </c>
      <c r="E20" s="9">
        <v>0.5</v>
      </c>
      <c r="F20" s="8" t="s">
        <v>12</v>
      </c>
      <c r="G20" s="23">
        <v>1</v>
      </c>
    </row>
  </sheetData>
  <conditionalFormatting sqref="C2:C20 E2:E20 G2:G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F6A3-1A2F-48C5-887C-6B520069B994}">
  <dimension ref="A1:E19"/>
  <sheetViews>
    <sheetView workbookViewId="0">
      <selection activeCell="E1" sqref="E1"/>
    </sheetView>
  </sheetViews>
  <sheetFormatPr defaultRowHeight="14" x14ac:dyDescent="0.3"/>
  <cols>
    <col min="1" max="1" width="16.5" bestFit="1" customWidth="1"/>
    <col min="2" max="2" width="11.1640625" bestFit="1" customWidth="1"/>
    <col min="4" max="4" width="9.1640625" bestFit="1" customWidth="1"/>
    <col min="5" max="5" width="8.75" bestFit="1" customWidth="1"/>
  </cols>
  <sheetData>
    <row r="1" spans="1:5" ht="14.5" thickBot="1" x14ac:dyDescent="0.35">
      <c r="A1" s="24" t="s">
        <v>19</v>
      </c>
      <c r="B1" s="25" t="s">
        <v>79</v>
      </c>
      <c r="C1" s="25" t="s">
        <v>80</v>
      </c>
      <c r="D1" s="25" t="s">
        <v>81</v>
      </c>
      <c r="E1" s="26" t="s">
        <v>82</v>
      </c>
    </row>
    <row r="2" spans="1:5" x14ac:dyDescent="0.3">
      <c r="A2" s="4" t="s">
        <v>34</v>
      </c>
      <c r="B2" t="s">
        <v>83</v>
      </c>
      <c r="C2">
        <v>6</v>
      </c>
      <c r="D2">
        <v>7</v>
      </c>
      <c r="E2" s="6">
        <v>0.85714285714285698</v>
      </c>
    </row>
    <row r="3" spans="1:5" x14ac:dyDescent="0.3">
      <c r="A3" s="4" t="s">
        <v>9</v>
      </c>
      <c r="B3" t="s">
        <v>83</v>
      </c>
      <c r="C3">
        <v>6</v>
      </c>
      <c r="D3">
        <v>11</v>
      </c>
      <c r="E3" s="6">
        <v>0.54545454545454497</v>
      </c>
    </row>
    <row r="4" spans="1:5" x14ac:dyDescent="0.3">
      <c r="A4" s="4" t="s">
        <v>14</v>
      </c>
      <c r="B4" t="s">
        <v>83</v>
      </c>
      <c r="C4">
        <v>2</v>
      </c>
      <c r="D4">
        <v>2</v>
      </c>
      <c r="E4" s="6">
        <v>1</v>
      </c>
    </row>
    <row r="5" spans="1:5" x14ac:dyDescent="0.3">
      <c r="A5" s="4" t="s">
        <v>17</v>
      </c>
      <c r="B5" t="s">
        <v>83</v>
      </c>
      <c r="C5">
        <v>632</v>
      </c>
      <c r="D5">
        <v>644</v>
      </c>
      <c r="E5" s="6">
        <v>0.98136645962732905</v>
      </c>
    </row>
    <row r="6" spans="1:5" x14ac:dyDescent="0.3">
      <c r="A6" s="4" t="s">
        <v>38</v>
      </c>
      <c r="B6" t="s">
        <v>84</v>
      </c>
      <c r="C6">
        <v>3</v>
      </c>
      <c r="D6">
        <v>5</v>
      </c>
      <c r="E6" s="6">
        <v>0.6</v>
      </c>
    </row>
    <row r="7" spans="1:5" x14ac:dyDescent="0.3">
      <c r="A7" s="4" t="s">
        <v>39</v>
      </c>
      <c r="B7" t="s">
        <v>83</v>
      </c>
      <c r="C7">
        <v>100</v>
      </c>
      <c r="D7">
        <v>106</v>
      </c>
      <c r="E7" s="6">
        <v>0.94339622641509402</v>
      </c>
    </row>
    <row r="8" spans="1:5" x14ac:dyDescent="0.3">
      <c r="A8" s="4" t="s">
        <v>45</v>
      </c>
      <c r="B8" t="s">
        <v>83</v>
      </c>
      <c r="C8">
        <v>87</v>
      </c>
      <c r="D8">
        <v>116</v>
      </c>
      <c r="E8" s="6">
        <v>0.75</v>
      </c>
    </row>
    <row r="9" spans="1:5" x14ac:dyDescent="0.3">
      <c r="A9" s="4" t="s">
        <v>47</v>
      </c>
      <c r="B9" t="s">
        <v>83</v>
      </c>
      <c r="C9">
        <v>42</v>
      </c>
      <c r="D9">
        <v>64</v>
      </c>
      <c r="E9" s="6">
        <v>0.65625</v>
      </c>
    </row>
    <row r="10" spans="1:5" x14ac:dyDescent="0.3">
      <c r="A10" s="4" t="s">
        <v>48</v>
      </c>
      <c r="B10" t="s">
        <v>83</v>
      </c>
      <c r="C10">
        <v>16</v>
      </c>
      <c r="D10">
        <v>24</v>
      </c>
      <c r="E10" s="6">
        <v>0.66666666666666696</v>
      </c>
    </row>
    <row r="11" spans="1:5" x14ac:dyDescent="0.3">
      <c r="A11" s="4" t="s">
        <v>49</v>
      </c>
      <c r="B11" t="s">
        <v>83</v>
      </c>
      <c r="C11">
        <v>6</v>
      </c>
      <c r="D11">
        <v>6</v>
      </c>
      <c r="E11" s="6">
        <v>1</v>
      </c>
    </row>
    <row r="12" spans="1:5" x14ac:dyDescent="0.3">
      <c r="A12" s="4" t="s">
        <v>50</v>
      </c>
      <c r="B12" t="s">
        <v>83</v>
      </c>
      <c r="C12">
        <v>40</v>
      </c>
      <c r="D12">
        <v>55</v>
      </c>
      <c r="E12" s="6">
        <v>0.72727272727272696</v>
      </c>
    </row>
    <row r="13" spans="1:5" x14ac:dyDescent="0.3">
      <c r="A13" s="4" t="s">
        <v>51</v>
      </c>
      <c r="B13" t="s">
        <v>83</v>
      </c>
      <c r="C13">
        <v>33</v>
      </c>
      <c r="D13">
        <v>55</v>
      </c>
      <c r="E13" s="6">
        <v>0.6</v>
      </c>
    </row>
    <row r="14" spans="1:5" x14ac:dyDescent="0.3">
      <c r="A14" s="4" t="s">
        <v>53</v>
      </c>
      <c r="B14" t="s">
        <v>83</v>
      </c>
      <c r="C14">
        <v>3</v>
      </c>
      <c r="D14">
        <v>4</v>
      </c>
      <c r="E14" s="6">
        <v>0.75</v>
      </c>
    </row>
    <row r="15" spans="1:5" x14ac:dyDescent="0.3">
      <c r="A15" s="4" t="s">
        <v>54</v>
      </c>
      <c r="B15" t="s">
        <v>83</v>
      </c>
      <c r="C15">
        <v>20</v>
      </c>
      <c r="D15">
        <v>23</v>
      </c>
      <c r="E15" s="6">
        <v>0.86956521739130399</v>
      </c>
    </row>
    <row r="16" spans="1:5" x14ac:dyDescent="0.3">
      <c r="A16" s="4" t="s">
        <v>55</v>
      </c>
      <c r="B16" t="s">
        <v>83</v>
      </c>
      <c r="C16">
        <v>6</v>
      </c>
      <c r="D16">
        <v>7</v>
      </c>
      <c r="E16" s="6">
        <v>0.85714285714285698</v>
      </c>
    </row>
    <row r="17" spans="1:5" x14ac:dyDescent="0.3">
      <c r="A17" s="4" t="s">
        <v>56</v>
      </c>
      <c r="B17" t="s">
        <v>83</v>
      </c>
      <c r="C17">
        <v>8</v>
      </c>
      <c r="D17">
        <v>10</v>
      </c>
      <c r="E17" s="6">
        <v>0.8</v>
      </c>
    </row>
    <row r="18" spans="1:5" x14ac:dyDescent="0.3">
      <c r="A18" s="4" t="s">
        <v>3</v>
      </c>
      <c r="B18" t="s">
        <v>83</v>
      </c>
      <c r="C18">
        <v>2</v>
      </c>
      <c r="D18">
        <v>3</v>
      </c>
      <c r="E18" s="6">
        <v>0.66666666666666696</v>
      </c>
    </row>
    <row r="19" spans="1:5" ht="14.5" thickBot="1" x14ac:dyDescent="0.35">
      <c r="A19" s="7" t="s">
        <v>59</v>
      </c>
      <c r="B19" s="8" t="s">
        <v>83</v>
      </c>
      <c r="C19" s="8">
        <v>5</v>
      </c>
      <c r="D19" s="8">
        <v>5</v>
      </c>
      <c r="E19" s="23">
        <v>1</v>
      </c>
    </row>
  </sheetData>
  <conditionalFormatting sqref="E2:E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2C33-DDE7-431A-9BC3-E0140BFD9FEF}">
  <dimension ref="A1:C13"/>
  <sheetViews>
    <sheetView topLeftCell="A3" workbookViewId="0">
      <selection activeCell="B5" sqref="B5"/>
    </sheetView>
  </sheetViews>
  <sheetFormatPr defaultRowHeight="14" x14ac:dyDescent="0.3"/>
  <sheetData>
    <row r="1" spans="1:3" ht="23.5" thickBot="1" x14ac:dyDescent="0.35">
      <c r="A1" s="27" t="s">
        <v>0</v>
      </c>
      <c r="B1" s="28" t="s">
        <v>1</v>
      </c>
      <c r="C1" s="29" t="s">
        <v>85</v>
      </c>
    </row>
    <row r="2" spans="1:3" x14ac:dyDescent="0.3">
      <c r="A2" s="30" t="s">
        <v>45</v>
      </c>
      <c r="B2" s="31" t="s">
        <v>86</v>
      </c>
      <c r="C2" s="32">
        <v>0.38</v>
      </c>
    </row>
    <row r="3" spans="1:3" x14ac:dyDescent="0.3">
      <c r="A3" s="30" t="s">
        <v>47</v>
      </c>
      <c r="B3" s="31" t="s">
        <v>8</v>
      </c>
      <c r="C3" s="32">
        <v>0.6</v>
      </c>
    </row>
    <row r="4" spans="1:3" ht="34.5" x14ac:dyDescent="0.3">
      <c r="A4" s="30" t="s">
        <v>51</v>
      </c>
      <c r="B4" s="31" t="s">
        <v>87</v>
      </c>
      <c r="C4" s="32">
        <v>0.28999999999999998</v>
      </c>
    </row>
    <row r="5" spans="1:3" ht="34.5" x14ac:dyDescent="0.3">
      <c r="A5" s="30" t="s">
        <v>17</v>
      </c>
      <c r="B5" s="31" t="s">
        <v>88</v>
      </c>
      <c r="C5" s="32">
        <v>0.33</v>
      </c>
    </row>
    <row r="6" spans="1:3" ht="34.5" x14ac:dyDescent="0.3">
      <c r="A6" s="30" t="s">
        <v>50</v>
      </c>
      <c r="B6" s="31" t="s">
        <v>89</v>
      </c>
      <c r="C6" s="32">
        <v>0.33</v>
      </c>
    </row>
    <row r="7" spans="1:3" x14ac:dyDescent="0.3">
      <c r="A7" s="30" t="s">
        <v>53</v>
      </c>
      <c r="B7" s="31" t="s">
        <v>8</v>
      </c>
      <c r="C7" s="32">
        <v>1</v>
      </c>
    </row>
    <row r="8" spans="1:3" x14ac:dyDescent="0.3">
      <c r="A8" s="30" t="s">
        <v>54</v>
      </c>
      <c r="B8" s="31" t="s">
        <v>8</v>
      </c>
      <c r="C8" s="32">
        <v>1</v>
      </c>
    </row>
    <row r="9" spans="1:3" ht="23" x14ac:dyDescent="0.3">
      <c r="A9" s="30" t="s">
        <v>9</v>
      </c>
      <c r="B9" s="31" t="s">
        <v>90</v>
      </c>
      <c r="C9" s="32">
        <v>0.5</v>
      </c>
    </row>
    <row r="10" spans="1:3" ht="23" x14ac:dyDescent="0.3">
      <c r="A10" s="30" t="s">
        <v>39</v>
      </c>
      <c r="B10" s="31" t="s">
        <v>91</v>
      </c>
      <c r="C10" s="32">
        <v>0.5</v>
      </c>
    </row>
    <row r="11" spans="1:3" ht="23" x14ac:dyDescent="0.3">
      <c r="A11" s="30" t="s">
        <v>48</v>
      </c>
      <c r="B11" s="31" t="s">
        <v>90</v>
      </c>
      <c r="C11" s="32">
        <v>0.5</v>
      </c>
    </row>
    <row r="12" spans="1:3" ht="23" x14ac:dyDescent="0.3">
      <c r="A12" s="30" t="s">
        <v>2</v>
      </c>
      <c r="B12" s="31" t="s">
        <v>8</v>
      </c>
      <c r="C12" s="32">
        <v>1</v>
      </c>
    </row>
    <row r="13" spans="1:3" ht="23.5" thickBot="1" x14ac:dyDescent="0.35">
      <c r="A13" s="33" t="s">
        <v>56</v>
      </c>
      <c r="B13" s="34" t="s">
        <v>13</v>
      </c>
      <c r="C13" s="35">
        <v>1</v>
      </c>
    </row>
  </sheetData>
  <conditionalFormatting sqref="C2:C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Merged</vt:lpstr>
      <vt:lpstr>Merged_modified</vt:lpstr>
      <vt:lpstr>Sheet2</vt:lpstr>
      <vt:lpstr>Sheet3</vt:lpstr>
      <vt:lpstr>actions_prob</vt:lpstr>
      <vt:lpstr>assets_prob</vt:lpstr>
      <vt:lpstr>attributes_prob</vt:lpstr>
      <vt:lpstr>actor_prob</vt:lpstr>
      <vt:lpstr>impact_prob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Suyog Suresh Patagave</dc:creator>
  <cp:lastModifiedBy>Suyog Suresh Patagave</cp:lastModifiedBy>
  <dcterms:created xsi:type="dcterms:W3CDTF">2024-04-14T23:33:40Z</dcterms:created>
  <dcterms:modified xsi:type="dcterms:W3CDTF">2024-04-16T21:51:18Z</dcterms:modified>
</cp:coreProperties>
</file>