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models\DemoS_011\"/>
    </mc:Choice>
  </mc:AlternateContent>
  <xr:revisionPtr revIDLastSave="0" documentId="13_ncr:1_{B34CFBA7-7F8B-4622-8744-859AFE922CC1}" xr6:coauthVersionLast="45" xr6:coauthVersionMax="45" xr10:uidLastSave="{00000000-0000-0000-0000-000000000000}"/>
  <bookViews>
    <workbookView xWindow="-120" yWindow="-120" windowWidth="29040" windowHeight="15990" tabRatio="901" activeTab="1" xr2:uid="{00000000-000D-0000-FFFF-FFFF00000000}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33" l="1"/>
  <c r="E10" i="133"/>
  <c r="F10" i="133"/>
  <c r="G10" i="133"/>
  <c r="H10" i="133"/>
  <c r="H14" i="133" s="1"/>
  <c r="I10" i="133"/>
  <c r="J10" i="133"/>
  <c r="J14" i="133" s="1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O14" i="133" s="1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N14" i="133" s="1"/>
  <c r="O12" i="133"/>
  <c r="P12" i="133"/>
  <c r="Q12" i="133"/>
  <c r="R12" i="133"/>
  <c r="S12" i="133"/>
  <c r="T12" i="133"/>
  <c r="U12" i="133"/>
  <c r="U14" i="133" s="1"/>
  <c r="D13" i="133"/>
  <c r="E13" i="133"/>
  <c r="F13" i="133"/>
  <c r="G13" i="133"/>
  <c r="H13" i="133"/>
  <c r="I13" i="133"/>
  <c r="J13" i="133"/>
  <c r="K13" i="133"/>
  <c r="E16" i="148" s="1"/>
  <c r="L13" i="133"/>
  <c r="E13" i="148" s="1"/>
  <c r="M13" i="133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F13" i="142" s="1"/>
  <c r="M14" i="142"/>
  <c r="L8" i="142"/>
  <c r="D5" i="133"/>
  <c r="G12" i="132" s="1"/>
  <c r="E5" i="133"/>
  <c r="G11" i="136" s="1"/>
  <c r="F5" i="133"/>
  <c r="G5" i="133"/>
  <c r="H5" i="133"/>
  <c r="I5" i="133"/>
  <c r="J5" i="133"/>
  <c r="K5" i="133"/>
  <c r="K8" i="133" s="1"/>
  <c r="L5" i="133"/>
  <c r="L8" i="133" s="1"/>
  <c r="M5" i="133"/>
  <c r="N5" i="133"/>
  <c r="O5" i="133"/>
  <c r="P5" i="133"/>
  <c r="Q5" i="133"/>
  <c r="R5" i="133"/>
  <c r="S5" i="133"/>
  <c r="T5" i="133"/>
  <c r="U5" i="133"/>
  <c r="D6" i="133"/>
  <c r="G14" i="132" s="1"/>
  <c r="E6" i="133"/>
  <c r="F6" i="133"/>
  <c r="F8" i="133" s="1"/>
  <c r="G6" i="133"/>
  <c r="G8" i="133" s="1"/>
  <c r="H6" i="133"/>
  <c r="I6" i="133"/>
  <c r="J6" i="133"/>
  <c r="K6" i="133"/>
  <c r="L6" i="133"/>
  <c r="M6" i="133"/>
  <c r="N6" i="133"/>
  <c r="N8" i="133"/>
  <c r="O6" i="133"/>
  <c r="P6" i="133"/>
  <c r="Q6" i="133"/>
  <c r="R6" i="133"/>
  <c r="S6" i="133"/>
  <c r="T6" i="133"/>
  <c r="U6" i="133"/>
  <c r="F15" i="153"/>
  <c r="D7" i="133"/>
  <c r="G15" i="132" s="1"/>
  <c r="E7" i="133"/>
  <c r="G15" i="136" s="1"/>
  <c r="F7" i="133"/>
  <c r="G15" i="137"/>
  <c r="G7" i="133"/>
  <c r="F24" i="147"/>
  <c r="H7" i="133"/>
  <c r="F25" i="147" s="1"/>
  <c r="I7" i="133"/>
  <c r="F26" i="147" s="1"/>
  <c r="J7" i="133"/>
  <c r="F27" i="147" s="1"/>
  <c r="K7" i="133"/>
  <c r="L7" i="133"/>
  <c r="F29" i="147" s="1"/>
  <c r="M7" i="133"/>
  <c r="F30" i="147" s="1"/>
  <c r="N7" i="133"/>
  <c r="O7" i="133"/>
  <c r="P7" i="133"/>
  <c r="Q7" i="133"/>
  <c r="R7" i="133"/>
  <c r="S7" i="133"/>
  <c r="T7" i="133"/>
  <c r="U7" i="133"/>
  <c r="F16" i="153"/>
  <c r="D5" i="142"/>
  <c r="K8" i="142"/>
  <c r="D4" i="142"/>
  <c r="K7" i="142" s="1"/>
  <c r="D3" i="142"/>
  <c r="K6" i="142" s="1"/>
  <c r="D2" i="142"/>
  <c r="K5" i="142"/>
  <c r="C5" i="142"/>
  <c r="J8" i="142"/>
  <c r="D17" i="142" s="1"/>
  <c r="C4" i="142"/>
  <c r="J7" i="142"/>
  <c r="D16" i="142" s="1"/>
  <c r="C3" i="142"/>
  <c r="J6" i="142"/>
  <c r="D15" i="142" s="1"/>
  <c r="C2" i="142"/>
  <c r="J5" i="142"/>
  <c r="D14" i="142" s="1"/>
  <c r="E15" i="153"/>
  <c r="H16" i="153"/>
  <c r="H15" i="153"/>
  <c r="F2" i="153"/>
  <c r="E2" i="153"/>
  <c r="L15" i="153" s="1"/>
  <c r="D2" i="153"/>
  <c r="C2" i="153"/>
  <c r="J15" i="153" s="1"/>
  <c r="B15" i="153" s="1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/>
  <c r="O12" i="148"/>
  <c r="E11" i="148"/>
  <c r="E23" i="147"/>
  <c r="E30" i="147" s="1"/>
  <c r="E22" i="147"/>
  <c r="E29" i="147" s="1"/>
  <c r="E21" i="147"/>
  <c r="E28" i="147"/>
  <c r="E20" i="147"/>
  <c r="E27" i="147"/>
  <c r="E19" i="147"/>
  <c r="E26" i="147" s="1"/>
  <c r="E18" i="147"/>
  <c r="E25" i="147" s="1"/>
  <c r="E17" i="147"/>
  <c r="E24" i="147"/>
  <c r="H24" i="147"/>
  <c r="J24" i="147" s="1"/>
  <c r="B24" i="147" s="1"/>
  <c r="J28" i="147"/>
  <c r="K28" i="147" s="1"/>
  <c r="B28" i="147"/>
  <c r="H17" i="147"/>
  <c r="E8" i="147"/>
  <c r="D8" i="147"/>
  <c r="C8" i="147"/>
  <c r="D23" i="147"/>
  <c r="E7" i="147"/>
  <c r="D7" i="147"/>
  <c r="K10" i="147"/>
  <c r="C7" i="147"/>
  <c r="J10" i="147" s="1"/>
  <c r="E6" i="147"/>
  <c r="D6" i="147"/>
  <c r="K9" i="147" s="1"/>
  <c r="C6" i="147"/>
  <c r="D21" i="147" s="1"/>
  <c r="J9" i="147"/>
  <c r="E5" i="147"/>
  <c r="D5" i="147"/>
  <c r="K8" i="147"/>
  <c r="C5" i="147"/>
  <c r="C27" i="147"/>
  <c r="E4" i="147"/>
  <c r="D4" i="147"/>
  <c r="K7" i="147"/>
  <c r="C4" i="147"/>
  <c r="C26" i="147" s="1"/>
  <c r="J7" i="147"/>
  <c r="E3" i="147"/>
  <c r="D3" i="147"/>
  <c r="K6" i="147"/>
  <c r="C3" i="147"/>
  <c r="F2" i="147"/>
  <c r="E2" i="147"/>
  <c r="L5" i="147" s="1"/>
  <c r="F16" i="147"/>
  <c r="D2" i="147"/>
  <c r="K24" i="147" s="1"/>
  <c r="K5" i="147"/>
  <c r="C2" i="147"/>
  <c r="D17" i="147"/>
  <c r="D2" i="144"/>
  <c r="K5" i="144" s="1"/>
  <c r="C2" i="144"/>
  <c r="H11" i="144"/>
  <c r="J11" i="144" s="1"/>
  <c r="F2" i="144"/>
  <c r="E10" i="144"/>
  <c r="E2" i="144"/>
  <c r="L5" i="144"/>
  <c r="F2" i="142"/>
  <c r="E13" i="142" s="1"/>
  <c r="H14" i="142"/>
  <c r="J16" i="142" s="1"/>
  <c r="E2" i="137"/>
  <c r="M14" i="137" s="1"/>
  <c r="F2" i="137"/>
  <c r="E2" i="136"/>
  <c r="N15" i="136" s="1"/>
  <c r="F2" i="136"/>
  <c r="E2" i="132"/>
  <c r="M11" i="132" s="1"/>
  <c r="F2" i="132"/>
  <c r="F10" i="132" s="1"/>
  <c r="I11" i="137"/>
  <c r="K12" i="137" s="1"/>
  <c r="I11" i="136"/>
  <c r="K13" i="136" s="1"/>
  <c r="B13" i="136" s="1"/>
  <c r="I11" i="132"/>
  <c r="D2" i="137"/>
  <c r="C2" i="137"/>
  <c r="K5" i="137" s="1"/>
  <c r="I15" i="137"/>
  <c r="K15" i="137" s="1"/>
  <c r="I14" i="137"/>
  <c r="K14" i="137" s="1"/>
  <c r="B14" i="137" s="1"/>
  <c r="D2" i="136"/>
  <c r="L5" i="136" s="1"/>
  <c r="C2" i="136"/>
  <c r="K5" i="136" s="1"/>
  <c r="I15" i="136"/>
  <c r="I14" i="136"/>
  <c r="I15" i="132"/>
  <c r="K15" i="132" s="1"/>
  <c r="B15" i="132" s="1"/>
  <c r="I14" i="132"/>
  <c r="K14" i="132" s="1"/>
  <c r="D2" i="132"/>
  <c r="L15" i="132" s="1"/>
  <c r="L5" i="132"/>
  <c r="C2" i="132"/>
  <c r="C25" i="147"/>
  <c r="J5" i="147"/>
  <c r="M15" i="142"/>
  <c r="N15" i="137"/>
  <c r="J8" i="147"/>
  <c r="F10" i="144"/>
  <c r="L5" i="137"/>
  <c r="L29" i="147"/>
  <c r="K13" i="137"/>
  <c r="B13" i="137" s="1"/>
  <c r="D20" i="147"/>
  <c r="L26" i="147"/>
  <c r="L18" i="147"/>
  <c r="M15" i="137"/>
  <c r="G11" i="137"/>
  <c r="F28" i="147"/>
  <c r="G12" i="137"/>
  <c r="C28" i="147"/>
  <c r="L6" i="142"/>
  <c r="L7" i="142"/>
  <c r="E10" i="132"/>
  <c r="G12" i="136"/>
  <c r="J5" i="144"/>
  <c r="D11" i="144"/>
  <c r="C24" i="147"/>
  <c r="J11" i="147"/>
  <c r="C30" i="147"/>
  <c r="E8" i="133"/>
  <c r="M5" i="136"/>
  <c r="L24" i="147"/>
  <c r="L23" i="147"/>
  <c r="L30" i="147"/>
  <c r="M5" i="132"/>
  <c r="M11" i="144"/>
  <c r="L11" i="144"/>
  <c r="J6" i="147"/>
  <c r="D18" i="147"/>
  <c r="K11" i="147"/>
  <c r="J25" i="147"/>
  <c r="K25" i="147" s="1"/>
  <c r="J17" i="142"/>
  <c r="K17" i="142" s="1"/>
  <c r="L9" i="147"/>
  <c r="M16" i="142"/>
  <c r="L15" i="142"/>
  <c r="L17" i="142"/>
  <c r="C15" i="137" l="1"/>
  <c r="D13" i="137"/>
  <c r="D11" i="137"/>
  <c r="D12" i="137"/>
  <c r="L12" i="137"/>
  <c r="B12" i="137"/>
  <c r="D13" i="136"/>
  <c r="D12" i="136"/>
  <c r="D11" i="136"/>
  <c r="C15" i="136"/>
  <c r="B15" i="137"/>
  <c r="L15" i="137"/>
  <c r="B25" i="147"/>
  <c r="V13" i="133"/>
  <c r="E12" i="148"/>
  <c r="I14" i="133"/>
  <c r="M14" i="136"/>
  <c r="N13" i="136"/>
  <c r="E17" i="148"/>
  <c r="E14" i="153"/>
  <c r="O8" i="133"/>
  <c r="F14" i="133"/>
  <c r="L16" i="142"/>
  <c r="L6" i="147"/>
  <c r="L8" i="147"/>
  <c r="N14" i="136"/>
  <c r="M12" i="136"/>
  <c r="L11" i="147"/>
  <c r="K11" i="137"/>
  <c r="B11" i="137" s="1"/>
  <c r="K14" i="136"/>
  <c r="G10" i="132"/>
  <c r="M14" i="133"/>
  <c r="E14" i="133"/>
  <c r="G14" i="133"/>
  <c r="N12" i="136"/>
  <c r="D19" i="147"/>
  <c r="V6" i="133"/>
  <c r="L27" i="147"/>
  <c r="J27" i="147"/>
  <c r="B27" i="147" s="1"/>
  <c r="K15" i="136"/>
  <c r="J16" i="153"/>
  <c r="U8" i="133"/>
  <c r="M8" i="133"/>
  <c r="T14" i="133"/>
  <c r="L14" i="133"/>
  <c r="D14" i="133"/>
  <c r="M15" i="136"/>
  <c r="J8" i="133"/>
  <c r="N11" i="136"/>
  <c r="G10" i="136"/>
  <c r="L16" i="153"/>
  <c r="D15" i="153"/>
  <c r="L10" i="147"/>
  <c r="E10" i="136"/>
  <c r="L21" i="147"/>
  <c r="T8" i="133"/>
  <c r="V12" i="133"/>
  <c r="S14" i="133"/>
  <c r="K14" i="133"/>
  <c r="G12" i="148"/>
  <c r="K12" i="136"/>
  <c r="B12" i="136" s="1"/>
  <c r="F10" i="136"/>
  <c r="M13" i="136"/>
  <c r="B17" i="142"/>
  <c r="L13" i="136"/>
  <c r="F14" i="153"/>
  <c r="M14" i="132"/>
  <c r="L20" i="147"/>
  <c r="M11" i="136"/>
  <c r="J30" i="147"/>
  <c r="B30" i="147" s="1"/>
  <c r="K11" i="132"/>
  <c r="L14" i="137"/>
  <c r="J19" i="147"/>
  <c r="C16" i="153"/>
  <c r="I8" i="133"/>
  <c r="S8" i="133"/>
  <c r="K15" i="153"/>
  <c r="B14" i="132"/>
  <c r="L14" i="132"/>
  <c r="K11" i="144"/>
  <c r="B11" i="144"/>
  <c r="K16" i="142"/>
  <c r="B16" i="142"/>
  <c r="L14" i="136"/>
  <c r="B14" i="136"/>
  <c r="L15" i="136"/>
  <c r="B15" i="136"/>
  <c r="K16" i="153"/>
  <c r="B16" i="153"/>
  <c r="L11" i="132"/>
  <c r="B11" i="132"/>
  <c r="B19" i="147"/>
  <c r="K19" i="147"/>
  <c r="V7" i="133"/>
  <c r="J21" i="147"/>
  <c r="N11" i="137"/>
  <c r="E14" i="148"/>
  <c r="V11" i="133"/>
  <c r="E18" i="148"/>
  <c r="N14" i="132"/>
  <c r="L7" i="147"/>
  <c r="K13" i="132"/>
  <c r="J26" i="147"/>
  <c r="L19" i="147"/>
  <c r="M12" i="137"/>
  <c r="V5" i="133"/>
  <c r="V8" i="133" s="1"/>
  <c r="V10" i="133"/>
  <c r="J20" i="147"/>
  <c r="B20" i="147" s="1"/>
  <c r="J22" i="147"/>
  <c r="M5" i="137"/>
  <c r="F10" i="137"/>
  <c r="N13" i="132"/>
  <c r="D22" i="147"/>
  <c r="L5" i="142"/>
  <c r="K11" i="136"/>
  <c r="J23" i="147"/>
  <c r="B23" i="147" s="1"/>
  <c r="J14" i="142"/>
  <c r="D14" i="137"/>
  <c r="L12" i="136"/>
  <c r="M17" i="142"/>
  <c r="J15" i="142"/>
  <c r="B15" i="142" s="1"/>
  <c r="F12" i="148"/>
  <c r="M12" i="132"/>
  <c r="L28" i="147"/>
  <c r="L25" i="147"/>
  <c r="N15" i="132"/>
  <c r="L11" i="137"/>
  <c r="N14" i="137"/>
  <c r="J17" i="147"/>
  <c r="B17" i="147" s="1"/>
  <c r="J29" i="147"/>
  <c r="B29" i="147" s="1"/>
  <c r="C29" i="147"/>
  <c r="H8" i="133"/>
  <c r="J18" i="147"/>
  <c r="E15" i="148"/>
  <c r="N11" i="132"/>
  <c r="K12" i="132"/>
  <c r="K5" i="132"/>
  <c r="D14" i="136"/>
  <c r="N12" i="132"/>
  <c r="D8" i="133"/>
  <c r="B12" i="148"/>
  <c r="M11" i="137"/>
  <c r="E10" i="137"/>
  <c r="M13" i="132"/>
  <c r="N12" i="137"/>
  <c r="K23" i="147"/>
  <c r="L14" i="142"/>
  <c r="E16" i="147"/>
  <c r="M15" i="132"/>
  <c r="L17" i="147"/>
  <c r="L13" i="137"/>
  <c r="L22" i="147"/>
  <c r="M13" i="137"/>
  <c r="N13" i="137"/>
  <c r="G10" i="137"/>
  <c r="G11" i="132"/>
  <c r="K27" i="147" l="1"/>
  <c r="K15" i="142"/>
  <c r="K20" i="147"/>
  <c r="K30" i="147"/>
  <c r="B14" i="142"/>
  <c r="K14" i="142"/>
  <c r="L12" i="132"/>
  <c r="B12" i="132"/>
  <c r="B18" i="147"/>
  <c r="K18" i="147"/>
  <c r="B26" i="147"/>
  <c r="K26" i="147"/>
  <c r="B21" i="147"/>
  <c r="K21" i="147"/>
  <c r="B22" i="147"/>
  <c r="K22" i="147"/>
  <c r="K17" i="147"/>
  <c r="L13" i="132"/>
  <c r="B13" i="132"/>
  <c r="K29" i="147"/>
  <c r="D13" i="132"/>
  <c r="C15" i="132"/>
  <c r="D14" i="132"/>
  <c r="D11" i="132"/>
  <c r="D12" i="132"/>
  <c r="B11" i="136"/>
  <c r="L11" i="136"/>
  <c r="V14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<sst xmlns="http://schemas.openxmlformats.org/spreadsheetml/2006/main" count="579" uniqueCount="152">
  <si>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</si>
  <si>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</si>
  <si>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</si>
  <si>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</si>
  <si>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</si>
  <si>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</si>
  <si>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</si>
  <si>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</si>
  <si>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</si>
  <si>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</si>
  <si>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</si>
  <si>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</si>
  <si>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</si>
  <si>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</si>
  <si>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</si>
  <si>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</si>
  <si>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</si>
  <si>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</si>
  <si>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</si>
  <si>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</si>
  <si>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</si>
  <si>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</si>
  <si>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</si>
  <si>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</si>
  <si>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</si>
  <si>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</si>
  <si>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</si>
  <si>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</si>
  <si>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</si>
  <si>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</si>
  <si>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</si>
  <si>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</si>
  <si>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</si>
  <si>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</si>
  <si>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</si>
  <si>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</si>
  <si>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</si>
  <si>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</si>
  <si>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</si>
  <si>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</si>
  <si>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</si>
  <si>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</si>
  <si>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</si>
  <si>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</si>
  <si>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</si>
  <si>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</si>
  <si>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</si>
  <si>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</si>
  <si>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</si>
  <si>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</si>
  <si>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</si>
  <si>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</si>
  <si>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</si>
  <si>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</si>
  <si>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</si>
  <si>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</si>
  <si>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</si>
  <si>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</si>
  <si>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</si>
  <si>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</si>
  <si>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</si>
  <si>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</si>
  <si>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</si>
  <si>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</si>
  <si>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</si>
  <si>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</si>
  <si>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</si>
  <si>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</si>
  <si>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</si>
  <si>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</si>
  <si>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</si>
  <si>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</si>
  <si>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</si>
  <si>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</si>
  <si>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</si>
  <si>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</si>
  <si>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</si>
  <si>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</si>
  <si>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</si>
  <si>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</si>
  <si>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</si>
  <si>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</si>
  <si>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</si>
  <si>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</si>
  <si>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</si>
  <si>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</si>
  <si>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</si>
  <si>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</si>
  <si>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</si>
  <si>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</si>
  <si>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</si>
  <si>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</si>
  <si>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</si>
  <si>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</si>
  <si>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</si>
  <si>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</si>
  <si>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</si>
  <si>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</si>
  <si>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</si>
  <si>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</si>
  <si>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</si>
  <si>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</si>
  <si>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</si>
  <si>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</si>
  <si>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</si>
  <si>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</si>
  <si>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</si>
  <si>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</si>
  <si>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</si>
  <si>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</si>
  <si>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</si>
  <si>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</si>
  <si>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</si>
  <si>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</si>
  <si>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</si>
  <si>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</si>
  <si>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</si>
  <si>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</si>
  <si>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</si>
  <si>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</si>
  <si>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</si>
  <si>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</si>
  <si>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</si>
  <si>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</si>
  <si>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</si>
  <si>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</si>
  <si>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</si>
  <si>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</si>
  <si>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</si>
  <si>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</si>
  <si>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</si>
  <si>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</si>
  <si>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</si>
  <si>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</si>
  <si>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</si>
  <si>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</si>
  <si>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</si>
  <si>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</si>
  <si>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</si>
  <si>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</si>
  <si>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</si>
  <si>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Reference Energy System</t>
  </si>
  <si>
    <t>Objective Function by Scenario</t>
  </si>
  <si>
    <t>_SysCost Result table</t>
  </si>
  <si>
    <t>Run names:</t>
  </si>
  <si>
    <t xml:space="preserve"> DemoS_011</t>
  </si>
  <si>
    <t xml:space="preserve"> DemoS_011a</t>
  </si>
  <si>
    <t xml:space="preserve"> DemoS_011b</t>
  </si>
  <si>
    <t>with Elastic Demand</t>
  </si>
  <si>
    <t xml:space="preserve"> DemoS_011c</t>
  </si>
  <si>
    <t xml:space="preserve"> DemoS_011d</t>
  </si>
  <si>
    <t xml:space="preserve"> DemoS_011e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</si>
</sst>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General_)"/>
    <numFmt numFmtId="165" formatCode="\Te\x\t"/>
    <numFmt numFmtId="169" formatCode="_-* #,##0.00_-;\-* #,##0.00_-;_-* &quot;-&quot;??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15" applyNumberFormat="0" applyAlignment="0" applyProtection="0"/>
    <xf numFmtId="43" fontId="16" fillId="0" borderId="0" applyFont="0" applyFill="0" applyBorder="0" applyAlignment="0" applyProtection="0"/>
    <xf numFmtId="0" fontId="19" fillId="8" borderId="0" applyNumberFormat="0" applyBorder="0" applyAlignment="0" applyProtection="0"/>
    <xf numFmtId="0" fontId="20" fillId="9" borderId="15" applyNumberFormat="0" applyAlignment="0" applyProtection="0"/>
    <xf numFmtId="0" fontId="21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5" fillId="0" borderId="0"/>
    <xf numFmtId="0" fontId="1" fillId="3" borderId="0" applyNumberFormat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169" fontId="1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6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7" fillId="6" borderId="0" xfId="4"/>
    <xf numFmtId="0" fontId="22" fillId="0" borderId="0" xfId="7" applyFont="1" applyFill="1"/>
    <xf numFmtId="0" fontId="23" fillId="0" borderId="0" xfId="0" applyFont="1" applyFill="1"/>
    <xf numFmtId="0" fontId="22" fillId="11" borderId="0" xfId="7" applyFont="1" applyFill="1"/>
    <xf numFmtId="1" fontId="5" fillId="0" borderId="0" xfId="0" applyNumberFormat="1" applyFont="1" applyFill="1"/>
    <xf numFmtId="1" fontId="0" fillId="0" borderId="0" xfId="0" applyNumberFormat="1" applyFill="1"/>
    <xf numFmtId="0" fontId="24" fillId="3" borderId="3" xfId="1" applyFont="1" applyBorder="1" applyAlignment="1">
      <alignment horizontal="center" wrapText="1"/>
    </xf>
    <xf numFmtId="0" fontId="24" fillId="3" borderId="3" xfId="1" applyFont="1" applyBorder="1" applyAlignment="1">
      <alignment horizontal="left" wrapText="1"/>
    </xf>
    <xf numFmtId="0" fontId="24" fillId="3" borderId="1" xfId="1" applyFont="1" applyBorder="1" applyAlignment="1">
      <alignment horizontal="left" wrapText="1"/>
    </xf>
    <xf numFmtId="0" fontId="4" fillId="2" borderId="1" xfId="12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22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5" fillId="0" borderId="5" xfId="0" applyFont="1" applyBorder="1"/>
    <xf numFmtId="0" fontId="5" fillId="0" borderId="6" xfId="0" applyFont="1" applyBorder="1"/>
    <xf numFmtId="9" fontId="23" fillId="0" borderId="6" xfId="17" applyFont="1" applyBorder="1" applyAlignment="1"/>
    <xf numFmtId="0" fontId="5" fillId="0" borderId="7" xfId="0" applyFont="1" applyBorder="1"/>
    <xf numFmtId="9" fontId="23" fillId="0" borderId="7" xfId="17" applyFont="1" applyBorder="1" applyAlignment="1"/>
    <xf numFmtId="0" fontId="5" fillId="0" borderId="0" xfId="0" applyFont="1" applyBorder="1"/>
    <xf numFmtId="9" fontId="23" fillId="0" borderId="0" xfId="17" applyFont="1" applyBorder="1" applyAlignment="1"/>
    <xf numFmtId="0" fontId="17" fillId="6" borderId="0" xfId="4" applyAlignment="1">
      <alignment wrapText="1"/>
    </xf>
    <xf numFmtId="2" fontId="5" fillId="0" borderId="0" xfId="0" applyNumberFormat="1" applyFont="1" applyFill="1" applyBorder="1"/>
    <xf numFmtId="0" fontId="5" fillId="0" borderId="0" xfId="10"/>
    <xf numFmtId="0" fontId="5" fillId="0" borderId="0" xfId="10" applyFont="1"/>
    <xf numFmtId="0" fontId="5" fillId="0" borderId="0" xfId="10" applyFill="1"/>
    <xf numFmtId="0" fontId="5" fillId="0" borderId="0" xfId="10" applyFill="1" applyBorder="1"/>
    <xf numFmtId="0" fontId="4" fillId="0" borderId="0" xfId="12" applyFont="1" applyFill="1" applyBorder="1" applyAlignment="1">
      <alignment horizontal="right" vertical="center" wrapText="1"/>
    </xf>
    <xf numFmtId="1" fontId="5" fillId="0" borderId="0" xfId="10" applyNumberFormat="1"/>
    <xf numFmtId="2" fontId="5" fillId="0" borderId="0" xfId="10" applyNumberFormat="1"/>
    <xf numFmtId="0" fontId="26" fillId="0" borderId="0" xfId="7" applyFont="1" applyFill="1"/>
    <xf numFmtId="0" fontId="27" fillId="0" borderId="0" xfId="4" applyFont="1" applyFill="1" applyAlignment="1">
      <alignment wrapText="1"/>
    </xf>
    <xf numFmtId="0" fontId="5" fillId="0" borderId="0" xfId="10" applyFont="1" applyFill="1"/>
    <xf numFmtId="0" fontId="17" fillId="0" borderId="0" xfId="4" applyFill="1"/>
    <xf numFmtId="0" fontId="4" fillId="2" borderId="1" xfId="10" applyFont="1" applyFill="1" applyBorder="1" applyAlignment="1">
      <alignment horizontal="left"/>
    </xf>
    <xf numFmtId="0" fontId="4" fillId="2" borderId="4" xfId="10" applyFont="1" applyFill="1" applyBorder="1" applyAlignment="1">
      <alignment horizontal="left"/>
    </xf>
    <xf numFmtId="2" fontId="5" fillId="0" borderId="0" xfId="10" applyNumberFormat="1" applyFont="1" applyFill="1" applyBorder="1"/>
    <xf numFmtId="2" fontId="5" fillId="0" borderId="0" xfId="10" applyNumberFormat="1" applyFill="1" applyBorder="1"/>
    <xf numFmtId="1" fontId="5" fillId="0" borderId="0" xfId="10" applyNumberFormat="1" applyFill="1" applyBorder="1"/>
    <xf numFmtId="9" fontId="5" fillId="0" borderId="0" xfId="10" applyNumberFormat="1"/>
    <xf numFmtId="0" fontId="24" fillId="3" borderId="3" xfId="1" applyFont="1" applyBorder="1" applyAlignment="1">
      <alignment horizontal="left" wrapText="1"/>
    </xf>
    <xf numFmtId="0" fontId="28" fillId="12" borderId="2" xfId="0" applyFont="1" applyFill="1" applyBorder="1" applyAlignment="1">
      <alignment wrapText="1"/>
    </xf>
    <xf numFmtId="0" fontId="4" fillId="12" borderId="2" xfId="0" applyFont="1" applyFill="1" applyBorder="1" applyAlignment="1">
      <alignment wrapText="1"/>
    </xf>
    <xf numFmtId="0" fontId="28" fillId="12" borderId="0" xfId="0" applyFont="1" applyFill="1"/>
    <xf numFmtId="1" fontId="20" fillId="9" borderId="0" xfId="8" applyNumberFormat="1" applyBorder="1" applyAlignment="1"/>
    <xf numFmtId="1" fontId="0" fillId="13" borderId="0" xfId="0" applyNumberFormat="1" applyFill="1" applyBorder="1" applyAlignment="1"/>
    <xf numFmtId="0" fontId="28" fillId="0" borderId="0" xfId="0" applyFont="1" applyFill="1"/>
    <xf numFmtId="164" fontId="18" fillId="7" borderId="5" xfId="5" applyNumberFormat="1" applyBorder="1" applyAlignment="1">
      <alignment horizontal="right" vertical="center"/>
    </xf>
    <xf numFmtId="1" fontId="18" fillId="7" borderId="16" xfId="5" applyNumberFormat="1" applyBorder="1" applyAlignment="1">
      <alignment horizontal="right"/>
    </xf>
    <xf numFmtId="1" fontId="18" fillId="7" borderId="17" xfId="5" applyNumberFormat="1" applyBorder="1" applyAlignment="1">
      <alignment horizontal="right"/>
    </xf>
    <xf numFmtId="1" fontId="18" fillId="7" borderId="18" xfId="5" applyNumberFormat="1" applyBorder="1" applyAlignment="1">
      <alignment horizontal="right"/>
    </xf>
    <xf numFmtId="164" fontId="10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64" fontId="10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18" fillId="7" borderId="19" xfId="5" applyNumberFormat="1" applyBorder="1" applyAlignment="1">
      <alignment horizontal="right"/>
    </xf>
    <xf numFmtId="0" fontId="22" fillId="11" borderId="0" xfId="7" applyFont="1" applyFill="1" applyAlignment="1">
      <alignment horizontal="left"/>
    </xf>
    <xf numFmtId="2" fontId="5" fillId="14" borderId="0" xfId="0" applyNumberFormat="1" applyFont="1" applyFill="1" applyBorder="1"/>
    <xf numFmtId="1" fontId="5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5" fillId="15" borderId="0" xfId="18" applyFont="1" applyFill="1"/>
    <xf numFmtId="0" fontId="5" fillId="14" borderId="0" xfId="10" applyFill="1"/>
    <xf numFmtId="2" fontId="5" fillId="14" borderId="0" xfId="10" applyNumberFormat="1" applyFill="1"/>
    <xf numFmtId="0" fontId="4" fillId="0" borderId="0" xfId="0" applyFont="1" applyFill="1"/>
    <xf numFmtId="0" fontId="29" fillId="0" borderId="0" xfId="0" applyFont="1"/>
    <xf numFmtId="0" fontId="4" fillId="2" borderId="1" xfId="12" applyFont="1" applyFill="1" applyBorder="1" applyAlignment="1">
      <alignment horizontal="center" vertical="center" wrapText="1"/>
    </xf>
    <xf numFmtId="0" fontId="4" fillId="2" borderId="1" xfId="12" applyFont="1" applyFill="1" applyBorder="1" applyAlignment="1">
      <alignment horizontal="center" vertical="center"/>
    </xf>
    <xf numFmtId="0" fontId="4" fillId="2" borderId="1" xfId="1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7" fillId="4" borderId="0" xfId="2"/>
    <xf numFmtId="0" fontId="5" fillId="15" borderId="0" xfId="10" applyFill="1"/>
    <xf numFmtId="164" fontId="9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64" fontId="10" fillId="13" borderId="11" xfId="0" applyNumberFormat="1" applyFont="1" applyFill="1" applyBorder="1" applyAlignment="1">
      <alignment horizontal="left" vertical="center"/>
    </xf>
    <xf numFmtId="1" fontId="4" fillId="13" borderId="12" xfId="0" applyNumberFormat="1" applyFont="1" applyFill="1" applyBorder="1" applyAlignment="1"/>
    <xf numFmtId="164" fontId="9" fillId="0" borderId="13" xfId="0" applyNumberFormat="1" applyFont="1" applyBorder="1" applyAlignment="1">
      <alignment horizontal="left" vertical="center"/>
    </xf>
    <xf numFmtId="0" fontId="4" fillId="0" borderId="14" xfId="0" applyFont="1" applyBorder="1" applyAlignment="1"/>
    <xf numFmtId="1" fontId="4" fillId="14" borderId="12" xfId="0" applyNumberFormat="1" applyFont="1" applyFill="1" applyBorder="1" applyAlignment="1"/>
    <xf numFmtId="0" fontId="4" fillId="2" borderId="1" xfId="10" applyFont="1" applyFill="1" applyBorder="1" applyAlignment="1">
      <alignment horizontal="center" wrapText="1"/>
    </xf>
    <xf numFmtId="1" fontId="5" fillId="15" borderId="0" xfId="10" applyNumberFormat="1" applyFont="1" applyFill="1"/>
    <xf numFmtId="0" fontId="5" fillId="14" borderId="0" xfId="9" applyFont="1" applyFill="1"/>
    <xf numFmtId="1" fontId="5" fillId="14" borderId="0" xfId="0" applyNumberFormat="1" applyFont="1" applyFill="1"/>
    <xf numFmtId="0" fontId="30" fillId="5" borderId="2" xfId="3" applyFont="1" applyBorder="1" applyAlignment="1">
      <alignment horizontal="left" vertical="center"/>
    </xf>
    <xf numFmtId="0" fontId="15" fillId="0" borderId="0" xfId="0" applyFont="1" applyBorder="1" applyAlignment="1"/>
    <xf numFmtId="0" fontId="4" fillId="16" borderId="0" xfId="0" applyFont="1" applyFill="1"/>
    <xf numFmtId="0" fontId="17" fillId="0" borderId="0" xfId="4" applyFill="1" applyAlignment="1">
      <alignment wrapText="1"/>
    </xf>
    <xf numFmtId="0" fontId="19" fillId="0" borderId="0" xfId="7" applyFill="1" applyBorder="1" applyAlignment="1">
      <alignment horizontal="right"/>
    </xf>
    <xf numFmtId="0" fontId="4" fillId="0" borderId="0" xfId="12" applyFont="1" applyFill="1" applyBorder="1" applyAlignment="1">
      <alignment horizontal="center" vertical="center"/>
    </xf>
    <xf numFmtId="0" fontId="24" fillId="0" borderId="0" xfId="1" applyFont="1" applyFill="1" applyBorder="1" applyAlignment="1">
      <alignment horizontal="left" wrapText="1"/>
    </xf>
    <xf numFmtId="0" fontId="24" fillId="0" borderId="0" xfId="1" applyFont="1" applyFill="1" applyBorder="1" applyAlignment="1">
      <alignment horizontal="center" wrapText="1"/>
    </xf>
    <xf numFmtId="165" fontId="6" fillId="0" borderId="0" xfId="0" applyNumberFormat="1" applyFont="1"/>
    <xf numFmtId="165" fontId="5" fillId="0" borderId="0" xfId="0" applyNumberFormat="1" applyFont="1"/>
    <xf numFmtId="165" fontId="4" fillId="2" borderId="1" xfId="0" applyNumberFormat="1" applyFont="1" applyFill="1" applyBorder="1" applyAlignment="1">
      <alignment horizontal="left"/>
    </xf>
    <xf numFmtId="165" fontId="4" fillId="2" borderId="4" xfId="0" applyNumberFormat="1" applyFont="1" applyFill="1" applyBorder="1" applyAlignment="1">
      <alignment horizontal="left"/>
    </xf>
    <xf numFmtId="165" fontId="24" fillId="3" borderId="3" xfId="1" applyNumberFormat="1" applyFont="1" applyBorder="1" applyAlignment="1">
      <alignment horizontal="left" wrapText="1"/>
    </xf>
    <xf numFmtId="165" fontId="5" fillId="0" borderId="0" xfId="0" applyNumberFormat="1" applyFont="1" applyFill="1"/>
    <xf numFmtId="165" fontId="0" fillId="0" borderId="0" xfId="0" applyNumberFormat="1" applyFill="1"/>
    <xf numFmtId="165" fontId="0" fillId="0" borderId="0" xfId="0" applyNumberFormat="1"/>
    <xf numFmtId="165" fontId="24" fillId="3" borderId="3" xfId="1" applyNumberFormat="1" applyFont="1" applyBorder="1" applyAlignment="1">
      <alignment horizontal="center" wrapText="1"/>
    </xf>
    <xf numFmtId="165" fontId="0" fillId="0" borderId="0" xfId="0" applyNumberFormat="1" applyFill="1" applyAlignment="1">
      <alignment wrapText="1"/>
    </xf>
    <xf numFmtId="165" fontId="6" fillId="0" borderId="0" xfId="10" applyNumberFormat="1" applyFont="1"/>
    <xf numFmtId="165" fontId="5" fillId="0" borderId="0" xfId="10" applyNumberFormat="1" applyFont="1"/>
    <xf numFmtId="165" fontId="4" fillId="2" borderId="1" xfId="10" applyNumberFormat="1" applyFont="1" applyFill="1" applyBorder="1" applyAlignment="1">
      <alignment horizontal="left"/>
    </xf>
    <xf numFmtId="165" fontId="4" fillId="2" borderId="4" xfId="10" applyNumberFormat="1" applyFont="1" applyFill="1" applyBorder="1" applyAlignment="1">
      <alignment horizontal="left"/>
    </xf>
    <xf numFmtId="165" fontId="5" fillId="0" borderId="0" xfId="10" applyNumberFormat="1" applyFont="1" applyFill="1"/>
    <xf numFmtId="165" fontId="5" fillId="0" borderId="0" xfId="10" applyNumberFormat="1" applyFill="1"/>
    <xf numFmtId="165" fontId="5" fillId="0" borderId="0" xfId="10" applyNumberFormat="1"/>
    <xf numFmtId="165" fontId="5" fillId="0" borderId="0" xfId="10" applyNumberFormat="1" applyFill="1" applyAlignment="1">
      <alignment wrapText="1"/>
    </xf>
    <xf numFmtId="0" fontId="15" fillId="0" borderId="9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0" borderId="0" xfId="0"/>
    <xf numFmtId="0" fontId="5" fillId="0" borderId="0" xfId="0" applyFont="1"/>
    <xf numFmtId="0" fontId="4" fillId="0" borderId="0" xfId="0" applyFont="1"/>
    <xf numFmtId="0" fontId="29" fillId="0" borderId="0" xfId="0" applyFont="1"/>
  </cellXfs>
  <cellStyles count="48">
    <cellStyle name="20% - Accent5" xfId="1" builtinId="46"/>
    <cellStyle name="20% - Accent5 2" xfId="45" xr:uid="{33618A10-0209-4694-84C7-FCD50ABC6D98}"/>
    <cellStyle name="20% - Accent5 3" xfId="36" xr:uid="{E72323D3-B405-4824-8238-F8602854BDF2}"/>
    <cellStyle name="20% - Accent5 4" xfId="31" xr:uid="{70D2ECA2-A948-4E50-8E74-90C02BBAA6FC}"/>
    <cellStyle name="20% - Accent5 5" xfId="28" xr:uid="{E89B443B-AA03-4875-BD97-9ACE46B167CE}"/>
    <cellStyle name="60% - Accent2" xfId="2" builtinId="36"/>
    <cellStyle name="Accent1" xfId="3" builtinId="29"/>
    <cellStyle name="Accent2" xfId="4" builtinId="33"/>
    <cellStyle name="Calculation" xfId="5" builtinId="22"/>
    <cellStyle name="Comma 2" xfId="6" xr:uid="{00000000-0005-0000-0000-000005000000}"/>
    <cellStyle name="Comma 2 2" xfId="46" xr:uid="{6E0943FD-0CF8-4F58-9188-56D774FB67EA}"/>
    <cellStyle name="Comma 2 3" xfId="37" xr:uid="{A0268442-CCCD-4775-BA20-C2015DCD0E4F}"/>
    <cellStyle name="Comma 2 4" xfId="32" xr:uid="{A5CF51B7-B31B-497F-8E72-C29E9E72CA76}"/>
    <cellStyle name="Comma 2 5" xfId="29" xr:uid="{995172B9-54FD-441E-A85D-8DE8908D2FA4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8 2" xfId="47" xr:uid="{2603B929-B8DF-4795-ABA9-64733D98D8D5}"/>
    <cellStyle name="Normal 8 3" xfId="38" xr:uid="{7BA040E5-02B8-44D4-9B25-161E6E845B10}"/>
    <cellStyle name="Normal 8 4" xfId="33" xr:uid="{E4E42A5F-44AC-43F1-B2CC-FF58BA625295}"/>
    <cellStyle name="Normal 8 5" xfId="30" xr:uid="{496D5D01-A4F4-44C3-AFD1-91642FD71525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3 2" xfId="20" xr:uid="{00000000-0005-0000-0000-000014000000}"/>
    <cellStyle name="Percent 3 2 2" xfId="40" xr:uid="{436DCEDD-2AC9-4619-8D45-AE0FE64B2AB4}"/>
    <cellStyle name="Percent 3 3" xfId="21" xr:uid="{00000000-0005-0000-0000-000015000000}"/>
    <cellStyle name="Percent 3 4" xfId="39" xr:uid="{9F3B7F4C-4876-4BE4-8427-C0A57D549566}"/>
    <cellStyle name="Percent 3 5" xfId="34" xr:uid="{E679CF1D-D1DB-4FF6-B43D-54AA8BC43599}"/>
    <cellStyle name="Percent 4" xfId="22" xr:uid="{00000000-0005-0000-0000-000016000000}"/>
    <cellStyle name="Percent 4 2" xfId="23" xr:uid="{00000000-0005-0000-0000-000017000000}"/>
    <cellStyle name="Percent 4 2 2" xfId="42" xr:uid="{DC9F1710-0F87-4D30-B022-E7AA7288C065}"/>
    <cellStyle name="Percent 4 3" xfId="24" xr:uid="{00000000-0005-0000-0000-000018000000}"/>
    <cellStyle name="Percent 4 4" xfId="41" xr:uid="{E6333CA7-1276-412B-8ACE-533AB2275DB7}"/>
    <cellStyle name="Percent 4 5" xfId="35" xr:uid="{C2632AC1-CCAE-483B-86F1-BBE3CA2207CB}"/>
    <cellStyle name="Percent 5" xfId="25" xr:uid="{00000000-0005-0000-0000-000019000000}"/>
    <cellStyle name="Percent 5 2" xfId="43" xr:uid="{43ADA0AD-E148-4D92-9954-A8DE19A3E55D}"/>
    <cellStyle name="Percent 6" xfId="26" xr:uid="{00000000-0005-0000-0000-00001A000000}"/>
    <cellStyle name="Percent 6 2" xfId="44" xr:uid="{BCC8BB23-3A3C-45A3-AABC-35339AD81EF9}"/>
    <cellStyle name="Standard_Sce_D_Extraction" xfId="27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C3ED6D-6520-4308-9175-0561C7697D0E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D34904-D34D-4EDE-8D1E-85AF0585E02F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19050</xdr:rowOff>
    </xdr:from>
    <xdr:to>
      <xdr:col>2</xdr:col>
      <xdr:colOff>285750</xdr:colOff>
      <xdr:row>38</xdr:row>
      <xdr:rowOff>152400</xdr:rowOff>
    </xdr:to>
    <xdr:pic>
      <xdr:nvPicPr>
        <xdr:cNvPr id="55412" name="Picture 6">
          <a:extLst>
            <a:ext uri="{FF2B5EF4-FFF2-40B4-BE49-F238E27FC236}">
              <a16:creationId xmlns:a16="http://schemas.microsoft.com/office/drawing/2014/main" id="{1F351C79-9659-4983-ACFF-88B9EEFA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27</xdr:row>
      <xdr:rowOff>0</xdr:rowOff>
    </xdr:from>
    <xdr:to>
      <xdr:col>14</xdr:col>
      <xdr:colOff>561975</xdr:colOff>
      <xdr:row>33</xdr:row>
      <xdr:rowOff>142875</xdr:rowOff>
    </xdr:to>
    <xdr:pic>
      <xdr:nvPicPr>
        <xdr:cNvPr id="55413" name="Picture 15">
          <a:extLst>
            <a:ext uri="{FF2B5EF4-FFF2-40B4-BE49-F238E27FC236}">
              <a16:creationId xmlns:a16="http://schemas.microsoft.com/office/drawing/2014/main" id="{E3CB9E66-07EB-49BB-AF23-376614774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62</xdr:row>
      <xdr:rowOff>0</xdr:rowOff>
    </xdr:from>
    <xdr:to>
      <xdr:col>8</xdr:col>
      <xdr:colOff>561975</xdr:colOff>
      <xdr:row>69</xdr:row>
      <xdr:rowOff>57150</xdr:rowOff>
    </xdr:to>
    <xdr:pic>
      <xdr:nvPicPr>
        <xdr:cNvPr id="55414" name="Picture 7">
          <a:extLst>
            <a:ext uri="{FF2B5EF4-FFF2-40B4-BE49-F238E27FC236}">
              <a16:creationId xmlns:a16="http://schemas.microsoft.com/office/drawing/2014/main" id="{1425C58E-B700-4A9A-AA67-96B1DB448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93</xdr:row>
      <xdr:rowOff>47625</xdr:rowOff>
    </xdr:from>
    <xdr:to>
      <xdr:col>9</xdr:col>
      <xdr:colOff>466725</xdr:colOff>
      <xdr:row>105</xdr:row>
      <xdr:rowOff>142875</xdr:rowOff>
    </xdr:to>
    <xdr:pic>
      <xdr:nvPicPr>
        <xdr:cNvPr id="55415" name="Picture 18">
          <a:extLst>
            <a:ext uri="{FF2B5EF4-FFF2-40B4-BE49-F238E27FC236}">
              <a16:creationId xmlns:a16="http://schemas.microsoft.com/office/drawing/2014/main" id="{312625E0-96DD-40AD-85F9-DF769C777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69</xdr:row>
      <xdr:rowOff>57150</xdr:rowOff>
    </xdr:from>
    <xdr:to>
      <xdr:col>8</xdr:col>
      <xdr:colOff>361950</xdr:colOff>
      <xdr:row>76</xdr:row>
      <xdr:rowOff>95250</xdr:rowOff>
    </xdr:to>
    <xdr:pic>
      <xdr:nvPicPr>
        <xdr:cNvPr id="55416" name="Picture 19">
          <a:extLst>
            <a:ext uri="{FF2B5EF4-FFF2-40B4-BE49-F238E27FC236}">
              <a16:creationId xmlns:a16="http://schemas.microsoft.com/office/drawing/2014/main" id="{5EE586FE-C8F1-4C25-ACB8-2C2FCCE65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76</xdr:row>
      <xdr:rowOff>95250</xdr:rowOff>
    </xdr:from>
    <xdr:to>
      <xdr:col>8</xdr:col>
      <xdr:colOff>361950</xdr:colOff>
      <xdr:row>83</xdr:row>
      <xdr:rowOff>133350</xdr:rowOff>
    </xdr:to>
    <xdr:pic>
      <xdr:nvPicPr>
        <xdr:cNvPr id="55417" name="Picture 20">
          <a:extLst>
            <a:ext uri="{FF2B5EF4-FFF2-40B4-BE49-F238E27FC236}">
              <a16:creationId xmlns:a16="http://schemas.microsoft.com/office/drawing/2014/main" id="{CA3DE0D0-F2DB-4111-AB47-721DAE23F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83</xdr:row>
      <xdr:rowOff>123825</xdr:rowOff>
    </xdr:from>
    <xdr:to>
      <xdr:col>9</xdr:col>
      <xdr:colOff>0</xdr:colOff>
      <xdr:row>93</xdr:row>
      <xdr:rowOff>47625</xdr:rowOff>
    </xdr:to>
    <xdr:pic>
      <xdr:nvPicPr>
        <xdr:cNvPr id="55418" name="Picture 21">
          <a:extLst>
            <a:ext uri="{FF2B5EF4-FFF2-40B4-BE49-F238E27FC236}">
              <a16:creationId xmlns:a16="http://schemas.microsoft.com/office/drawing/2014/main" id="{C4B0A90C-F268-473C-A125-F71EF6547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53</xdr:row>
      <xdr:rowOff>133350</xdr:rowOff>
    </xdr:from>
    <xdr:to>
      <xdr:col>10</xdr:col>
      <xdr:colOff>28575</xdr:colOff>
      <xdr:row>62</xdr:row>
      <xdr:rowOff>9525</xdr:rowOff>
    </xdr:to>
    <xdr:pic>
      <xdr:nvPicPr>
        <xdr:cNvPr id="55419" name="Picture 22">
          <a:extLst>
            <a:ext uri="{FF2B5EF4-FFF2-40B4-BE49-F238E27FC236}">
              <a16:creationId xmlns:a16="http://schemas.microsoft.com/office/drawing/2014/main" id="{C668189F-64CE-4C9A-93E1-D298D3A7C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39</xdr:row>
      <xdr:rowOff>161925</xdr:rowOff>
    </xdr:from>
    <xdr:to>
      <xdr:col>11</xdr:col>
      <xdr:colOff>9525</xdr:colOff>
      <xdr:row>53</xdr:row>
      <xdr:rowOff>133350</xdr:rowOff>
    </xdr:to>
    <xdr:pic>
      <xdr:nvPicPr>
        <xdr:cNvPr id="55420" name="Picture 23">
          <a:extLst>
            <a:ext uri="{FF2B5EF4-FFF2-40B4-BE49-F238E27FC236}">
              <a16:creationId xmlns:a16="http://schemas.microsoft.com/office/drawing/2014/main" id="{B1B2825D-542B-4EC4-8AE1-9D01A7DF8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19050</xdr:rowOff>
    </xdr:from>
    <xdr:to>
      <xdr:col>9</xdr:col>
      <xdr:colOff>419100</xdr:colOff>
      <xdr:row>39</xdr:row>
      <xdr:rowOff>161925</xdr:rowOff>
    </xdr:to>
    <xdr:pic>
      <xdr:nvPicPr>
        <xdr:cNvPr id="55421" name="Picture 24">
          <a:extLst>
            <a:ext uri="{FF2B5EF4-FFF2-40B4-BE49-F238E27FC236}">
              <a16:creationId xmlns:a16="http://schemas.microsoft.com/office/drawing/2014/main" id="{EC00803C-B0B0-4059-9362-185FBC414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34</xdr:row>
      <xdr:rowOff>85725</xdr:rowOff>
    </xdr:from>
    <xdr:to>
      <xdr:col>17</xdr:col>
      <xdr:colOff>180975</xdr:colOff>
      <xdr:row>48</xdr:row>
      <xdr:rowOff>104775</xdr:rowOff>
    </xdr:to>
    <xdr:pic>
      <xdr:nvPicPr>
        <xdr:cNvPr id="55422" name="Picture 25">
          <a:extLst>
            <a:ext uri="{FF2B5EF4-FFF2-40B4-BE49-F238E27FC236}">
              <a16:creationId xmlns:a16="http://schemas.microsoft.com/office/drawing/2014/main" id="{DD4DAAEC-11CC-486D-8A6B-AFCEEA44A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48</xdr:row>
      <xdr:rowOff>114300</xdr:rowOff>
    </xdr:from>
    <xdr:to>
      <xdr:col>17</xdr:col>
      <xdr:colOff>28575</xdr:colOff>
      <xdr:row>61</xdr:row>
      <xdr:rowOff>85725</xdr:rowOff>
    </xdr:to>
    <xdr:pic>
      <xdr:nvPicPr>
        <xdr:cNvPr id="55423" name="Picture 26">
          <a:extLst>
            <a:ext uri="{FF2B5EF4-FFF2-40B4-BE49-F238E27FC236}">
              <a16:creationId xmlns:a16="http://schemas.microsoft.com/office/drawing/2014/main" id="{D0B8F230-D4F0-43D5-8E88-9C84994FA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61</xdr:row>
      <xdr:rowOff>95250</xdr:rowOff>
    </xdr:from>
    <xdr:to>
      <xdr:col>17</xdr:col>
      <xdr:colOff>66675</xdr:colOff>
      <xdr:row>74</xdr:row>
      <xdr:rowOff>95250</xdr:rowOff>
    </xdr:to>
    <xdr:pic>
      <xdr:nvPicPr>
        <xdr:cNvPr id="55424" name="Picture 27">
          <a:extLst>
            <a:ext uri="{FF2B5EF4-FFF2-40B4-BE49-F238E27FC236}">
              <a16:creationId xmlns:a16="http://schemas.microsoft.com/office/drawing/2014/main" id="{42BA2148-A1DF-450D-A03B-BF51A387F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74</xdr:row>
      <xdr:rowOff>104775</xdr:rowOff>
    </xdr:from>
    <xdr:to>
      <xdr:col>16</xdr:col>
      <xdr:colOff>85725</xdr:colOff>
      <xdr:row>86</xdr:row>
      <xdr:rowOff>85725</xdr:rowOff>
    </xdr:to>
    <xdr:pic>
      <xdr:nvPicPr>
        <xdr:cNvPr id="55425" name="Picture 28">
          <a:extLst>
            <a:ext uri="{FF2B5EF4-FFF2-40B4-BE49-F238E27FC236}">
              <a16:creationId xmlns:a16="http://schemas.microsoft.com/office/drawing/2014/main" id="{E142EA7B-F3C8-4781-B542-026517AD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86</xdr:row>
      <xdr:rowOff>95250</xdr:rowOff>
    </xdr:from>
    <xdr:to>
      <xdr:col>17</xdr:col>
      <xdr:colOff>200025</xdr:colOff>
      <xdr:row>100</xdr:row>
      <xdr:rowOff>57150</xdr:rowOff>
    </xdr:to>
    <xdr:pic>
      <xdr:nvPicPr>
        <xdr:cNvPr id="55426" name="Picture 29">
          <a:extLst>
            <a:ext uri="{FF2B5EF4-FFF2-40B4-BE49-F238E27FC236}">
              <a16:creationId xmlns:a16="http://schemas.microsoft.com/office/drawing/2014/main" id="{7E62648D-E66A-4EC1-A7C1-53A3073A1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100</xdr:row>
      <xdr:rowOff>57150</xdr:rowOff>
    </xdr:from>
    <xdr:to>
      <xdr:col>15</xdr:col>
      <xdr:colOff>190500</xdr:colOff>
      <xdr:row>108</xdr:row>
      <xdr:rowOff>152400</xdr:rowOff>
    </xdr:to>
    <xdr:pic>
      <xdr:nvPicPr>
        <xdr:cNvPr id="55427" name="Picture 30">
          <a:extLst>
            <a:ext uri="{FF2B5EF4-FFF2-40B4-BE49-F238E27FC236}">
              <a16:creationId xmlns:a16="http://schemas.microsoft.com/office/drawing/2014/main" id="{BD785486-F000-4BAA-9FB6-70F7455A4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108</xdr:row>
      <xdr:rowOff>114300</xdr:rowOff>
    </xdr:from>
    <xdr:to>
      <xdr:col>17</xdr:col>
      <xdr:colOff>38100</xdr:colOff>
      <xdr:row>121</xdr:row>
      <xdr:rowOff>38100</xdr:rowOff>
    </xdr:to>
    <xdr:pic>
      <xdr:nvPicPr>
        <xdr:cNvPr id="55428" name="Picture 31">
          <a:extLst>
            <a:ext uri="{FF2B5EF4-FFF2-40B4-BE49-F238E27FC236}">
              <a16:creationId xmlns:a16="http://schemas.microsoft.com/office/drawing/2014/main" id="{20DD60C4-F53F-49B0-8AAD-C2A874DE6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13</xdr:col>
      <xdr:colOff>393219</xdr:colOff>
      <xdr:row>19</xdr:row>
      <xdr:rowOff>148840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7D7620-6ADF-41FB-9665-FF84A79C4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543300" y="171450"/>
          <a:ext cx="5041419" cy="33492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6F6618-88F8-4D3F-9E41-24BAA5DC8E6C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9547EB-5C40-4127-B05C-2C4E0CE3EC1B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855142-629A-4629-BA67-694234ACAA03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F11A76-A42D-4090-92A2-DA3A93012551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528288-8363-4422-AC3C-B9CBE8C270C5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E482F1-F4E8-4017-933E-07AB15062003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90174-3877-4ABB-9F27-5A509D0BA529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476E29-0364-4160-95BB-E97676035F75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3" t="s">
        <v>44</v>
      </c>
      <c r="E2" s="53" t="s">
        <v>45</v>
      </c>
      <c r="F2" s="53" t="s">
        <v>46</v>
      </c>
      <c r="G2" s="53" t="s">
        <v>101</v>
      </c>
      <c r="H2" s="53" t="s">
        <v>102</v>
      </c>
      <c r="I2" s="53" t="s">
        <v>103</v>
      </c>
      <c r="J2" s="53" t="s">
        <v>104</v>
      </c>
      <c r="K2" s="53" t="s">
        <v>105</v>
      </c>
      <c r="L2" s="53" t="s">
        <v>106</v>
      </c>
      <c r="M2" s="53" t="s">
        <v>107</v>
      </c>
      <c r="N2" s="53" t="s">
        <v>47</v>
      </c>
      <c r="O2" s="53" t="s">
        <v>132</v>
      </c>
      <c r="P2" s="53" t="s">
        <v>133</v>
      </c>
      <c r="Q2" s="53" t="s">
        <v>134</v>
      </c>
      <c r="R2" s="53" t="s">
        <v>135</v>
      </c>
      <c r="S2" s="53" t="s">
        <v>48</v>
      </c>
      <c r="T2" s="53" t="s">
        <v>49</v>
      </c>
      <c r="U2" s="53" t="s">
        <v>50</v>
      </c>
      <c r="V2" s="53"/>
      <c r="X2" s="7"/>
      <c r="Y2" s="68" t="s">
        <v>123</v>
      </c>
      <c r="Z2" s="15" t="s">
        <v>77</v>
      </c>
      <c r="AA2" s="15" t="s">
        <v>94</v>
      </c>
    </row>
    <row r="3" spans="1:27" ht="38.25" x14ac:dyDescent="0.2">
      <c r="C3" s="100" t="s">
        <v>140</v>
      </c>
      <c r="D3" s="54" t="s">
        <v>51</v>
      </c>
      <c r="E3" s="54" t="s">
        <v>52</v>
      </c>
      <c r="F3" s="54" t="s">
        <v>121</v>
      </c>
      <c r="G3" s="54" t="s">
        <v>114</v>
      </c>
      <c r="H3" s="54" t="s">
        <v>108</v>
      </c>
      <c r="I3" s="54" t="s">
        <v>103</v>
      </c>
      <c r="J3" s="54" t="s">
        <v>109</v>
      </c>
      <c r="K3" s="54" t="s">
        <v>110</v>
      </c>
      <c r="L3" s="54" t="s">
        <v>111</v>
      </c>
      <c r="M3" s="54" t="s">
        <v>112</v>
      </c>
      <c r="N3" s="54" t="s">
        <v>53</v>
      </c>
      <c r="O3" s="54" t="s">
        <v>136</v>
      </c>
      <c r="P3" s="54" t="s">
        <v>137</v>
      </c>
      <c r="Q3" s="54" t="s">
        <v>138</v>
      </c>
      <c r="R3" s="54" t="s">
        <v>139</v>
      </c>
      <c r="S3" s="54" t="s">
        <v>54</v>
      </c>
      <c r="T3" s="54" t="s">
        <v>55</v>
      </c>
      <c r="U3" s="54" t="s">
        <v>83</v>
      </c>
      <c r="V3" s="54" t="s">
        <v>56</v>
      </c>
    </row>
    <row r="4" spans="1:27" x14ac:dyDescent="0.2">
      <c r="C4" s="88" t="s">
        <v>57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90"/>
    </row>
    <row r="5" spans="1:27" ht="15" x14ac:dyDescent="0.25">
      <c r="B5" s="55" t="s">
        <v>58</v>
      </c>
      <c r="C5" s="91" t="s">
        <v>59</v>
      </c>
      <c r="D5" s="56">
        <f>[2]EB2!D5</f>
        <v>2834.4252999999999</v>
      </c>
      <c r="E5" s="56">
        <f>[2]EB2!E5</f>
        <v>4739.6981999999998</v>
      </c>
      <c r="F5" s="56">
        <f>[2]EB2!F5</f>
        <v>2686.252</v>
      </c>
      <c r="G5" s="56">
        <f>[2]EB2!G5</f>
        <v>6.4000000000000001E-2</v>
      </c>
      <c r="H5" s="56">
        <f>[2]EB2!H5</f>
        <v>0</v>
      </c>
      <c r="I5" s="56">
        <f>[2]EB2!I5</f>
        <v>0</v>
      </c>
      <c r="J5" s="56">
        <f>[2]EB2!J5</f>
        <v>0</v>
      </c>
      <c r="K5" s="56">
        <f>[2]EB2!K5</f>
        <v>0</v>
      </c>
      <c r="L5" s="56">
        <f>[2]EB2!L5</f>
        <v>0</v>
      </c>
      <c r="M5" s="56">
        <f>[2]EB2!M5</f>
        <v>0</v>
      </c>
      <c r="N5" s="56">
        <f>[2]EB2!N5</f>
        <v>5445</v>
      </c>
      <c r="O5" s="56">
        <f>[2]EB2!O5</f>
        <v>753.98999999999978</v>
      </c>
      <c r="P5" s="56">
        <f>[2]EB2!P5</f>
        <v>502.66000000000008</v>
      </c>
      <c r="Q5" s="56">
        <f>[2]EB2!Q5</f>
        <v>490.09350000000001</v>
      </c>
      <c r="R5" s="56">
        <f>[2]EB2!R5</f>
        <v>125.66500000000008</v>
      </c>
      <c r="S5" s="57">
        <f>[2]EB2!S5</f>
        <v>0</v>
      </c>
      <c r="T5" s="57">
        <f>[2]EB2!T5</f>
        <v>0</v>
      </c>
      <c r="U5" s="56">
        <f>[2]EB2!U5</f>
        <v>0</v>
      </c>
      <c r="V5" s="92">
        <f>SUM(D5:U5)</f>
        <v>17577.847999999998</v>
      </c>
      <c r="X5" s="9"/>
    </row>
    <row r="6" spans="1:27" ht="15" x14ac:dyDescent="0.25">
      <c r="B6" s="55" t="s">
        <v>60</v>
      </c>
      <c r="C6" s="91" t="s">
        <v>61</v>
      </c>
      <c r="D6" s="56">
        <f>[2]EB2!D6</f>
        <v>2261.9348499999996</v>
      </c>
      <c r="E6" s="56">
        <f>[2]EB2!E6</f>
        <v>7975.0373999999993</v>
      </c>
      <c r="F6" s="56">
        <f>[2]EB2!F6</f>
        <v>13824.328000000001</v>
      </c>
      <c r="G6" s="56">
        <f>[2]EB2!G6</f>
        <v>2204.8490000000002</v>
      </c>
      <c r="H6" s="56">
        <f>[2]EB2!H6</f>
        <v>604.98850000000004</v>
      </c>
      <c r="I6" s="56">
        <f>[2]EB2!I6</f>
        <v>326.12950000000001</v>
      </c>
      <c r="J6" s="56">
        <f>[2]EB2!J6</f>
        <v>660</v>
      </c>
      <c r="K6" s="56">
        <f>[2]EB2!K6</f>
        <v>683.1</v>
      </c>
      <c r="L6" s="56">
        <f>[2]EB2!L6</f>
        <v>1079.56</v>
      </c>
      <c r="M6" s="56">
        <f>[2]EB2!M6</f>
        <v>597.03499999999997</v>
      </c>
      <c r="N6" s="56">
        <f>[2]EB2!N6</f>
        <v>0</v>
      </c>
      <c r="O6" s="56">
        <f>[2]EB2!O6</f>
        <v>28.254750000000001</v>
      </c>
      <c r="P6" s="56">
        <f>[2]EB2!P6</f>
        <v>0</v>
      </c>
      <c r="Q6" s="56">
        <f>[2]EB2!Q6</f>
        <v>0</v>
      </c>
      <c r="R6" s="56">
        <f>[2]EB2!R6</f>
        <v>0</v>
      </c>
      <c r="S6" s="57">
        <f>[2]EB2!S6</f>
        <v>3.5000000000000001E-3</v>
      </c>
      <c r="T6" s="57">
        <f>[2]EB2!T6</f>
        <v>7.6499999999999999E-2</v>
      </c>
      <c r="U6" s="56">
        <f>[2]EB2!U6</f>
        <v>583.76</v>
      </c>
      <c r="V6" s="92">
        <f>SUM(D6:U6)</f>
        <v>30829.056999999997</v>
      </c>
    </row>
    <row r="7" spans="1:27" ht="15" x14ac:dyDescent="0.25">
      <c r="B7" s="55" t="s">
        <v>62</v>
      </c>
      <c r="C7" s="91" t="s">
        <v>63</v>
      </c>
      <c r="D7" s="56">
        <f>[2]EB2!D7</f>
        <v>-401.47415000000001</v>
      </c>
      <c r="E7" s="56">
        <f>[2]EB2!E7</f>
        <v>-1509.7986000000001</v>
      </c>
      <c r="F7" s="56">
        <f>[2]EB2!F7</f>
        <v>-1648.4854999999998</v>
      </c>
      <c r="G7" s="56">
        <f>[2]EB2!G7</f>
        <v>-1683.1424999999999</v>
      </c>
      <c r="H7" s="56">
        <f>[2]EB2!H7</f>
        <v>-295.38850000000002</v>
      </c>
      <c r="I7" s="56">
        <f>[2]EB2!I7</f>
        <v>-194.51650000000001</v>
      </c>
      <c r="J7" s="56">
        <f>[2]EB2!J7</f>
        <v>-1500.6420000000001</v>
      </c>
      <c r="K7" s="56">
        <f>[2]EB2!K7</f>
        <v>-400.84</v>
      </c>
      <c r="L7" s="56">
        <f>[2]EB2!L7</f>
        <v>-1239.28</v>
      </c>
      <c r="M7" s="56">
        <f>[2]EB2!M7</f>
        <v>-453.036</v>
      </c>
      <c r="N7" s="56">
        <f>[2]EB2!N7</f>
        <v>0</v>
      </c>
      <c r="O7" s="56">
        <f>[2]EB2!O7</f>
        <v>-18.100999999999999</v>
      </c>
      <c r="P7" s="56">
        <f>[2]EB2!P7</f>
        <v>0</v>
      </c>
      <c r="Q7" s="56">
        <f>[2]EB2!Q7</f>
        <v>0</v>
      </c>
      <c r="R7" s="56">
        <f>[2]EB2!R7</f>
        <v>0</v>
      </c>
      <c r="S7" s="57">
        <f>[2]EB2!S7</f>
        <v>0</v>
      </c>
      <c r="T7" s="57">
        <f>[2]EB2!T7</f>
        <v>-6.4500000000000002E-2</v>
      </c>
      <c r="U7" s="56">
        <f>[2]EB2!U7</f>
        <v>-563.40200000000004</v>
      </c>
      <c r="V7" s="92">
        <f>SUM(D7:U7)</f>
        <v>-9908.1712500000012</v>
      </c>
      <c r="X7" s="9"/>
    </row>
    <row r="8" spans="1:27" ht="15" x14ac:dyDescent="0.25">
      <c r="B8" s="86" t="s">
        <v>129</v>
      </c>
      <c r="C8" s="59" t="s">
        <v>130</v>
      </c>
      <c r="D8" s="60">
        <f>SUM(D5:D7)</f>
        <v>4694.8859999999995</v>
      </c>
      <c r="E8" s="61">
        <f t="shared" ref="E8:U8" si="0">SUM(E5:E7)</f>
        <v>11204.937</v>
      </c>
      <c r="F8" s="61">
        <f t="shared" si="0"/>
        <v>14862.094500000003</v>
      </c>
      <c r="G8" s="61">
        <f t="shared" si="0"/>
        <v>521.77050000000008</v>
      </c>
      <c r="H8" s="61">
        <f t="shared" si="0"/>
        <v>309.60000000000002</v>
      </c>
      <c r="I8" s="61">
        <f t="shared" si="0"/>
        <v>131.613</v>
      </c>
      <c r="J8" s="61">
        <f t="shared" si="0"/>
        <v>-840.64200000000005</v>
      </c>
      <c r="K8" s="61">
        <f t="shared" si="0"/>
        <v>282.26000000000005</v>
      </c>
      <c r="L8" s="61">
        <f t="shared" si="0"/>
        <v>-159.72000000000003</v>
      </c>
      <c r="M8" s="61">
        <f t="shared" si="0"/>
        <v>143.99899999999997</v>
      </c>
      <c r="N8" s="61">
        <f t="shared" si="0"/>
        <v>5445</v>
      </c>
      <c r="O8" s="61">
        <f t="shared" si="0"/>
        <v>764.14374999999984</v>
      </c>
      <c r="P8" s="61"/>
      <c r="Q8" s="61"/>
      <c r="R8" s="61"/>
      <c r="S8" s="61">
        <f t="shared" si="0"/>
        <v>3.5000000000000001E-3</v>
      </c>
      <c r="T8" s="61">
        <f t="shared" si="0"/>
        <v>1.1999999999999997E-2</v>
      </c>
      <c r="U8" s="61">
        <f t="shared" si="0"/>
        <v>20.357999999999947</v>
      </c>
      <c r="V8" s="62">
        <f>SUM(V5:V7)</f>
        <v>38498.733749999999</v>
      </c>
    </row>
    <row r="9" spans="1:27" x14ac:dyDescent="0.2">
      <c r="B9" s="58"/>
      <c r="C9" s="93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4"/>
    </row>
    <row r="10" spans="1:27" x14ac:dyDescent="0.2">
      <c r="B10" s="55" t="s">
        <v>65</v>
      </c>
      <c r="C10" s="63" t="s">
        <v>66</v>
      </c>
      <c r="D10" s="64">
        <f>[2]EB2!D10</f>
        <v>-20.173299999999998</v>
      </c>
      <c r="E10" s="64">
        <f>[2]EB2!E10</f>
        <v>-475.78800000000001</v>
      </c>
      <c r="F10" s="64">
        <f>[2]EB2!F10</f>
        <v>0</v>
      </c>
      <c r="G10" s="64">
        <f>[2]EB2!G10</f>
        <v>-16.283999999999999</v>
      </c>
      <c r="H10" s="64">
        <f>[2]EB2!H10</f>
        <v>-2.1499999999999998E-2</v>
      </c>
      <c r="I10" s="64">
        <f>[2]EB2!I10</f>
        <v>-528.76099999999997</v>
      </c>
      <c r="J10" s="64">
        <f>[2]EB2!J10</f>
        <v>-164.50800000000001</v>
      </c>
      <c r="K10" s="64">
        <f>[2]EB2!K10</f>
        <v>-0.61599999999999999</v>
      </c>
      <c r="L10" s="64">
        <f>[2]EB2!L10</f>
        <v>-205.88</v>
      </c>
      <c r="M10" s="64">
        <f>[2]EB2!M10</f>
        <v>0</v>
      </c>
      <c r="N10" s="64">
        <f>[2]EB2!N10</f>
        <v>0</v>
      </c>
      <c r="O10" s="64">
        <f>[2]EB2!O10</f>
        <v>-1.0707500000000003</v>
      </c>
      <c r="P10" s="64">
        <f>[2]EB2!P10</f>
        <v>0</v>
      </c>
      <c r="Q10" s="64">
        <f>[2]EB2!Q10</f>
        <v>0</v>
      </c>
      <c r="R10" s="64">
        <f>[2]EB2!R10</f>
        <v>0</v>
      </c>
      <c r="S10" s="64">
        <f>[2]EB2!S10</f>
        <v>-0.76</v>
      </c>
      <c r="T10" s="64">
        <f>[2]EB2!T10</f>
        <v>0</v>
      </c>
      <c r="U10" s="64">
        <f>[2]EB2!U10</f>
        <v>0</v>
      </c>
      <c r="V10" s="95">
        <f>SUM(D10:U10)</f>
        <v>-1413.8625499999998</v>
      </c>
    </row>
    <row r="11" spans="1:27" x14ac:dyDescent="0.2">
      <c r="B11" s="55" t="s">
        <v>50</v>
      </c>
      <c r="C11" s="65" t="s">
        <v>67</v>
      </c>
      <c r="D11" s="64">
        <f>[2]EB2!D11</f>
        <v>-3359.3419999999996</v>
      </c>
      <c r="E11" s="64">
        <f>[2]EB2!E11</f>
        <v>-3381.3263999999999</v>
      </c>
      <c r="F11" s="64">
        <f>[2]EB2!F11</f>
        <v>0</v>
      </c>
      <c r="G11" s="64">
        <f>[2]EB2!G11</f>
        <v>-30.160499999999999</v>
      </c>
      <c r="H11" s="64">
        <f>[2]EB2!H11</f>
        <v>0</v>
      </c>
      <c r="I11" s="64">
        <f>[2]EB2!I11</f>
        <v>-23.835000000000001</v>
      </c>
      <c r="J11" s="64">
        <f>[2]EB2!J11</f>
        <v>0</v>
      </c>
      <c r="K11" s="64">
        <f>[2]EB2!K11</f>
        <v>0</v>
      </c>
      <c r="L11" s="64">
        <f>[2]EB2!L11</f>
        <v>-524.78</v>
      </c>
      <c r="M11" s="64">
        <f>[2]EB2!M11</f>
        <v>-33.529000000000003</v>
      </c>
      <c r="N11" s="64">
        <f>[2]EB2!N11</f>
        <v>-5445</v>
      </c>
      <c r="O11" s="64">
        <f>[2]EB2!O11</f>
        <v>-175.75306250000006</v>
      </c>
      <c r="P11" s="64">
        <f>[2]EB2!P11</f>
        <v>-502.66000000000008</v>
      </c>
      <c r="Q11" s="64">
        <f>[2]EB2!Q11</f>
        <v>-490.09350000000001</v>
      </c>
      <c r="R11" s="64">
        <f>[2]EB2!R11</f>
        <v>-68</v>
      </c>
      <c r="S11" s="64">
        <f>[2]EB2!S11</f>
        <v>-16.474499999999999</v>
      </c>
      <c r="T11" s="64">
        <f>[2]EB2!T11</f>
        <v>868.77949999999998</v>
      </c>
      <c r="U11" s="64">
        <f>[2]EB2!U11</f>
        <v>5790.5</v>
      </c>
      <c r="V11" s="95">
        <f>SUM(D11:U11)</f>
        <v>-7391.674462500001</v>
      </c>
    </row>
    <row r="12" spans="1:27" x14ac:dyDescent="0.2">
      <c r="B12" s="55" t="s">
        <v>68</v>
      </c>
      <c r="C12" s="65" t="s">
        <v>69</v>
      </c>
      <c r="D12" s="64">
        <f>[2]EB2!D12</f>
        <v>-56.488599999999991</v>
      </c>
      <c r="E12" s="64">
        <f>[2]EB2!E12</f>
        <v>-180.78059999999999</v>
      </c>
      <c r="F12" s="64">
        <f>[2]EB2!F12</f>
        <v>0</v>
      </c>
      <c r="G12" s="64">
        <f>[2]EB2!G12</f>
        <v>-7.6189999999999998</v>
      </c>
      <c r="H12" s="64">
        <f>[2]EB2!H12</f>
        <v>0</v>
      </c>
      <c r="I12" s="64">
        <f>[2]EB2!I12</f>
        <v>-0.23350000000000001</v>
      </c>
      <c r="J12" s="64">
        <f>[2]EB2!J12</f>
        <v>0</v>
      </c>
      <c r="K12" s="64">
        <f>[2]EB2!K12</f>
        <v>0</v>
      </c>
      <c r="L12" s="64">
        <f>[2]EB2!L12</f>
        <v>-15.2</v>
      </c>
      <c r="M12" s="64">
        <f>[2]EB2!M12</f>
        <v>-1.772</v>
      </c>
      <c r="N12" s="64">
        <f>[2]EB2!N12</f>
        <v>0</v>
      </c>
      <c r="O12" s="64">
        <f>[2]EB2!O12</f>
        <v>-35.051749999999998</v>
      </c>
      <c r="P12" s="64">
        <f>[2]EB2!P12</f>
        <v>0</v>
      </c>
      <c r="Q12" s="64">
        <f>[2]EB2!Q12</f>
        <v>0</v>
      </c>
      <c r="R12" s="64">
        <f>[2]EB2!R12</f>
        <v>0</v>
      </c>
      <c r="S12" s="64">
        <f>[2]EB2!S12</f>
        <v>-0.78449999999999998</v>
      </c>
      <c r="T12" s="64">
        <f>[2]EB2!T12</f>
        <v>329.37150000000003</v>
      </c>
      <c r="U12" s="64">
        <f>[2]EB2!U12</f>
        <v>0</v>
      </c>
      <c r="V12" s="95">
        <f>SUM(D12:U12)</f>
        <v>31.441550000000063</v>
      </c>
    </row>
    <row r="13" spans="1:27" ht="15" x14ac:dyDescent="0.25">
      <c r="B13" s="55" t="s">
        <v>70</v>
      </c>
      <c r="C13" s="65" t="s">
        <v>71</v>
      </c>
      <c r="D13" s="64">
        <f>[2]EB2!D13</f>
        <v>0</v>
      </c>
      <c r="E13" s="64">
        <f>[2]EB2!E13</f>
        <v>0</v>
      </c>
      <c r="F13" s="56">
        <f>[2]EB2!F13</f>
        <v>-15868.2305</v>
      </c>
      <c r="G13" s="56">
        <f>[2]EB2!G13</f>
        <v>5701.34</v>
      </c>
      <c r="H13" s="56">
        <f>[2]EB2!H13</f>
        <v>969.47799999999995</v>
      </c>
      <c r="I13" s="56">
        <f>[2]EB2!I13</f>
        <v>1086.3040000000001</v>
      </c>
      <c r="J13" s="56">
        <f>[2]EB2!J13</f>
        <v>3354.9119999999998</v>
      </c>
      <c r="K13" s="56">
        <f>[2]EB2!K13</f>
        <v>970.28800000000001</v>
      </c>
      <c r="L13" s="56">
        <f>[2]EB2!L13</f>
        <v>2285.1019999999999</v>
      </c>
      <c r="M13" s="56">
        <f>[2]EB2!M13</f>
        <v>1299.9449999999999</v>
      </c>
      <c r="N13" s="64">
        <f>[2]EB2!N13</f>
        <v>0</v>
      </c>
      <c r="O13" s="64">
        <f>[2]EB2!O13</f>
        <v>0</v>
      </c>
      <c r="P13" s="64">
        <f>[2]EB2!P13</f>
        <v>0</v>
      </c>
      <c r="Q13" s="64">
        <f>[2]EB2!Q13</f>
        <v>0</v>
      </c>
      <c r="R13" s="64">
        <f>[2]EB2!R13</f>
        <v>0</v>
      </c>
      <c r="S13" s="64">
        <f>[2]EB2!S13</f>
        <v>0</v>
      </c>
      <c r="T13" s="64">
        <f>[2]EB2!T13</f>
        <v>0</v>
      </c>
      <c r="U13" s="64">
        <f>[2]EB2!U13</f>
        <v>0</v>
      </c>
      <c r="V13" s="95">
        <f>SUM(D13:U13)</f>
        <v>-200.86150000000021</v>
      </c>
    </row>
    <row r="14" spans="1:27" ht="15" x14ac:dyDescent="0.25">
      <c r="B14" s="58"/>
      <c r="C14" s="59" t="s">
        <v>72</v>
      </c>
      <c r="D14" s="67">
        <f>SUM(D10:D13)</f>
        <v>-3436.0038999999997</v>
      </c>
      <c r="E14" s="61">
        <f t="shared" ref="E14:U14" si="1">SUM(E10:E13)</f>
        <v>-4037.895</v>
      </c>
      <c r="F14" s="61">
        <f t="shared" si="1"/>
        <v>-15868.2305</v>
      </c>
      <c r="G14" s="61">
        <f t="shared" si="1"/>
        <v>5647.2764999999999</v>
      </c>
      <c r="H14" s="61">
        <f t="shared" si="1"/>
        <v>969.45650000000001</v>
      </c>
      <c r="I14" s="61">
        <f t="shared" si="1"/>
        <v>533.47450000000003</v>
      </c>
      <c r="J14" s="61">
        <f t="shared" si="1"/>
        <v>3190.404</v>
      </c>
      <c r="K14" s="61">
        <f t="shared" si="1"/>
        <v>969.67200000000003</v>
      </c>
      <c r="L14" s="61">
        <f t="shared" si="1"/>
        <v>1539.2419999999997</v>
      </c>
      <c r="M14" s="61">
        <f t="shared" si="1"/>
        <v>1264.644</v>
      </c>
      <c r="N14" s="61">
        <f t="shared" si="1"/>
        <v>-5445</v>
      </c>
      <c r="O14" s="61">
        <f t="shared" si="1"/>
        <v>-211.87556250000006</v>
      </c>
      <c r="P14" s="61"/>
      <c r="Q14" s="61"/>
      <c r="R14" s="61"/>
      <c r="S14" s="61">
        <f t="shared" si="1"/>
        <v>-18.019000000000002</v>
      </c>
      <c r="T14" s="61">
        <f t="shared" si="1"/>
        <v>1198.1510000000001</v>
      </c>
      <c r="U14" s="61">
        <f t="shared" si="1"/>
        <v>5790.5</v>
      </c>
      <c r="V14" s="62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6" t="s">
        <v>122</v>
      </c>
      <c r="D17" s="56"/>
      <c r="E17" s="56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C4" sqref="C4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08" t="s">
        <v>14</v>
      </c>
      <c r="K2" s="108"/>
      <c r="L2" s="109"/>
      <c r="M2" s="109"/>
      <c r="N2" s="109"/>
      <c r="O2" s="109"/>
      <c r="P2" s="109"/>
      <c r="Q2" s="109"/>
      <c r="R2" s="109"/>
    </row>
    <row r="3" spans="2:18" ht="15" x14ac:dyDescent="0.25">
      <c r="H3" s="103"/>
      <c r="J3" s="110" t="s">
        <v>7</v>
      </c>
      <c r="K3" s="111" t="s">
        <v>30</v>
      </c>
      <c r="L3" s="110" t="s">
        <v>0</v>
      </c>
      <c r="M3" s="110" t="s">
        <v>3</v>
      </c>
      <c r="N3" s="110" t="s">
        <v>4</v>
      </c>
      <c r="O3" s="110" t="s">
        <v>8</v>
      </c>
      <c r="P3" s="110" t="s">
        <v>9</v>
      </c>
      <c r="Q3" s="110" t="s">
        <v>10</v>
      </c>
      <c r="R3" s="110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2" t="s">
        <v>37</v>
      </c>
      <c r="K4" s="112" t="s">
        <v>31</v>
      </c>
      <c r="L4" s="112" t="s">
        <v>26</v>
      </c>
      <c r="M4" s="112" t="s">
        <v>27</v>
      </c>
      <c r="N4" s="112" t="s">
        <v>4</v>
      </c>
      <c r="O4" s="112" t="s">
        <v>40</v>
      </c>
      <c r="P4" s="112" t="s">
        <v>41</v>
      </c>
      <c r="Q4" s="112" t="s">
        <v>28</v>
      </c>
      <c r="R4" s="112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4"/>
      <c r="H8" s="104"/>
      <c r="I8" s="37"/>
      <c r="J8" s="108" t="s">
        <v>15</v>
      </c>
      <c r="K8" s="108"/>
      <c r="L8" s="109"/>
      <c r="M8" s="109"/>
      <c r="N8" s="109"/>
      <c r="O8" s="109"/>
      <c r="P8" s="109"/>
      <c r="Q8" s="109"/>
      <c r="R8" s="109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2" t="s">
        <v>117</v>
      </c>
      <c r="F9" s="83" t="s">
        <v>82</v>
      </c>
      <c r="G9" s="83" t="s">
        <v>80</v>
      </c>
      <c r="H9" s="105"/>
      <c r="I9" s="39"/>
      <c r="J9" s="110" t="s">
        <v>11</v>
      </c>
      <c r="K9" s="111" t="s">
        <v>30</v>
      </c>
      <c r="L9" s="110" t="s">
        <v>1</v>
      </c>
      <c r="M9" s="110" t="s">
        <v>2</v>
      </c>
      <c r="N9" s="110" t="s">
        <v>16</v>
      </c>
      <c r="O9" s="110" t="s">
        <v>17</v>
      </c>
      <c r="P9" s="110" t="s">
        <v>18</v>
      </c>
      <c r="Q9" s="110" t="s">
        <v>19</v>
      </c>
      <c r="R9" s="110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6"/>
      <c r="I10" s="37"/>
      <c r="J10" s="112" t="s">
        <v>38</v>
      </c>
      <c r="K10" s="112" t="s">
        <v>31</v>
      </c>
      <c r="L10" s="112" t="s">
        <v>21</v>
      </c>
      <c r="M10" s="112" t="s">
        <v>22</v>
      </c>
      <c r="N10" s="112" t="s">
        <v>23</v>
      </c>
      <c r="O10" s="112" t="s">
        <v>24</v>
      </c>
      <c r="P10" s="112" t="s">
        <v>43</v>
      </c>
      <c r="Q10" s="112" t="s">
        <v>42</v>
      </c>
      <c r="R10" s="112" t="s">
        <v>25</v>
      </c>
    </row>
    <row r="11" spans="2:18" ht="13.5" thickBot="1" x14ac:dyDescent="0.25">
      <c r="B11" s="52" t="s">
        <v>85</v>
      </c>
      <c r="C11" s="52"/>
      <c r="D11" s="52"/>
      <c r="E11" s="18" t="str">
        <f>$F$2</f>
        <v>Pja</v>
      </c>
      <c r="F11" s="18"/>
      <c r="G11" s="18"/>
      <c r="H11" s="107"/>
      <c r="I11" s="37"/>
      <c r="J11" s="112" t="s">
        <v>81</v>
      </c>
      <c r="K11" s="112"/>
      <c r="L11" s="112"/>
      <c r="M11" s="112"/>
      <c r="N11" s="112"/>
      <c r="O11" s="112"/>
      <c r="P11" s="112"/>
      <c r="Q11" s="112"/>
      <c r="R11" s="112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7">
        <f>'EB2'!G$13/SUM('EB2'!$G$13:$M$13)</f>
        <v>0.36389900563393895</v>
      </c>
      <c r="F12" s="73">
        <f>-SUM('EB2'!F13)/SUM('EB2'!G13:M13)</f>
        <v>1.0128203720739584</v>
      </c>
      <c r="G12" s="71">
        <f>SUM('EB2'!G13:M13)</f>
        <v>15667.368999999999</v>
      </c>
      <c r="H12" s="17"/>
      <c r="I12" s="37"/>
      <c r="J12" s="113" t="s">
        <v>95</v>
      </c>
      <c r="K12" s="114"/>
      <c r="L12" s="114" t="str">
        <f>$B$2&amp;$H$2&amp;'EB2'!F2&amp;"00"</f>
        <v>REFEOIL00</v>
      </c>
      <c r="M12" s="117" t="str">
        <f>$D$2&amp;" "&amp;$H$1&amp;RIGHT(L12,2)</f>
        <v>Refinery Existing00</v>
      </c>
      <c r="N12" s="114" t="str">
        <f>$E$2</f>
        <v>PJ</v>
      </c>
      <c r="O12" s="114" t="str">
        <f>$F$2</f>
        <v>Pja</v>
      </c>
      <c r="P12" s="113"/>
      <c r="Q12" s="113" t="s">
        <v>120</v>
      </c>
      <c r="R12" s="114"/>
    </row>
    <row r="13" spans="2:18" x14ac:dyDescent="0.2">
      <c r="D13" s="35" t="str">
        <f>'EB2'!H2</f>
        <v>KER</v>
      </c>
      <c r="E13" s="77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7">
        <f>'EB2'!I$13/SUM('EB2'!$G$13:$M$13)</f>
        <v>6.9335444898246806E-2</v>
      </c>
      <c r="F14" s="49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7">
        <f>'EB2'!J$13/SUM('EB2'!$G$13:$M$13)</f>
        <v>0.21413371957984778</v>
      </c>
      <c r="F15" s="49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7">
        <f>'EB2'!K$13/SUM('EB2'!$G$13:$M$13)</f>
        <v>6.1930500264594526E-2</v>
      </c>
      <c r="F16" s="49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7">
        <f>'EB2'!L$13/SUM('EB2'!$G$13:$M$13)</f>
        <v>0.1458510359971735</v>
      </c>
      <c r="F17" s="49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7">
        <f>'EB2'!M$13/SUM('EB2'!$G$13:$M$13)</f>
        <v>8.2971493171572083E-2</v>
      </c>
      <c r="F18" s="49"/>
      <c r="G18" s="50"/>
      <c r="H18" s="50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0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1"/>
      <c r="I20" s="38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66"/>
      <c r="C23" s="1" t="s">
        <v>124</v>
      </c>
    </row>
    <row r="24" spans="2:18" x14ac:dyDescent="0.2">
      <c r="B24" s="72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3"/>
  <sheetViews>
    <sheetView tabSelected="1" zoomScale="50" zoomScaleNormal="50" workbookViewId="0">
      <selection activeCell="B7" sqref="B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2" spans="2:4" ht="18" x14ac:dyDescent="0.25">
      <c r="B2" s="132" t="s">
        <v>142</v>
      </c>
      <c r="C2" s="129"/>
      <c r="D2" s="129"/>
    </row>
    <row r="3" spans="2:4" ht="18" x14ac:dyDescent="0.25">
      <c r="B3" s="132" t="s">
        <v>143</v>
      </c>
      <c r="C3" s="129"/>
      <c r="D3" s="129"/>
    </row>
    <row r="6" spans="2:4" x14ac:dyDescent="0.2">
      <c r="B6" s="131" t="s">
        <v>144</v>
      </c>
      <c r="C6" s="129"/>
      <c r="D6" s="129"/>
    </row>
    <row r="7" spans="2:4" x14ac:dyDescent="0.2">
      <c r="B7" s="130" t="s">
        <v>145</v>
      </c>
      <c r="C7" s="129"/>
      <c r="D7" s="129"/>
    </row>
    <row r="8" spans="2:4" x14ac:dyDescent="0.2">
      <c r="B8" s="130" t="s">
        <v>146</v>
      </c>
      <c r="C8" s="129"/>
      <c r="D8" s="129"/>
    </row>
    <row r="9" spans="2:4" x14ac:dyDescent="0.2">
      <c r="B9" s="130" t="s">
        <v>147</v>
      </c>
      <c r="C9" s="129"/>
      <c r="D9" s="129" t="s">
        <v>148</v>
      </c>
    </row>
    <row r="10" spans="2:4" x14ac:dyDescent="0.2">
      <c r="B10" s="130" t="s">
        <v>149</v>
      </c>
      <c r="C10" s="129"/>
      <c r="D10" s="129" t="s">
        <v>148</v>
      </c>
    </row>
    <row r="11" spans="2:4" x14ac:dyDescent="0.2">
      <c r="B11" s="130" t="s">
        <v>150</v>
      </c>
      <c r="C11" s="129"/>
      <c r="D11" s="129" t="s">
        <v>148</v>
      </c>
    </row>
    <row r="12" spans="2:4" x14ac:dyDescent="0.2">
      <c r="B12" s="130" t="s">
        <v>151</v>
      </c>
      <c r="C12" s="129"/>
      <c r="D12" s="129" t="s">
        <v>148</v>
      </c>
    </row>
    <row r="19" spans="2:17" s="129" customFormat="1" x14ac:dyDescent="0.2"/>
    <row r="20" spans="2:17" s="129" customFormat="1" x14ac:dyDescent="0.2"/>
    <row r="21" spans="2:17" s="129" customFormat="1" x14ac:dyDescent="0.2"/>
    <row r="22" spans="2:17" ht="18" x14ac:dyDescent="0.25">
      <c r="B22" s="81" t="s">
        <v>141</v>
      </c>
    </row>
    <row r="24" spans="2:17" ht="18" x14ac:dyDescent="0.25">
      <c r="D24" s="126" t="s">
        <v>131</v>
      </c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8"/>
      <c r="Q24" s="101"/>
    </row>
    <row r="25" spans="2:17" ht="12.75" customHeight="1" x14ac:dyDescent="0.2">
      <c r="D25" s="102" t="s">
        <v>126</v>
      </c>
      <c r="E25" s="102"/>
      <c r="F25" s="102"/>
      <c r="G25" s="102"/>
      <c r="H25" s="102"/>
      <c r="I25" s="102"/>
      <c r="M25" s="102" t="s">
        <v>127</v>
      </c>
      <c r="N25" s="102"/>
      <c r="O25" s="102"/>
      <c r="P25" s="102"/>
      <c r="Q25" s="80"/>
    </row>
    <row r="26" spans="2:17" x14ac:dyDescent="0.2">
      <c r="M26" s="102" t="s">
        <v>128</v>
      </c>
      <c r="N26" s="102"/>
      <c r="O26" s="102"/>
      <c r="P26" s="102"/>
    </row>
    <row r="63" spans="13:17" x14ac:dyDescent="0.2">
      <c r="M63" s="80"/>
      <c r="N63" s="80"/>
      <c r="O63" s="80"/>
      <c r="P63" s="5"/>
      <c r="Q63" s="5"/>
    </row>
  </sheetData>
  <mergeCells count="1">
    <mergeCell ref="D24:P2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COA</v>
      </c>
      <c r="L5" s="113" t="str">
        <f>D2</f>
        <v>Solid Fuels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H8" s="5"/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8">
        <v>80000</v>
      </c>
      <c r="F11" s="69">
        <v>2</v>
      </c>
      <c r="G11" s="70">
        <f>'EB2'!$D$5*'EB2'!D21</f>
        <v>2125.8189750000001</v>
      </c>
      <c r="I11" s="113" t="str">
        <f>'EB2'!$B$5</f>
        <v>MIN</v>
      </c>
      <c r="J11" s="114"/>
      <c r="K11" s="114" t="str">
        <f>$I$11&amp;$C$2&amp;1</f>
        <v>MINCOA1</v>
      </c>
      <c r="L11" s="117" t="str">
        <f>"Domestic Supply of "&amp;$D$2&amp; " Step "&amp;RIGHT(K11,1)</f>
        <v>Domestic Supply of Solid Fuels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8">
        <v>160000</v>
      </c>
      <c r="F12" s="69">
        <v>2.5</v>
      </c>
      <c r="G12" s="70">
        <f>'EB2'!$D$5*'EB2'!D22</f>
        <v>708.60632499999997</v>
      </c>
      <c r="I12" s="114"/>
      <c r="J12" s="114"/>
      <c r="K12" s="114" t="str">
        <f>$I$11&amp;$C$2&amp;2</f>
        <v>MINCOA2</v>
      </c>
      <c r="L12" s="117" t="str">
        <f>"Domestic Supply of "&amp;$D$2&amp; " Step "&amp;RIGHT(K12,1)</f>
        <v>Domestic Supply of Solid Fuels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8">
        <v>0</v>
      </c>
      <c r="F13" s="69">
        <v>3</v>
      </c>
      <c r="G13" s="99">
        <v>0</v>
      </c>
      <c r="I13" s="114"/>
      <c r="J13" s="114"/>
      <c r="K13" s="114" t="str">
        <f>$I$11&amp;$C$2&amp;3</f>
        <v>MINCOA3</v>
      </c>
      <c r="L13" s="117" t="str">
        <f>"Domestic Supply of "&amp;$D$2&amp; " Step "&amp;RIGHT(K13,1)</f>
        <v>Domestic Supply of Solid Fuels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69">
        <v>2.75</v>
      </c>
      <c r="G14" s="70">
        <f>'EB2'!D6</f>
        <v>2261.9348499999996</v>
      </c>
      <c r="I14" s="114" t="str">
        <f>'EB2'!$B$6</f>
        <v>IMP</v>
      </c>
      <c r="J14" s="114"/>
      <c r="K14" s="114" t="str">
        <f>$I$14&amp;$C$2&amp;1</f>
        <v>IMPCOA1</v>
      </c>
      <c r="L14" s="117" t="str">
        <f>"Import of "&amp;$D$2&amp; " Step "&amp;RIGHT(K14,1)</f>
        <v>Import of Solid Fuels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69">
        <v>2.75</v>
      </c>
      <c r="G15" s="70">
        <f>-'EB2'!D7</f>
        <v>401.47415000000001</v>
      </c>
      <c r="I15" s="114" t="str">
        <f>'EB2'!B7</f>
        <v>EXP</v>
      </c>
      <c r="J15" s="114"/>
      <c r="K15" s="114" t="str">
        <f>$I$15&amp;$C$2&amp;1</f>
        <v>EXPCOA1</v>
      </c>
      <c r="L15" s="117" t="str">
        <f>"Export of "&amp;$D$2&amp; " Step "&amp;RIGHT(K15,1)</f>
        <v>Export of Solid Fuels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6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2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18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18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</row>
    <row r="5" spans="2:18" x14ac:dyDescent="0.2">
      <c r="I5" s="113" t="s">
        <v>73</v>
      </c>
      <c r="J5" s="114"/>
      <c r="K5" s="113" t="str">
        <f>C2</f>
        <v>GAS</v>
      </c>
      <c r="L5" s="113" t="str">
        <f>D2</f>
        <v>Natural Gas</v>
      </c>
      <c r="M5" s="113" t="str">
        <f>$E$2</f>
        <v>PJ</v>
      </c>
      <c r="N5" s="113"/>
      <c r="O5" s="113"/>
      <c r="P5" s="113"/>
      <c r="Q5" s="113"/>
    </row>
    <row r="7" spans="2:18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</row>
    <row r="8" spans="2:18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18" s="5" customFormat="1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18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6">
        <v>15000</v>
      </c>
      <c r="F11" s="75">
        <v>3.6</v>
      </c>
      <c r="G11" s="71">
        <f>'EB2'!$E$5*'EB2'!E21</f>
        <v>2369.8490999999999</v>
      </c>
      <c r="I11" s="113" t="str">
        <f>'EB2'!$B$5</f>
        <v>MIN</v>
      </c>
      <c r="J11" s="114"/>
      <c r="K11" s="114" t="str">
        <f>$I$11&amp;$C$2&amp;1</f>
        <v>MINGAS1</v>
      </c>
      <c r="L11" s="117" t="str">
        <f>"Domestic Supply of "&amp;$D$2&amp; " Step "&amp;RIGHT(K11,1)</f>
        <v>Domestic Supply of Natural Gas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6">
        <v>20000</v>
      </c>
      <c r="F12" s="75">
        <v>4.1399999999999997</v>
      </c>
      <c r="G12" s="71">
        <f>'EB2'!$E$5*'EB2'!E22</f>
        <v>2369.8490999999999</v>
      </c>
      <c r="H12" s="5"/>
      <c r="I12" s="114"/>
      <c r="J12" s="114"/>
      <c r="K12" s="114" t="str">
        <f>$I$11&amp;$C$2&amp;2</f>
        <v>MINGAS2</v>
      </c>
      <c r="L12" s="117" t="str">
        <f>"Domestic Supply of "&amp;$D$2&amp; " Step "&amp;RIGHT(K12,1)</f>
        <v>Domestic Supply of Natural Gas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6">
        <v>3000000</v>
      </c>
      <c r="F13" s="75">
        <v>5.4</v>
      </c>
      <c r="G13" s="17"/>
      <c r="I13" s="114"/>
      <c r="J13" s="114"/>
      <c r="K13" s="114" t="str">
        <f>$I$11&amp;$C$2&amp;3</f>
        <v>MINGAS3</v>
      </c>
      <c r="L13" s="117" t="str">
        <f>"Domestic Supply of "&amp;$D$2&amp; " Step "&amp;RIGHT(K13,1)</f>
        <v>Domestic Supply of Natural Gas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5">
        <v>4.5</v>
      </c>
      <c r="G14" s="17"/>
      <c r="I14" s="114" t="str">
        <f>'EB2'!$B$6</f>
        <v>IMP</v>
      </c>
      <c r="J14" s="114"/>
      <c r="K14" s="114" t="str">
        <f>$I$14&amp;$C$2&amp;1</f>
        <v>IMPGAS1</v>
      </c>
      <c r="L14" s="117" t="str">
        <f>"Import of "&amp;$D$2&amp; " Step "&amp;RIGHT(K14,1)</f>
        <v>Import of Natural Gas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5">
        <v>4.5</v>
      </c>
      <c r="G15" s="71">
        <f>-'EB2'!E7</f>
        <v>1509.7986000000001</v>
      </c>
      <c r="H15"/>
      <c r="I15" s="114" t="str">
        <f>'EB2'!B7</f>
        <v>EXP</v>
      </c>
      <c r="J15" s="114"/>
      <c r="K15" s="114" t="str">
        <f>$I$15&amp;$C$2&amp;1</f>
        <v>EXPGAS1</v>
      </c>
      <c r="L15" s="117" t="str">
        <f>"Export of "&amp;$D$2&amp; " Step "&amp;RIGHT(K15,1)</f>
        <v>Export of Natural Gas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R15"/>
    </row>
    <row r="16" spans="2:18" s="5" customFormat="1" x14ac:dyDescent="0.2">
      <c r="B16" s="11"/>
      <c r="C16" s="11"/>
      <c r="F16" s="74"/>
      <c r="G16" s="74"/>
    </row>
    <row r="17" spans="2:18" s="5" customFormat="1" x14ac:dyDescent="0.2">
      <c r="B17" s="1"/>
      <c r="F17" s="74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6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2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08" t="s">
        <v>14</v>
      </c>
      <c r="J2" s="108"/>
      <c r="K2" s="109"/>
      <c r="L2" s="109"/>
      <c r="M2" s="109"/>
      <c r="N2" s="109"/>
      <c r="O2" s="109"/>
      <c r="P2" s="109"/>
      <c r="Q2" s="109"/>
    </row>
    <row r="3" spans="2:23" x14ac:dyDescent="0.2">
      <c r="I3" s="110" t="s">
        <v>7</v>
      </c>
      <c r="J3" s="111" t="s">
        <v>30</v>
      </c>
      <c r="K3" s="110" t="s">
        <v>0</v>
      </c>
      <c r="L3" s="110" t="s">
        <v>3</v>
      </c>
      <c r="M3" s="110" t="s">
        <v>4</v>
      </c>
      <c r="N3" s="110" t="s">
        <v>8</v>
      </c>
      <c r="O3" s="110" t="s">
        <v>9</v>
      </c>
      <c r="P3" s="110" t="s">
        <v>10</v>
      </c>
      <c r="Q3" s="110" t="s">
        <v>12</v>
      </c>
    </row>
    <row r="4" spans="2:23" ht="23.25" thickBot="1" x14ac:dyDescent="0.25">
      <c r="C4" s="1"/>
      <c r="I4" s="112" t="s">
        <v>37</v>
      </c>
      <c r="J4" s="112" t="s">
        <v>31</v>
      </c>
      <c r="K4" s="112" t="s">
        <v>26</v>
      </c>
      <c r="L4" s="112" t="s">
        <v>27</v>
      </c>
      <c r="M4" s="112" t="s">
        <v>4</v>
      </c>
      <c r="N4" s="112" t="s">
        <v>40</v>
      </c>
      <c r="O4" s="112" t="s">
        <v>41</v>
      </c>
      <c r="P4" s="112" t="s">
        <v>28</v>
      </c>
      <c r="Q4" s="112" t="s">
        <v>29</v>
      </c>
      <c r="T4" s="5"/>
      <c r="U4" s="5"/>
    </row>
    <row r="5" spans="2:23" x14ac:dyDescent="0.2">
      <c r="I5" s="113" t="s">
        <v>73</v>
      </c>
      <c r="J5" s="114"/>
      <c r="K5" s="113" t="str">
        <f>C2</f>
        <v>OIL</v>
      </c>
      <c r="L5" s="113" t="str">
        <f>D2</f>
        <v>Crude Oil</v>
      </c>
      <c r="M5" s="113" t="str">
        <f>$E$2</f>
        <v>PJ</v>
      </c>
      <c r="N5" s="113"/>
      <c r="O5" s="113"/>
      <c r="P5" s="113"/>
      <c r="Q5" s="113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8" t="s">
        <v>15</v>
      </c>
      <c r="J7" s="108"/>
      <c r="K7" s="115"/>
      <c r="L7" s="115"/>
      <c r="M7" s="115"/>
      <c r="N7" s="115"/>
      <c r="O7" s="115"/>
      <c r="P7" s="115"/>
      <c r="Q7" s="115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5" t="s">
        <v>34</v>
      </c>
      <c r="F8" s="85" t="s">
        <v>35</v>
      </c>
      <c r="G8" s="85" t="s">
        <v>80</v>
      </c>
      <c r="I8" s="110" t="s">
        <v>11</v>
      </c>
      <c r="J8" s="111" t="s">
        <v>30</v>
      </c>
      <c r="K8" s="110" t="s">
        <v>1</v>
      </c>
      <c r="L8" s="110" t="s">
        <v>2</v>
      </c>
      <c r="M8" s="110" t="s">
        <v>16</v>
      </c>
      <c r="N8" s="110" t="s">
        <v>17</v>
      </c>
      <c r="O8" s="110" t="s">
        <v>18</v>
      </c>
      <c r="P8" s="110" t="s">
        <v>19</v>
      </c>
      <c r="Q8" s="110" t="s">
        <v>20</v>
      </c>
    </row>
    <row r="9" spans="2:23" ht="23.25" thickBot="1" x14ac:dyDescent="0.25">
      <c r="B9" s="52" t="s">
        <v>39</v>
      </c>
      <c r="C9" s="52" t="s">
        <v>32</v>
      </c>
      <c r="D9" s="52" t="s">
        <v>33</v>
      </c>
      <c r="E9" s="52" t="s">
        <v>36</v>
      </c>
      <c r="F9" s="52" t="s">
        <v>87</v>
      </c>
      <c r="G9" s="52" t="s">
        <v>86</v>
      </c>
      <c r="H9" s="5"/>
      <c r="I9" s="112" t="s">
        <v>38</v>
      </c>
      <c r="J9" s="112" t="s">
        <v>31</v>
      </c>
      <c r="K9" s="112" t="s">
        <v>21</v>
      </c>
      <c r="L9" s="112" t="s">
        <v>22</v>
      </c>
      <c r="M9" s="112" t="s">
        <v>23</v>
      </c>
      <c r="N9" s="112" t="s">
        <v>24</v>
      </c>
      <c r="O9" s="112" t="s">
        <v>43</v>
      </c>
      <c r="P9" s="112" t="s">
        <v>42</v>
      </c>
      <c r="Q9" s="112" t="s">
        <v>25</v>
      </c>
    </row>
    <row r="10" spans="2:23" s="5" customFormat="1" ht="13.5" thickBot="1" x14ac:dyDescent="0.25">
      <c r="B10" s="52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2" t="s">
        <v>81</v>
      </c>
      <c r="J10" s="116"/>
      <c r="K10" s="116"/>
      <c r="L10" s="116"/>
      <c r="M10" s="116"/>
      <c r="N10" s="116"/>
      <c r="O10" s="116"/>
      <c r="P10" s="116"/>
      <c r="Q10" s="116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6">
        <v>12000</v>
      </c>
      <c r="F11" s="75">
        <v>6.4</v>
      </c>
      <c r="G11" s="71">
        <f>'EB2'!$F$5*'EB2'!F21</f>
        <v>2149.0016000000001</v>
      </c>
      <c r="I11" s="113" t="str">
        <f>'EB2'!$B$5</f>
        <v>MIN</v>
      </c>
      <c r="J11" s="114"/>
      <c r="K11" s="114" t="str">
        <f>$I$11&amp;$C$2&amp;1</f>
        <v>MINOIL1</v>
      </c>
      <c r="L11" s="117" t="str">
        <f>"Domestic Supply of "&amp;$D$2&amp; " Step "&amp;RIGHT(K11,1)</f>
        <v>Domestic Supply of Crude Oil Step 1</v>
      </c>
      <c r="M11" s="114" t="str">
        <f>$E$2</f>
        <v>PJ</v>
      </c>
      <c r="N11" s="114" t="str">
        <f>$E$2&amp;"a"</f>
        <v>PJa</v>
      </c>
      <c r="O11" s="114"/>
      <c r="P11" s="114"/>
      <c r="Q11" s="114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6">
        <v>10000</v>
      </c>
      <c r="F12" s="75">
        <v>7.3599999999999994</v>
      </c>
      <c r="G12" s="71">
        <f>'EB2'!$F$5*'EB2'!F22</f>
        <v>537.25040000000001</v>
      </c>
      <c r="I12" s="114"/>
      <c r="J12" s="114"/>
      <c r="K12" s="114" t="str">
        <f>$I$11&amp;$C$2&amp;2</f>
        <v>MINOIL2</v>
      </c>
      <c r="L12" s="117" t="str">
        <f>"Domestic Supply of "&amp;$D$2&amp; " Step "&amp;RIGHT(K12,1)</f>
        <v>Domestic Supply of Crude Oil Step 2</v>
      </c>
      <c r="M12" s="114" t="str">
        <f>$E$2</f>
        <v>PJ</v>
      </c>
      <c r="N12" s="114" t="str">
        <f>$E$2&amp;"a"</f>
        <v>PJa</v>
      </c>
      <c r="O12" s="114"/>
      <c r="P12" s="114"/>
      <c r="Q12" s="114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6">
        <v>1200000</v>
      </c>
      <c r="F13" s="75">
        <v>9.6000000000000014</v>
      </c>
      <c r="G13" s="16"/>
      <c r="I13" s="114"/>
      <c r="J13" s="114"/>
      <c r="K13" s="114" t="str">
        <f>$I$11&amp;$C$2&amp;3</f>
        <v>MINOIL3</v>
      </c>
      <c r="L13" s="117" t="str">
        <f>"Domestic Supply of "&amp;$D$2&amp; " Step "&amp;RIGHT(K13,1)</f>
        <v>Domestic Supply of Crude Oil Step 3</v>
      </c>
      <c r="M13" s="114" t="str">
        <f>$E$2</f>
        <v>PJ</v>
      </c>
      <c r="N13" s="114" t="str">
        <f>$E$2&amp;"a"</f>
        <v>PJa</v>
      </c>
      <c r="O13" s="114"/>
      <c r="P13" s="114"/>
      <c r="Q13" s="114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5">
        <v>8</v>
      </c>
      <c r="G14" s="16"/>
      <c r="I14" s="114" t="str">
        <f>'EB2'!$B$6</f>
        <v>IMP</v>
      </c>
      <c r="J14" s="114"/>
      <c r="K14" s="114" t="str">
        <f>$I$14&amp;$C$2&amp;1</f>
        <v>IMPOIL1</v>
      </c>
      <c r="L14" s="117" t="str">
        <f>"Import of "&amp;$D$2&amp; " Step "&amp;RIGHT(K14,1)</f>
        <v>Import of Crude Oil Step 1</v>
      </c>
      <c r="M14" s="114" t="str">
        <f>$E$2</f>
        <v>PJ</v>
      </c>
      <c r="N14" s="114" t="str">
        <f>$E$2&amp;"a"</f>
        <v>PJa</v>
      </c>
      <c r="O14" s="114"/>
      <c r="P14" s="114"/>
      <c r="Q14" s="114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5">
        <v>8</v>
      </c>
      <c r="G15" s="70">
        <f>-'EB2'!F7</f>
        <v>1648.4854999999998</v>
      </c>
      <c r="I15" s="114" t="str">
        <f>'EB2'!B7</f>
        <v>EXP</v>
      </c>
      <c r="J15" s="114"/>
      <c r="K15" s="114" t="str">
        <f>$I$15&amp;$C$2&amp;1</f>
        <v>EXPOIL1</v>
      </c>
      <c r="L15" s="117" t="str">
        <f>"Export of "&amp;$D$2&amp; " Step "&amp;RIGHT(K15,1)</f>
        <v>Export of Crude Oil Step 1</v>
      </c>
      <c r="M15" s="114" t="str">
        <f>$E$2</f>
        <v>PJ</v>
      </c>
      <c r="N15" s="114" t="str">
        <f>$E$2&amp;"a"</f>
        <v>PJa</v>
      </c>
      <c r="O15" s="114"/>
      <c r="P15" s="114"/>
      <c r="Q15" s="114"/>
      <c r="V15" s="5"/>
      <c r="W15" s="5"/>
    </row>
    <row r="16" spans="2:23" s="5" customFormat="1" x14ac:dyDescent="0.2">
      <c r="B16" s="11"/>
      <c r="C16" s="11"/>
      <c r="F16" s="74"/>
      <c r="R16"/>
      <c r="T16"/>
      <c r="U16"/>
      <c r="V16"/>
      <c r="W16"/>
    </row>
    <row r="17" spans="2:23" s="5" customFormat="1" x14ac:dyDescent="0.2">
      <c r="B17" s="1"/>
      <c r="F17" s="74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6"/>
      <c r="C23" s="1" t="s">
        <v>124</v>
      </c>
      <c r="R23" s="5"/>
    </row>
    <row r="24" spans="2:23" x14ac:dyDescent="0.2">
      <c r="B24" s="72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40"/>
  <sheetViews>
    <sheetView zoomScaleNormal="100" workbookViewId="0">
      <selection activeCell="E1" sqref="E1:E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3" t="s">
        <v>73</v>
      </c>
      <c r="I5" s="114"/>
      <c r="J5" s="113" t="str">
        <f t="shared" ref="J5:K8" si="0">C2</f>
        <v>BIO</v>
      </c>
      <c r="K5" s="113" t="str">
        <f t="shared" si="0"/>
        <v>Biomass</v>
      </c>
      <c r="L5" s="113" t="str">
        <f>$E$2</f>
        <v>PJ</v>
      </c>
      <c r="M5" s="113"/>
      <c r="N5" s="113"/>
      <c r="O5" s="113"/>
      <c r="P5" s="113"/>
    </row>
    <row r="6" spans="2:17" ht="15.75" x14ac:dyDescent="0.25">
      <c r="B6" s="5"/>
      <c r="C6" s="13"/>
      <c r="D6" s="13"/>
      <c r="H6" s="113"/>
      <c r="I6" s="114"/>
      <c r="J6" s="113" t="str">
        <f t="shared" si="0"/>
        <v>HYD</v>
      </c>
      <c r="K6" s="113" t="str">
        <f t="shared" si="0"/>
        <v>Hydro power</v>
      </c>
      <c r="L6" s="113" t="str">
        <f>$E$2</f>
        <v>PJ</v>
      </c>
      <c r="M6" s="113"/>
      <c r="N6" s="113"/>
      <c r="O6" s="113"/>
      <c r="P6" s="113"/>
    </row>
    <row r="7" spans="2:17" ht="15.75" x14ac:dyDescent="0.25">
      <c r="C7" s="13"/>
      <c r="D7" s="13"/>
      <c r="H7" s="113"/>
      <c r="I7" s="114"/>
      <c r="J7" s="113" t="str">
        <f t="shared" si="0"/>
        <v>WIN</v>
      </c>
      <c r="K7" s="113" t="str">
        <f t="shared" si="0"/>
        <v>Wind energy</v>
      </c>
      <c r="L7" s="113" t="str">
        <f>$E$2</f>
        <v>PJ</v>
      </c>
      <c r="M7" s="113"/>
      <c r="N7" s="113"/>
      <c r="O7" s="113"/>
      <c r="P7" s="113"/>
    </row>
    <row r="8" spans="2:17" ht="15.75" x14ac:dyDescent="0.25">
      <c r="C8" s="13"/>
      <c r="D8" s="13"/>
      <c r="H8" s="113"/>
      <c r="I8" s="114"/>
      <c r="J8" s="113" t="str">
        <f t="shared" si="0"/>
        <v>SOL</v>
      </c>
      <c r="K8" s="113" t="str">
        <f t="shared" si="0"/>
        <v>Solar energy</v>
      </c>
      <c r="L8" s="113" t="str">
        <f>$E$2</f>
        <v>PJ</v>
      </c>
      <c r="M8" s="113"/>
      <c r="N8" s="113"/>
      <c r="O8" s="113"/>
      <c r="P8" s="113"/>
    </row>
    <row r="10" spans="2:17" x14ac:dyDescent="0.2">
      <c r="D10" s="4" t="s">
        <v>13</v>
      </c>
      <c r="E10" s="4"/>
      <c r="H10" s="108" t="s">
        <v>15</v>
      </c>
      <c r="I10" s="108"/>
      <c r="J10" s="115"/>
      <c r="K10" s="115"/>
      <c r="L10" s="115"/>
      <c r="M10" s="115"/>
      <c r="N10" s="115"/>
      <c r="O10" s="115"/>
      <c r="P10" s="115"/>
    </row>
    <row r="11" spans="2:17" x14ac:dyDescent="0.2">
      <c r="B11" s="3" t="s">
        <v>1</v>
      </c>
      <c r="C11" s="22" t="s">
        <v>5</v>
      </c>
      <c r="D11" s="3" t="s">
        <v>6</v>
      </c>
      <c r="E11" s="85" t="s">
        <v>35</v>
      </c>
      <c r="F11" s="85" t="s">
        <v>80</v>
      </c>
      <c r="H11" s="110" t="s">
        <v>11</v>
      </c>
      <c r="I11" s="111" t="s">
        <v>30</v>
      </c>
      <c r="J11" s="110" t="s">
        <v>1</v>
      </c>
      <c r="K11" s="110" t="s">
        <v>2</v>
      </c>
      <c r="L11" s="110" t="s">
        <v>16</v>
      </c>
      <c r="M11" s="110" t="s">
        <v>17</v>
      </c>
      <c r="N11" s="110" t="s">
        <v>18</v>
      </c>
      <c r="O11" s="110" t="s">
        <v>19</v>
      </c>
      <c r="P11" s="110" t="s">
        <v>20</v>
      </c>
    </row>
    <row r="12" spans="2:17" ht="23.25" thickBot="1" x14ac:dyDescent="0.25">
      <c r="B12" s="52" t="s">
        <v>39</v>
      </c>
      <c r="C12" s="52" t="s">
        <v>32</v>
      </c>
      <c r="D12" s="52" t="s">
        <v>33</v>
      </c>
      <c r="E12" s="52" t="s">
        <v>87</v>
      </c>
      <c r="F12" s="52" t="s">
        <v>86</v>
      </c>
      <c r="H12" s="112" t="s">
        <v>38</v>
      </c>
      <c r="I12" s="112" t="s">
        <v>31</v>
      </c>
      <c r="J12" s="112" t="s">
        <v>21</v>
      </c>
      <c r="K12" s="112" t="s">
        <v>22</v>
      </c>
      <c r="L12" s="112" t="s">
        <v>23</v>
      </c>
      <c r="M12" s="112" t="s">
        <v>24</v>
      </c>
      <c r="N12" s="112" t="s">
        <v>43</v>
      </c>
      <c r="O12" s="112" t="s">
        <v>42</v>
      </c>
      <c r="P12" s="112" t="s">
        <v>25</v>
      </c>
    </row>
    <row r="13" spans="2:17" s="37" customFormat="1" ht="13.5" thickBot="1" x14ac:dyDescent="0.25">
      <c r="B13" s="52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2" t="s">
        <v>81</v>
      </c>
      <c r="I13" s="116"/>
      <c r="J13" s="116"/>
      <c r="K13" s="116"/>
      <c r="L13" s="116"/>
      <c r="M13" s="116"/>
      <c r="N13" s="116"/>
      <c r="O13" s="116"/>
      <c r="P13" s="116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5">
        <v>3.1049999999999995</v>
      </c>
      <c r="F14" s="5"/>
      <c r="H14" s="113" t="str">
        <f>'EB2'!$B$5</f>
        <v>MIN</v>
      </c>
      <c r="I14" s="114"/>
      <c r="J14" s="114" t="str">
        <f>$H$14&amp;C2&amp;1</f>
        <v>MINBIO1</v>
      </c>
      <c r="K14" s="117" t="str">
        <f>"Domestic Supply of "&amp;D2&amp; " Step "&amp;RIGHT(J14,1)</f>
        <v>Domestic Supply of Biomass Step 1</v>
      </c>
      <c r="L14" s="114" t="str">
        <f>$E$2</f>
        <v>PJ</v>
      </c>
      <c r="M14" s="114" t="str">
        <f>$E$2&amp;"a"</f>
        <v>PJa</v>
      </c>
      <c r="N14" s="114"/>
      <c r="O14" s="114"/>
      <c r="P14" s="114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4"/>
      <c r="I15" s="114"/>
      <c r="J15" s="114" t="str">
        <f>$H$14&amp;C3&amp;1</f>
        <v>MINHYD1</v>
      </c>
      <c r="K15" s="117" t="str">
        <f>"Domestic Supply of "&amp;D3&amp; " Step "&amp;RIGHT(J15,1)</f>
        <v>Domestic Supply of Hydro power Step 1</v>
      </c>
      <c r="L15" s="114" t="str">
        <f>$E$2</f>
        <v>PJ</v>
      </c>
      <c r="M15" s="114" t="str">
        <f>$E$2&amp;"a"</f>
        <v>PJa</v>
      </c>
      <c r="N15" s="114"/>
      <c r="O15" s="114"/>
      <c r="P15" s="114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4"/>
      <c r="I16" s="114"/>
      <c r="J16" s="114" t="str">
        <f>$H$14&amp;C4&amp;1</f>
        <v>MINWIN1</v>
      </c>
      <c r="K16" s="117" t="str">
        <f>"Domestic Supply of "&amp;D4&amp; " Step "&amp;RIGHT(J16,1)</f>
        <v>Domestic Supply of Wind energy Step 1</v>
      </c>
      <c r="L16" s="114" t="str">
        <f>$E$2</f>
        <v>PJ</v>
      </c>
      <c r="M16" s="114" t="str">
        <f>$E$2&amp;"a"</f>
        <v>PJa</v>
      </c>
      <c r="N16" s="114"/>
      <c r="O16" s="114"/>
      <c r="P16" s="114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4"/>
      <c r="I17" s="114"/>
      <c r="J17" s="114" t="str">
        <f>$H$14&amp;C5&amp;1</f>
        <v>MINSOL1</v>
      </c>
      <c r="K17" s="117" t="str">
        <f>"Domestic Supply of "&amp;D5&amp; " Step "&amp;RIGHT(J17,1)</f>
        <v>Domestic Supply of Solar energy Step 1</v>
      </c>
      <c r="L17" s="114" t="str">
        <f>$E$2</f>
        <v>PJ</v>
      </c>
      <c r="M17" s="114" t="str">
        <f>$E$2&amp;"a"</f>
        <v>PJa</v>
      </c>
      <c r="N17" s="114"/>
      <c r="O17" s="114"/>
      <c r="P17" s="114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6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2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08" t="s">
        <v>14</v>
      </c>
      <c r="I2" s="108"/>
      <c r="J2" s="109"/>
      <c r="K2" s="109"/>
      <c r="L2" s="109"/>
      <c r="M2" s="109"/>
      <c r="N2" s="109"/>
      <c r="O2" s="109"/>
      <c r="P2" s="109"/>
    </row>
    <row r="3" spans="2:17" x14ac:dyDescent="0.2">
      <c r="E3" s="14"/>
      <c r="H3" s="110" t="s">
        <v>7</v>
      </c>
      <c r="I3" s="111" t="s">
        <v>30</v>
      </c>
      <c r="J3" s="110" t="s">
        <v>0</v>
      </c>
      <c r="K3" s="110" t="s">
        <v>3</v>
      </c>
      <c r="L3" s="110" t="s">
        <v>4</v>
      </c>
      <c r="M3" s="110" t="s">
        <v>8</v>
      </c>
      <c r="N3" s="110" t="s">
        <v>9</v>
      </c>
      <c r="O3" s="110" t="s">
        <v>10</v>
      </c>
      <c r="P3" s="110" t="s">
        <v>12</v>
      </c>
    </row>
    <row r="4" spans="2:17" ht="23.25" thickBot="1" x14ac:dyDescent="0.25">
      <c r="B4" s="1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</row>
    <row r="5" spans="2:17" x14ac:dyDescent="0.2">
      <c r="H5" s="113" t="s">
        <v>73</v>
      </c>
      <c r="I5" s="114"/>
      <c r="J5" s="113" t="str">
        <f>C2</f>
        <v>NUC</v>
      </c>
      <c r="K5" s="113" t="str">
        <f>D2</f>
        <v>Nuclear Energy</v>
      </c>
      <c r="L5" s="113" t="str">
        <f>$E$2</f>
        <v>PJ</v>
      </c>
      <c r="M5" s="113"/>
      <c r="N5" s="113"/>
      <c r="O5" s="113"/>
      <c r="P5" s="113"/>
    </row>
    <row r="7" spans="2:17" x14ac:dyDescent="0.2">
      <c r="D7" s="4" t="s">
        <v>13</v>
      </c>
      <c r="E7" s="4"/>
      <c r="H7" s="108" t="s">
        <v>15</v>
      </c>
      <c r="I7" s="108"/>
      <c r="J7" s="115"/>
      <c r="K7" s="115"/>
      <c r="L7" s="115"/>
      <c r="M7" s="115"/>
      <c r="N7" s="115"/>
      <c r="O7" s="115"/>
      <c r="P7" s="115"/>
    </row>
    <row r="8" spans="2:17" x14ac:dyDescent="0.2">
      <c r="B8" s="3" t="s">
        <v>1</v>
      </c>
      <c r="C8" s="22" t="s">
        <v>5</v>
      </c>
      <c r="D8" s="3" t="s">
        <v>6</v>
      </c>
      <c r="E8" s="85" t="s">
        <v>35</v>
      </c>
      <c r="F8" s="85" t="s">
        <v>80</v>
      </c>
      <c r="H8" s="110" t="s">
        <v>11</v>
      </c>
      <c r="I8" s="111" t="s">
        <v>30</v>
      </c>
      <c r="J8" s="110" t="s">
        <v>1</v>
      </c>
      <c r="K8" s="110" t="s">
        <v>2</v>
      </c>
      <c r="L8" s="110" t="s">
        <v>16</v>
      </c>
      <c r="M8" s="110" t="s">
        <v>17</v>
      </c>
      <c r="N8" s="110" t="s">
        <v>18</v>
      </c>
      <c r="O8" s="110" t="s">
        <v>19</v>
      </c>
      <c r="P8" s="110" t="s">
        <v>20</v>
      </c>
    </row>
    <row r="9" spans="2:17" ht="23.25" thickBot="1" x14ac:dyDescent="0.25">
      <c r="B9" s="52" t="s">
        <v>39</v>
      </c>
      <c r="C9" s="52" t="s">
        <v>32</v>
      </c>
      <c r="D9" s="52" t="s">
        <v>33</v>
      </c>
      <c r="E9" s="52" t="s">
        <v>87</v>
      </c>
      <c r="F9" s="52" t="s">
        <v>86</v>
      </c>
      <c r="H9" s="112" t="s">
        <v>38</v>
      </c>
      <c r="I9" s="112" t="s">
        <v>31</v>
      </c>
      <c r="J9" s="112" t="s">
        <v>21</v>
      </c>
      <c r="K9" s="112" t="s">
        <v>22</v>
      </c>
      <c r="L9" s="112" t="s">
        <v>23</v>
      </c>
      <c r="M9" s="112" t="s">
        <v>24</v>
      </c>
      <c r="N9" s="112" t="s">
        <v>43</v>
      </c>
      <c r="O9" s="112" t="s">
        <v>42</v>
      </c>
      <c r="P9" s="112" t="s">
        <v>25</v>
      </c>
    </row>
    <row r="10" spans="2:17" s="37" customFormat="1" ht="13.5" thickBot="1" x14ac:dyDescent="0.25">
      <c r="B10" s="52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2" t="s">
        <v>81</v>
      </c>
      <c r="I10" s="116"/>
      <c r="J10" s="116"/>
      <c r="K10" s="116"/>
      <c r="L10" s="116"/>
      <c r="M10" s="116"/>
      <c r="N10" s="116"/>
      <c r="O10" s="116"/>
      <c r="P10" s="116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3" t="str">
        <f>'EB2'!$B$5</f>
        <v>MIN</v>
      </c>
      <c r="I11" s="114"/>
      <c r="J11" s="114" t="str">
        <f>$H$11&amp;$C$2&amp;1</f>
        <v>MINNUC1</v>
      </c>
      <c r="K11" s="117" t="str">
        <f>"Domestic Supply of "&amp;$D$2&amp; " Step "&amp;RIGHT(J11,1)</f>
        <v>Domestic Supply of Nuclear Energy Step 1</v>
      </c>
      <c r="L11" s="114" t="str">
        <f>$E$2</f>
        <v>PJ</v>
      </c>
      <c r="M11" s="114" t="str">
        <f>$E$2&amp;"a"</f>
        <v>PJa</v>
      </c>
      <c r="N11" s="114"/>
      <c r="O11" s="114"/>
      <c r="P11" s="114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6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2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2" t="s">
        <v>73</v>
      </c>
      <c r="I5" s="123"/>
      <c r="J5" s="122" t="str">
        <f t="shared" ref="J5:K11" si="0">C2</f>
        <v>DSL</v>
      </c>
      <c r="K5" s="122" t="str">
        <f t="shared" si="0"/>
        <v>Diesel oil</v>
      </c>
      <c r="L5" s="122" t="str">
        <f t="shared" ref="L5:L11" si="1">$E$2</f>
        <v>PJ</v>
      </c>
      <c r="M5" s="122"/>
      <c r="N5" s="122"/>
      <c r="O5" s="122"/>
      <c r="P5" s="122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2"/>
      <c r="I6" s="123"/>
      <c r="J6" s="122" t="str">
        <f t="shared" si="0"/>
        <v>KER</v>
      </c>
      <c r="K6" s="122" t="str">
        <f t="shared" si="0"/>
        <v>Kerosenes</v>
      </c>
      <c r="L6" s="122" t="str">
        <f t="shared" si="1"/>
        <v>PJ</v>
      </c>
      <c r="M6" s="122"/>
      <c r="N6" s="122"/>
      <c r="O6" s="122"/>
      <c r="P6" s="122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2"/>
      <c r="I7" s="123"/>
      <c r="J7" s="122" t="str">
        <f t="shared" si="0"/>
        <v>LPG</v>
      </c>
      <c r="K7" s="122" t="str">
        <f t="shared" si="0"/>
        <v>LPG</v>
      </c>
      <c r="L7" s="122" t="str">
        <f t="shared" si="1"/>
        <v>PJ</v>
      </c>
      <c r="M7" s="122"/>
      <c r="N7" s="122"/>
      <c r="O7" s="122"/>
      <c r="P7" s="122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2"/>
      <c r="I8" s="123"/>
      <c r="J8" s="122" t="str">
        <f t="shared" si="0"/>
        <v>GSL</v>
      </c>
      <c r="K8" s="122" t="str">
        <f t="shared" si="0"/>
        <v>Motor spirit</v>
      </c>
      <c r="L8" s="122" t="str">
        <f t="shared" si="1"/>
        <v>PJ</v>
      </c>
      <c r="M8" s="122"/>
      <c r="N8" s="122"/>
      <c r="O8" s="122"/>
      <c r="P8" s="122"/>
      <c r="R8" s="37"/>
      <c r="S8" s="37"/>
    </row>
    <row r="9" spans="2:22" x14ac:dyDescent="0.2">
      <c r="H9" s="122"/>
      <c r="I9" s="123"/>
      <c r="J9" s="122" t="str">
        <f t="shared" si="0"/>
        <v>NAP</v>
      </c>
      <c r="K9" s="122" t="str">
        <f t="shared" si="0"/>
        <v>Naphtha</v>
      </c>
      <c r="L9" s="122" t="str">
        <f t="shared" si="1"/>
        <v>PJ</v>
      </c>
      <c r="M9" s="122"/>
      <c r="N9" s="122"/>
      <c r="O9" s="122"/>
      <c r="P9" s="122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2"/>
      <c r="I10" s="123"/>
      <c r="J10" s="122" t="str">
        <f t="shared" si="0"/>
        <v>HFO</v>
      </c>
      <c r="K10" s="122" t="str">
        <f t="shared" si="0"/>
        <v>Heavy Fuel Oil</v>
      </c>
      <c r="L10" s="122" t="str">
        <f t="shared" si="1"/>
        <v>PJ</v>
      </c>
      <c r="M10" s="122"/>
      <c r="N10" s="122"/>
      <c r="O10" s="122"/>
      <c r="P10" s="122"/>
      <c r="Q10" s="35"/>
      <c r="U10" s="35"/>
      <c r="V10" s="35"/>
    </row>
    <row r="11" spans="2:22" s="37" customFormat="1" x14ac:dyDescent="0.2">
      <c r="H11" s="122"/>
      <c r="I11" s="123"/>
      <c r="J11" s="122" t="str">
        <f t="shared" si="0"/>
        <v>OPP</v>
      </c>
      <c r="K11" s="122" t="str">
        <f t="shared" si="0"/>
        <v>Other Petroleum Products</v>
      </c>
      <c r="L11" s="122" t="str">
        <f t="shared" si="1"/>
        <v>PJ</v>
      </c>
      <c r="M11" s="122"/>
      <c r="N11" s="122"/>
      <c r="O11" s="122"/>
      <c r="P11" s="122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18" t="s">
        <v>15</v>
      </c>
      <c r="I13" s="118"/>
      <c r="J13" s="124"/>
      <c r="K13" s="124"/>
      <c r="L13" s="124"/>
      <c r="M13" s="124"/>
      <c r="N13" s="124"/>
      <c r="O13" s="124"/>
      <c r="P13" s="124"/>
      <c r="T13" s="37"/>
      <c r="U13" s="37"/>
      <c r="V13" s="37"/>
    </row>
    <row r="14" spans="2:22" x14ac:dyDescent="0.2">
      <c r="B14" s="46" t="s">
        <v>1</v>
      </c>
      <c r="C14" s="47" t="s">
        <v>5</v>
      </c>
      <c r="D14" s="46" t="s">
        <v>6</v>
      </c>
      <c r="E14" s="84" t="s">
        <v>35</v>
      </c>
      <c r="F14" s="84" t="s">
        <v>80</v>
      </c>
      <c r="H14" s="120" t="s">
        <v>11</v>
      </c>
      <c r="I14" s="121" t="s">
        <v>30</v>
      </c>
      <c r="J14" s="120" t="s">
        <v>1</v>
      </c>
      <c r="K14" s="120" t="s">
        <v>2</v>
      </c>
      <c r="L14" s="120" t="s">
        <v>16</v>
      </c>
      <c r="M14" s="120" t="s">
        <v>17</v>
      </c>
      <c r="N14" s="120" t="s">
        <v>18</v>
      </c>
      <c r="O14" s="120" t="s">
        <v>19</v>
      </c>
      <c r="P14" s="120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2" t="s">
        <v>87</v>
      </c>
      <c r="F15" s="52" t="s">
        <v>86</v>
      </c>
      <c r="H15" s="112" t="s">
        <v>38</v>
      </c>
      <c r="I15" s="112" t="s">
        <v>31</v>
      </c>
      <c r="J15" s="112" t="s">
        <v>21</v>
      </c>
      <c r="K15" s="112" t="s">
        <v>22</v>
      </c>
      <c r="L15" s="112" t="s">
        <v>23</v>
      </c>
      <c r="M15" s="112" t="s">
        <v>24</v>
      </c>
      <c r="N15" s="112" t="s">
        <v>43</v>
      </c>
      <c r="O15" s="112" t="s">
        <v>42</v>
      </c>
      <c r="P15" s="112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2" t="s">
        <v>81</v>
      </c>
      <c r="I16" s="116"/>
      <c r="J16" s="116"/>
      <c r="K16" s="116"/>
      <c r="L16" s="116"/>
      <c r="M16" s="116"/>
      <c r="N16" s="116"/>
      <c r="O16" s="116"/>
      <c r="P16" s="116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5">
        <f>Pri_OIL!$F$14*1.3</f>
        <v>10.4</v>
      </c>
      <c r="F17" s="70"/>
      <c r="H17" s="123" t="str">
        <f>'EB2'!$B$6</f>
        <v>IMP</v>
      </c>
      <c r="I17" s="123"/>
      <c r="J17" s="123" t="str">
        <f t="shared" ref="J17:J23" si="4">$H$17&amp;C2&amp;1</f>
        <v>IMPDSL1</v>
      </c>
      <c r="K17" s="125" t="str">
        <f t="shared" ref="K17:K23" si="5">"Import of "&amp;D2&amp; " Step "&amp;RIGHT(J17,1)</f>
        <v>Import of Diesel oil Step 1</v>
      </c>
      <c r="L17" s="123" t="str">
        <f t="shared" ref="L17:L30" si="6">$E$2</f>
        <v>PJ</v>
      </c>
      <c r="M17" s="123"/>
      <c r="N17" s="123"/>
      <c r="O17" s="123"/>
      <c r="P17" s="123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5">
        <f>Pri_OIL!$F$14*1.4</f>
        <v>11.2</v>
      </c>
      <c r="F18" s="70"/>
      <c r="H18" s="123"/>
      <c r="I18" s="123"/>
      <c r="J18" s="123" t="str">
        <f t="shared" si="4"/>
        <v>IMPKER1</v>
      </c>
      <c r="K18" s="125" t="str">
        <f t="shared" si="5"/>
        <v>Import of Kerosenes Step 1</v>
      </c>
      <c r="L18" s="123" t="str">
        <f t="shared" si="6"/>
        <v>PJ</v>
      </c>
      <c r="M18" s="123"/>
      <c r="N18" s="123"/>
      <c r="O18" s="123"/>
      <c r="P18" s="123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5">
        <f>Pri_OIL!$F$14*1.1</f>
        <v>8.8000000000000007</v>
      </c>
      <c r="F19" s="70"/>
      <c r="H19" s="123"/>
      <c r="I19" s="123"/>
      <c r="J19" s="123" t="str">
        <f t="shared" si="4"/>
        <v>IMPLPG1</v>
      </c>
      <c r="K19" s="125" t="str">
        <f t="shared" si="5"/>
        <v>Import of LPG Step 1</v>
      </c>
      <c r="L19" s="123" t="str">
        <f t="shared" si="6"/>
        <v>PJ</v>
      </c>
      <c r="M19" s="123"/>
      <c r="N19" s="123"/>
      <c r="O19" s="123"/>
      <c r="P19" s="123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5">
        <f>Pri_OIL!$F$14*1.4</f>
        <v>11.2</v>
      </c>
      <c r="F20" s="70"/>
      <c r="H20" s="123"/>
      <c r="I20" s="123"/>
      <c r="J20" s="123" t="str">
        <f t="shared" si="4"/>
        <v>IMPGSL1</v>
      </c>
      <c r="K20" s="125" t="str">
        <f t="shared" si="5"/>
        <v>Import of Motor spirit Step 1</v>
      </c>
      <c r="L20" s="123" t="str">
        <f t="shared" si="6"/>
        <v>PJ</v>
      </c>
      <c r="M20" s="123"/>
      <c r="N20" s="123"/>
      <c r="O20" s="123"/>
      <c r="P20" s="123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5">
        <f>Pri_OIL!$F$14*1.05</f>
        <v>8.4</v>
      </c>
      <c r="F21" s="70"/>
      <c r="H21" s="123"/>
      <c r="I21" s="123"/>
      <c r="J21" s="123" t="str">
        <f t="shared" si="4"/>
        <v>IMPNAP1</v>
      </c>
      <c r="K21" s="125" t="str">
        <f t="shared" si="5"/>
        <v>Import of Naphtha Step 1</v>
      </c>
      <c r="L21" s="123" t="str">
        <f t="shared" si="6"/>
        <v>PJ</v>
      </c>
      <c r="M21" s="123"/>
      <c r="N21" s="123"/>
      <c r="O21" s="123"/>
      <c r="P21" s="123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5">
        <f>Pri_OIL!$F$14*1.05</f>
        <v>8.4</v>
      </c>
      <c r="F22" s="70"/>
      <c r="H22" s="123"/>
      <c r="I22" s="123"/>
      <c r="J22" s="123" t="str">
        <f t="shared" si="4"/>
        <v>IMPHFO1</v>
      </c>
      <c r="K22" s="125" t="str">
        <f t="shared" si="5"/>
        <v>Import of Heavy Fuel Oil Step 1</v>
      </c>
      <c r="L22" s="123" t="str">
        <f t="shared" si="6"/>
        <v>PJ</v>
      </c>
      <c r="M22" s="123"/>
      <c r="N22" s="123"/>
      <c r="O22" s="123"/>
      <c r="P22" s="123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5">
        <f>Pri_OIL!$F$14*1.05</f>
        <v>8.4</v>
      </c>
      <c r="F23" s="70"/>
      <c r="G23" s="37"/>
      <c r="H23" s="123"/>
      <c r="I23" s="123"/>
      <c r="J23" s="123" t="str">
        <f t="shared" si="4"/>
        <v>IMPOPP1</v>
      </c>
      <c r="K23" s="125" t="str">
        <f t="shared" si="5"/>
        <v>Import of Other Petroleum Products Step 1</v>
      </c>
      <c r="L23" s="123" t="str">
        <f t="shared" si="6"/>
        <v>PJ</v>
      </c>
      <c r="M23" s="123"/>
      <c r="N23" s="123"/>
      <c r="O23" s="123"/>
      <c r="P23" s="123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5">
        <f>E17*0.99</f>
        <v>10.295999999999999</v>
      </c>
      <c r="F24" s="70">
        <f>-'EB2'!G$7</f>
        <v>1683.1424999999999</v>
      </c>
      <c r="H24" s="123" t="str">
        <f>'EB2'!B7</f>
        <v>EXP</v>
      </c>
      <c r="I24" s="124"/>
      <c r="J24" s="123" t="str">
        <f t="shared" ref="J24:J30" si="8">$H$24&amp;C2&amp;1</f>
        <v>EXPDSL1</v>
      </c>
      <c r="K24" s="125" t="str">
        <f t="shared" ref="K24:K30" si="9">"Export of "&amp;D2&amp; " Step "&amp;RIGHT(J24,1)</f>
        <v>Export of Diesel oil Step 1</v>
      </c>
      <c r="L24" s="123" t="str">
        <f t="shared" si="6"/>
        <v>PJ</v>
      </c>
      <c r="M24" s="123"/>
      <c r="N24" s="124"/>
      <c r="O24" s="123"/>
      <c r="P24" s="123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5">
        <f t="shared" ref="E25:E30" si="10">E18*0.99</f>
        <v>11.087999999999999</v>
      </c>
      <c r="F25" s="70">
        <f>-'EB2'!H$7</f>
        <v>295.38850000000002</v>
      </c>
      <c r="H25" s="124"/>
      <c r="I25" s="124"/>
      <c r="J25" s="123" t="str">
        <f t="shared" si="8"/>
        <v>EXPKER1</v>
      </c>
      <c r="K25" s="125" t="str">
        <f t="shared" si="9"/>
        <v>Export of Kerosenes Step 1</v>
      </c>
      <c r="L25" s="123" t="str">
        <f t="shared" si="6"/>
        <v>PJ</v>
      </c>
      <c r="M25" s="123"/>
      <c r="N25" s="124"/>
      <c r="O25" s="123"/>
      <c r="P25" s="123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5">
        <f t="shared" si="10"/>
        <v>8.7119999999999997</v>
      </c>
      <c r="F26" s="70">
        <f>-'EB2'!I$7</f>
        <v>194.51650000000001</v>
      </c>
      <c r="H26" s="123"/>
      <c r="I26" s="123"/>
      <c r="J26" s="123" t="str">
        <f t="shared" si="8"/>
        <v>EXPLPG1</v>
      </c>
      <c r="K26" s="125" t="str">
        <f t="shared" si="9"/>
        <v>Export of LPG Step 1</v>
      </c>
      <c r="L26" s="123" t="str">
        <f t="shared" si="6"/>
        <v>PJ</v>
      </c>
      <c r="M26" s="123"/>
      <c r="N26" s="123"/>
      <c r="O26" s="123"/>
      <c r="P26" s="123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5">
        <f t="shared" si="10"/>
        <v>11.087999999999999</v>
      </c>
      <c r="F27" s="70">
        <f>-'EB2'!J$7</f>
        <v>1500.6420000000001</v>
      </c>
      <c r="H27" s="123"/>
      <c r="I27" s="123"/>
      <c r="J27" s="123" t="str">
        <f t="shared" si="8"/>
        <v>EXPGSL1</v>
      </c>
      <c r="K27" s="125" t="str">
        <f t="shared" si="9"/>
        <v>Export of Motor spirit Step 1</v>
      </c>
      <c r="L27" s="123" t="str">
        <f t="shared" si="6"/>
        <v>PJ</v>
      </c>
      <c r="M27" s="123"/>
      <c r="N27" s="123"/>
      <c r="O27" s="123"/>
      <c r="P27" s="123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5">
        <f t="shared" si="10"/>
        <v>8.3160000000000007</v>
      </c>
      <c r="F28" s="70">
        <f>-'EB2'!K$7</f>
        <v>400.84</v>
      </c>
      <c r="H28" s="124"/>
      <c r="I28" s="124"/>
      <c r="J28" s="123" t="str">
        <f t="shared" si="8"/>
        <v>EXPNAP1</v>
      </c>
      <c r="K28" s="125" t="str">
        <f t="shared" si="9"/>
        <v>Export of Naphtha Step 1</v>
      </c>
      <c r="L28" s="123" t="str">
        <f t="shared" si="6"/>
        <v>PJ</v>
      </c>
      <c r="M28" s="123"/>
      <c r="N28" s="124"/>
      <c r="O28" s="124"/>
      <c r="P28" s="124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5">
        <f t="shared" si="10"/>
        <v>8.3160000000000007</v>
      </c>
      <c r="F29" s="70">
        <f>-'EB2'!L$7</f>
        <v>1239.28</v>
      </c>
      <c r="H29" s="124"/>
      <c r="I29" s="124"/>
      <c r="J29" s="123" t="str">
        <f t="shared" si="8"/>
        <v>EXPHFO1</v>
      </c>
      <c r="K29" s="125" t="str">
        <f t="shared" si="9"/>
        <v>Export of Heavy Fuel Oil Step 1</v>
      </c>
      <c r="L29" s="123" t="str">
        <f t="shared" si="6"/>
        <v>PJ</v>
      </c>
      <c r="M29" s="123"/>
      <c r="N29" s="124"/>
      <c r="O29" s="124"/>
      <c r="P29" s="124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5">
        <f t="shared" si="10"/>
        <v>8.3160000000000007</v>
      </c>
      <c r="F30" s="70">
        <f>-'EB2'!M$7</f>
        <v>453.036</v>
      </c>
      <c r="H30" s="124"/>
      <c r="I30" s="124"/>
      <c r="J30" s="123" t="str">
        <f t="shared" si="8"/>
        <v>EXPOPP1</v>
      </c>
      <c r="K30" s="125" t="str">
        <f t="shared" si="9"/>
        <v>Export of Other Petroleum Products Step 1</v>
      </c>
      <c r="L30" s="123" t="str">
        <f t="shared" si="6"/>
        <v>PJ</v>
      </c>
      <c r="M30" s="124"/>
      <c r="N30" s="124"/>
      <c r="O30" s="124"/>
      <c r="P30" s="124"/>
    </row>
    <row r="31" spans="2:22" x14ac:dyDescent="0.2">
      <c r="B31" s="44"/>
      <c r="C31" s="44"/>
      <c r="D31" s="44"/>
      <c r="E31" s="48"/>
      <c r="F31" s="40"/>
    </row>
    <row r="35" spans="2:3" x14ac:dyDescent="0.2">
      <c r="B35" s="66"/>
      <c r="C35" s="1" t="s">
        <v>124</v>
      </c>
    </row>
    <row r="36" spans="2:3" x14ac:dyDescent="0.2">
      <c r="B36" s="72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18" t="s">
        <v>14</v>
      </c>
      <c r="I2" s="118"/>
      <c r="J2" s="119"/>
      <c r="K2" s="119"/>
      <c r="L2" s="119"/>
      <c r="M2" s="119"/>
      <c r="N2" s="119"/>
      <c r="O2" s="119"/>
      <c r="P2" s="119"/>
    </row>
    <row r="3" spans="2:22" ht="15.75" x14ac:dyDescent="0.25">
      <c r="C3" s="13"/>
      <c r="D3" s="13"/>
      <c r="E3" s="13"/>
      <c r="H3" s="120" t="s">
        <v>7</v>
      </c>
      <c r="I3" s="121" t="s">
        <v>30</v>
      </c>
      <c r="J3" s="120" t="s">
        <v>0</v>
      </c>
      <c r="K3" s="120" t="s">
        <v>3</v>
      </c>
      <c r="L3" s="120" t="s">
        <v>4</v>
      </c>
      <c r="M3" s="120" t="s">
        <v>8</v>
      </c>
      <c r="N3" s="120" t="s">
        <v>9</v>
      </c>
      <c r="O3" s="120" t="s">
        <v>10</v>
      </c>
      <c r="P3" s="120" t="s">
        <v>12</v>
      </c>
    </row>
    <row r="4" spans="2:22" ht="24" thickBot="1" x14ac:dyDescent="0.3">
      <c r="C4" s="13"/>
      <c r="D4" s="13"/>
      <c r="H4" s="112" t="s">
        <v>37</v>
      </c>
      <c r="I4" s="112" t="s">
        <v>31</v>
      </c>
      <c r="J4" s="112" t="s">
        <v>26</v>
      </c>
      <c r="K4" s="112" t="s">
        <v>27</v>
      </c>
      <c r="L4" s="112" t="s">
        <v>4</v>
      </c>
      <c r="M4" s="112" t="s">
        <v>40</v>
      </c>
      <c r="N4" s="112" t="s">
        <v>41</v>
      </c>
      <c r="O4" s="112" t="s">
        <v>28</v>
      </c>
      <c r="P4" s="112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18" t="s">
        <v>15</v>
      </c>
      <c r="I11" s="118"/>
      <c r="J11" s="124"/>
      <c r="K11" s="124"/>
      <c r="L11" s="124"/>
      <c r="M11" s="124"/>
      <c r="N11" s="124"/>
      <c r="O11" s="124"/>
      <c r="P11" s="124"/>
      <c r="T11" s="37"/>
      <c r="U11" s="37"/>
      <c r="V11" s="37"/>
    </row>
    <row r="12" spans="2:22" x14ac:dyDescent="0.2">
      <c r="B12" s="46" t="s">
        <v>1</v>
      </c>
      <c r="C12" s="47" t="s">
        <v>5</v>
      </c>
      <c r="D12" s="46" t="s">
        <v>6</v>
      </c>
      <c r="E12" s="96" t="s">
        <v>35</v>
      </c>
      <c r="F12" s="96" t="s">
        <v>80</v>
      </c>
      <c r="H12" s="120" t="s">
        <v>11</v>
      </c>
      <c r="I12" s="121" t="s">
        <v>30</v>
      </c>
      <c r="J12" s="120" t="s">
        <v>1</v>
      </c>
      <c r="K12" s="120" t="s">
        <v>2</v>
      </c>
      <c r="L12" s="120" t="s">
        <v>16</v>
      </c>
      <c r="M12" s="120" t="s">
        <v>17</v>
      </c>
      <c r="N12" s="120" t="s">
        <v>18</v>
      </c>
      <c r="O12" s="120" t="s">
        <v>19</v>
      </c>
      <c r="P12" s="120" t="s">
        <v>20</v>
      </c>
      <c r="T12" s="37"/>
      <c r="U12" s="37"/>
      <c r="V12" s="37"/>
    </row>
    <row r="13" spans="2:22" ht="23.25" thickBot="1" x14ac:dyDescent="0.25">
      <c r="B13" s="52" t="s">
        <v>39</v>
      </c>
      <c r="C13" s="52" t="s">
        <v>32</v>
      </c>
      <c r="D13" s="52" t="s">
        <v>33</v>
      </c>
      <c r="E13" s="52" t="s">
        <v>87</v>
      </c>
      <c r="F13" s="52" t="s">
        <v>86</v>
      </c>
      <c r="H13" s="112" t="s">
        <v>38</v>
      </c>
      <c r="I13" s="112" t="s">
        <v>31</v>
      </c>
      <c r="J13" s="112" t="s">
        <v>21</v>
      </c>
      <c r="K13" s="112" t="s">
        <v>22</v>
      </c>
      <c r="L13" s="112" t="s">
        <v>23</v>
      </c>
      <c r="M13" s="112" t="s">
        <v>24</v>
      </c>
      <c r="N13" s="112" t="s">
        <v>43</v>
      </c>
      <c r="O13" s="112" t="s">
        <v>42</v>
      </c>
      <c r="P13" s="112" t="s">
        <v>25</v>
      </c>
      <c r="U13" s="37"/>
      <c r="V13" s="37"/>
    </row>
    <row r="14" spans="2:22" s="37" customFormat="1" ht="13.5" thickBot="1" x14ac:dyDescent="0.25">
      <c r="B14" s="52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2" t="s">
        <v>81</v>
      </c>
      <c r="I14" s="112"/>
      <c r="J14" s="112"/>
      <c r="K14" s="112"/>
      <c r="L14" s="112"/>
      <c r="M14" s="112"/>
      <c r="N14" s="112"/>
      <c r="O14" s="112"/>
      <c r="P14" s="112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79">
        <f>Pri_GAS!F12*1.3</f>
        <v>5.3819999999999997</v>
      </c>
      <c r="F15" s="97">
        <f>'EB2'!U6</f>
        <v>583.76</v>
      </c>
      <c r="H15" s="123" t="str">
        <f>'EB2'!$B$6</f>
        <v>IMP</v>
      </c>
      <c r="I15" s="123"/>
      <c r="J15" s="123" t="str">
        <f>$H$15&amp;C2&amp;1</f>
        <v>IMPELC1</v>
      </c>
      <c r="K15" s="125" t="str">
        <f>"Import of "&amp;D2&amp; " Step "&amp;RIGHT(J15,1)</f>
        <v>Import of Electricity Step 1</v>
      </c>
      <c r="L15" s="123" t="str">
        <f>$E$2</f>
        <v>PJ</v>
      </c>
      <c r="M15" s="123"/>
      <c r="N15" s="122" t="s">
        <v>100</v>
      </c>
      <c r="O15" s="123"/>
      <c r="P15" s="123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79">
        <v>6</v>
      </c>
      <c r="F16" s="97">
        <f>-'EB2'!U$7</f>
        <v>563.40200000000004</v>
      </c>
      <c r="H16" s="123" t="str">
        <f>'EB2'!B7</f>
        <v>EXP</v>
      </c>
      <c r="I16" s="124"/>
      <c r="J16" s="123" t="str">
        <f>$H$16&amp;C2&amp;1</f>
        <v>EXPELC1</v>
      </c>
      <c r="K16" s="125" t="str">
        <f>"Export of "&amp;D2&amp; " Step "&amp;RIGHT(J16,1)</f>
        <v>Export of Electricity Step 1</v>
      </c>
      <c r="L16" s="123" t="str">
        <f>$E$2</f>
        <v>PJ</v>
      </c>
      <c r="M16" s="123"/>
      <c r="N16" s="122" t="s">
        <v>100</v>
      </c>
      <c r="O16" s="123"/>
      <c r="P16" s="123"/>
      <c r="S16" s="36"/>
    </row>
    <row r="21" spans="2:3" x14ac:dyDescent="0.2">
      <c r="B21" s="78"/>
      <c r="C21" s="36" t="s">
        <v>124</v>
      </c>
    </row>
    <row r="22" spans="2:3" x14ac:dyDescent="0.2">
      <c r="B22" s="87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2020-10-13T11:59:40Z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713527858257293</vt:r8>
  </property>
</Properties>
</file>