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4.bin" ContentType="image/unknown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hul Andotra\Downloads\shark tank project\"/>
    </mc:Choice>
  </mc:AlternateContent>
  <xr:revisionPtr revIDLastSave="0" documentId="13_ncr:1_{ECA9D804-BA2E-4706-B1F2-4AE44EF145F1}" xr6:coauthVersionLast="47" xr6:coauthVersionMax="47" xr10:uidLastSave="{00000000-0000-0000-0000-000000000000}"/>
  <bookViews>
    <workbookView xWindow="-110" yWindow="-110" windowWidth="19420" windowHeight="11020" activeTab="1" xr2:uid="{9885D509-A9CD-4A49-B50B-ED9CB82BFAB9}"/>
  </bookViews>
  <sheets>
    <sheet name="1" sheetId="9" r:id="rId1"/>
    <sheet name="SHARKS" sheetId="4" r:id="rId2"/>
    <sheet name="DATA_analyses" sheetId="1" r:id="rId3"/>
    <sheet name="pivot_table" sheetId="6" r:id="rId4"/>
    <sheet name="pivot&amp;graph as well" sheetId="7" r:id="rId5"/>
    <sheet name="data" sheetId="3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1" l="1"/>
  <c r="K64" i="4"/>
  <c r="N10" i="1"/>
  <c r="K95" i="4"/>
  <c r="K79" i="4"/>
  <c r="K49" i="4"/>
  <c r="K21" i="4"/>
  <c r="K35" i="4"/>
  <c r="M95" i="4"/>
  <c r="M79" i="4"/>
  <c r="M64" i="4"/>
  <c r="M35" i="4"/>
  <c r="M49" i="4"/>
  <c r="M7" i="4"/>
  <c r="M21" i="4"/>
  <c r="K7" i="4"/>
  <c r="N25" i="1"/>
  <c r="N24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9" i="1"/>
  <c r="J19" i="1"/>
  <c r="J18" i="1"/>
  <c r="J17" i="1"/>
  <c r="J16" i="1"/>
  <c r="J15" i="1"/>
  <c r="J14" i="1"/>
  <c r="J13" i="1"/>
  <c r="J12" i="1"/>
  <c r="J11" i="1"/>
  <c r="J10" i="1"/>
  <c r="F16" i="1"/>
  <c r="F15" i="1"/>
  <c r="F14" i="1"/>
  <c r="F13" i="1"/>
  <c r="F12" i="1"/>
  <c r="F11" i="1"/>
  <c r="F10" i="1"/>
  <c r="F9" i="1"/>
  <c r="B21" i="1"/>
  <c r="B24" i="1"/>
  <c r="B23" i="1"/>
  <c r="B22" i="1"/>
  <c r="B20" i="1"/>
  <c r="B19" i="1"/>
  <c r="B18" i="1"/>
  <c r="B17" i="1"/>
  <c r="B16" i="1"/>
  <c r="B15" i="1"/>
  <c r="B13" i="1"/>
  <c r="B12" i="1"/>
  <c r="B11" i="1"/>
  <c r="AH99" i="3"/>
  <c r="AH98" i="3"/>
  <c r="AH97" i="3"/>
  <c r="AH96" i="3"/>
  <c r="AH95" i="3"/>
  <c r="AH94" i="3"/>
  <c r="AH93" i="3"/>
  <c r="AH92" i="3"/>
  <c r="AH91" i="3"/>
  <c r="AH90" i="3"/>
  <c r="AH89" i="3"/>
  <c r="AH88" i="3"/>
  <c r="AH87" i="3"/>
  <c r="AH86" i="3"/>
  <c r="AH85" i="3"/>
  <c r="AH84" i="3"/>
  <c r="AH83" i="3"/>
  <c r="AH82" i="3"/>
  <c r="AH81" i="3"/>
  <c r="AH80" i="3"/>
  <c r="AH79" i="3"/>
  <c r="AH78" i="3"/>
  <c r="AH77" i="3"/>
  <c r="AH76" i="3"/>
  <c r="AH75" i="3"/>
  <c r="AH74" i="3"/>
  <c r="AH73" i="3"/>
  <c r="AH72" i="3"/>
  <c r="AH71" i="3"/>
  <c r="AH70" i="3"/>
  <c r="AH69" i="3"/>
  <c r="AH68" i="3"/>
  <c r="AH67" i="3"/>
  <c r="AH66" i="3"/>
  <c r="AH65" i="3"/>
  <c r="AH64" i="3"/>
  <c r="AH63" i="3"/>
  <c r="AH62" i="3"/>
  <c r="AH61" i="3"/>
  <c r="AH60" i="3"/>
  <c r="AH59" i="3"/>
  <c r="AH58" i="3"/>
  <c r="AH57" i="3"/>
  <c r="AH56" i="3"/>
  <c r="AH55" i="3"/>
  <c r="AH54" i="3"/>
  <c r="AH53" i="3"/>
  <c r="AH52" i="3"/>
  <c r="AH51" i="3"/>
  <c r="AH50" i="3"/>
  <c r="AH49" i="3"/>
  <c r="AH48" i="3"/>
  <c r="AH47" i="3"/>
  <c r="AH46" i="3"/>
  <c r="AH45" i="3"/>
  <c r="AH44" i="3"/>
  <c r="AH43" i="3"/>
  <c r="AH42" i="3"/>
  <c r="AH41" i="3"/>
  <c r="AH40" i="3"/>
  <c r="AH39" i="3"/>
  <c r="AH38" i="3"/>
  <c r="AH37" i="3"/>
  <c r="AH36" i="3"/>
  <c r="AH35" i="3"/>
  <c r="AH34" i="3"/>
  <c r="AH33" i="3"/>
  <c r="AH32" i="3"/>
  <c r="AH31" i="3"/>
  <c r="AH30" i="3"/>
  <c r="AH29" i="3"/>
  <c r="AH28" i="3"/>
  <c r="AH27" i="3"/>
  <c r="AH26" i="3"/>
  <c r="AH25" i="3"/>
  <c r="AH24" i="3"/>
  <c r="AH23" i="3"/>
  <c r="AH22" i="3"/>
  <c r="AH21" i="3"/>
  <c r="AH20" i="3"/>
  <c r="AH19" i="3"/>
  <c r="AH18" i="3"/>
  <c r="AH17" i="3"/>
  <c r="AH16" i="3"/>
  <c r="AH15" i="3"/>
  <c r="AH14" i="3"/>
  <c r="AH13" i="3"/>
  <c r="AH12" i="3"/>
  <c r="AH11" i="3"/>
  <c r="AH10" i="3"/>
  <c r="AH9" i="3"/>
  <c r="AH8" i="3"/>
  <c r="AH7" i="3"/>
  <c r="AH6" i="3"/>
  <c r="AH5" i="3"/>
  <c r="AH4" i="3"/>
  <c r="AH3" i="3"/>
  <c r="AH2" i="3"/>
  <c r="B10" i="1" l="1"/>
  <c r="B14" i="1"/>
</calcChain>
</file>

<file path=xl/sharedStrings.xml><?xml version="1.0" encoding="utf-8"?>
<sst xmlns="http://schemas.openxmlformats.org/spreadsheetml/2006/main" count="1489" uniqueCount="440">
  <si>
    <t>SHARK TANK DATA ANALYSIS</t>
  </si>
  <si>
    <t>Total Season</t>
  </si>
  <si>
    <t>Total Episodes</t>
  </si>
  <si>
    <t>Pitches</t>
  </si>
  <si>
    <t>Pitches Converted</t>
  </si>
  <si>
    <t>Total Male</t>
  </si>
  <si>
    <t>Total Female</t>
  </si>
  <si>
    <t>Ratio of Gender</t>
  </si>
  <si>
    <t>Total Amount Invested lakhs</t>
  </si>
  <si>
    <t>SHOW STATISTICS</t>
  </si>
  <si>
    <t>Pitches having atleast one women</t>
  </si>
  <si>
    <t>Pitches converted atleast one women</t>
  </si>
  <si>
    <t>Avg team member</t>
  </si>
  <si>
    <t>Debt taken</t>
  </si>
  <si>
    <t>Total Amount Asked</t>
  </si>
  <si>
    <t>Avg Equity Asked %</t>
  </si>
  <si>
    <t>Amt invested per deal</t>
  </si>
  <si>
    <t>Highest Deal Taken</t>
  </si>
  <si>
    <t>Highest Equity Taken</t>
  </si>
  <si>
    <t>Entrepreneus in most age group</t>
  </si>
  <si>
    <t>30-35</t>
  </si>
  <si>
    <t>35-40</t>
  </si>
  <si>
    <t>25-30</t>
  </si>
  <si>
    <t>20-25</t>
  </si>
  <si>
    <t>40-45</t>
  </si>
  <si>
    <t>45-50</t>
  </si>
  <si>
    <t>50-55</t>
  </si>
  <si>
    <t>41-45</t>
  </si>
  <si>
    <t>Location of Entrepreneurs</t>
  </si>
  <si>
    <t>Delhi</t>
  </si>
  <si>
    <t>Mumbai</t>
  </si>
  <si>
    <t>Pune</t>
  </si>
  <si>
    <t>Bangalore</t>
  </si>
  <si>
    <t>Kolkata</t>
  </si>
  <si>
    <t>Ahemdabad</t>
  </si>
  <si>
    <t>Hyderabad</t>
  </si>
  <si>
    <t>Gurgaon</t>
  </si>
  <si>
    <t>Gujarat</t>
  </si>
  <si>
    <t>Kerela</t>
  </si>
  <si>
    <t>Noida</t>
  </si>
  <si>
    <t>Jaipur</t>
  </si>
  <si>
    <t>Jammu</t>
  </si>
  <si>
    <t>Indore</t>
  </si>
  <si>
    <t>Nagpur</t>
  </si>
  <si>
    <t>Dehradun</t>
  </si>
  <si>
    <t>Jalna</t>
  </si>
  <si>
    <t>Darbhanga</t>
  </si>
  <si>
    <t>Valsad</t>
  </si>
  <si>
    <t>Surat</t>
  </si>
  <si>
    <t>Baramati</t>
  </si>
  <si>
    <t>Chennai</t>
  </si>
  <si>
    <t>Goa</t>
  </si>
  <si>
    <t>Nashik</t>
  </si>
  <si>
    <t>Bombay</t>
  </si>
  <si>
    <t>Panipat</t>
  </si>
  <si>
    <t>Lucknow</t>
  </si>
  <si>
    <t>Secundarabad</t>
  </si>
  <si>
    <t>Ludhiana</t>
  </si>
  <si>
    <t>Unknown</t>
  </si>
  <si>
    <t>Malegaon</t>
  </si>
  <si>
    <t>Mathura</t>
  </si>
  <si>
    <t>Kaithal</t>
  </si>
  <si>
    <t>Food</t>
  </si>
  <si>
    <t>Lifestyle</t>
  </si>
  <si>
    <t>Health</t>
  </si>
  <si>
    <t>Technology</t>
  </si>
  <si>
    <t>Automobile</t>
  </si>
  <si>
    <t>Clothes</t>
  </si>
  <si>
    <t>Finance</t>
  </si>
  <si>
    <t>Safety</t>
  </si>
  <si>
    <t>Education</t>
  </si>
  <si>
    <t>Tourism</t>
  </si>
  <si>
    <t>Entertainment</t>
  </si>
  <si>
    <t>Entrepreneurs Domain</t>
  </si>
  <si>
    <t xml:space="preserve">Metrics </t>
  </si>
  <si>
    <t>Data</t>
  </si>
  <si>
    <t>Entrepreneurs Statistics</t>
  </si>
  <si>
    <t>Ashneer</t>
  </si>
  <si>
    <t>Anupam</t>
  </si>
  <si>
    <t>Aman</t>
  </si>
  <si>
    <t>Vineeta</t>
  </si>
  <si>
    <t>Namita</t>
  </si>
  <si>
    <t>Ep. No.</t>
  </si>
  <si>
    <t>Brand</t>
  </si>
  <si>
    <t>Male</t>
  </si>
  <si>
    <t>Female</t>
  </si>
  <si>
    <t>Location</t>
  </si>
  <si>
    <t>Idea</t>
  </si>
  <si>
    <t>Sector</t>
  </si>
  <si>
    <t>Deal</t>
  </si>
  <si>
    <t>Amount Invested lakhs</t>
  </si>
  <si>
    <t>Amout Asked</t>
  </si>
  <si>
    <t>Debt Invested</t>
  </si>
  <si>
    <t>Debt Asked</t>
  </si>
  <si>
    <t>Equity Taken %</t>
  </si>
  <si>
    <t>Equity Asked %</t>
  </si>
  <si>
    <t>Avg age</t>
  </si>
  <si>
    <t>Team members</t>
  </si>
  <si>
    <t>Ashneer Amount Invested</t>
  </si>
  <si>
    <t>Ashneer Equity Taken %</t>
  </si>
  <si>
    <t>Namita Amount Invested</t>
  </si>
  <si>
    <t>Namita Equity Taken %</t>
  </si>
  <si>
    <t>Anupam Amount Invested</t>
  </si>
  <si>
    <t>Anupam Equity Taken %</t>
  </si>
  <si>
    <t>Vineeta Amount Invested</t>
  </si>
  <si>
    <t>Vineeta Equity Taken %</t>
  </si>
  <si>
    <t>Aman Amount Invested</t>
  </si>
  <si>
    <t>Aman Equity Taken %</t>
  </si>
  <si>
    <t>Peyush Amount Invested</t>
  </si>
  <si>
    <t>Peyush Equity Taken %</t>
  </si>
  <si>
    <t>Ghazal Amount Invested</t>
  </si>
  <si>
    <t>Ghazal Equity Taken %</t>
  </si>
  <si>
    <t>Total investors</t>
  </si>
  <si>
    <t>Partners</t>
  </si>
  <si>
    <t>BluePine Industries</t>
  </si>
  <si>
    <t>Frozen Momos</t>
  </si>
  <si>
    <t>₹75 lakhs for 16% equity</t>
  </si>
  <si>
    <t>NA</t>
  </si>
  <si>
    <t>Booz scooters</t>
  </si>
  <si>
    <t>Renting e-bike for mobility in private spaces</t>
  </si>
  <si>
    <t>₹40 lakhs for 50% equity</t>
  </si>
  <si>
    <t>Heart up my Sleeves</t>
  </si>
  <si>
    <t>Detachable Sleeves</t>
  </si>
  <si>
    <t>₹25 lakhs for 30% equity</t>
  </si>
  <si>
    <t>Tagz Foods</t>
  </si>
  <si>
    <t>Healthy Potato Chips</t>
  </si>
  <si>
    <t>₹70 lakhs for 2.75% equity</t>
  </si>
  <si>
    <t>Head and Heart</t>
  </si>
  <si>
    <t>Brain Development Course</t>
  </si>
  <si>
    <t>No Deal</t>
  </si>
  <si>
    <t>-</t>
  </si>
  <si>
    <t>Agro tourism</t>
  </si>
  <si>
    <t>Qzense Labs</t>
  </si>
  <si>
    <t>Food Freshness Detector</t>
  </si>
  <si>
    <t>Peeschute</t>
  </si>
  <si>
    <t>Disposable Urine Bag</t>
  </si>
  <si>
    <t>₹75 lakhs for 6% equity</t>
  </si>
  <si>
    <t>NOCD</t>
  </si>
  <si>
    <t>Energy Drink</t>
  </si>
  <si>
    <t>₹20 lakhs for 15% equity and ₹30 lakhs debt</t>
  </si>
  <si>
    <t>CosIQ</t>
  </si>
  <si>
    <t>Intelligent Skincare</t>
  </si>
  <si>
    <t>₹50 lakhs for 25% equity</t>
  </si>
  <si>
    <t>JhaJi Achaar</t>
  </si>
  <si>
    <t>Pickle</t>
  </si>
  <si>
    <t>Bummer</t>
  </si>
  <si>
    <t>Underwear</t>
  </si>
  <si>
    <t>₹75 lakhs for 7.5% equity</t>
  </si>
  <si>
    <t>Revamp Moto</t>
  </si>
  <si>
    <t>E-Bike</t>
  </si>
  <si>
    <t>₹1 crore for 1.5% equity</t>
  </si>
  <si>
    <t>Hungry Heads</t>
  </si>
  <si>
    <t>Restaurant serving 80 types of Maggi</t>
  </si>
  <si>
    <t>Shrawani Engineers</t>
  </si>
  <si>
    <t>Belly Button Shaper</t>
  </si>
  <si>
    <t>Skippi Pops</t>
  </si>
  <si>
    <t>Ice-Pops</t>
  </si>
  <si>
    <t>₹1 crore for 15% equity</t>
  </si>
  <si>
    <t>Menstrupedia</t>
  </si>
  <si>
    <t>Menstrual Awareness Comic</t>
  </si>
  <si>
    <t>₹50 lakhs for 20% equity</t>
  </si>
  <si>
    <t>Hecolll</t>
  </si>
  <si>
    <t>Pollution Resistant Fabric</t>
  </si>
  <si>
    <t>Raising Superstars</t>
  </si>
  <si>
    <t>Child Development App</t>
  </si>
  <si>
    <t>₹1 crore for 4% equity</t>
  </si>
  <si>
    <t>Torch-it</t>
  </si>
  <si>
    <t>Gadgets for visually impaired people</t>
  </si>
  <si>
    <t>La Kheer Deli</t>
  </si>
  <si>
    <t>Kheer in variety of flavors</t>
  </si>
  <si>
    <t>Beyond Snack</t>
  </si>
  <si>
    <t>Kerala Banana Chips</t>
  </si>
  <si>
    <t>₹50 lakhs for 2.5% equity</t>
  </si>
  <si>
    <t>Vivalyf Innovations- Easy Life</t>
  </si>
  <si>
    <t>Prickless Diabetes Testing Machine</t>
  </si>
  <si>
    <t>₹56 lakhs for 33.33% equity</t>
  </si>
  <si>
    <t>Motion Breeze</t>
  </si>
  <si>
    <t>Smart Electric Motorcycle</t>
  </si>
  <si>
    <t>₹30 lakhs for 6% equity</t>
  </si>
  <si>
    <t>Altor</t>
  </si>
  <si>
    <t>Smart Helmets</t>
  </si>
  <si>
    <t>₹50 lakhs for 7% equity</t>
  </si>
  <si>
    <t>Ariro</t>
  </si>
  <si>
    <t>Wooden Toys</t>
  </si>
  <si>
    <t>₹50 lakhs for 10% equity</t>
  </si>
  <si>
    <t>Kabira Handmade</t>
  </si>
  <si>
    <t>Healthy Oils</t>
  </si>
  <si>
    <t>Nuutjob</t>
  </si>
  <si>
    <t>Male Intimate Hygiene</t>
  </si>
  <si>
    <t>₹25 lakhs for 20% equity</t>
  </si>
  <si>
    <t>Meatyour</t>
  </si>
  <si>
    <t>Eggs</t>
  </si>
  <si>
    <t>₹30 lakhs for 20% equity</t>
  </si>
  <si>
    <t>EventBeep</t>
  </si>
  <si>
    <t>Student Community App</t>
  </si>
  <si>
    <t>₹30 lakhs for 3% equity</t>
  </si>
  <si>
    <t>Gopal's 56</t>
  </si>
  <si>
    <t>Fiber Ice Cream</t>
  </si>
  <si>
    <t>ARRCOAT Surface Textures</t>
  </si>
  <si>
    <t>Wall Building</t>
  </si>
  <si>
    <t>₹50 lakhs for 15% equity</t>
  </si>
  <si>
    <t>Farda</t>
  </si>
  <si>
    <t>Customised Streetwear</t>
  </si>
  <si>
    <t>Auli Lifestyle</t>
  </si>
  <si>
    <t>Ayurvedic Products</t>
  </si>
  <si>
    <t>₹75 lakhs for 15% equity</t>
  </si>
  <si>
    <t>SweeDesi</t>
  </si>
  <si>
    <t>Indian Sweets</t>
  </si>
  <si>
    <t>LOKA</t>
  </si>
  <si>
    <t>Metaverse App</t>
  </si>
  <si>
    <t>₹40 lakhs for 24% equity</t>
  </si>
  <si>
    <t>Annie</t>
  </si>
  <si>
    <t>Braille Literary Device</t>
  </si>
  <si>
    <t>₹1.05 crore at 3% equity</t>
  </si>
  <si>
    <t>Caragreen</t>
  </si>
  <si>
    <t>Eco-Friendly boxes</t>
  </si>
  <si>
    <t>The Yarn Bazaar</t>
  </si>
  <si>
    <t>Yarn-Trading App</t>
  </si>
  <si>
    <t>₹1 crore for 10% equity</t>
  </si>
  <si>
    <t>The Renal Project</t>
  </si>
  <si>
    <t>Home Dialysis Treatment</t>
  </si>
  <si>
    <t>₹1 crore at 6% equity</t>
  </si>
  <si>
    <t>Morikko Pure Foods</t>
  </si>
  <si>
    <t>Healthy Food Snacks</t>
  </si>
  <si>
    <t>Good Good Piggy Bank</t>
  </si>
  <si>
    <t>Digital Piggy Bank</t>
  </si>
  <si>
    <t>Hammer Lifestyle</t>
  </si>
  <si>
    <t>Smart Audio Products</t>
  </si>
  <si>
    <t>₹1 crore for 40% equity</t>
  </si>
  <si>
    <t>PNT</t>
  </si>
  <si>
    <t>Robotics and Automation Solutions</t>
  </si>
  <si>
    <t>₹25 lakhs for 25% equity and ₹25 lakhs debt</t>
  </si>
  <si>
    <t>Cocofit</t>
  </si>
  <si>
    <t>Coconut based beverage franchise</t>
  </si>
  <si>
    <t>₹5 for 5% equity</t>
  </si>
  <si>
    <t>Bamboo India</t>
  </si>
  <si>
    <t>Bamboo Products</t>
  </si>
  <si>
    <t>₹50 lakhs at 3.5% Equity and ₹30 lakhs Debt</t>
  </si>
  <si>
    <t>Flying Furr</t>
  </si>
  <si>
    <t>Dog Hygiene</t>
  </si>
  <si>
    <t>Beyond Water</t>
  </si>
  <si>
    <t>Liquid Water Enhancer</t>
  </si>
  <si>
    <t>₹75 lakhs for 15% Equity</t>
  </si>
  <si>
    <t>Let’s Try</t>
  </si>
  <si>
    <t>Healthy Snacks</t>
  </si>
  <si>
    <t>₹45 lakhs for 12% Equity</t>
  </si>
  <si>
    <t>Find Your Kicks India</t>
  </si>
  <si>
    <t>Sneaker Resale</t>
  </si>
  <si>
    <t>Aas Vidyalaya</t>
  </si>
  <si>
    <t>EdTech App</t>
  </si>
  <si>
    <t>₹1.5 Crore for 15% Equity</t>
  </si>
  <si>
    <t>Outbox</t>
  </si>
  <si>
    <t>Premium Suprise-Planning</t>
  </si>
  <si>
    <t>RoadBounce</t>
  </si>
  <si>
    <t>Pothole Detection Software and Data</t>
  </si>
  <si>
    <t>₹80 Lakhs for 20% Equity</t>
  </si>
  <si>
    <t>Mommy’s Kitchen</t>
  </si>
  <si>
    <t>Thin Crust Pizza</t>
  </si>
  <si>
    <t>India Hemp and Co</t>
  </si>
  <si>
    <t>Hemp Food Products</t>
  </si>
  <si>
    <t>Otua</t>
  </si>
  <si>
    <t>Electric Auto Vehicle</t>
  </si>
  <si>
    <t>₹1 lakh for 1% equity and ₹99 lakhs Debt</t>
  </si>
  <si>
    <t>Anthyesti</t>
  </si>
  <si>
    <t>Funeral Service</t>
  </si>
  <si>
    <t>Ethik</t>
  </si>
  <si>
    <t>Leather-free Shoes</t>
  </si>
  <si>
    <t>WeSTOCK</t>
  </si>
  <si>
    <t>Livestock health monitoring AI</t>
  </si>
  <si>
    <t>₹60 lakhs for 10% equity</t>
  </si>
  <si>
    <t>KetoIndia</t>
  </si>
  <si>
    <t>Customised Keto Diets for various medical issues</t>
  </si>
  <si>
    <t>Magic lock</t>
  </si>
  <si>
    <t>LPG Cylinder lock</t>
  </si>
  <si>
    <t>The State Plate</t>
  </si>
  <si>
    <t>Delicacies</t>
  </si>
  <si>
    <t>₹40 Lakhs for 3%equity and ₹25 Lakhs Debt</t>
  </si>
  <si>
    <t>Bakarmax</t>
  </si>
  <si>
    <t>Comics &amp; Animation</t>
  </si>
  <si>
    <t>IN A CAN</t>
  </si>
  <si>
    <t>Can Cocktails</t>
  </si>
  <si>
    <t>₹1 Crore for 10 % equity</t>
  </si>
  <si>
    <t>Get a Whey</t>
  </si>
  <si>
    <t>Sugar-Free Icecream</t>
  </si>
  <si>
    <t>₹1 Crore for 15% equity</t>
  </si>
  <si>
    <t>Sid 07 Designs</t>
  </si>
  <si>
    <t>Inventions</t>
  </si>
  <si>
    <t>₹25 Lakhs for 75% equity &amp; 22 lakhs Debt</t>
  </si>
  <si>
    <t>The Quirky Nari</t>
  </si>
  <si>
    <t>Customised Apparels</t>
  </si>
  <si>
    <t>₹35 lakhs for 24% equity</t>
  </si>
  <si>
    <t>Hair Originals</t>
  </si>
  <si>
    <t>Natural Hair Extensions</t>
  </si>
  <si>
    <t>₹60 Lakhs for 4% equity</t>
  </si>
  <si>
    <t>Poo de Cologne</t>
  </si>
  <si>
    <t>Toilet Spray with Essential Oils</t>
  </si>
  <si>
    <t>Moonshine Meads</t>
  </si>
  <si>
    <t>Meads</t>
  </si>
  <si>
    <t>Falhari</t>
  </si>
  <si>
    <t>Fresh Fruits</t>
  </si>
  <si>
    <t>Namhya Foods</t>
  </si>
  <si>
    <t>Ayurvedic Enriched Food</t>
  </si>
  <si>
    <t>₹50 lakhs for 10% Equity &amp; ₹50 lakhs Debt</t>
  </si>
  <si>
    <t>Urban Monkey</t>
  </si>
  <si>
    <t>Streetwear</t>
  </si>
  <si>
    <t>Guardian Gears</t>
  </si>
  <si>
    <t>Motorcycle Luggage</t>
  </si>
  <si>
    <t>Modern Myth</t>
  </si>
  <si>
    <t>Bags</t>
  </si>
  <si>
    <t>The Sass Bar</t>
  </si>
  <si>
    <t>Gifts</t>
  </si>
  <si>
    <t>₹50 lakhs for 35% Equity</t>
  </si>
  <si>
    <t>KG Agrotech</t>
  </si>
  <si>
    <t>Agricultural Innovations</t>
  </si>
  <si>
    <t>₹10 lakhs for 40% Equity &amp; ₹20 lakhs Debt</t>
  </si>
  <si>
    <t>Nuskha Kitchen</t>
  </si>
  <si>
    <t>Homemade Foods</t>
  </si>
  <si>
    <t>PawsIndia</t>
  </si>
  <si>
    <t>Dog Products</t>
  </si>
  <si>
    <t>₹50 lakhs for 15% Equity</t>
  </si>
  <si>
    <t>Sunfox Technologies</t>
  </si>
  <si>
    <t>Portable ECG Device</t>
  </si>
  <si>
    <t>₹1 crore for 6% Equity</t>
  </si>
  <si>
    <t>Alpino</t>
  </si>
  <si>
    <t>Roasted Peanut Products</t>
  </si>
  <si>
    <t>Isak Fragrances</t>
  </si>
  <si>
    <t>Perfumes</t>
  </si>
  <si>
    <t>₹50 lakhs for 50% Equity</t>
  </si>
  <si>
    <t>Julaa Automation</t>
  </si>
  <si>
    <t>Automatic Cradle</t>
  </si>
  <si>
    <t>Rare Planet</t>
  </si>
  <si>
    <t>Handicrafts</t>
  </si>
  <si>
    <t>₹65 lakhs for 3% Equity</t>
  </si>
  <si>
    <t>Theka Coffee</t>
  </si>
  <si>
    <t>Coffee Products</t>
  </si>
  <si>
    <t>food</t>
  </si>
  <si>
    <t>Watt Technovations</t>
  </si>
  <si>
    <t>Ventilated PPE Kits</t>
  </si>
  <si>
    <t>₹101 for 4% Equity</t>
  </si>
  <si>
    <t>Aliste Technologies</t>
  </si>
  <si>
    <t>Automation Solutions</t>
  </si>
  <si>
    <t>Insurance Samadhan</t>
  </si>
  <si>
    <t>Insurance Solutions</t>
  </si>
  <si>
    <t>₹1 Crore for 4% Equity</t>
  </si>
  <si>
    <t>Humpy A2</t>
  </si>
  <si>
    <t>Organic Milk Products</t>
  </si>
  <si>
    <t>₹1 Crore for 15% Equity</t>
  </si>
  <si>
    <t>Kunafa World</t>
  </si>
  <si>
    <t>Kunafa</t>
  </si>
  <si>
    <t>Gold Safe Solutions Ind.</t>
  </si>
  <si>
    <t>Anti-Suicidal Fan Rod</t>
  </si>
  <si>
    <t>₹50 lakhs for 30% Equity</t>
  </si>
  <si>
    <t>Wakao Foods</t>
  </si>
  <si>
    <t>Jackfruit Products</t>
  </si>
  <si>
    <t>₹75 lakhs for 21% Equity</t>
  </si>
  <si>
    <t>PDD Falcon</t>
  </si>
  <si>
    <t>Stainless Steel Items</t>
  </si>
  <si>
    <t>PlayBox TV</t>
  </si>
  <si>
    <t>Streaming Platform</t>
  </si>
  <si>
    <t>Sippline Drinking Shields</t>
  </si>
  <si>
    <t>Portable Glass Attachment</t>
  </si>
  <si>
    <t>Kabaddi Adda</t>
  </si>
  <si>
    <t>₹80 lakhs for 6% Equity</t>
  </si>
  <si>
    <t>Shades of Spring</t>
  </si>
  <si>
    <t>Flowers</t>
  </si>
  <si>
    <t>Scholify</t>
  </si>
  <si>
    <t>Scholarship Platform</t>
  </si>
  <si>
    <t xml:space="preserve">deal done </t>
  </si>
  <si>
    <t>y</t>
  </si>
  <si>
    <t>n</t>
  </si>
  <si>
    <t xml:space="preserve">Avg Equity Taken </t>
  </si>
  <si>
    <t xml:space="preserve"> </t>
  </si>
  <si>
    <t>SHARKS AND THEIR INVESTMENTS</t>
  </si>
  <si>
    <t>SHARK 01.</t>
  </si>
  <si>
    <t>AMAN GUPTA</t>
  </si>
  <si>
    <t>SHARK 02.</t>
  </si>
  <si>
    <t>SHARK 03</t>
  </si>
  <si>
    <t>PEEYUSH BANSAL</t>
  </si>
  <si>
    <t>NAMITA THAPAR</t>
  </si>
  <si>
    <t>SHARK 04</t>
  </si>
  <si>
    <t>ANUPAM MITTAL</t>
  </si>
  <si>
    <t>SHARK 05</t>
  </si>
  <si>
    <t>ASHNEER GROVER</t>
  </si>
  <si>
    <t>SHARK 06</t>
  </si>
  <si>
    <t>VINEETA SINGH</t>
  </si>
  <si>
    <t>SHARK 07</t>
  </si>
  <si>
    <t>GAZAL ALAGH</t>
  </si>
  <si>
    <t>CO-FOUNDER BOAT INDIA</t>
  </si>
  <si>
    <t>https://wikibio.in/aman-gupta</t>
  </si>
  <si>
    <t>CO-FOUNDER LENSKART INDIA</t>
  </si>
  <si>
    <t>https://wikibio.in/peyush-bansal</t>
  </si>
  <si>
    <t>https://wikibio.in/namita-thapar</t>
  </si>
  <si>
    <t>https://wikibio.in/ashneer-grover</t>
  </si>
  <si>
    <t>https://wikibio.in/anupam-mittal</t>
  </si>
  <si>
    <t>https://wikibio.in/vineeta-singh</t>
  </si>
  <si>
    <t>C0-FOUNDER MAMA EARTH</t>
  </si>
  <si>
    <t>https://wikibio.in/ghazal-alagh</t>
  </si>
  <si>
    <t xml:space="preserve">AMOUNT INVESTED  </t>
  </si>
  <si>
    <r>
      <rPr>
        <sz val="12"/>
        <color theme="7" tint="-0.499984740745262"/>
        <rFont val="Calibri"/>
        <family val="2"/>
        <scheme val="minor"/>
      </rPr>
      <t>TOTAL EQUITY OWNED</t>
    </r>
    <r>
      <rPr>
        <sz val="11"/>
        <color theme="1"/>
        <rFont val="Calibri"/>
        <family val="2"/>
        <scheme val="minor"/>
      </rPr>
      <t xml:space="preserve"> </t>
    </r>
  </si>
  <si>
    <t>EXECUTIVE DIRECTOR EMCURE PHARMACEUTICALS</t>
  </si>
  <si>
    <r>
      <rPr>
        <sz val="12"/>
        <color theme="1"/>
        <rFont val="Calibri"/>
        <family val="2"/>
        <scheme val="minor"/>
      </rPr>
      <t>PEEYUSH BANSAL</t>
    </r>
    <r>
      <rPr>
        <sz val="11"/>
        <color theme="1"/>
        <rFont val="Calibri"/>
        <family val="2"/>
        <scheme val="minor"/>
      </rPr>
      <t xml:space="preserve"> </t>
    </r>
  </si>
  <si>
    <t>FOUNDER OF  SUGAR COSMETICS</t>
  </si>
  <si>
    <t>FOUNDER &amp; CEO  PEOPLE GROUP</t>
  </si>
  <si>
    <t>EX- FOUNDER OF BHARATPE</t>
  </si>
  <si>
    <t>mumbai</t>
  </si>
  <si>
    <t>health</t>
  </si>
  <si>
    <t>Count of Sector</t>
  </si>
  <si>
    <t>Row Labels</t>
  </si>
  <si>
    <t>Grand Total</t>
  </si>
  <si>
    <t>Sum of Amount Invested lakhs</t>
  </si>
  <si>
    <r>
      <rPr>
        <sz val="22"/>
        <color rgb="FF00B0F0"/>
        <rFont val="Calibri"/>
        <family val="2"/>
        <scheme val="minor"/>
      </rPr>
      <t>SUMMARY OF SHARK TANK ANALYSIS</t>
    </r>
    <r>
      <rPr>
        <sz val="11"/>
        <color theme="1"/>
        <rFont val="Calibri"/>
        <family val="2"/>
        <scheme val="minor"/>
      </rPr>
      <t xml:space="preserve"> </t>
    </r>
  </si>
  <si>
    <t>Aman-Ashneer-Vineeta</t>
  </si>
  <si>
    <t>Ashnner-Vineeta</t>
  </si>
  <si>
    <t>Anupam-Vineeta</t>
  </si>
  <si>
    <t>Aman-Namita</t>
  </si>
  <si>
    <t>Aman-Anupam</t>
  </si>
  <si>
    <t>Aman-Anupam-Ashneer-Namita-Vineeta</t>
  </si>
  <si>
    <t>Aman-Ashneer</t>
  </si>
  <si>
    <t>Anupam-Peeysh</t>
  </si>
  <si>
    <t>Aman-Peeyush</t>
  </si>
  <si>
    <t>Aman-Namita-Peeyush</t>
  </si>
  <si>
    <t>Aman-Anupam-Peeyush</t>
  </si>
  <si>
    <t>Aman-Ashneer-Peeyush</t>
  </si>
  <si>
    <t>Anupam-Namita-Peeyush</t>
  </si>
  <si>
    <t>Anupam-Peeyush</t>
  </si>
  <si>
    <t>Aman-Anupam-Ashneer-Peeyush</t>
  </si>
  <si>
    <t>Peeyush</t>
  </si>
  <si>
    <t>Aman-Anupam-Namita</t>
  </si>
  <si>
    <t>Anupam-Ashneer</t>
  </si>
  <si>
    <t>Aman-Anupam-Ashneer-Namita-Peeyush</t>
  </si>
  <si>
    <t>Aman-Ashneer-Namita-Peeyush</t>
  </si>
  <si>
    <t>Ashneer-Namita-Peeyush</t>
  </si>
  <si>
    <t>Anupam-Ashneer-Peeyush</t>
  </si>
  <si>
    <t>Anupam-Ghazal</t>
  </si>
  <si>
    <t>Anupam-Ghazal-Namita-Peeyush-Vineeta</t>
  </si>
  <si>
    <t>Aman-Anupam-Namita-Peeyush</t>
  </si>
  <si>
    <t>Ghazal-Peeyush-Vineeta</t>
  </si>
  <si>
    <t>Ghazal-Namita-Vineeta</t>
  </si>
  <si>
    <t>Namita-Vineeta</t>
  </si>
  <si>
    <t>DATA ANALYSES BASED ON SHARK TANK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</si>
</sst>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8"/>
      <color rgb="FF006621"/>
      <name val="Roboto"/>
    </font>
    <font>
      <u/>
      <sz val="11"/>
      <color theme="1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2"/>
      <color rgb="FF00B0F0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theme="8" tint="-0.499984740745262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wrapText="1"/>
    </xf>
    <xf numFmtId="0" fontId="1" fillId="3" borderId="1" xfId="0" applyFont="1" applyFill="1" applyBorder="1"/>
    <xf numFmtId="0" fontId="0" fillId="0" borderId="1" xfId="0" applyBorder="1"/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17" borderId="1" xfId="0" applyFill="1" applyBorder="1" applyAlignment="1">
      <alignment horizontal="left"/>
    </xf>
    <xf numFmtId="0" fontId="0" fillId="15" borderId="1" xfId="0" applyFill="1" applyBorder="1" applyAlignment="1">
      <alignment horizontal="left"/>
    </xf>
    <xf numFmtId="0" fontId="0" fillId="18" borderId="1" xfId="0" applyFill="1" applyBorder="1" applyAlignment="1">
      <alignment horizontal="left"/>
    </xf>
    <xf numFmtId="0" fontId="0" fillId="20" borderId="1" xfId="0" applyFill="1" applyBorder="1" applyAlignment="1">
      <alignment horizontal="left"/>
    </xf>
    <xf numFmtId="0" fontId="0" fillId="14" borderId="1" xfId="0" applyFill="1" applyBorder="1" applyAlignment="1">
      <alignment horizontal="left"/>
    </xf>
    <xf numFmtId="0" fontId="0" fillId="19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13" borderId="1" xfId="0" applyFill="1" applyBorder="1" applyAlignment="1">
      <alignment horizontal="left"/>
    </xf>
    <xf numFmtId="0" fontId="0" fillId="16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1" borderId="0" xfId="0" applyFill="1"/>
    <xf numFmtId="0" fontId="0" fillId="0" borderId="0" xfId="0" applyBorder="1"/>
    <xf numFmtId="0" fontId="0" fillId="0" borderId="0" xfId="0" applyFill="1"/>
    <xf numFmtId="0" fontId="0" fillId="17" borderId="0" xfId="0" applyFill="1"/>
    <xf numFmtId="16" fontId="0" fillId="0" borderId="0" xfId="0" applyNumberFormat="1"/>
    <xf numFmtId="0" fontId="0" fillId="22" borderId="0" xfId="0" applyFill="1"/>
    <xf numFmtId="17" fontId="0" fillId="0" borderId="0" xfId="0" applyNumberFormat="1"/>
    <xf numFmtId="0" fontId="1" fillId="0" borderId="0" xfId="0" applyFont="1"/>
    <xf numFmtId="0" fontId="0" fillId="13" borderId="0" xfId="0" applyFill="1"/>
    <xf numFmtId="0" fontId="8" fillId="13" borderId="0" xfId="0" applyFont="1" applyFill="1"/>
    <xf numFmtId="0" fontId="7" fillId="0" borderId="0" xfId="0" applyFont="1"/>
    <xf numFmtId="0" fontId="11" fillId="0" borderId="0" xfId="0" applyFont="1"/>
    <xf numFmtId="0" fontId="12" fillId="0" borderId="0" xfId="0" applyFont="1"/>
    <xf numFmtId="0" fontId="10" fillId="0" borderId="0" xfId="0" applyFo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5" fillId="0" borderId="0" xfId="2"/>
    <xf numFmtId="164" fontId="0" fillId="0" borderId="0" xfId="0" applyNumberFormat="1"/>
    <xf numFmtId="44" fontId="0" fillId="0" borderId="0" xfId="1" applyFont="1"/>
    <xf numFmtId="0" fontId="16" fillId="0" borderId="0" xfId="0" applyFont="1"/>
    <xf numFmtId="0" fontId="18" fillId="0" borderId="0" xfId="0" applyFont="1"/>
    <xf numFmtId="0" fontId="19" fillId="0" borderId="0" xfId="0" applyFont="1"/>
    <xf numFmtId="0" fontId="2" fillId="23" borderId="0" xfId="0" applyFont="1" applyFill="1"/>
    <xf numFmtId="0" fontId="0" fillId="23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1" fillId="0" borderId="0" xfId="0" applyFont="1"/>
    <xf numFmtId="0" fontId="22" fillId="0" borderId="0" xfId="0" applyFont="1"/>
    <xf numFmtId="0" fontId="2" fillId="23" borderId="0" xfId="0" applyFont="1" applyFill="1" applyAlignment="1">
      <alignment horizontal="center" vertical="center" wrapText="1"/>
    </xf>
    <xf numFmtId="0" fontId="0" fillId="21" borderId="0" xfId="0" applyFill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4" fillId="21" borderId="0" xfId="0" applyFont="1" applyFill="1" applyAlignment="1">
      <alignment horizontal="center" vertical="center" wrapText="1"/>
    </xf>
    <xf numFmtId="0" fontId="5" fillId="21" borderId="0" xfId="0" applyFont="1" applyFill="1" applyAlignment="1">
      <alignment horizontal="center" vertical="center" wrapText="1"/>
    </xf>
    <xf numFmtId="0" fontId="3" fillId="21" borderId="0" xfId="0" applyFont="1" applyFill="1" applyAlignment="1">
      <alignment horizontal="center"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[SHRK TANK DATA.xlsx]pivot&amp;graph as well!PivotTable2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'pivot&amp;graph as well'!$B$3</c:f>
              <c:strCache>
                <c:ptCount val="1"/>
                <c:pt idx="0">
                  <c:v>Count of Sector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'pivot&amp;graph as well'!$A$4:$A$20</c:f>
              <c:multiLvlStrCache>
                <c:ptCount val="12"/>
                <c:lvl>
                  <c:pt idx="0">
                    <c:v>E-Bike</c:v>
                  </c:pt>
                  <c:pt idx="1">
                    <c:v>Electric Auto Vehicle</c:v>
                  </c:pt>
                  <c:pt idx="2">
                    <c:v>Motorcycle Luggage</c:v>
                  </c:pt>
                  <c:pt idx="3">
                    <c:v>Renting e-bike for mobility in private spaces</c:v>
                  </c:pt>
                  <c:pt idx="4">
                    <c:v>Smart Electric Motorcycle</c:v>
                  </c:pt>
                  <c:pt idx="5">
                    <c:v>Smart Helmets</c:v>
                  </c:pt>
                  <c:pt idx="6">
                    <c:v>Detachable Sleeves</c:v>
                  </c:pt>
                  <c:pt idx="7">
                    <c:v>Pollution Resistant Fabric</c:v>
                  </c:pt>
                  <c:pt idx="8">
                    <c:v>Underwear</c:v>
                  </c:pt>
                  <c:pt idx="9">
                    <c:v>Yarn-Trading App</c:v>
                  </c:pt>
                  <c:pt idx="10">
                    <c:v>Kabaddi Adda</c:v>
                  </c:pt>
                  <c:pt idx="11">
                    <c:v>Insurance Solutions</c:v>
                  </c:pt>
                </c:lvl>
                <c:lvl>
                  <c:pt idx="0">
                    <c:v>Automobile</c:v>
                  </c:pt>
                  <c:pt idx="6">
                    <c:v>Clothes</c:v>
                  </c:pt>
                  <c:pt idx="10">
                    <c:v>Entertainment</c:v>
                  </c:pt>
                  <c:pt idx="11">
                    <c:v>Finance</c:v>
                  </c:pt>
                </c:lvl>
              </c:multiLvlStrCache>
            </c:multiLvlStrRef>
          </c:cat>
          <c:val>
            <c:numRef>
              <c:f>'pivot&amp;graph as well'!$B$4:$B$20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948-4006-87A3-33E35425E40F}"/>
            </c:ext>
          </c:extLst>
        </c:ser>
        <c:ser>
          <c:idx val="1"/>
          <c:order val="1"/>
          <c:tx>
            <c:strRef>
              <c:f>'pivot&amp;graph as well'!$C$3</c:f>
              <c:strCache>
                <c:ptCount val="1"/>
                <c:pt idx="0">
                  <c:v>Sum of Amount Invested lakhs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'pivot&amp;graph as well'!$A$4:$A$20</c:f>
              <c:multiLvlStrCache>
                <c:ptCount val="12"/>
                <c:lvl>
                  <c:pt idx="0">
                    <c:v>E-Bike</c:v>
                  </c:pt>
                  <c:pt idx="1">
                    <c:v>Electric Auto Vehicle</c:v>
                  </c:pt>
                  <c:pt idx="2">
                    <c:v>Motorcycle Luggage</c:v>
                  </c:pt>
                  <c:pt idx="3">
                    <c:v>Renting e-bike for mobility in private spaces</c:v>
                  </c:pt>
                  <c:pt idx="4">
                    <c:v>Smart Electric Motorcycle</c:v>
                  </c:pt>
                  <c:pt idx="5">
                    <c:v>Smart Helmets</c:v>
                  </c:pt>
                  <c:pt idx="6">
                    <c:v>Detachable Sleeves</c:v>
                  </c:pt>
                  <c:pt idx="7">
                    <c:v>Pollution Resistant Fabric</c:v>
                  </c:pt>
                  <c:pt idx="8">
                    <c:v>Underwear</c:v>
                  </c:pt>
                  <c:pt idx="9">
                    <c:v>Yarn-Trading App</c:v>
                  </c:pt>
                  <c:pt idx="10">
                    <c:v>Kabaddi Adda</c:v>
                  </c:pt>
                  <c:pt idx="11">
                    <c:v>Insurance Solutions</c:v>
                  </c:pt>
                </c:lvl>
                <c:lvl>
                  <c:pt idx="0">
                    <c:v>Automobile</c:v>
                  </c:pt>
                  <c:pt idx="6">
                    <c:v>Clothes</c:v>
                  </c:pt>
                  <c:pt idx="10">
                    <c:v>Entertainment</c:v>
                  </c:pt>
                  <c:pt idx="11">
                    <c:v>Finance</c:v>
                  </c:pt>
                </c:lvl>
              </c:multiLvlStrCache>
            </c:multiLvlStrRef>
          </c:cat>
          <c:val>
            <c:numRef>
              <c:f>'pivot&amp;graph as well'!$C$4:$C$20</c:f>
              <c:numCache>
                <c:formatCode>General</c:formatCode>
                <c:ptCount val="12"/>
                <c:pt idx="0">
                  <c:v>100</c:v>
                </c:pt>
                <c:pt idx="1">
                  <c:v>1</c:v>
                </c:pt>
                <c:pt idx="2">
                  <c:v>0</c:v>
                </c:pt>
                <c:pt idx="3">
                  <c:v>40</c:v>
                </c:pt>
                <c:pt idx="4">
                  <c:v>30</c:v>
                </c:pt>
                <c:pt idx="5">
                  <c:v>50</c:v>
                </c:pt>
                <c:pt idx="6">
                  <c:v>25</c:v>
                </c:pt>
                <c:pt idx="7">
                  <c:v>0</c:v>
                </c:pt>
                <c:pt idx="8">
                  <c:v>75</c:v>
                </c:pt>
                <c:pt idx="9">
                  <c:v>100</c:v>
                </c:pt>
                <c:pt idx="10">
                  <c:v>80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948-4006-87A3-33E35425E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28844784"/>
        <c:axId val="528845200"/>
      </c:barChart>
      <c:catAx>
        <c:axId val="528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45200"/>
        <c:crosses val="autoZero"/>
        <c:auto val="1"/>
        <c:lblAlgn val="ctr"/>
        <c:lblOffset val="100"/>
        <c:noMultiLvlLbl val="0"/>
      </c:catAx>
      <c:valAx>
        <c:axId val="52884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4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bin"/><Relationship Id="rId7" Type="http://schemas.openxmlformats.org/officeDocument/2006/relationships/image" Target="../media/image8.jfif"/><Relationship Id="rId2" Type="http://schemas.openxmlformats.org/officeDocument/2006/relationships/image" Target="../media/image3.jpg"/><Relationship Id="rId1" Type="http://schemas.openxmlformats.org/officeDocument/2006/relationships/image" Target="../media/image2.jfif"/><Relationship Id="rId6" Type="http://schemas.openxmlformats.org/officeDocument/2006/relationships/image" Target="../media/image7.jfif"/><Relationship Id="rId5" Type="http://schemas.openxmlformats.org/officeDocument/2006/relationships/image" Target="../media/image6.jfif"/><Relationship Id="rId4" Type="http://schemas.openxmlformats.org/officeDocument/2006/relationships/image" Target="../media/image5.jf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181428</xdr:colOff>
      <xdr:row>17</xdr:row>
      <xdr:rowOff>41765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F0F2160-C98F-45C1-93C0-2EE77FEA5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259285" cy="37247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279400</xdr:colOff>
      <xdr:row>5</xdr:row>
      <xdr:rowOff>25401</xdr:rowOff>
    </xdr:from>
    <xdr:to>
      <xdr:col>3</xdr:col>
      <xdr:colOff>603250</xdr:colOff>
      <xdr:row>14</xdr:row>
      <xdr:rowOff>6351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7A0774-3617-481E-BD96-AAD03EF5D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0" y="1219201"/>
          <a:ext cx="1543050" cy="1651000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solidFill>
            <a:srgbClr val="FFFFFF"/>
          </a:solidFill>
        </a:ln>
        <a:effectLst>
          <a:outerShdw blurRad="50000" algn="tl" rotWithShape="0">
            <a:srgbClr val="000000">
              <a:alpha val="41000"/>
            </a:srgbClr>
          </a:outerShdw>
        </a:effectLst>
        <a:scene3d>
          <a:camera prst="orthographicFront"/>
          <a:lightRig rig="twoPt" dir="t">
            <a:rot lat="0" lon="0" rev="7800000"/>
          </a:lightRig>
        </a:scene3d>
        <a:sp3d contourW="6350">
          <a:bevelT w="50800" h="16510"/>
          <a:contourClr>
            <a:srgbClr val="C0C0C0"/>
          </a:contourClr>
        </a:sp3d>
      </xdr:spPr>
    </xdr:pic>
    <xdr:clientData/>
  </xdr:twoCellAnchor>
  <xdr:twoCellAnchor editAs="oneCell">
    <xdr:from>
      <xdr:col>1</xdr:col>
      <xdr:colOff>228600</xdr:colOff>
      <xdr:row>18</xdr:row>
      <xdr:rowOff>171451</xdr:rowOff>
    </xdr:from>
    <xdr:to>
      <xdr:col>4</xdr:col>
      <xdr:colOff>0</xdr:colOff>
      <xdr:row>27</xdr:row>
      <xdr:rowOff>171451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81771C4-4646-47A1-8927-4DEF4C03C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3759201"/>
          <a:ext cx="1600200" cy="1670050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solidFill>
            <a:srgbClr val="FFFFFF"/>
          </a:solidFill>
        </a:ln>
        <a:effectLst>
          <a:outerShdw blurRad="50000" algn="tl" rotWithShape="0">
            <a:srgbClr val="000000">
              <a:alpha val="41000"/>
            </a:srgbClr>
          </a:outerShdw>
        </a:effectLst>
        <a:scene3d>
          <a:camera prst="orthographicFront"/>
          <a:lightRig rig="twoPt" dir="t">
            <a:rot lat="0" lon="0" rev="7800000"/>
          </a:lightRig>
        </a:scene3d>
        <a:sp3d contourW="6350">
          <a:bevelT w="50800" h="16510"/>
          <a:contourClr>
            <a:srgbClr val="C0C0C0"/>
          </a:contourClr>
        </a:sp3d>
      </xdr:spPr>
    </xdr:pic>
    <xdr:clientData/>
  </xdr:twoCellAnchor>
  <xdr:twoCellAnchor editAs="oneCell">
    <xdr:from>
      <xdr:col>1</xdr:col>
      <xdr:colOff>215900</xdr:colOff>
      <xdr:row>32</xdr:row>
      <xdr:rowOff>177800</xdr:rowOff>
    </xdr:from>
    <xdr:to>
      <xdr:col>4</xdr:col>
      <xdr:colOff>6350</xdr:colOff>
      <xdr:row>42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07EA35E-65F4-4EFB-89C2-592EAD6A0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" y="6343650"/>
          <a:ext cx="1619250" cy="1676400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solidFill>
            <a:srgbClr val="FFFFFF"/>
          </a:solidFill>
        </a:ln>
        <a:effectLst>
          <a:outerShdw blurRad="50000" algn="tl" rotWithShape="0">
            <a:srgbClr val="000000">
              <a:alpha val="41000"/>
            </a:srgbClr>
          </a:outerShdw>
        </a:effectLst>
        <a:scene3d>
          <a:camera prst="orthographicFront"/>
          <a:lightRig rig="twoPt" dir="t">
            <a:rot lat="0" lon="0" rev="7800000"/>
          </a:lightRig>
        </a:scene3d>
        <a:sp3d contourW="6350">
          <a:bevelT w="50800" h="16510"/>
          <a:contourClr>
            <a:srgbClr val="C0C0C0"/>
          </a:contourClr>
        </a:sp3d>
      </xdr:spPr>
    </xdr:pic>
    <xdr:clientData/>
  </xdr:twoCellAnchor>
  <xdr:twoCellAnchor editAs="oneCell">
    <xdr:from>
      <xdr:col>1</xdr:col>
      <xdr:colOff>107951</xdr:colOff>
      <xdr:row>62</xdr:row>
      <xdr:rowOff>6350</xdr:rowOff>
    </xdr:from>
    <xdr:to>
      <xdr:col>3</xdr:col>
      <xdr:colOff>603251</xdr:colOff>
      <xdr:row>70</xdr:row>
      <xdr:rowOff>177799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712B3F6-9320-4A54-A638-6134F31BA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7551" y="11696700"/>
          <a:ext cx="1714500" cy="1657349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solidFill>
            <a:srgbClr val="FFFFFF"/>
          </a:solidFill>
        </a:ln>
        <a:effectLst>
          <a:outerShdw blurRad="50000" algn="tl" rotWithShape="0">
            <a:srgbClr val="000000">
              <a:alpha val="41000"/>
            </a:srgbClr>
          </a:outerShdw>
        </a:effectLst>
        <a:scene3d>
          <a:camera prst="orthographicFront"/>
          <a:lightRig rig="twoPt" dir="t">
            <a:rot lat="0" lon="0" rev="7800000"/>
          </a:lightRig>
        </a:scene3d>
        <a:sp3d contourW="6350">
          <a:bevelT w="50800" h="16510"/>
          <a:contourClr>
            <a:srgbClr val="C0C0C0"/>
          </a:contourClr>
        </a:sp3d>
      </xdr:spPr>
    </xdr:pic>
    <xdr:clientData/>
  </xdr:twoCellAnchor>
  <xdr:twoCellAnchor editAs="oneCell">
    <xdr:from>
      <xdr:col>1</xdr:col>
      <xdr:colOff>234950</xdr:colOff>
      <xdr:row>47</xdr:row>
      <xdr:rowOff>0</xdr:rowOff>
    </xdr:from>
    <xdr:to>
      <xdr:col>4</xdr:col>
      <xdr:colOff>0</xdr:colOff>
      <xdr:row>55</xdr:row>
      <xdr:rowOff>158750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28C116A-C797-48B4-8742-5573A95F11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550" y="8928100"/>
          <a:ext cx="1593850" cy="1644650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solidFill>
            <a:srgbClr val="FFFFFF"/>
          </a:solidFill>
        </a:ln>
        <a:effectLst>
          <a:outerShdw blurRad="50000" algn="tl" rotWithShape="0">
            <a:srgbClr val="000000">
              <a:alpha val="41000"/>
            </a:srgbClr>
          </a:outerShdw>
        </a:effectLst>
        <a:scene3d>
          <a:camera prst="orthographicFront"/>
          <a:lightRig rig="twoPt" dir="t">
            <a:rot lat="0" lon="0" rev="7800000"/>
          </a:lightRig>
        </a:scene3d>
        <a:sp3d contourW="6350">
          <a:bevelT w="50800" h="16510"/>
          <a:contourClr>
            <a:srgbClr val="C0C0C0"/>
          </a:contourClr>
        </a:sp3d>
      </xdr:spPr>
    </xdr:pic>
    <xdr:clientData/>
  </xdr:twoCellAnchor>
  <xdr:twoCellAnchor editAs="oneCell">
    <xdr:from>
      <xdr:col>1</xdr:col>
      <xdr:colOff>152399</xdr:colOff>
      <xdr:row>77</xdr:row>
      <xdr:rowOff>1</xdr:rowOff>
    </xdr:from>
    <xdr:to>
      <xdr:col>4</xdr:col>
      <xdr:colOff>0</xdr:colOff>
      <xdr:row>86</xdr:row>
      <xdr:rowOff>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989D9BC-BB3D-4447-958F-7BC064061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999" y="14452601"/>
          <a:ext cx="1676401" cy="1670050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solidFill>
            <a:srgbClr val="FFFFFF"/>
          </a:solidFill>
        </a:ln>
        <a:effectLst>
          <a:outerShdw blurRad="50000" algn="tl" rotWithShape="0">
            <a:srgbClr val="000000">
              <a:alpha val="41000"/>
            </a:srgbClr>
          </a:outerShdw>
        </a:effectLst>
        <a:scene3d>
          <a:camera prst="orthographicFront"/>
          <a:lightRig rig="twoPt" dir="t">
            <a:rot lat="0" lon="0" rev="7800000"/>
          </a:lightRig>
        </a:scene3d>
        <a:sp3d contourW="6350">
          <a:bevelT w="50800" h="16510"/>
          <a:contourClr>
            <a:srgbClr val="C0C0C0"/>
          </a:contourClr>
        </a:sp3d>
      </xdr:spPr>
    </xdr:pic>
    <xdr:clientData/>
  </xdr:twoCellAnchor>
  <xdr:twoCellAnchor editAs="oneCell">
    <xdr:from>
      <xdr:col>1</xdr:col>
      <xdr:colOff>95251</xdr:colOff>
      <xdr:row>93</xdr:row>
      <xdr:rowOff>0</xdr:rowOff>
    </xdr:from>
    <xdr:to>
      <xdr:col>4</xdr:col>
      <xdr:colOff>6351</xdr:colOff>
      <xdr:row>101</xdr:row>
      <xdr:rowOff>165100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C19E78C-2912-445D-9B64-2B1BB65C1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1" y="17399000"/>
          <a:ext cx="1739900" cy="1651000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solidFill>
            <a:srgbClr val="FFFFFF"/>
          </a:solidFill>
        </a:ln>
        <a:effectLst>
          <a:outerShdw blurRad="50000" algn="tl" rotWithShape="0">
            <a:srgbClr val="000000">
              <a:alpha val="41000"/>
            </a:srgbClr>
          </a:outerShdw>
        </a:effectLst>
        <a:scene3d>
          <a:camera prst="orthographicFront"/>
          <a:lightRig rig="twoPt" dir="t">
            <a:rot lat="0" lon="0" rev="7800000"/>
          </a:lightRig>
        </a:scene3d>
        <a:sp3d contourW="6350">
          <a:bevelT w="50800" h="16510"/>
          <a:contourClr>
            <a:srgbClr val="C0C0C0"/>
          </a:contourClr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234950</xdr:colOff>
      <xdr:row>0</xdr:row>
      <xdr:rowOff>120650</xdr:rowOff>
    </xdr:from>
    <xdr:to>
      <xdr:col>19</xdr:col>
      <xdr:colOff>438150</xdr:colOff>
      <xdr:row>22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E95DEF-0328-4BB0-A661-8D9F5B5F1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 Andotra" refreshedDate="44636.875754629633" createdVersion="7" refreshedVersion="7" minRefreshableVersion="3" recordCount="98" xr:uid="{AA78A7FC-EBE3-4670-8912-1C8E351DAE1E}">
  <cacheSource type="worksheet">
    <worksheetSource ref="A1:AG99" sheet="data"/>
  </cacheSource>
  <cacheFields count="33">
    <cacheField name="Ep. No." numFmtId="0">
      <sharedItems containsSemiMixedTypes="0" containsString="0" containsNumber="1" containsInteger="1" minValue="1" maxValue="30"/>
    </cacheField>
    <cacheField name="Brand" numFmtId="0">
      <sharedItems/>
    </cacheField>
    <cacheField name="Male" numFmtId="0">
      <sharedItems containsSemiMixedTypes="0" containsString="0" containsNumber="1" containsInteger="1" minValue="0" maxValue="6"/>
    </cacheField>
    <cacheField name="Female" numFmtId="0">
      <sharedItems containsSemiMixedTypes="0" containsString="0" containsNumber="1" containsInteger="1" minValue="0" maxValue="3"/>
    </cacheField>
    <cacheField name="Location" numFmtId="0">
      <sharedItems count="33">
        <s v="Delhi"/>
        <s v="Ahemdabad"/>
        <s v="Bangalore"/>
        <s v="Baramati"/>
        <s v="Jalna"/>
        <s v="Darbhanga"/>
        <s v="Nashik"/>
        <s v="Mumbai"/>
        <s v="Pune"/>
        <s v="Hyderabad"/>
        <s v="Kerela"/>
        <s v="Gujarat"/>
        <s v="Kolkata"/>
        <s v="Chennai"/>
        <s v="Jaipur"/>
        <s v="Nagpur"/>
        <s v="Indore"/>
        <s v="Valsad"/>
        <s v="Panipat"/>
        <s v="Ludhiana"/>
        <s v="Gurgaon"/>
        <s v="Unknown"/>
        <s v="Jammu"/>
        <s v="Mathura"/>
        <s v="Secundarabad"/>
        <s v="Malegaon"/>
        <s v="Bombay"/>
        <s v="Dehradun"/>
        <s v="Surat"/>
        <s v="Lucknow"/>
        <s v="Noida"/>
        <s v="Goa"/>
        <s v="Kaithal"/>
      </sharedItems>
    </cacheField>
    <cacheField name="Idea" numFmtId="0">
      <sharedItems count="98">
        <s v="Frozen Momos"/>
        <s v="Renting e-bike for mobility in private spaces"/>
        <s v="Detachable Sleeves"/>
        <s v="Healthy Potato Chips"/>
        <s v="Brain Development Course"/>
        <s v="Tourism"/>
        <s v="Food Freshness Detector"/>
        <s v="Disposable Urine Bag"/>
        <s v="Energy Drink"/>
        <s v="Intelligent Skincare"/>
        <s v="Pickle"/>
        <s v="Underwear"/>
        <s v="E-Bike"/>
        <s v="Restaurant serving 80 types of Maggi"/>
        <s v="Belly Button Shaper"/>
        <s v="Ice-Pops"/>
        <s v="Menstrual Awareness Comic"/>
        <s v="Pollution Resistant Fabric"/>
        <s v="Child Development App"/>
        <s v="Gadgets for visually impaired people"/>
        <s v="Kheer in variety of flavors"/>
        <s v="Kerala Banana Chips"/>
        <s v="Prickless Diabetes Testing Machine"/>
        <s v="Smart Electric Motorcycle"/>
        <s v="Smart Helmets"/>
        <s v="Wooden Toys"/>
        <s v="Healthy Oils"/>
        <s v="Male Intimate Hygiene"/>
        <s v="Eggs"/>
        <s v="Student Community App"/>
        <s v="Fiber Ice Cream"/>
        <s v="Wall Building"/>
        <s v="Customised Streetwear"/>
        <s v="Ayurvedic Products"/>
        <s v="Indian Sweets"/>
        <s v="Metaverse App"/>
        <s v="Braille Literary Device"/>
        <s v="Eco-Friendly boxes"/>
        <s v="Yarn-Trading App"/>
        <s v="Home Dialysis Treatment"/>
        <s v="Healthy Food Snacks"/>
        <s v="Digital Piggy Bank"/>
        <s v="Smart Audio Products"/>
        <s v="Robotics and Automation Solutions"/>
        <s v="Coconut based beverage franchise"/>
        <s v="Bamboo Products"/>
        <s v="Dog Hygiene"/>
        <s v="Liquid Water Enhancer"/>
        <s v="Healthy Snacks"/>
        <s v="Sneaker Resale"/>
        <s v="EdTech App"/>
        <s v="Premium Suprise-Planning"/>
        <s v="Pothole Detection Software and Data"/>
        <s v="Thin Crust Pizza"/>
        <s v="Hemp Food Products"/>
        <s v="Electric Auto Vehicle"/>
        <s v="Funeral Service"/>
        <s v="Leather-free Shoes"/>
        <s v="Livestock health monitoring AI"/>
        <s v="Customised Keto Diets for various medical issues"/>
        <s v="LPG Cylinder lock"/>
        <s v="Delicacies"/>
        <s v="Comics &amp; Animation"/>
        <s v="Can Cocktails"/>
        <s v="Sugar-Free Icecream"/>
        <s v="Inventions"/>
        <s v="Customised Apparels"/>
        <s v="Natural Hair Extensions"/>
        <s v="Toilet Spray with Essential Oils"/>
        <s v="Meads"/>
        <s v="Fresh Fruits"/>
        <s v="Ayurvedic Enriched Food"/>
        <s v="Streetwear"/>
        <s v="Motorcycle Luggage"/>
        <s v="Bags"/>
        <s v="Gifts"/>
        <s v="Agricultural Innovations"/>
        <s v="Homemade Foods"/>
        <s v="Dog Products"/>
        <s v="Portable ECG Device"/>
        <s v="Roasted Peanut Products"/>
        <s v="Perfumes"/>
        <s v="Automatic Cradle"/>
        <s v="Handicrafts"/>
        <s v="Coffee Products"/>
        <s v="Ventilated PPE Kits"/>
        <s v="Automation Solutions"/>
        <s v="Insurance Solutions"/>
        <s v="Organic Milk Products"/>
        <s v="Kunafa"/>
        <s v="Anti-Suicidal Fan Rod"/>
        <s v="Jackfruit Products"/>
        <s v="Stainless Steel Items"/>
        <s v="Streaming Platform"/>
        <s v="Portable Glass Attachment"/>
        <s v="Kabaddi Adda"/>
        <s v="Flowers"/>
        <s v="Scholarship Platform"/>
      </sharedItems>
    </cacheField>
    <cacheField name="Sector" numFmtId="0">
      <sharedItems count="11">
        <s v="Food"/>
        <s v="Automobile"/>
        <s v="Clothes"/>
        <s v="Health"/>
        <s v="Tourism"/>
        <s v="Lifestyle"/>
        <s v="Technology"/>
        <s v="Finance"/>
        <s v="Safety"/>
        <s v="Entertainment"/>
        <s v="Education"/>
      </sharedItems>
    </cacheField>
    <cacheField name="Deal" numFmtId="0">
      <sharedItems/>
    </cacheField>
    <cacheField name="Amount Invested lakhs" numFmtId="0">
      <sharedItems containsSemiMixedTypes="0" containsString="0" containsNumber="1" containsInteger="1" minValue="0" maxValue="150"/>
    </cacheField>
    <cacheField name="Amout Asked" numFmtId="0">
      <sharedItems containsSemiMixedTypes="0" containsString="0" containsNumber="1" containsInteger="1" minValue="0" maxValue="30000"/>
    </cacheField>
    <cacheField name="Debt Invested" numFmtId="0">
      <sharedItems containsSemiMixedTypes="0" containsString="0" containsNumber="1" containsInteger="1" minValue="0" maxValue="99"/>
    </cacheField>
    <cacheField name="Debt Asked" numFmtId="0">
      <sharedItems containsSemiMixedTypes="0" containsString="0" containsNumber="1" containsInteger="1" minValue="0" maxValue="0"/>
    </cacheField>
    <cacheField name="Equity Taken %" numFmtId="0">
      <sharedItems containsSemiMixedTypes="0" containsString="0" containsNumber="1" minValue="0" maxValue="75"/>
    </cacheField>
    <cacheField name="Equity Asked %" numFmtId="0">
      <sharedItems containsSemiMixedTypes="0" containsString="0" containsNumber="1" minValue="0" maxValue="25"/>
    </cacheField>
    <cacheField name="deal done " numFmtId="0">
      <sharedItems containsMixedTypes="1" containsNumber="1" containsInteger="1" minValue="0" maxValue="0"/>
    </cacheField>
    <cacheField name="Avg age" numFmtId="0">
      <sharedItems/>
    </cacheField>
    <cacheField name="Team members" numFmtId="0">
      <sharedItems containsSemiMixedTypes="0" containsString="0" containsNumber="1" containsInteger="1" minValue="0" maxValue="6"/>
    </cacheField>
    <cacheField name="Ashneer Amount Invested" numFmtId="0">
      <sharedItems containsMixedTypes="1" containsNumber="1" minValue="0" maxValue="100" count="12">
        <n v="25"/>
        <n v="20"/>
        <n v="0"/>
        <n v="70"/>
        <n v="50"/>
        <n v="30"/>
        <n v="10"/>
        <n v="40"/>
        <n v="100"/>
        <n v="12.5"/>
        <n v="33.33"/>
        <s v="NA"/>
      </sharedItems>
    </cacheField>
    <cacheField name="Ashneer Equity Taken %" numFmtId="0">
      <sharedItems containsMixedTypes="1" containsNumber="1" minValue="0" maxValue="25"/>
    </cacheField>
    <cacheField name="Namita Amount Invested" numFmtId="0">
      <sharedItems containsMixedTypes="1" containsNumber="1" minValue="0" maxValue="75" count="14">
        <n v="0"/>
        <n v="37.5"/>
        <n v="20"/>
        <n v="50"/>
        <n v="25"/>
        <n v="8.3000000000000007"/>
        <n v="15"/>
        <n v="75"/>
        <n v="35"/>
        <n v="10"/>
        <n v="12.5"/>
        <s v="NA"/>
        <n v="65"/>
        <n v="40"/>
      </sharedItems>
    </cacheField>
    <cacheField name="Namita Equity Taken %" numFmtId="0">
      <sharedItems containsMixedTypes="1" containsNumber="1" minValue="0" maxValue="20"/>
    </cacheField>
    <cacheField name="Anupam Amount Invested" numFmtId="0">
      <sharedItems containsSemiMixedTypes="0" containsString="0" containsNumber="1" minValue="0" maxValue="50"/>
    </cacheField>
    <cacheField name="Anupam Equity Taken %" numFmtId="0">
      <sharedItems containsSemiMixedTypes="0" containsString="0" containsNumber="1" minValue="0" maxValue="17.5"/>
    </cacheField>
    <cacheField name="Vineeta Amount Invested" numFmtId="0">
      <sharedItems containsBlank="1" containsMixedTypes="1" containsNumber="1" minValue="0" maxValue="50" count="11">
        <n v="25"/>
        <n v="20"/>
        <n v="12.5"/>
        <n v="0"/>
        <n v="50"/>
        <s v="NA"/>
        <n v="33.33"/>
        <n v="17.5"/>
        <m/>
        <n v="16.600000000000001"/>
        <n v="40"/>
      </sharedItems>
    </cacheField>
    <cacheField name="Vineeta Equity Taken %" numFmtId="0">
      <sharedItems containsMixedTypes="1" containsNumber="1" minValue="0" maxValue="25"/>
    </cacheField>
    <cacheField name="Aman Amount Invested" numFmtId="0">
      <sharedItems containsMixedTypes="1" containsNumber="1" minValue="0" maxValue="100" count="15">
        <n v="25"/>
        <n v="0"/>
        <n v="75"/>
        <n v="37.5"/>
        <n v="50"/>
        <n v="20"/>
        <n v="8.3000000000000007"/>
        <n v="10"/>
        <n v="15"/>
        <n v="13.3"/>
        <n v="100"/>
        <n v="22.5"/>
        <n v="12.5"/>
        <n v="33.33"/>
        <s v="NA"/>
      </sharedItems>
    </cacheField>
    <cacheField name="Aman Equity Taken %" numFmtId="0">
      <sharedItems containsMixedTypes="1" containsNumber="1" minValue="0" maxValue="40"/>
    </cacheField>
    <cacheField name="Peyush Amount Invested" numFmtId="0">
      <sharedItems containsMixedTypes="1" containsNumber="1" minValue="0" maxValue="100" count="18">
        <s v="NA"/>
        <n v="0"/>
        <n v="28"/>
        <n v="25"/>
        <n v="8.3000000000000007"/>
        <n v="10"/>
        <n v="13.3"/>
        <n v="35"/>
        <n v="50"/>
        <n v="80"/>
        <n v="12.5"/>
        <n v="65"/>
        <n v="20"/>
        <n v="47"/>
        <n v="30"/>
        <n v="100"/>
        <n v="33.33"/>
        <n v="16.600000000000001"/>
      </sharedItems>
    </cacheField>
    <cacheField name="Peyush Equity Taken %" numFmtId="0">
      <sharedItems containsMixedTypes="1" containsNumber="1" minValue="0" maxValue="75"/>
    </cacheField>
    <cacheField name="Ghazal Amount Invested" numFmtId="0">
      <sharedItems containsMixedTypes="1" containsNumber="1" minValue="0" maxValue="33.33" count="6">
        <s v="NA"/>
        <n v="25"/>
        <n v="0"/>
        <n v="20"/>
        <n v="33.33"/>
        <n v="16.600000000000001"/>
      </sharedItems>
    </cacheField>
    <cacheField name="Ghazal Equity Taken %" numFmtId="0">
      <sharedItems containsMixedTypes="1" containsNumber="1" minValue="0" maxValue="17.5"/>
    </cacheField>
    <cacheField name="Total investors" numFmtId="0">
      <sharedItems containsSemiMixedTypes="0" containsString="0" containsNumber="1" containsInteger="1" minValue="0" maxValue="5"/>
    </cacheField>
    <cacheField name="Partner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">
  <r>
    <n v="1"/>
    <s v="BluePine Industries"/>
    <n v="2"/>
    <n v="1"/>
    <x v="0"/>
    <x v="0"/>
    <x v="0"/>
    <s v="₹75 lakhs for 16% equity"/>
    <n v="75"/>
    <n v="50"/>
    <n v="0"/>
    <n v="0"/>
    <n v="16"/>
    <n v="5"/>
    <s v="y"/>
    <s v="35-40"/>
    <n v="3"/>
    <x v="0"/>
    <n v="5.333333333333333"/>
    <x v="0"/>
    <n v="0"/>
    <n v="0"/>
    <n v="0"/>
    <x v="0"/>
    <n v="5.33"/>
    <x v="0"/>
    <n v="5.33"/>
    <x v="0"/>
    <s v="NA"/>
    <x v="0"/>
    <s v="NA"/>
    <n v="3"/>
    <s v="Ama-Ash-Vin"/>
  </r>
  <r>
    <n v="1"/>
    <s v="Booz scooters"/>
    <n v="1"/>
    <n v="0"/>
    <x v="1"/>
    <x v="1"/>
    <x v="1"/>
    <s v="₹40 lakhs for 50% equity"/>
    <n v="40"/>
    <n v="40"/>
    <n v="0"/>
    <n v="0"/>
    <n v="50"/>
    <n v="15"/>
    <s v="y"/>
    <s v="25-30"/>
    <n v="1"/>
    <x v="1"/>
    <n v="25"/>
    <x v="0"/>
    <n v="0"/>
    <n v="0"/>
    <n v="0"/>
    <x v="1"/>
    <n v="25"/>
    <x v="1"/>
    <n v="0"/>
    <x v="0"/>
    <s v="NA"/>
    <x v="0"/>
    <s v="NA"/>
    <n v="2"/>
    <s v="Ash-Vin"/>
  </r>
  <r>
    <n v="1"/>
    <s v="Heart up my Sleeves"/>
    <n v="0"/>
    <n v="1"/>
    <x v="0"/>
    <x v="2"/>
    <x v="2"/>
    <s v="₹25 lakhs for 30% equity"/>
    <n v="25"/>
    <n v="25"/>
    <n v="0"/>
    <n v="0"/>
    <n v="30"/>
    <n v="10"/>
    <s v="y"/>
    <s v="20-25"/>
    <n v="1"/>
    <x v="2"/>
    <n v="0"/>
    <x v="0"/>
    <n v="0"/>
    <n v="12.5"/>
    <n v="15"/>
    <x v="2"/>
    <n v="15"/>
    <x v="1"/>
    <n v="0"/>
    <x v="0"/>
    <s v="NA"/>
    <x v="0"/>
    <s v="NA"/>
    <n v="2"/>
    <s v="Anu-Vin"/>
  </r>
  <r>
    <n v="2"/>
    <s v="Tagz Foods"/>
    <n v="2"/>
    <n v="0"/>
    <x v="2"/>
    <x v="3"/>
    <x v="0"/>
    <s v="₹70 lakhs for 2.75% equity"/>
    <n v="70"/>
    <n v="70"/>
    <n v="0"/>
    <n v="0"/>
    <n v="2.75"/>
    <n v="1"/>
    <s v="y"/>
    <s v="35-40"/>
    <n v="2"/>
    <x v="3"/>
    <n v="2.75"/>
    <x v="0"/>
    <n v="0"/>
    <n v="0"/>
    <n v="0"/>
    <x v="3"/>
    <n v="0"/>
    <x v="1"/>
    <n v="0"/>
    <x v="0"/>
    <s v="NA"/>
    <x v="0"/>
    <s v="NA"/>
    <n v="1"/>
    <s v="Ash"/>
  </r>
  <r>
    <n v="2"/>
    <s v="Head and Heart"/>
    <n v="1"/>
    <n v="1"/>
    <x v="0"/>
    <x v="4"/>
    <x v="3"/>
    <s v="No Deal"/>
    <n v="0"/>
    <n v="50"/>
    <n v="0"/>
    <n v="0"/>
    <n v="0"/>
    <n v="5"/>
    <s v="n"/>
    <s v="50-55"/>
    <n v="2"/>
    <x v="2"/>
    <n v="0"/>
    <x v="0"/>
    <n v="0"/>
    <n v="0"/>
    <n v="0"/>
    <x v="3"/>
    <n v="0"/>
    <x v="1"/>
    <n v="0"/>
    <x v="0"/>
    <s v="NA"/>
    <x v="0"/>
    <s v="NA"/>
    <n v="0"/>
    <s v="-"/>
  </r>
  <r>
    <n v="2"/>
    <s v="Agro tourism"/>
    <n v="1"/>
    <n v="1"/>
    <x v="3"/>
    <x v="5"/>
    <x v="4"/>
    <s v="No Deal"/>
    <n v="0"/>
    <n v="50"/>
    <n v="0"/>
    <n v="0"/>
    <n v="0"/>
    <n v="5"/>
    <s v="n"/>
    <s v="50-55"/>
    <n v="2"/>
    <x v="2"/>
    <n v="0"/>
    <x v="0"/>
    <n v="0"/>
    <n v="0"/>
    <n v="0"/>
    <x v="3"/>
    <n v="0"/>
    <x v="1"/>
    <n v="0"/>
    <x v="0"/>
    <s v="NA"/>
    <x v="0"/>
    <s v="NA"/>
    <n v="0"/>
    <s v="-"/>
  </r>
  <r>
    <n v="3"/>
    <s v="Qzense Labs"/>
    <n v="0"/>
    <n v="2"/>
    <x v="0"/>
    <x v="6"/>
    <x v="0"/>
    <s v="No Deal"/>
    <n v="0"/>
    <n v="100"/>
    <n v="0"/>
    <n v="0"/>
    <n v="0"/>
    <n v="0.25"/>
    <s v="n"/>
    <s v="30-35"/>
    <n v="2"/>
    <x v="2"/>
    <n v="0"/>
    <x v="0"/>
    <n v="0"/>
    <n v="0"/>
    <n v="0"/>
    <x v="3"/>
    <n v="0"/>
    <x v="1"/>
    <n v="0"/>
    <x v="0"/>
    <s v="NA"/>
    <x v="0"/>
    <s v="NA"/>
    <n v="0"/>
    <s v="-"/>
  </r>
  <r>
    <n v="3"/>
    <s v="Peeschute"/>
    <n v="1"/>
    <n v="0"/>
    <x v="4"/>
    <x v="7"/>
    <x v="3"/>
    <s v="₹75 lakhs for 6% equity"/>
    <n v="75"/>
    <n v="75"/>
    <n v="0"/>
    <n v="0"/>
    <n v="6"/>
    <n v="4"/>
    <s v="y"/>
    <s v="30-35"/>
    <n v="1"/>
    <x v="2"/>
    <n v="0"/>
    <x v="0"/>
    <n v="0"/>
    <n v="0"/>
    <n v="0"/>
    <x v="3"/>
    <n v="0"/>
    <x v="2"/>
    <n v="6"/>
    <x v="0"/>
    <s v="NA"/>
    <x v="0"/>
    <s v="NA"/>
    <n v="1"/>
    <s v="Ama"/>
  </r>
  <r>
    <n v="3"/>
    <s v="NOCD"/>
    <n v="2"/>
    <n v="0"/>
    <x v="2"/>
    <x v="8"/>
    <x v="0"/>
    <s v="₹20 lakhs for 15% equity and ₹30 lakhs debt"/>
    <n v="20"/>
    <n v="50"/>
    <n v="30"/>
    <n v="0"/>
    <n v="15"/>
    <n v="2"/>
    <s v="y"/>
    <s v="30-35"/>
    <n v="2"/>
    <x v="2"/>
    <n v="0"/>
    <x v="0"/>
    <n v="0"/>
    <n v="0"/>
    <n v="0"/>
    <x v="4"/>
    <n v="15"/>
    <x v="1"/>
    <n v="0"/>
    <x v="0"/>
    <s v="NA"/>
    <x v="0"/>
    <s v="NA"/>
    <n v="1"/>
    <s v="Vin"/>
  </r>
  <r>
    <n v="4"/>
    <s v="CosIQ"/>
    <n v="1"/>
    <n v="1"/>
    <x v="0"/>
    <x v="9"/>
    <x v="3"/>
    <s v="₹50 lakhs for 25% equity"/>
    <n v="50"/>
    <n v="50"/>
    <n v="0"/>
    <n v="0"/>
    <n v="25"/>
    <n v="7.5"/>
    <s v="y"/>
    <s v="25-30"/>
    <n v="2"/>
    <x v="2"/>
    <n v="0"/>
    <x v="0"/>
    <n v="0"/>
    <n v="25"/>
    <n v="12.5"/>
    <x v="0"/>
    <n v="12.5"/>
    <x v="1"/>
    <n v="0"/>
    <x v="0"/>
    <s v="NA"/>
    <x v="0"/>
    <s v="NA"/>
    <n v="2"/>
    <s v="Anu-Vin"/>
  </r>
  <r>
    <n v="4"/>
    <s v="JhaJi Achaar"/>
    <n v="0"/>
    <n v="2"/>
    <x v="5"/>
    <x v="10"/>
    <x v="0"/>
    <s v="No Deal"/>
    <n v="0"/>
    <n v="50"/>
    <n v="0"/>
    <n v="0"/>
    <n v="0"/>
    <n v="10"/>
    <s v="n"/>
    <s v="45-50"/>
    <n v="2"/>
    <x v="2"/>
    <n v="0"/>
    <x v="0"/>
    <n v="0"/>
    <n v="0"/>
    <n v="0"/>
    <x v="3"/>
    <n v="0"/>
    <x v="1"/>
    <n v="0"/>
    <x v="0"/>
    <s v="NA"/>
    <x v="0"/>
    <s v="NA"/>
    <n v="0"/>
    <s v="-"/>
  </r>
  <r>
    <n v="4"/>
    <s v="Bummer"/>
    <n v="1"/>
    <n v="0"/>
    <x v="1"/>
    <x v="11"/>
    <x v="2"/>
    <s v="₹75 lakhs for 7.5% equity"/>
    <n v="75"/>
    <n v="75"/>
    <n v="0"/>
    <n v="0"/>
    <n v="7.5"/>
    <n v="4"/>
    <s v="y"/>
    <s v="20-25"/>
    <n v="1"/>
    <x v="2"/>
    <n v="0"/>
    <x v="1"/>
    <n v="3.75"/>
    <n v="0"/>
    <n v="0"/>
    <x v="3"/>
    <n v="0"/>
    <x v="3"/>
    <n v="3.75"/>
    <x v="0"/>
    <s v="NA"/>
    <x v="0"/>
    <s v="NA"/>
    <n v="2"/>
    <s v="Ama-Nam"/>
  </r>
  <r>
    <n v="5"/>
    <s v="Revamp Moto"/>
    <n v="3"/>
    <n v="0"/>
    <x v="6"/>
    <x v="12"/>
    <x v="1"/>
    <s v="₹1 crore for 1.5% equity"/>
    <n v="100"/>
    <n v="100"/>
    <n v="0"/>
    <n v="0"/>
    <n v="1.5"/>
    <n v="1"/>
    <s v="y"/>
    <s v="25-30"/>
    <n v="3"/>
    <x v="2"/>
    <n v="0"/>
    <x v="0"/>
    <n v="0"/>
    <n v="50"/>
    <n v="0.75"/>
    <x v="3"/>
    <n v="0"/>
    <x v="4"/>
    <n v="0.75"/>
    <x v="0"/>
    <s v="NA"/>
    <x v="0"/>
    <s v="NA"/>
    <n v="2"/>
    <s v="Ama-Anu"/>
  </r>
  <r>
    <n v="5"/>
    <s v="Hungry Heads"/>
    <n v="2"/>
    <n v="0"/>
    <x v="7"/>
    <x v="13"/>
    <x v="0"/>
    <s v="No Deal"/>
    <n v="0"/>
    <n v="50"/>
    <n v="0"/>
    <n v="0"/>
    <n v="0"/>
    <n v="5"/>
    <s v="n"/>
    <s v="35-40"/>
    <n v="2"/>
    <x v="2"/>
    <n v="0"/>
    <x v="0"/>
    <n v="0"/>
    <n v="0"/>
    <n v="0"/>
    <x v="3"/>
    <n v="0"/>
    <x v="1"/>
    <n v="0"/>
    <x v="0"/>
    <s v="NA"/>
    <x v="0"/>
    <s v="NA"/>
    <n v="0"/>
    <s v="-"/>
  </r>
  <r>
    <n v="5"/>
    <s v="Shrawani Engineers"/>
    <n v="2"/>
    <n v="0"/>
    <x v="8"/>
    <x v="14"/>
    <x v="5"/>
    <s v="No Deal"/>
    <n v="0"/>
    <n v="10"/>
    <n v="0"/>
    <n v="0"/>
    <n v="0"/>
    <n v="20"/>
    <s v="n"/>
    <s v="35-40"/>
    <n v="2"/>
    <x v="2"/>
    <n v="0"/>
    <x v="0"/>
    <n v="0"/>
    <n v="0"/>
    <n v="0"/>
    <x v="3"/>
    <n v="0"/>
    <x v="1"/>
    <n v="0"/>
    <x v="0"/>
    <s v="NA"/>
    <x v="0"/>
    <s v="NA"/>
    <n v="0"/>
    <s v="-"/>
  </r>
  <r>
    <n v="6"/>
    <s v="Skippi Pops"/>
    <n v="1"/>
    <n v="1"/>
    <x v="9"/>
    <x v="15"/>
    <x v="0"/>
    <s v="₹1 crore for 15% equity"/>
    <n v="100"/>
    <n v="45"/>
    <n v="0"/>
    <n v="0"/>
    <n v="15"/>
    <n v="5"/>
    <s v="y"/>
    <s v="35-40"/>
    <n v="2"/>
    <x v="1"/>
    <n v="3"/>
    <x v="2"/>
    <n v="3"/>
    <n v="20"/>
    <n v="3"/>
    <x v="1"/>
    <n v="3"/>
    <x v="5"/>
    <n v="3"/>
    <x v="0"/>
    <s v="NA"/>
    <x v="0"/>
    <s v="NA"/>
    <n v="5"/>
    <s v="Ama-Anu-Ash-Nam-Vin"/>
  </r>
  <r>
    <n v="6"/>
    <s v="Menstrupedia"/>
    <n v="1"/>
    <n v="1"/>
    <x v="1"/>
    <x v="16"/>
    <x v="3"/>
    <s v="₹50 lakhs for 20% equity"/>
    <n v="50"/>
    <n v="50"/>
    <n v="0"/>
    <n v="0"/>
    <n v="20"/>
    <n v="10"/>
    <s v="y"/>
    <s v="35-40"/>
    <n v="2"/>
    <x v="2"/>
    <n v="0"/>
    <x v="3"/>
    <n v="20"/>
    <n v="0"/>
    <n v="0"/>
    <x v="3"/>
    <n v="0"/>
    <x v="1"/>
    <n v="0"/>
    <x v="0"/>
    <s v="NA"/>
    <x v="0"/>
    <s v="NA"/>
    <n v="1"/>
    <s v="Nam"/>
  </r>
  <r>
    <n v="6"/>
    <s v="Hecolll"/>
    <n v="0"/>
    <n v="1"/>
    <x v="9"/>
    <x v="17"/>
    <x v="2"/>
    <s v="No Deal"/>
    <n v="0"/>
    <n v="100"/>
    <n v="0"/>
    <n v="0"/>
    <n v="0"/>
    <n v="1"/>
    <s v="n"/>
    <s v="35-40"/>
    <n v="1"/>
    <x v="2"/>
    <n v="0"/>
    <x v="0"/>
    <n v="0"/>
    <n v="0"/>
    <n v="0"/>
    <x v="3"/>
    <n v="0"/>
    <x v="1"/>
    <n v="0"/>
    <x v="0"/>
    <s v="NA"/>
    <x v="0"/>
    <s v="NA"/>
    <n v="0"/>
    <s v="-"/>
  </r>
  <r>
    <n v="7"/>
    <s v="Raising Superstars"/>
    <n v="1"/>
    <n v="1"/>
    <x v="7"/>
    <x v="18"/>
    <x v="5"/>
    <s v="₹1 crore for 4% equity"/>
    <n v="100"/>
    <n v="100"/>
    <n v="0"/>
    <n v="0"/>
    <n v="4"/>
    <n v="2"/>
    <s v="y"/>
    <s v="35-40"/>
    <n v="2"/>
    <x v="4"/>
    <n v="2"/>
    <x v="0"/>
    <n v="0"/>
    <n v="0"/>
    <n v="0"/>
    <x v="3"/>
    <n v="0"/>
    <x v="4"/>
    <n v="2"/>
    <x v="0"/>
    <s v="NA"/>
    <x v="0"/>
    <s v="NA"/>
    <n v="2"/>
    <s v="Ama-Ash"/>
  </r>
  <r>
    <n v="7"/>
    <s v="Torch-it"/>
    <n v="1"/>
    <n v="0"/>
    <x v="1"/>
    <x v="19"/>
    <x v="3"/>
    <s v="No Deal"/>
    <n v="0"/>
    <n v="75"/>
    <n v="0"/>
    <n v="0"/>
    <n v="0"/>
    <n v="1"/>
    <s v="n"/>
    <s v="30-35"/>
    <n v="1"/>
    <x v="2"/>
    <n v="0"/>
    <x v="0"/>
    <n v="0"/>
    <n v="0"/>
    <n v="0"/>
    <x v="3"/>
    <n v="0"/>
    <x v="1"/>
    <n v="0"/>
    <x v="0"/>
    <s v="NA"/>
    <x v="0"/>
    <s v="NA"/>
    <n v="0"/>
    <s v="-"/>
  </r>
  <r>
    <n v="7"/>
    <s v="La Kheer Deli"/>
    <n v="1"/>
    <n v="2"/>
    <x v="8"/>
    <x v="20"/>
    <x v="0"/>
    <s v="No Deal"/>
    <n v="0"/>
    <n v="50"/>
    <n v="0"/>
    <n v="0"/>
    <n v="0"/>
    <n v="7.5"/>
    <s v="n"/>
    <s v="35-40"/>
    <n v="3"/>
    <x v="2"/>
    <n v="0"/>
    <x v="0"/>
    <n v="0"/>
    <n v="0"/>
    <n v="0"/>
    <x v="3"/>
    <n v="0"/>
    <x v="1"/>
    <n v="0"/>
    <x v="0"/>
    <s v="NA"/>
    <x v="0"/>
    <s v="NA"/>
    <n v="0"/>
    <s v="-"/>
  </r>
  <r>
    <n v="8"/>
    <s v="Beyond Snack"/>
    <n v="1"/>
    <n v="0"/>
    <x v="10"/>
    <x v="21"/>
    <x v="0"/>
    <s v="₹50 lakhs for 2.5% equity"/>
    <n v="50"/>
    <n v="50"/>
    <n v="0"/>
    <n v="0"/>
    <n v="2.5"/>
    <n v="2.5"/>
    <s v="y"/>
    <s v="30-35"/>
    <n v="1"/>
    <x v="0"/>
    <n v="1.25"/>
    <x v="0"/>
    <n v="0"/>
    <n v="0"/>
    <n v="0"/>
    <x v="5"/>
    <s v="NA"/>
    <x v="0"/>
    <n v="1.25"/>
    <x v="1"/>
    <n v="0"/>
    <x v="0"/>
    <s v="NA"/>
    <n v="2"/>
    <s v="Ama-Ash"/>
  </r>
  <r>
    <n v="8"/>
    <s v="Vivalyf Innovations- Easy Life"/>
    <n v="1"/>
    <n v="1"/>
    <x v="9"/>
    <x v="22"/>
    <x v="3"/>
    <s v="₹56 lakhs for 33.33% equity"/>
    <n v="56"/>
    <n v="56"/>
    <n v="0"/>
    <n v="0"/>
    <n v="33.33"/>
    <n v="7.5"/>
    <s v="y"/>
    <s v="20-25"/>
    <n v="1"/>
    <x v="2"/>
    <n v="0"/>
    <x v="0"/>
    <n v="0"/>
    <n v="28"/>
    <n v="16.66"/>
    <x v="5"/>
    <s v="NA"/>
    <x v="1"/>
    <n v="0"/>
    <x v="2"/>
    <n v="16.66"/>
    <x v="0"/>
    <s v="NA"/>
    <n v="2"/>
    <s v="Anu-Pey"/>
  </r>
  <r>
    <n v="8"/>
    <s v="Motion Breeze"/>
    <n v="3"/>
    <n v="0"/>
    <x v="11"/>
    <x v="23"/>
    <x v="1"/>
    <s v="₹30 lakhs for 6% equity"/>
    <n v="30"/>
    <n v="30"/>
    <n v="0"/>
    <n v="0"/>
    <n v="6"/>
    <n v="3"/>
    <s v="y"/>
    <s v="25-30"/>
    <n v="3"/>
    <x v="5"/>
    <n v="6"/>
    <x v="0"/>
    <n v="0"/>
    <n v="0"/>
    <n v="0"/>
    <x v="5"/>
    <s v="NA"/>
    <x v="1"/>
    <n v="0"/>
    <x v="1"/>
    <n v="0"/>
    <x v="0"/>
    <s v="NA"/>
    <n v="1"/>
    <s v="Ash"/>
  </r>
  <r>
    <n v="9"/>
    <s v="Altor"/>
    <n v="4"/>
    <n v="0"/>
    <x v="12"/>
    <x v="24"/>
    <x v="1"/>
    <s v="₹50 lakhs for 7% equity"/>
    <n v="50"/>
    <n v="50"/>
    <n v="0"/>
    <n v="0"/>
    <n v="7"/>
    <n v="5"/>
    <s v="y"/>
    <s v="25-30"/>
    <n v="4"/>
    <x v="2"/>
    <n v="0"/>
    <x v="4"/>
    <n v="3.5"/>
    <n v="0"/>
    <n v="0"/>
    <x v="5"/>
    <s v="NA"/>
    <x v="0"/>
    <n v="3.5"/>
    <x v="1"/>
    <n v="0"/>
    <x v="0"/>
    <s v="NA"/>
    <n v="2"/>
    <s v="Ama-Nam"/>
  </r>
  <r>
    <n v="9"/>
    <s v="Ariro"/>
    <n v="1"/>
    <n v="1"/>
    <x v="13"/>
    <x v="25"/>
    <x v="5"/>
    <s v="₹50 lakhs for 10% equity"/>
    <n v="50"/>
    <n v="50"/>
    <n v="0"/>
    <n v="0"/>
    <n v="10"/>
    <n v="2.5"/>
    <s v="y"/>
    <s v="35-40"/>
    <n v="2"/>
    <x v="2"/>
    <n v="0"/>
    <x v="0"/>
    <n v="0"/>
    <n v="0"/>
    <n v="0"/>
    <x v="5"/>
    <s v="NA"/>
    <x v="0"/>
    <n v="5"/>
    <x v="3"/>
    <n v="5"/>
    <x v="0"/>
    <s v="NA"/>
    <n v="2"/>
    <s v="Ama-Pey"/>
  </r>
  <r>
    <n v="9"/>
    <s v="Kabira Handmade"/>
    <n v="1"/>
    <n v="1"/>
    <x v="14"/>
    <x v="26"/>
    <x v="0"/>
    <s v="No Deal"/>
    <n v="0"/>
    <n v="100"/>
    <n v="0"/>
    <n v="0"/>
    <n v="0"/>
    <n v="5"/>
    <s v="n"/>
    <s v="35-40"/>
    <n v="2"/>
    <x v="2"/>
    <n v="0"/>
    <x v="0"/>
    <n v="0"/>
    <n v="0"/>
    <n v="0"/>
    <x v="5"/>
    <s v="NA"/>
    <x v="1"/>
    <n v="0"/>
    <x v="1"/>
    <n v="0"/>
    <x v="0"/>
    <s v="NA"/>
    <n v="0"/>
    <s v="-"/>
  </r>
  <r>
    <n v="10"/>
    <s v="Nuutjob"/>
    <n v="0"/>
    <n v="2"/>
    <x v="1"/>
    <x v="27"/>
    <x v="3"/>
    <s v="₹25 lakhs for 20% equity"/>
    <n v="25"/>
    <n v="25"/>
    <n v="0"/>
    <n v="0"/>
    <n v="20"/>
    <n v="5"/>
    <s v="y"/>
    <s v="20-25"/>
    <n v="2"/>
    <x v="2"/>
    <n v="0"/>
    <x v="5"/>
    <n v="6.6"/>
    <n v="0"/>
    <n v="0"/>
    <x v="5"/>
    <s v="NA"/>
    <x v="6"/>
    <n v="6.6"/>
    <x v="4"/>
    <n v="6.6"/>
    <x v="0"/>
    <s v="NA"/>
    <n v="3"/>
    <s v="Ama-Nam-Pey"/>
  </r>
  <r>
    <n v="10"/>
    <s v="Meatyour"/>
    <n v="3"/>
    <n v="0"/>
    <x v="8"/>
    <x v="28"/>
    <x v="0"/>
    <s v="₹30 lakhs for 20% equity"/>
    <n v="30"/>
    <n v="30"/>
    <n v="0"/>
    <n v="0"/>
    <n v="20"/>
    <n v="5"/>
    <s v="y"/>
    <s v="35-40"/>
    <n v="3"/>
    <x v="2"/>
    <n v="0"/>
    <x v="0"/>
    <n v="0"/>
    <n v="10"/>
    <n v="6.6"/>
    <x v="5"/>
    <s v="NA"/>
    <x v="7"/>
    <n v="6.6"/>
    <x v="5"/>
    <n v="6.6"/>
    <x v="0"/>
    <s v="NA"/>
    <n v="3"/>
    <s v="Ama-Anu-Pey"/>
  </r>
  <r>
    <n v="10"/>
    <s v="EventBeep"/>
    <n v="2"/>
    <n v="1"/>
    <x v="8"/>
    <x v="29"/>
    <x v="5"/>
    <s v="₹30 lakhs for 3% equity"/>
    <n v="30"/>
    <n v="30"/>
    <n v="0"/>
    <n v="0"/>
    <n v="3"/>
    <n v="2"/>
    <s v="y"/>
    <s v="20-25"/>
    <n v="3"/>
    <x v="6"/>
    <n v="1"/>
    <x v="0"/>
    <n v="0"/>
    <n v="0"/>
    <n v="0"/>
    <x v="5"/>
    <s v="NA"/>
    <x v="7"/>
    <n v="1"/>
    <x v="5"/>
    <n v="1"/>
    <x v="0"/>
    <s v="NA"/>
    <n v="3"/>
    <s v="Ama-Ash-Pey"/>
  </r>
  <r>
    <n v="11"/>
    <s v="Gopal's 56"/>
    <n v="1"/>
    <n v="0"/>
    <x v="0"/>
    <x v="30"/>
    <x v="0"/>
    <s v="No Deal"/>
    <n v="0"/>
    <n v="30000"/>
    <n v="0"/>
    <n v="0"/>
    <n v="0"/>
    <n v="25"/>
    <s v="n"/>
    <s v="30-35"/>
    <n v="1"/>
    <x v="2"/>
    <n v="0"/>
    <x v="0"/>
    <n v="0"/>
    <n v="0"/>
    <n v="0"/>
    <x v="5"/>
    <s v="NA"/>
    <x v="1"/>
    <n v="0"/>
    <x v="1"/>
    <n v="0"/>
    <x v="0"/>
    <s v="NA"/>
    <n v="0"/>
    <s v="-"/>
  </r>
  <r>
    <n v="11"/>
    <s v="ARRCOAT Surface Textures"/>
    <n v="3"/>
    <n v="0"/>
    <x v="0"/>
    <x v="31"/>
    <x v="5"/>
    <s v="₹50 lakhs for 15% equity"/>
    <n v="50"/>
    <n v="50"/>
    <n v="0"/>
    <n v="0"/>
    <n v="15"/>
    <n v="5"/>
    <s v="y"/>
    <s v="35-40"/>
    <n v="3"/>
    <x v="2"/>
    <n v="0"/>
    <x v="0"/>
    <n v="0"/>
    <n v="50"/>
    <n v="15"/>
    <x v="5"/>
    <s v="NA"/>
    <x v="1"/>
    <n v="0"/>
    <x v="1"/>
    <n v="0"/>
    <x v="0"/>
    <s v="NA"/>
    <n v="1"/>
    <s v="Anu"/>
  </r>
  <r>
    <n v="11"/>
    <s v="Farda"/>
    <n v="1"/>
    <n v="1"/>
    <x v="15"/>
    <x v="32"/>
    <x v="5"/>
    <s v="₹30 lakhs for 20% equity"/>
    <n v="30"/>
    <n v="30"/>
    <n v="0"/>
    <n v="0"/>
    <n v="20"/>
    <n v="10"/>
    <s v="y"/>
    <s v="20-25"/>
    <n v="2"/>
    <x v="2"/>
    <n v="0"/>
    <x v="6"/>
    <n v="10"/>
    <n v="0"/>
    <n v="0"/>
    <x v="5"/>
    <s v="NA"/>
    <x v="8"/>
    <n v="10"/>
    <x v="1"/>
    <n v="0"/>
    <x v="0"/>
    <s v="NA"/>
    <n v="2"/>
    <s v="Ama-Nam"/>
  </r>
  <r>
    <n v="12"/>
    <s v="Auli Lifestyle"/>
    <n v="0"/>
    <n v="1"/>
    <x v="12"/>
    <x v="33"/>
    <x v="3"/>
    <s v="₹75 lakhs for 15% equity"/>
    <n v="75"/>
    <n v="75"/>
    <n v="0"/>
    <n v="0"/>
    <n v="15"/>
    <n v="4"/>
    <s v="y"/>
    <s v="25-30"/>
    <n v="1"/>
    <x v="2"/>
    <n v="0"/>
    <x v="7"/>
    <n v="15"/>
    <n v="0"/>
    <n v="0"/>
    <x v="5"/>
    <s v="NA"/>
    <x v="1"/>
    <n v="0"/>
    <x v="1"/>
    <n v="0"/>
    <x v="0"/>
    <s v="NA"/>
    <n v="1"/>
    <s v="Nam"/>
  </r>
  <r>
    <n v="12"/>
    <s v="SweeDesi"/>
    <n v="1"/>
    <n v="1"/>
    <x v="8"/>
    <x v="34"/>
    <x v="0"/>
    <s v="No Deal"/>
    <n v="0"/>
    <n v="40"/>
    <n v="0"/>
    <n v="0"/>
    <n v="0"/>
    <n v="3"/>
    <s v="n"/>
    <s v="35-40"/>
    <n v="2"/>
    <x v="2"/>
    <n v="0"/>
    <x v="0"/>
    <n v="0"/>
    <n v="0"/>
    <n v="0"/>
    <x v="5"/>
    <s v="NA"/>
    <x v="1"/>
    <n v="0"/>
    <x v="1"/>
    <n v="0"/>
    <x v="0"/>
    <s v="NA"/>
    <n v="0"/>
    <s v="-"/>
  </r>
  <r>
    <n v="12"/>
    <s v="LOKA"/>
    <n v="1"/>
    <n v="1"/>
    <x v="0"/>
    <x v="35"/>
    <x v="6"/>
    <s v="₹40 lakhs for 24% equity"/>
    <n v="40"/>
    <n v="40"/>
    <n v="0"/>
    <n v="0"/>
    <n v="24"/>
    <n v="5"/>
    <s v="y"/>
    <s v="20-25"/>
    <n v="1"/>
    <x v="2"/>
    <n v="0"/>
    <x v="0"/>
    <n v="0"/>
    <n v="13.3"/>
    <n v="8"/>
    <x v="5"/>
    <s v="NA"/>
    <x v="9"/>
    <n v="8"/>
    <x v="6"/>
    <n v="8"/>
    <x v="0"/>
    <s v="NA"/>
    <n v="3"/>
    <s v="Ama-Anu-Pey"/>
  </r>
  <r>
    <n v="13"/>
    <s v="Annie"/>
    <n v="3"/>
    <n v="1"/>
    <x v="2"/>
    <x v="36"/>
    <x v="3"/>
    <s v="₹1.05 crore at 3% equity"/>
    <n v="105"/>
    <n v="30"/>
    <n v="0"/>
    <n v="0"/>
    <n v="3"/>
    <n v="0.5"/>
    <s v="y"/>
    <s v="20-25"/>
    <n v="4"/>
    <x v="2"/>
    <n v="0"/>
    <x v="8"/>
    <n v="1"/>
    <n v="35"/>
    <n v="1"/>
    <x v="5"/>
    <s v="NA"/>
    <x v="1"/>
    <n v="0"/>
    <x v="7"/>
    <n v="1"/>
    <x v="0"/>
    <s v="NA"/>
    <n v="3"/>
    <s v="Anu-Nam-Pey"/>
  </r>
  <r>
    <n v="13"/>
    <s v="Caragreen"/>
    <n v="0"/>
    <n v="2"/>
    <x v="16"/>
    <x v="37"/>
    <x v="5"/>
    <s v="₹50 lakhs for 20% equity"/>
    <n v="50"/>
    <n v="50"/>
    <n v="0"/>
    <n v="0"/>
    <n v="20"/>
    <n v="10"/>
    <s v="y"/>
    <s v="40-45"/>
    <n v="2"/>
    <x v="2"/>
    <n v="0"/>
    <x v="0"/>
    <n v="0"/>
    <n v="25"/>
    <n v="10"/>
    <x v="5"/>
    <s v="NA"/>
    <x v="1"/>
    <n v="0"/>
    <x v="3"/>
    <n v="10"/>
    <x v="0"/>
    <s v="NA"/>
    <n v="2"/>
    <s v="Anu-Pey"/>
  </r>
  <r>
    <n v="13"/>
    <s v="The Yarn Bazaar"/>
    <n v="1"/>
    <n v="0"/>
    <x v="7"/>
    <x v="38"/>
    <x v="2"/>
    <s v="₹1 crore for 10% equity"/>
    <n v="100"/>
    <n v="50"/>
    <n v="0"/>
    <n v="0"/>
    <n v="10"/>
    <n v="2"/>
    <s v="y"/>
    <s v="30-35"/>
    <n v="1"/>
    <x v="0"/>
    <n v="2.5"/>
    <x v="0"/>
    <n v="0"/>
    <n v="25"/>
    <n v="2.5"/>
    <x v="5"/>
    <s v="NA"/>
    <x v="0"/>
    <n v="2.5"/>
    <x v="3"/>
    <n v="2.5"/>
    <x v="0"/>
    <s v="NA"/>
    <n v="4"/>
    <s v="Ama-Anu-Ash-Pey"/>
  </r>
  <r>
    <n v="14"/>
    <s v="The Renal Project"/>
    <n v="2"/>
    <n v="0"/>
    <x v="7"/>
    <x v="39"/>
    <x v="3"/>
    <s v="₹1 crore at 6% equity"/>
    <n v="100"/>
    <n v="100"/>
    <n v="0"/>
    <n v="0"/>
    <n v="6"/>
    <n v="3"/>
    <s v="y"/>
    <s v="30-35"/>
    <n v="2"/>
    <x v="2"/>
    <n v="0"/>
    <x v="3"/>
    <n v="3"/>
    <n v="0"/>
    <n v="0"/>
    <x v="5"/>
    <s v="NA"/>
    <x v="4"/>
    <n v="3"/>
    <x v="1"/>
    <n v="0"/>
    <x v="0"/>
    <s v="NA"/>
    <n v="2"/>
    <s v="Ama-Nam"/>
  </r>
  <r>
    <n v="14"/>
    <s v="Morikko Pure Foods"/>
    <n v="2"/>
    <n v="1"/>
    <x v="17"/>
    <x v="40"/>
    <x v="0"/>
    <s v="No Deal"/>
    <n v="0"/>
    <n v="100"/>
    <n v="0"/>
    <n v="0"/>
    <n v="0"/>
    <n v="3"/>
    <s v="n"/>
    <s v="45-50"/>
    <n v="3"/>
    <x v="2"/>
    <n v="0"/>
    <x v="0"/>
    <n v="0"/>
    <n v="0"/>
    <n v="0"/>
    <x v="5"/>
    <s v="NA"/>
    <x v="1"/>
    <n v="0"/>
    <x v="1"/>
    <n v="0"/>
    <x v="0"/>
    <s v="NA"/>
    <n v="0"/>
    <s v="-"/>
  </r>
  <r>
    <n v="14"/>
    <s v="Good Good Piggy Bank"/>
    <n v="0"/>
    <n v="1"/>
    <x v="0"/>
    <x v="41"/>
    <x v="5"/>
    <s v="No Deal"/>
    <n v="0"/>
    <n v="45"/>
    <n v="0"/>
    <n v="0"/>
    <n v="0"/>
    <n v="5"/>
    <s v="n"/>
    <s v="25-30"/>
    <n v="1"/>
    <x v="2"/>
    <n v="0"/>
    <x v="0"/>
    <n v="0"/>
    <n v="0"/>
    <n v="0"/>
    <x v="5"/>
    <s v="NA"/>
    <x v="1"/>
    <n v="0"/>
    <x v="1"/>
    <n v="0"/>
    <x v="0"/>
    <s v="NA"/>
    <n v="0"/>
    <s v="-"/>
  </r>
  <r>
    <n v="15"/>
    <s v="Hammer Lifestyle"/>
    <n v="1"/>
    <n v="0"/>
    <x v="18"/>
    <x v="42"/>
    <x v="5"/>
    <s v="₹1 crore for 40% equity"/>
    <n v="100"/>
    <n v="30"/>
    <n v="0"/>
    <n v="0"/>
    <n v="40"/>
    <n v="3"/>
    <s v="y"/>
    <s v="25-30"/>
    <n v="1"/>
    <x v="2"/>
    <n v="0"/>
    <x v="0"/>
    <n v="0"/>
    <n v="0"/>
    <n v="0"/>
    <x v="5"/>
    <s v="NA"/>
    <x v="10"/>
    <n v="40"/>
    <x v="1"/>
    <n v="0"/>
    <x v="0"/>
    <s v="NA"/>
    <n v="1"/>
    <s v="Ama"/>
  </r>
  <r>
    <n v="15"/>
    <s v="PNT"/>
    <n v="2"/>
    <n v="0"/>
    <x v="7"/>
    <x v="43"/>
    <x v="6"/>
    <s v="₹25 lakhs for 25% equity and ₹25 lakhs debt"/>
    <n v="25"/>
    <n v="50"/>
    <n v="25"/>
    <n v="0"/>
    <n v="25"/>
    <n v="4"/>
    <s v="y"/>
    <s v="20-25"/>
    <n v="2"/>
    <x v="2"/>
    <n v="0"/>
    <x v="0"/>
    <n v="0"/>
    <n v="0"/>
    <n v="0"/>
    <x v="5"/>
    <s v="NA"/>
    <x v="1"/>
    <n v="0"/>
    <x v="8"/>
    <n v="50"/>
    <x v="0"/>
    <s v="NA"/>
    <n v="1"/>
    <s v="Pey"/>
  </r>
  <r>
    <n v="15"/>
    <s v="Cocofit"/>
    <n v="3"/>
    <n v="0"/>
    <x v="9"/>
    <x v="44"/>
    <x v="0"/>
    <s v="₹5 for 5% equity"/>
    <n v="5"/>
    <n v="5"/>
    <n v="0"/>
    <n v="0"/>
    <n v="5"/>
    <n v="5"/>
    <s v="y"/>
    <s v="35-40"/>
    <n v="3"/>
    <x v="2"/>
    <n v="0"/>
    <x v="0"/>
    <n v="0"/>
    <n v="0"/>
    <n v="0"/>
    <x v="5"/>
    <s v="NA"/>
    <x v="1"/>
    <n v="0"/>
    <x v="1"/>
    <n v="0"/>
    <x v="0"/>
    <s v="NA"/>
    <n v="3"/>
    <s v="Ama-Anu-Nam"/>
  </r>
  <r>
    <n v="16"/>
    <s v="Bamboo India"/>
    <n v="1"/>
    <n v="1"/>
    <x v="8"/>
    <x v="45"/>
    <x v="5"/>
    <s v="₹50 lakhs at 3.5% Equity and ₹30 lakhs Debt"/>
    <n v="50"/>
    <n v="80"/>
    <n v="30"/>
    <n v="0"/>
    <n v="3.5"/>
    <n v="4"/>
    <s v="y"/>
    <s v="40-45"/>
    <n v="2"/>
    <x v="7"/>
    <n v="1.75"/>
    <x v="0"/>
    <n v="0"/>
    <n v="40"/>
    <n v="1.75"/>
    <x v="5"/>
    <s v="NA"/>
    <x v="1"/>
    <n v="0"/>
    <x v="1"/>
    <n v="0"/>
    <x v="0"/>
    <s v="NA"/>
    <n v="2"/>
    <s v="Anu-Ash"/>
  </r>
  <r>
    <n v="16"/>
    <s v="Flying Furr"/>
    <n v="3"/>
    <n v="1"/>
    <x v="0"/>
    <x v="46"/>
    <x v="0"/>
    <s v="No Deal"/>
    <n v="0"/>
    <n v="75"/>
    <n v="0"/>
    <n v="0"/>
    <n v="0"/>
    <n v="7"/>
    <s v="n"/>
    <s v="25-30"/>
    <n v="4"/>
    <x v="2"/>
    <n v="0"/>
    <x v="0"/>
    <n v="0"/>
    <n v="0"/>
    <n v="0"/>
    <x v="5"/>
    <s v="NA"/>
    <x v="1"/>
    <n v="0"/>
    <x v="1"/>
    <n v="0"/>
    <x v="0"/>
    <s v="NA"/>
    <n v="0"/>
    <s v="-"/>
  </r>
  <r>
    <n v="16"/>
    <s v="Beyond Water"/>
    <n v="1"/>
    <n v="1"/>
    <x v="12"/>
    <x v="47"/>
    <x v="5"/>
    <s v="₹75 lakhs for 15% Equity"/>
    <n v="75"/>
    <n v="75"/>
    <n v="0"/>
    <n v="0"/>
    <n v="15"/>
    <n v="4"/>
    <s v="y"/>
    <s v="30-35"/>
    <n v="2"/>
    <x v="2"/>
    <n v="0"/>
    <x v="1"/>
    <n v="7.5"/>
    <n v="0"/>
    <n v="0"/>
    <x v="5"/>
    <s v="NA"/>
    <x v="3"/>
    <n v="7.5"/>
    <x v="1"/>
    <n v="0"/>
    <x v="0"/>
    <s v="NA"/>
    <n v="2"/>
    <s v="Ama-Nam"/>
  </r>
  <r>
    <n v="16"/>
    <s v="Let’s Try"/>
    <n v="1"/>
    <n v="3"/>
    <x v="0"/>
    <x v="48"/>
    <x v="0"/>
    <s v="₹45 lakhs for 12% Equity"/>
    <n v="45"/>
    <n v="45"/>
    <n v="0"/>
    <n v="0"/>
    <n v="12"/>
    <n v="2"/>
    <s v="y"/>
    <s v="45-50"/>
    <n v="4"/>
    <x v="2"/>
    <n v="0"/>
    <x v="0"/>
    <n v="0"/>
    <n v="22.5"/>
    <n v="6"/>
    <x v="5"/>
    <s v="NA"/>
    <x v="11"/>
    <n v="6"/>
    <x v="1"/>
    <n v="0"/>
    <x v="0"/>
    <s v="NA"/>
    <n v="2"/>
    <s v="Ama-Anu"/>
  </r>
  <r>
    <n v="17"/>
    <s v="Find Your Kicks India"/>
    <n v="3"/>
    <n v="0"/>
    <x v="19"/>
    <x v="49"/>
    <x v="5"/>
    <s v="₹50 lakhs for 25% equity"/>
    <n v="50"/>
    <n v="50"/>
    <n v="0"/>
    <n v="0"/>
    <n v="25"/>
    <n v="10"/>
    <s v="y"/>
    <s v="20-25"/>
    <n v="3"/>
    <x v="6"/>
    <n v="5"/>
    <x v="9"/>
    <n v="5"/>
    <n v="10"/>
    <n v="5"/>
    <x v="5"/>
    <s v="NA"/>
    <x v="7"/>
    <n v="5"/>
    <x v="5"/>
    <n v="5"/>
    <x v="0"/>
    <s v="NA"/>
    <n v="5"/>
    <s v="Ama-Anu-Ash-Nam-Pey"/>
  </r>
  <r>
    <n v="17"/>
    <s v="Aas Vidyalaya"/>
    <n v="1"/>
    <n v="1"/>
    <x v="7"/>
    <x v="50"/>
    <x v="6"/>
    <s v="₹1.5 Crore for 15% Equity"/>
    <n v="150"/>
    <n v="150"/>
    <n v="0"/>
    <n v="0"/>
    <n v="15"/>
    <n v="3"/>
    <s v="y"/>
    <s v="50-55"/>
    <n v="2"/>
    <x v="4"/>
    <n v="3"/>
    <x v="3"/>
    <n v="3"/>
    <n v="0"/>
    <n v="0"/>
    <x v="5"/>
    <s v="NA"/>
    <x v="1"/>
    <n v="0"/>
    <x v="8"/>
    <n v="3"/>
    <x v="0"/>
    <s v="NA"/>
    <n v="3"/>
    <s v="Ash-Nam-Pey"/>
  </r>
  <r>
    <n v="17"/>
    <s v="Outbox"/>
    <n v="1"/>
    <n v="1"/>
    <x v="12"/>
    <x v="51"/>
    <x v="5"/>
    <s v="No Deal"/>
    <n v="0"/>
    <n v="50"/>
    <n v="0"/>
    <n v="0"/>
    <n v="0"/>
    <n v="5"/>
    <s v="n"/>
    <s v="30-35"/>
    <n v="2"/>
    <x v="2"/>
    <n v="0"/>
    <x v="0"/>
    <n v="0"/>
    <n v="0"/>
    <n v="0"/>
    <x v="5"/>
    <s v="NA"/>
    <x v="1"/>
    <n v="0"/>
    <x v="1"/>
    <n v="0"/>
    <x v="0"/>
    <s v="NA"/>
    <n v="0"/>
    <s v="-"/>
  </r>
  <r>
    <n v="17"/>
    <s v="RoadBounce"/>
    <n v="1"/>
    <n v="0"/>
    <x v="8"/>
    <x v="52"/>
    <x v="6"/>
    <s v="₹80 Lakhs for 20% Equity"/>
    <n v="80"/>
    <n v="80"/>
    <n v="0"/>
    <n v="0"/>
    <n v="20"/>
    <n v="10"/>
    <s v="y"/>
    <s v="45-50"/>
    <n v="1"/>
    <x v="2"/>
    <n v="0"/>
    <x v="0"/>
    <n v="0"/>
    <n v="0"/>
    <n v="0"/>
    <x v="5"/>
    <s v="NA"/>
    <x v="1"/>
    <n v="0"/>
    <x v="9"/>
    <n v="20"/>
    <x v="0"/>
    <s v="NA"/>
    <n v="1"/>
    <s v="Pey"/>
  </r>
  <r>
    <n v="18"/>
    <s v="Mommy’s Kitchen"/>
    <n v="2"/>
    <n v="1"/>
    <x v="2"/>
    <x v="53"/>
    <x v="0"/>
    <s v="No Deal"/>
    <n v="0"/>
    <n v="90"/>
    <n v="0"/>
    <n v="0"/>
    <n v="0"/>
    <n v="3"/>
    <s v="n"/>
    <s v="45-50"/>
    <n v="3"/>
    <x v="2"/>
    <n v="0"/>
    <x v="0"/>
    <n v="0"/>
    <n v="0"/>
    <n v="0"/>
    <x v="5"/>
    <s v="NA"/>
    <x v="1"/>
    <n v="0"/>
    <x v="1"/>
    <n v="0"/>
    <x v="0"/>
    <s v="NA"/>
    <n v="0"/>
    <s v="-"/>
  </r>
  <r>
    <n v="18"/>
    <s v="India Hemp and Co"/>
    <n v="0"/>
    <n v="1"/>
    <x v="2"/>
    <x v="54"/>
    <x v="0"/>
    <s v="No Deal"/>
    <n v="0"/>
    <n v="50"/>
    <n v="0"/>
    <n v="0"/>
    <n v="0"/>
    <n v="4"/>
    <s v="n"/>
    <s v="35-40"/>
    <n v="2"/>
    <x v="2"/>
    <n v="0"/>
    <x v="0"/>
    <n v="0"/>
    <n v="0"/>
    <n v="0"/>
    <x v="5"/>
    <s v="NA"/>
    <x v="1"/>
    <n v="0"/>
    <x v="1"/>
    <n v="0"/>
    <x v="0"/>
    <s v="NA"/>
    <n v="0"/>
    <s v="-"/>
  </r>
  <r>
    <n v="18"/>
    <s v="Otua"/>
    <n v="2"/>
    <n v="0"/>
    <x v="20"/>
    <x v="55"/>
    <x v="1"/>
    <s v="₹1 lakh for 1% equity and ₹99 lakhs Debt"/>
    <n v="1"/>
    <n v="100"/>
    <n v="99"/>
    <n v="0"/>
    <n v="1"/>
    <n v="1"/>
    <s v="y"/>
    <s v="41-45"/>
    <n v="2"/>
    <x v="8"/>
    <n v="1"/>
    <x v="0"/>
    <n v="0"/>
    <n v="0"/>
    <n v="0"/>
    <x v="5"/>
    <s v="NA"/>
    <x v="1"/>
    <n v="0"/>
    <x v="1"/>
    <n v="0"/>
    <x v="0"/>
    <s v="NA"/>
    <n v="1"/>
    <s v="Ash"/>
  </r>
  <r>
    <n v="18"/>
    <s v="Anthyesti"/>
    <n v="0"/>
    <n v="1"/>
    <x v="12"/>
    <x v="56"/>
    <x v="5"/>
    <s v="No Deal"/>
    <n v="0"/>
    <n v="50"/>
    <n v="0"/>
    <n v="0"/>
    <n v="0"/>
    <n v="2.5"/>
    <s v="n"/>
    <s v="30-35"/>
    <n v="1"/>
    <x v="2"/>
    <n v="0"/>
    <x v="0"/>
    <n v="0"/>
    <n v="0"/>
    <n v="0"/>
    <x v="5"/>
    <s v="NA"/>
    <x v="1"/>
    <n v="0"/>
    <x v="1"/>
    <n v="0"/>
    <x v="0"/>
    <s v="NA"/>
    <n v="0"/>
    <s v="-"/>
  </r>
  <r>
    <n v="19"/>
    <s v="Ethik"/>
    <n v="2"/>
    <n v="0"/>
    <x v="2"/>
    <x v="57"/>
    <x v="5"/>
    <s v="No Deal"/>
    <n v="0"/>
    <n v="15"/>
    <n v="0"/>
    <n v="0"/>
    <n v="0"/>
    <n v="5"/>
    <s v="n"/>
    <s v="35-40"/>
    <n v="2"/>
    <x v="2"/>
    <n v="0"/>
    <x v="0"/>
    <n v="0"/>
    <n v="0"/>
    <n v="0"/>
    <x v="5"/>
    <s v="NA"/>
    <x v="1"/>
    <n v="0"/>
    <x v="1"/>
    <n v="0"/>
    <x v="0"/>
    <s v="NA"/>
    <n v="0"/>
    <s v="-"/>
  </r>
  <r>
    <n v="19"/>
    <s v="WeSTOCK"/>
    <n v="2"/>
    <n v="0"/>
    <x v="10"/>
    <x v="58"/>
    <x v="6"/>
    <s v="₹60 lakhs for 10% equity"/>
    <n v="50"/>
    <n v="50"/>
    <n v="0"/>
    <n v="0"/>
    <n v="10"/>
    <n v="5"/>
    <s v="y"/>
    <s v="35-40"/>
    <n v="2"/>
    <x v="9"/>
    <n v="2.5"/>
    <x v="10"/>
    <n v="2.5"/>
    <n v="0"/>
    <n v="0"/>
    <x v="5"/>
    <s v="NA"/>
    <x v="12"/>
    <n v="2.5"/>
    <x v="10"/>
    <n v="2.5"/>
    <x v="0"/>
    <s v="NA"/>
    <n v="4"/>
    <s v="Ama-Ash-Nam-Pey"/>
  </r>
  <r>
    <n v="19"/>
    <s v="KetoIndia"/>
    <n v="1"/>
    <n v="1"/>
    <x v="0"/>
    <x v="59"/>
    <x v="3"/>
    <s v="No Deal"/>
    <n v="0"/>
    <n v="150"/>
    <n v="0"/>
    <n v="0"/>
    <n v="0"/>
    <n v="1.25"/>
    <s v="n"/>
    <s v="30-35"/>
    <n v="2"/>
    <x v="2"/>
    <n v="0"/>
    <x v="0"/>
    <n v="0"/>
    <n v="0"/>
    <n v="0"/>
    <x v="5"/>
    <s v="NA"/>
    <x v="1"/>
    <n v="0"/>
    <x v="1"/>
    <n v="0"/>
    <x v="0"/>
    <s v="NA"/>
    <n v="0"/>
    <s v="-"/>
  </r>
  <r>
    <n v="19"/>
    <s v="Magic lock"/>
    <n v="3"/>
    <n v="0"/>
    <x v="21"/>
    <x v="60"/>
    <x v="5"/>
    <s v="No Deal"/>
    <n v="0"/>
    <n v="120"/>
    <n v="0"/>
    <n v="0"/>
    <n v="0"/>
    <n v="8"/>
    <s v="n"/>
    <s v="40-45"/>
    <n v="3"/>
    <x v="2"/>
    <n v="0"/>
    <x v="0"/>
    <n v="0"/>
    <n v="0"/>
    <n v="0"/>
    <x v="5"/>
    <s v="NA"/>
    <x v="1"/>
    <n v="0"/>
    <x v="1"/>
    <n v="0"/>
    <x v="0"/>
    <s v="NA"/>
    <n v="0"/>
    <s v="-"/>
  </r>
  <r>
    <n v="20"/>
    <s v="The State Plate"/>
    <n v="1"/>
    <n v="1"/>
    <x v="2"/>
    <x v="61"/>
    <x v="0"/>
    <s v="₹40 Lakhs for 3%equity and ₹25 Lakhs Debt"/>
    <n v="40"/>
    <n v="65"/>
    <n v="25"/>
    <n v="0"/>
    <n v="3"/>
    <n v="2"/>
    <s v="y"/>
    <s v="20-25"/>
    <n v="2"/>
    <x v="2"/>
    <n v="0"/>
    <x v="0"/>
    <n v="0"/>
    <n v="0"/>
    <n v="0"/>
    <x v="5"/>
    <s v="NA"/>
    <x v="1"/>
    <n v="0"/>
    <x v="11"/>
    <n v="3"/>
    <x v="0"/>
    <s v="NA"/>
    <n v="1"/>
    <s v="Pey"/>
  </r>
  <r>
    <n v="20"/>
    <s v="Bakarmax"/>
    <n v="1"/>
    <n v="0"/>
    <x v="0"/>
    <x v="62"/>
    <x v="5"/>
    <s v="No Deal"/>
    <n v="0"/>
    <n v="35"/>
    <n v="0"/>
    <n v="0"/>
    <n v="0"/>
    <n v="5"/>
    <s v="n"/>
    <s v="30-35"/>
    <n v="1"/>
    <x v="2"/>
    <n v="0"/>
    <x v="0"/>
    <n v="0"/>
    <n v="0"/>
    <n v="0"/>
    <x v="5"/>
    <s v="NA"/>
    <x v="1"/>
    <n v="0"/>
    <x v="1"/>
    <n v="0"/>
    <x v="0"/>
    <s v="NA"/>
    <n v="0"/>
    <s v="-"/>
  </r>
  <r>
    <n v="20"/>
    <s v="IN A CAN"/>
    <n v="2"/>
    <n v="0"/>
    <x v="8"/>
    <x v="63"/>
    <x v="0"/>
    <s v="₹1 Crore for 10 % equity"/>
    <n v="100"/>
    <n v="50"/>
    <n v="0"/>
    <n v="0"/>
    <n v="10"/>
    <n v="2"/>
    <s v="y"/>
    <s v="30-35"/>
    <n v="2"/>
    <x v="1"/>
    <n v="2"/>
    <x v="2"/>
    <n v="2"/>
    <n v="20"/>
    <n v="2"/>
    <x v="5"/>
    <s v="NA"/>
    <x v="5"/>
    <n v="2"/>
    <x v="12"/>
    <n v="2"/>
    <x v="0"/>
    <s v="NA"/>
    <n v="5"/>
    <s v="Ama-Anu-Ash-Nam-Pey"/>
  </r>
  <r>
    <n v="21"/>
    <s v="Get a Whey"/>
    <n v="1"/>
    <n v="1"/>
    <x v="7"/>
    <x v="64"/>
    <x v="0"/>
    <s v="₹1 Crore for 15% equity"/>
    <n v="100"/>
    <n v="100"/>
    <n v="0"/>
    <n v="0"/>
    <n v="15"/>
    <n v="8"/>
    <s v="y"/>
    <s v="40-45"/>
    <n v="2"/>
    <x v="10"/>
    <n v="5"/>
    <x v="11"/>
    <s v="NA"/>
    <n v="0"/>
    <n v="0"/>
    <x v="6"/>
    <n v="5"/>
    <x v="13"/>
    <n v="5"/>
    <x v="1"/>
    <n v="0"/>
    <x v="0"/>
    <s v="NA"/>
    <n v="3"/>
    <s v="Ama-Ash-Pey"/>
  </r>
  <r>
    <n v="21"/>
    <s v="Sid 07 Designs"/>
    <n v="1"/>
    <n v="0"/>
    <x v="22"/>
    <x v="65"/>
    <x v="6"/>
    <s v="₹25 Lakhs for 75% equity &amp; 22 lakhs Debt"/>
    <n v="25"/>
    <n v="47"/>
    <n v="22"/>
    <n v="0"/>
    <n v="75"/>
    <n v="10"/>
    <s v="y"/>
    <s v="25-30"/>
    <n v="1"/>
    <x v="2"/>
    <n v="0"/>
    <x v="11"/>
    <s v="NA"/>
    <n v="0"/>
    <n v="0"/>
    <x v="3"/>
    <n v="0"/>
    <x v="1"/>
    <n v="0"/>
    <x v="13"/>
    <n v="75"/>
    <x v="0"/>
    <s v="NA"/>
    <n v="1"/>
    <s v="Pey"/>
  </r>
  <r>
    <n v="21"/>
    <s v="The Quirky Nari"/>
    <n v="0"/>
    <n v="1"/>
    <x v="23"/>
    <x v="66"/>
    <x v="5"/>
    <s v="₹35 lakhs for 24% equity"/>
    <n v="35"/>
    <n v="35"/>
    <n v="0"/>
    <n v="0"/>
    <n v="24"/>
    <n v="5"/>
    <s v="y"/>
    <s v="25-30"/>
    <n v="1"/>
    <x v="2"/>
    <n v="0"/>
    <x v="11"/>
    <s v="NA"/>
    <n v="17.5"/>
    <n v="12"/>
    <x v="7"/>
    <n v="12"/>
    <x v="1"/>
    <n v="0"/>
    <x v="1"/>
    <n v="0"/>
    <x v="0"/>
    <s v="NA"/>
    <n v="2"/>
    <s v="Anu-Vin"/>
  </r>
  <r>
    <n v="22"/>
    <s v="Hair Originals"/>
    <n v="3"/>
    <n v="0"/>
    <x v="20"/>
    <x v="67"/>
    <x v="5"/>
    <s v="₹60 Lakhs for 4% equity"/>
    <n v="60"/>
    <n v="60"/>
    <n v="0"/>
    <n v="0"/>
    <n v="4"/>
    <n v="2"/>
    <s v="y"/>
    <s v="40-45"/>
    <n v="3"/>
    <x v="1"/>
    <n v="1.3"/>
    <x v="11"/>
    <s v="NA"/>
    <n v="20"/>
    <n v="1.3"/>
    <x v="8"/>
    <n v="0"/>
    <x v="1"/>
    <n v="0"/>
    <x v="12"/>
    <n v="1.3"/>
    <x v="0"/>
    <s v="NA"/>
    <n v="3"/>
    <s v="Anu-Ash-Pey"/>
  </r>
  <r>
    <n v="22"/>
    <s v="Poo de Cologne"/>
    <n v="0"/>
    <n v="1"/>
    <x v="7"/>
    <x v="68"/>
    <x v="5"/>
    <s v="No Deal"/>
    <n v="0"/>
    <n v="75"/>
    <n v="0"/>
    <n v="0"/>
    <n v="0"/>
    <n v="5"/>
    <s v="n"/>
    <s v="30-35"/>
    <n v="1"/>
    <x v="2"/>
    <n v="0"/>
    <x v="11"/>
    <s v="NA"/>
    <n v="0"/>
    <n v="0"/>
    <x v="3"/>
    <n v="0"/>
    <x v="1"/>
    <n v="0"/>
    <x v="1"/>
    <n v="0"/>
    <x v="0"/>
    <s v="NA"/>
    <n v="0"/>
    <s v="-"/>
  </r>
  <r>
    <n v="22"/>
    <s v="Moonshine Meads"/>
    <n v="2"/>
    <n v="0"/>
    <x v="8"/>
    <x v="69"/>
    <x v="0"/>
    <s v="No Deal"/>
    <n v="0"/>
    <n v="80"/>
    <n v="0"/>
    <n v="0"/>
    <n v="0"/>
    <n v="0.5"/>
    <s v="n"/>
    <s v="40-45"/>
    <n v="2"/>
    <x v="2"/>
    <n v="0"/>
    <x v="11"/>
    <s v="NA"/>
    <n v="0"/>
    <n v="0"/>
    <x v="3"/>
    <n v="0"/>
    <x v="1"/>
    <n v="0"/>
    <x v="1"/>
    <n v="0"/>
    <x v="0"/>
    <s v="NA"/>
    <n v="0"/>
    <s v="-"/>
  </r>
  <r>
    <n v="22"/>
    <s v="Falhari"/>
    <n v="3"/>
    <n v="0"/>
    <x v="20"/>
    <x v="70"/>
    <x v="0"/>
    <s v="No Deal"/>
    <n v="0"/>
    <n v="50"/>
    <n v="0"/>
    <n v="0"/>
    <n v="0"/>
    <n v="2"/>
    <s v="n"/>
    <s v="25-30"/>
    <n v="3"/>
    <x v="2"/>
    <n v="0"/>
    <x v="11"/>
    <s v="NA"/>
    <n v="0"/>
    <n v="0"/>
    <x v="3"/>
    <n v="0"/>
    <x v="1"/>
    <n v="0"/>
    <x v="1"/>
    <n v="0"/>
    <x v="0"/>
    <s v="NA"/>
    <n v="0"/>
    <s v="-"/>
  </r>
  <r>
    <n v="23"/>
    <s v="Namhya Foods"/>
    <n v="0"/>
    <n v="1"/>
    <x v="22"/>
    <x v="71"/>
    <x v="0"/>
    <s v="₹50 lakhs for 10% Equity &amp; ₹50 lakhs Debt"/>
    <n v="50"/>
    <n v="100"/>
    <n v="50"/>
    <n v="0"/>
    <n v="10"/>
    <n v="5"/>
    <s v="y"/>
    <s v="25-30"/>
    <n v="1"/>
    <x v="2"/>
    <n v="0"/>
    <x v="11"/>
    <s v="NA"/>
    <n v="0"/>
    <n v="0"/>
    <x v="3"/>
    <n v="0"/>
    <x v="10"/>
    <n v="10"/>
    <x v="1"/>
    <n v="0"/>
    <x v="0"/>
    <s v="NA"/>
    <n v="1"/>
    <s v="Ama"/>
  </r>
  <r>
    <n v="23"/>
    <s v="Urban Monkey"/>
    <n v="1"/>
    <n v="0"/>
    <x v="7"/>
    <x v="72"/>
    <x v="5"/>
    <s v="No Deal"/>
    <n v="0"/>
    <n v="100"/>
    <n v="0"/>
    <n v="0"/>
    <n v="0"/>
    <n v="1"/>
    <s v="n"/>
    <s v="30-35"/>
    <n v="1"/>
    <x v="2"/>
    <n v="0"/>
    <x v="11"/>
    <s v="NA"/>
    <n v="0"/>
    <n v="0"/>
    <x v="3"/>
    <n v="0"/>
    <x v="1"/>
    <n v="0"/>
    <x v="1"/>
    <n v="0"/>
    <x v="0"/>
    <s v="NA"/>
    <n v="0"/>
    <s v="-"/>
  </r>
  <r>
    <n v="23"/>
    <s v="Guardian Gears"/>
    <n v="1"/>
    <n v="1"/>
    <x v="24"/>
    <x v="73"/>
    <x v="1"/>
    <s v="No Deal"/>
    <n v="0"/>
    <n v="30"/>
    <n v="0"/>
    <n v="0"/>
    <n v="0"/>
    <n v="5"/>
    <s v="n"/>
    <s v="30-35"/>
    <n v="2"/>
    <x v="2"/>
    <n v="0"/>
    <x v="11"/>
    <s v="NA"/>
    <n v="0"/>
    <n v="0"/>
    <x v="3"/>
    <n v="0"/>
    <x v="1"/>
    <n v="0"/>
    <x v="1"/>
    <n v="0"/>
    <x v="0"/>
    <s v="NA"/>
    <n v="0"/>
    <s v="-"/>
  </r>
  <r>
    <n v="23"/>
    <s v="Modern Myth"/>
    <n v="1"/>
    <n v="1"/>
    <x v="0"/>
    <x v="74"/>
    <x v="5"/>
    <s v="No Deal"/>
    <n v="0"/>
    <n v="75"/>
    <n v="0"/>
    <n v="0"/>
    <n v="0"/>
    <n v="5"/>
    <s v="n"/>
    <s v="30-35"/>
    <n v="2"/>
    <x v="2"/>
    <n v="0"/>
    <x v="11"/>
    <s v="NA"/>
    <n v="0"/>
    <n v="0"/>
    <x v="3"/>
    <n v="0"/>
    <x v="1"/>
    <n v="0"/>
    <x v="1"/>
    <n v="0"/>
    <x v="0"/>
    <s v="NA"/>
    <n v="0"/>
    <s v="-"/>
  </r>
  <r>
    <n v="24"/>
    <s v="The Sass Bar"/>
    <n v="0"/>
    <n v="1"/>
    <x v="7"/>
    <x v="75"/>
    <x v="5"/>
    <s v="₹50 lakhs for 35% Equity"/>
    <n v="50"/>
    <n v="40"/>
    <n v="0"/>
    <n v="0"/>
    <n v="35"/>
    <n v="8"/>
    <s v="y"/>
    <s v="30-35"/>
    <n v="1"/>
    <x v="11"/>
    <s v="NA"/>
    <x v="0"/>
    <n v="0"/>
    <n v="25"/>
    <n v="17.5"/>
    <x v="3"/>
    <n v="0"/>
    <x v="14"/>
    <s v="NA"/>
    <x v="1"/>
    <n v="0"/>
    <x v="1"/>
    <n v="17.5"/>
    <n v="2"/>
    <s v="Anu-Gha"/>
  </r>
  <r>
    <n v="24"/>
    <s v="KG Agrotech"/>
    <n v="2"/>
    <n v="0"/>
    <x v="25"/>
    <x v="76"/>
    <x v="6"/>
    <s v="₹10 lakhs for 40% Equity &amp; ₹20 lakhs Debt"/>
    <n v="10"/>
    <n v="30"/>
    <n v="20"/>
    <n v="0"/>
    <n v="40"/>
    <n v="10"/>
    <s v="y"/>
    <s v="25-30"/>
    <n v="2"/>
    <x v="11"/>
    <s v="NA"/>
    <x v="0"/>
    <n v="0"/>
    <n v="0"/>
    <n v="0"/>
    <x v="3"/>
    <n v="0"/>
    <x v="14"/>
    <s v="NA"/>
    <x v="14"/>
    <n v="40"/>
    <x v="2"/>
    <n v="0"/>
    <n v="1"/>
    <s v="Pey"/>
  </r>
  <r>
    <n v="24"/>
    <s v="Nuskha Kitchen"/>
    <n v="1"/>
    <n v="1"/>
    <x v="14"/>
    <x v="77"/>
    <x v="0"/>
    <s v="No Deal"/>
    <n v="0"/>
    <n v="20"/>
    <n v="0"/>
    <n v="0"/>
    <n v="0"/>
    <n v="10"/>
    <s v="n"/>
    <s v="35-40"/>
    <n v="2"/>
    <x v="11"/>
    <s v="NA"/>
    <x v="0"/>
    <n v="0"/>
    <n v="0"/>
    <n v="0"/>
    <x v="3"/>
    <n v="0"/>
    <x v="14"/>
    <s v="NA"/>
    <x v="1"/>
    <n v="0"/>
    <x v="2"/>
    <n v="0"/>
    <n v="0"/>
    <s v="-"/>
  </r>
  <r>
    <n v="25"/>
    <s v="PawsIndia"/>
    <n v="1"/>
    <n v="1"/>
    <x v="26"/>
    <x v="78"/>
    <x v="0"/>
    <s v="₹50 lakhs for 15% Equity"/>
    <n v="50"/>
    <n v="50"/>
    <n v="0"/>
    <n v="0"/>
    <n v="15"/>
    <n v="4"/>
    <s v="y"/>
    <s v="25-30"/>
    <n v="2"/>
    <x v="11"/>
    <s v="NA"/>
    <x v="0"/>
    <n v="0"/>
    <n v="50"/>
    <n v="15"/>
    <x v="3"/>
    <n v="0"/>
    <x v="14"/>
    <s v="NA"/>
    <x v="1"/>
    <n v="0"/>
    <x v="2"/>
    <n v="0"/>
    <n v="1"/>
    <s v="Anu"/>
  </r>
  <r>
    <n v="25"/>
    <s v="Sunfox Technologies"/>
    <n v="4"/>
    <n v="0"/>
    <x v="27"/>
    <x v="79"/>
    <x v="3"/>
    <s v="₹1 crore for 6% Equity"/>
    <n v="100"/>
    <n v="100"/>
    <n v="0"/>
    <n v="0"/>
    <n v="6"/>
    <n v="2"/>
    <s v="y"/>
    <s v="30-35"/>
    <n v="4"/>
    <x v="11"/>
    <s v="NA"/>
    <x v="2"/>
    <n v="1.2"/>
    <n v="20"/>
    <n v="1.2"/>
    <x v="1"/>
    <n v="1.2"/>
    <x v="14"/>
    <s v="NA"/>
    <x v="12"/>
    <n v="1.2"/>
    <x v="3"/>
    <n v="1.2"/>
    <n v="5"/>
    <s v="Anu-Gha-Nam-Pey-Vin"/>
  </r>
  <r>
    <n v="25"/>
    <s v="Alpino"/>
    <n v="4"/>
    <n v="0"/>
    <x v="28"/>
    <x v="80"/>
    <x v="0"/>
    <s v="No Deal"/>
    <n v="0"/>
    <n v="150"/>
    <n v="0"/>
    <n v="0"/>
    <n v="0"/>
    <n v="2"/>
    <s v="n"/>
    <s v="25-30"/>
    <n v="4"/>
    <x v="11"/>
    <s v="NA"/>
    <x v="0"/>
    <n v="0"/>
    <n v="0"/>
    <n v="0"/>
    <x v="3"/>
    <n v="0"/>
    <x v="14"/>
    <s v="NA"/>
    <x v="1"/>
    <n v="0"/>
    <x v="2"/>
    <n v="0"/>
    <n v="0"/>
    <s v="-"/>
  </r>
  <r>
    <n v="26"/>
    <s v="Isak Fragrances"/>
    <n v="0"/>
    <n v="1"/>
    <x v="29"/>
    <x v="81"/>
    <x v="5"/>
    <s v="₹50 lakhs for 50% Equity"/>
    <n v="50"/>
    <n v="50"/>
    <n v="0"/>
    <n v="0"/>
    <n v="50"/>
    <n v="8"/>
    <s v="y"/>
    <s v="30-35"/>
    <n v="1"/>
    <x v="11"/>
    <s v="NA"/>
    <x v="0"/>
    <n v="0"/>
    <n v="0"/>
    <n v="0"/>
    <x v="3"/>
    <n v="0"/>
    <x v="14"/>
    <s v="NA"/>
    <x v="8"/>
    <n v="50"/>
    <x v="2"/>
    <n v="0"/>
    <n v="1"/>
    <s v="Pey"/>
  </r>
  <r>
    <n v="26"/>
    <s v="Julaa Automation"/>
    <n v="3"/>
    <n v="0"/>
    <x v="11"/>
    <x v="82"/>
    <x v="6"/>
    <s v="No Deal"/>
    <n v="0"/>
    <n v="50"/>
    <n v="0"/>
    <n v="0"/>
    <n v="0"/>
    <n v="10"/>
    <s v="n"/>
    <s v="30-35"/>
    <n v="3"/>
    <x v="11"/>
    <s v="NA"/>
    <x v="0"/>
    <n v="0"/>
    <n v="0"/>
    <n v="0"/>
    <x v="3"/>
    <n v="0"/>
    <x v="14"/>
    <s v="NA"/>
    <x v="1"/>
    <n v="0"/>
    <x v="2"/>
    <n v="0"/>
    <n v="0"/>
    <s v="-"/>
  </r>
  <r>
    <n v="26"/>
    <s v="Rare Planet"/>
    <n v="2"/>
    <n v="0"/>
    <x v="12"/>
    <x v="83"/>
    <x v="5"/>
    <s v="₹65 lakhs for 3% Equity"/>
    <n v="65"/>
    <n v="65"/>
    <n v="0"/>
    <n v="0"/>
    <n v="3"/>
    <n v="1"/>
    <s v="y"/>
    <s v="30-35"/>
    <n v="2"/>
    <x v="11"/>
    <s v="NA"/>
    <x v="12"/>
    <n v="3"/>
    <n v="0"/>
    <n v="0"/>
    <x v="3"/>
    <n v="0"/>
    <x v="14"/>
    <s v="NA"/>
    <x v="1"/>
    <n v="0"/>
    <x v="2"/>
    <n v="0"/>
    <n v="1"/>
    <s v="Nam"/>
  </r>
  <r>
    <n v="27"/>
    <s v="Theka Coffee"/>
    <n v="1"/>
    <n v="0"/>
    <x v="11"/>
    <x v="84"/>
    <x v="0"/>
    <s v="No Deal"/>
    <n v="0"/>
    <n v="50"/>
    <n v="0"/>
    <n v="0"/>
    <n v="0"/>
    <n v="10"/>
    <s v="n"/>
    <s v="30-35"/>
    <n v="1"/>
    <x v="11"/>
    <s v="NA"/>
    <x v="0"/>
    <n v="0"/>
    <n v="0"/>
    <n v="0"/>
    <x v="3"/>
    <n v="0"/>
    <x v="14"/>
    <s v="NA"/>
    <x v="1"/>
    <n v="0"/>
    <x v="2"/>
    <n v="0"/>
    <n v="0"/>
    <s v="-"/>
  </r>
  <r>
    <n v="27"/>
    <s v="Watt Technovations"/>
    <n v="1"/>
    <n v="0"/>
    <x v="7"/>
    <x v="85"/>
    <x v="3"/>
    <s v="₹101 for 4% Equity"/>
    <n v="0"/>
    <n v="0"/>
    <n v="0"/>
    <n v="0"/>
    <n v="0"/>
    <n v="0"/>
    <n v="0"/>
    <s v="20-25"/>
    <n v="0"/>
    <x v="11"/>
    <s v="NA"/>
    <x v="0"/>
    <n v="0"/>
    <n v="0"/>
    <n v="0"/>
    <x v="3"/>
    <n v="0"/>
    <x v="14"/>
    <s v="NA"/>
    <x v="1"/>
    <n v="0"/>
    <x v="2"/>
    <n v="0"/>
    <n v="0"/>
    <s v="Ama-Anu-Nam-Pey"/>
  </r>
  <r>
    <n v="27"/>
    <s v="Aliste Technologies"/>
    <n v="6"/>
    <n v="0"/>
    <x v="30"/>
    <x v="86"/>
    <x v="6"/>
    <s v="No Deal"/>
    <n v="0"/>
    <n v="60"/>
    <n v="0"/>
    <n v="0"/>
    <n v="0"/>
    <n v="5"/>
    <s v="y"/>
    <s v="20-25"/>
    <n v="6"/>
    <x v="11"/>
    <s v="NA"/>
    <x v="0"/>
    <n v="0"/>
    <n v="0"/>
    <n v="0"/>
    <x v="3"/>
    <n v="0"/>
    <x v="14"/>
    <s v="NA"/>
    <x v="1"/>
    <n v="0"/>
    <x v="2"/>
    <n v="0"/>
    <n v="0"/>
    <s v="-"/>
  </r>
  <r>
    <n v="27"/>
    <s v="Insurance Samadhan"/>
    <n v="2"/>
    <n v="1"/>
    <x v="30"/>
    <x v="87"/>
    <x v="7"/>
    <s v="₹1 Crore for 4% Equity"/>
    <n v="100"/>
    <n v="100"/>
    <n v="0"/>
    <n v="0"/>
    <n v="4"/>
    <n v="1"/>
    <s v="y"/>
    <s v="30-35"/>
    <n v="5"/>
    <x v="11"/>
    <s v="NA"/>
    <x v="0"/>
    <n v="0"/>
    <n v="0"/>
    <n v="0"/>
    <x v="3"/>
    <n v="0"/>
    <x v="14"/>
    <s v="NA"/>
    <x v="15"/>
    <n v="4"/>
    <x v="2"/>
    <n v="0"/>
    <n v="1"/>
    <s v="Pey"/>
  </r>
  <r>
    <n v="28"/>
    <s v="Humpy A2"/>
    <n v="2"/>
    <n v="1"/>
    <x v="8"/>
    <x v="88"/>
    <x v="0"/>
    <s v="₹1 Crore for 15% Equity"/>
    <n v="100"/>
    <n v="100"/>
    <n v="0"/>
    <n v="0"/>
    <n v="15"/>
    <n v="15"/>
    <s v="y"/>
    <s v="35-40"/>
    <n v="3"/>
    <x v="11"/>
    <s v="NA"/>
    <x v="0"/>
    <n v="0"/>
    <n v="0"/>
    <n v="0"/>
    <x v="6"/>
    <n v="5"/>
    <x v="14"/>
    <s v="NA"/>
    <x v="16"/>
    <n v="5"/>
    <x v="4"/>
    <n v="5"/>
    <n v="3"/>
    <s v="Gha-Pey-Vin"/>
  </r>
  <r>
    <n v="28"/>
    <s v="Kunafa World"/>
    <n v="1"/>
    <n v="1"/>
    <x v="2"/>
    <x v="89"/>
    <x v="0"/>
    <s v="No Deal"/>
    <n v="0"/>
    <n v="90"/>
    <n v="0"/>
    <n v="0"/>
    <n v="0"/>
    <n v="5"/>
    <s v="y"/>
    <s v="30-35"/>
    <n v="2"/>
    <x v="11"/>
    <s v="NA"/>
    <x v="0"/>
    <n v="0"/>
    <n v="0"/>
    <n v="0"/>
    <x v="3"/>
    <n v="0"/>
    <x v="14"/>
    <s v="NA"/>
    <x v="1"/>
    <n v="0"/>
    <x v="2"/>
    <n v="0"/>
    <n v="0"/>
    <s v="-"/>
  </r>
  <r>
    <n v="28"/>
    <s v="Gold Safe Solutions Ind."/>
    <n v="2"/>
    <n v="0"/>
    <x v="7"/>
    <x v="90"/>
    <x v="8"/>
    <s v="₹50 lakhs for 30% Equity"/>
    <n v="50"/>
    <n v="50"/>
    <n v="0"/>
    <n v="0"/>
    <n v="30"/>
    <n v="5"/>
    <s v="y"/>
    <s v="30-35"/>
    <n v="2"/>
    <x v="11"/>
    <s v="NA"/>
    <x v="0"/>
    <n v="0"/>
    <n v="0"/>
    <n v="0"/>
    <x v="9"/>
    <n v="10"/>
    <x v="14"/>
    <s v="NA"/>
    <x v="17"/>
    <n v="10"/>
    <x v="5"/>
    <n v="10"/>
    <n v="3"/>
    <s v="Gha-Pey-Vin"/>
  </r>
  <r>
    <n v="29"/>
    <s v="Wakao Foods"/>
    <n v="1"/>
    <n v="0"/>
    <x v="31"/>
    <x v="91"/>
    <x v="0"/>
    <s v="₹75 lakhs for 21% Equity"/>
    <n v="75"/>
    <n v="75"/>
    <n v="0"/>
    <n v="0"/>
    <n v="21"/>
    <n v="5"/>
    <s v="y"/>
    <s v="30-35"/>
    <n v="1"/>
    <x v="11"/>
    <s v="NA"/>
    <x v="4"/>
    <n v="7"/>
    <n v="0"/>
    <n v="0"/>
    <x v="0"/>
    <n v="7"/>
    <x v="14"/>
    <s v="NA"/>
    <x v="1"/>
    <n v="0"/>
    <x v="1"/>
    <n v="7"/>
    <n v="3"/>
    <s v="Gha-Nam-Vin"/>
  </r>
  <r>
    <n v="29"/>
    <s v="PDD Falcon"/>
    <n v="1"/>
    <n v="1"/>
    <x v="32"/>
    <x v="92"/>
    <x v="5"/>
    <s v="No Deal"/>
    <n v="0"/>
    <n v="75"/>
    <n v="0"/>
    <n v="0"/>
    <n v="0"/>
    <n v="3"/>
    <s v="y"/>
    <s v="30-35"/>
    <n v="2"/>
    <x v="11"/>
    <s v="NA"/>
    <x v="0"/>
    <n v="0"/>
    <n v="0"/>
    <n v="0"/>
    <x v="3"/>
    <n v="0"/>
    <x v="14"/>
    <s v="NA"/>
    <x v="1"/>
    <n v="0"/>
    <x v="2"/>
    <n v="0"/>
    <n v="0"/>
    <s v="-"/>
  </r>
  <r>
    <n v="29"/>
    <s v="PlayBox TV"/>
    <n v="2"/>
    <n v="0"/>
    <x v="7"/>
    <x v="93"/>
    <x v="5"/>
    <s v="No Deal"/>
    <n v="0"/>
    <n v="100"/>
    <n v="0"/>
    <n v="0"/>
    <n v="0"/>
    <n v="3.5"/>
    <s v="y"/>
    <s v="30-35"/>
    <n v="2"/>
    <x v="11"/>
    <s v="NA"/>
    <x v="0"/>
    <n v="0"/>
    <n v="0"/>
    <n v="0"/>
    <x v="3"/>
    <n v="0"/>
    <x v="14"/>
    <s v="NA"/>
    <x v="1"/>
    <n v="0"/>
    <x v="2"/>
    <n v="0"/>
    <n v="0"/>
    <s v="-"/>
  </r>
  <r>
    <n v="30"/>
    <s v="Sippline Drinking Shields"/>
    <n v="1"/>
    <n v="0"/>
    <x v="8"/>
    <x v="94"/>
    <x v="5"/>
    <s v="No Deal"/>
    <n v="0"/>
    <n v="75"/>
    <n v="0"/>
    <n v="0"/>
    <n v="0"/>
    <n v="15"/>
    <s v="y"/>
    <s v="30-35"/>
    <n v="1"/>
    <x v="2"/>
    <n v="0"/>
    <x v="0"/>
    <n v="0"/>
    <n v="0"/>
    <n v="0"/>
    <x v="3"/>
    <n v="0"/>
    <x v="1"/>
    <n v="0"/>
    <x v="0"/>
    <s v="NA"/>
    <x v="0"/>
    <s v="NA"/>
    <n v="0"/>
    <s v="-"/>
  </r>
  <r>
    <n v="30"/>
    <s v="Kabaddi Adda"/>
    <n v="2"/>
    <n v="1"/>
    <x v="7"/>
    <x v="95"/>
    <x v="9"/>
    <s v="₹80 lakhs for 6% Equity"/>
    <n v="80"/>
    <n v="80"/>
    <n v="0"/>
    <n v="0"/>
    <n v="6"/>
    <n v="1"/>
    <s v="y"/>
    <s v="35-40"/>
    <n v="3"/>
    <x v="2"/>
    <n v="0"/>
    <x v="13"/>
    <n v="3"/>
    <n v="0"/>
    <n v="0"/>
    <x v="10"/>
    <n v="3"/>
    <x v="1"/>
    <n v="0"/>
    <x v="0"/>
    <s v="NA"/>
    <x v="0"/>
    <s v="NA"/>
    <n v="2"/>
    <s v="Nam-Vin"/>
  </r>
  <r>
    <n v="30"/>
    <s v="Shades of Spring"/>
    <n v="1"/>
    <n v="1"/>
    <x v="2"/>
    <x v="96"/>
    <x v="5"/>
    <s v="No Deal"/>
    <n v="0"/>
    <n v="300"/>
    <n v="0"/>
    <n v="0"/>
    <n v="0"/>
    <n v="1"/>
    <s v="y"/>
    <s v="30-35"/>
    <n v="2"/>
    <x v="2"/>
    <n v="0"/>
    <x v="0"/>
    <n v="0"/>
    <n v="0"/>
    <n v="0"/>
    <x v="3"/>
    <n v="0"/>
    <x v="1"/>
    <n v="0"/>
    <x v="0"/>
    <s v="NA"/>
    <x v="0"/>
    <s v="NA"/>
    <n v="0"/>
    <s v="-"/>
  </r>
  <r>
    <n v="30"/>
    <s v="Scholify"/>
    <n v="1"/>
    <n v="0"/>
    <x v="2"/>
    <x v="97"/>
    <x v="10"/>
    <s v="No Deal"/>
    <n v="0"/>
    <n v="50"/>
    <n v="0"/>
    <n v="0"/>
    <n v="0"/>
    <n v="7.5"/>
    <s v="y"/>
    <s v="25-30"/>
    <n v="1"/>
    <x v="2"/>
    <n v="0"/>
    <x v="0"/>
    <n v="0"/>
    <n v="0"/>
    <n v="0"/>
    <x v="3"/>
    <n v="0"/>
    <x v="1"/>
    <n v="0"/>
    <x v="0"/>
    <s v="NA"/>
    <x v="0"/>
    <s v="NA"/>
    <n v="0"/>
    <s v="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CFC2EA-12BD-489E-B028-811D540C9132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8:C118" firstHeaderRow="0" firstDataRow="1" firstDataCol="1"/>
  <pivotFields count="33">
    <pivotField showAll="0"/>
    <pivotField showAll="0"/>
    <pivotField showAll="0"/>
    <pivotField showAll="0"/>
    <pivotField showAll="0">
      <items count="34">
        <item x="1"/>
        <item x="2"/>
        <item x="3"/>
        <item x="26"/>
        <item x="13"/>
        <item x="5"/>
        <item x="27"/>
        <item x="0"/>
        <item x="31"/>
        <item x="11"/>
        <item x="20"/>
        <item x="9"/>
        <item x="16"/>
        <item x="14"/>
        <item x="4"/>
        <item x="22"/>
        <item x="32"/>
        <item x="10"/>
        <item x="12"/>
        <item x="29"/>
        <item x="19"/>
        <item x="25"/>
        <item x="23"/>
        <item x="7"/>
        <item x="15"/>
        <item x="6"/>
        <item x="30"/>
        <item x="18"/>
        <item x="8"/>
        <item x="24"/>
        <item x="28"/>
        <item x="21"/>
        <item x="17"/>
        <item t="default"/>
      </items>
    </pivotField>
    <pivotField axis="axisRow" showAll="0">
      <items count="99">
        <item x="76"/>
        <item x="90"/>
        <item x="82"/>
        <item x="86"/>
        <item x="71"/>
        <item x="33"/>
        <item x="74"/>
        <item x="45"/>
        <item x="14"/>
        <item x="36"/>
        <item x="4"/>
        <item x="63"/>
        <item x="18"/>
        <item x="44"/>
        <item x="84"/>
        <item x="62"/>
        <item x="66"/>
        <item x="59"/>
        <item x="32"/>
        <item x="61"/>
        <item x="2"/>
        <item x="41"/>
        <item x="7"/>
        <item x="46"/>
        <item x="78"/>
        <item x="12"/>
        <item x="37"/>
        <item x="50"/>
        <item x="28"/>
        <item x="55"/>
        <item x="8"/>
        <item x="30"/>
        <item x="96"/>
        <item x="6"/>
        <item x="70"/>
        <item x="0"/>
        <item x="56"/>
        <item x="19"/>
        <item x="75"/>
        <item x="83"/>
        <item x="40"/>
        <item x="26"/>
        <item x="3"/>
        <item x="48"/>
        <item x="54"/>
        <item x="39"/>
        <item x="77"/>
        <item x="15"/>
        <item x="34"/>
        <item x="87"/>
        <item x="9"/>
        <item x="65"/>
        <item x="91"/>
        <item x="95"/>
        <item x="21"/>
        <item x="20"/>
        <item x="89"/>
        <item x="57"/>
        <item x="47"/>
        <item x="58"/>
        <item x="60"/>
        <item x="27"/>
        <item x="69"/>
        <item x="16"/>
        <item x="35"/>
        <item x="73"/>
        <item x="67"/>
        <item x="88"/>
        <item x="81"/>
        <item x="10"/>
        <item x="17"/>
        <item x="79"/>
        <item x="94"/>
        <item x="52"/>
        <item x="51"/>
        <item x="22"/>
        <item x="1"/>
        <item x="13"/>
        <item x="80"/>
        <item x="43"/>
        <item x="97"/>
        <item x="42"/>
        <item x="23"/>
        <item x="24"/>
        <item x="49"/>
        <item x="92"/>
        <item x="93"/>
        <item x="72"/>
        <item x="29"/>
        <item x="64"/>
        <item x="53"/>
        <item x="68"/>
        <item x="5"/>
        <item x="11"/>
        <item x="85"/>
        <item x="31"/>
        <item x="25"/>
        <item x="38"/>
        <item t="default"/>
      </items>
    </pivotField>
    <pivotField axis="axisRow" dataField="1" showAll="0">
      <items count="12">
        <item x="1"/>
        <item x="2"/>
        <item x="10"/>
        <item x="9"/>
        <item x="7"/>
        <item x="0"/>
        <item x="3"/>
        <item x="5"/>
        <item x="8"/>
        <item x="6"/>
        <item x="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3">
        <item x="2"/>
        <item x="6"/>
        <item x="9"/>
        <item x="1"/>
        <item x="0"/>
        <item x="5"/>
        <item x="10"/>
        <item x="7"/>
        <item x="4"/>
        <item x="3"/>
        <item x="8"/>
        <item x="11"/>
        <item t="default"/>
      </items>
    </pivotField>
    <pivotField showAll="0"/>
    <pivotField showAll="0">
      <items count="15">
        <item x="0"/>
        <item x="5"/>
        <item x="9"/>
        <item x="10"/>
        <item x="6"/>
        <item x="2"/>
        <item x="4"/>
        <item x="8"/>
        <item x="1"/>
        <item x="13"/>
        <item x="3"/>
        <item x="12"/>
        <item x="7"/>
        <item x="11"/>
        <item t="default"/>
      </items>
    </pivotField>
    <pivotField showAll="0"/>
    <pivotField showAll="0"/>
    <pivotField showAll="0"/>
    <pivotField showAll="0">
      <items count="12">
        <item x="3"/>
        <item x="2"/>
        <item x="9"/>
        <item x="7"/>
        <item x="1"/>
        <item x="0"/>
        <item x="6"/>
        <item x="10"/>
        <item x="4"/>
        <item x="5"/>
        <item x="8"/>
        <item t="default"/>
      </items>
    </pivotField>
    <pivotField showAll="0"/>
    <pivotField showAll="0">
      <items count="16">
        <item x="1"/>
        <item x="6"/>
        <item x="7"/>
        <item x="12"/>
        <item x="9"/>
        <item x="8"/>
        <item x="5"/>
        <item x="11"/>
        <item x="0"/>
        <item x="13"/>
        <item x="3"/>
        <item x="4"/>
        <item x="2"/>
        <item x="10"/>
        <item x="14"/>
        <item t="default"/>
      </items>
    </pivotField>
    <pivotField showAll="0"/>
    <pivotField showAll="0">
      <items count="19">
        <item x="1"/>
        <item x="4"/>
        <item x="5"/>
        <item x="10"/>
        <item x="6"/>
        <item x="17"/>
        <item x="12"/>
        <item x="3"/>
        <item x="2"/>
        <item x="14"/>
        <item x="16"/>
        <item x="7"/>
        <item x="13"/>
        <item x="8"/>
        <item x="11"/>
        <item x="9"/>
        <item x="15"/>
        <item x="0"/>
        <item t="default"/>
      </items>
    </pivotField>
    <pivotField showAll="0"/>
    <pivotField showAll="0">
      <items count="7">
        <item x="2"/>
        <item x="5"/>
        <item x="3"/>
        <item x="1"/>
        <item x="4"/>
        <item x="0"/>
        <item t="default"/>
      </items>
    </pivotField>
    <pivotField showAll="0"/>
    <pivotField showAll="0"/>
    <pivotField showAll="0"/>
  </pivotFields>
  <rowFields count="2">
    <field x="6"/>
    <field x="5"/>
  </rowFields>
  <rowItems count="110">
    <i>
      <x/>
    </i>
    <i r="1">
      <x v="25"/>
    </i>
    <i r="1">
      <x v="29"/>
    </i>
    <i r="1">
      <x v="65"/>
    </i>
    <i r="1">
      <x v="76"/>
    </i>
    <i r="1">
      <x v="82"/>
    </i>
    <i r="1">
      <x v="83"/>
    </i>
    <i>
      <x v="1"/>
    </i>
    <i r="1">
      <x v="20"/>
    </i>
    <i r="1">
      <x v="70"/>
    </i>
    <i r="1">
      <x v="93"/>
    </i>
    <i r="1">
      <x v="97"/>
    </i>
    <i>
      <x v="2"/>
    </i>
    <i r="1">
      <x v="80"/>
    </i>
    <i>
      <x v="3"/>
    </i>
    <i r="1">
      <x v="53"/>
    </i>
    <i>
      <x v="4"/>
    </i>
    <i r="1">
      <x v="49"/>
    </i>
    <i>
      <x v="5"/>
    </i>
    <i r="1">
      <x v="4"/>
    </i>
    <i r="1">
      <x v="11"/>
    </i>
    <i r="1">
      <x v="13"/>
    </i>
    <i r="1">
      <x v="14"/>
    </i>
    <i r="1">
      <x v="19"/>
    </i>
    <i r="1">
      <x v="23"/>
    </i>
    <i r="1">
      <x v="24"/>
    </i>
    <i r="1">
      <x v="28"/>
    </i>
    <i r="1">
      <x v="30"/>
    </i>
    <i r="1">
      <x v="31"/>
    </i>
    <i r="1">
      <x v="33"/>
    </i>
    <i r="1">
      <x v="34"/>
    </i>
    <i r="1">
      <x v="35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52"/>
    </i>
    <i r="1">
      <x v="54"/>
    </i>
    <i r="1">
      <x v="55"/>
    </i>
    <i r="1">
      <x v="56"/>
    </i>
    <i r="1">
      <x v="62"/>
    </i>
    <i r="1">
      <x v="67"/>
    </i>
    <i r="1">
      <x v="69"/>
    </i>
    <i r="1">
      <x v="77"/>
    </i>
    <i r="1">
      <x v="78"/>
    </i>
    <i r="1">
      <x v="89"/>
    </i>
    <i r="1">
      <x v="90"/>
    </i>
    <i>
      <x v="6"/>
    </i>
    <i r="1">
      <x v="5"/>
    </i>
    <i r="1">
      <x v="9"/>
    </i>
    <i r="1">
      <x v="10"/>
    </i>
    <i r="1">
      <x v="17"/>
    </i>
    <i r="1">
      <x v="22"/>
    </i>
    <i r="1">
      <x v="37"/>
    </i>
    <i r="1">
      <x v="45"/>
    </i>
    <i r="1">
      <x v="50"/>
    </i>
    <i r="1">
      <x v="61"/>
    </i>
    <i r="1">
      <x v="63"/>
    </i>
    <i r="1">
      <x v="71"/>
    </i>
    <i r="1">
      <x v="75"/>
    </i>
    <i r="1">
      <x v="94"/>
    </i>
    <i>
      <x v="7"/>
    </i>
    <i r="1">
      <x v="6"/>
    </i>
    <i r="1">
      <x v="7"/>
    </i>
    <i r="1">
      <x v="8"/>
    </i>
    <i r="1">
      <x v="12"/>
    </i>
    <i r="1">
      <x v="15"/>
    </i>
    <i r="1">
      <x v="16"/>
    </i>
    <i r="1">
      <x v="18"/>
    </i>
    <i r="1">
      <x v="21"/>
    </i>
    <i r="1">
      <x v="26"/>
    </i>
    <i r="1">
      <x v="32"/>
    </i>
    <i r="1">
      <x v="36"/>
    </i>
    <i r="1">
      <x v="38"/>
    </i>
    <i r="1">
      <x v="39"/>
    </i>
    <i r="1">
      <x v="57"/>
    </i>
    <i r="1">
      <x v="58"/>
    </i>
    <i r="1">
      <x v="60"/>
    </i>
    <i r="1">
      <x v="66"/>
    </i>
    <i r="1">
      <x v="68"/>
    </i>
    <i r="1">
      <x v="72"/>
    </i>
    <i r="1">
      <x v="74"/>
    </i>
    <i r="1">
      <x v="81"/>
    </i>
    <i r="1">
      <x v="84"/>
    </i>
    <i r="1">
      <x v="85"/>
    </i>
    <i r="1">
      <x v="86"/>
    </i>
    <i r="1">
      <x v="87"/>
    </i>
    <i r="1">
      <x v="88"/>
    </i>
    <i r="1">
      <x v="91"/>
    </i>
    <i r="1">
      <x v="95"/>
    </i>
    <i r="1">
      <x v="96"/>
    </i>
    <i>
      <x v="8"/>
    </i>
    <i r="1">
      <x v="1"/>
    </i>
    <i>
      <x v="9"/>
    </i>
    <i r="1">
      <x/>
    </i>
    <i r="1">
      <x v="2"/>
    </i>
    <i r="1">
      <x v="3"/>
    </i>
    <i r="1">
      <x v="27"/>
    </i>
    <i r="1">
      <x v="51"/>
    </i>
    <i r="1">
      <x v="59"/>
    </i>
    <i r="1">
      <x v="64"/>
    </i>
    <i r="1">
      <x v="73"/>
    </i>
    <i r="1">
      <x v="79"/>
    </i>
    <i>
      <x v="10"/>
    </i>
    <i r="1">
      <x v="9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ector" fld="6" subtotal="count" baseField="0" baseItem="0"/>
    <dataField name="Sum of Amount Invested lakh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89E92E-8FF0-4000-86C9-AF7D60E9F3EB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20" firstHeaderRow="0" firstDataRow="1" firstDataCol="1"/>
  <pivotFields count="33">
    <pivotField showAll="0"/>
    <pivotField showAll="0"/>
    <pivotField showAll="0"/>
    <pivotField showAll="0"/>
    <pivotField showAll="0"/>
    <pivotField axis="axisRow" showAll="0">
      <items count="99">
        <item x="76"/>
        <item x="90"/>
        <item x="82"/>
        <item x="86"/>
        <item x="71"/>
        <item x="33"/>
        <item x="74"/>
        <item x="45"/>
        <item x="14"/>
        <item x="36"/>
        <item x="4"/>
        <item x="63"/>
        <item x="18"/>
        <item x="44"/>
        <item x="84"/>
        <item h="1" x="62"/>
        <item x="66"/>
        <item x="59"/>
        <item x="32"/>
        <item x="61"/>
        <item x="2"/>
        <item x="41"/>
        <item x="7"/>
        <item x="46"/>
        <item x="78"/>
        <item x="12"/>
        <item x="37"/>
        <item x="50"/>
        <item x="28"/>
        <item x="55"/>
        <item x="8"/>
        <item x="30"/>
        <item x="96"/>
        <item x="6"/>
        <item x="70"/>
        <item x="0"/>
        <item x="56"/>
        <item x="19"/>
        <item x="75"/>
        <item x="83"/>
        <item x="40"/>
        <item x="26"/>
        <item x="3"/>
        <item x="48"/>
        <item x="54"/>
        <item x="39"/>
        <item x="77"/>
        <item x="15"/>
        <item x="34"/>
        <item x="87"/>
        <item x="9"/>
        <item x="65"/>
        <item x="91"/>
        <item x="95"/>
        <item x="21"/>
        <item x="20"/>
        <item x="89"/>
        <item x="57"/>
        <item x="47"/>
        <item x="58"/>
        <item x="60"/>
        <item x="27"/>
        <item x="69"/>
        <item x="16"/>
        <item x="35"/>
        <item x="73"/>
        <item x="67"/>
        <item x="88"/>
        <item x="81"/>
        <item x="10"/>
        <item x="17"/>
        <item x="79"/>
        <item x="94"/>
        <item x="52"/>
        <item x="51"/>
        <item x="22"/>
        <item x="1"/>
        <item x="13"/>
        <item x="80"/>
        <item x="43"/>
        <item x="97"/>
        <item x="42"/>
        <item x="23"/>
        <item x="24"/>
        <item x="49"/>
        <item x="92"/>
        <item x="93"/>
        <item x="72"/>
        <item x="29"/>
        <item x="64"/>
        <item x="53"/>
        <item x="68"/>
        <item x="5"/>
        <item x="11"/>
        <item x="85"/>
        <item x="31"/>
        <item x="25"/>
        <item x="38"/>
        <item t="default"/>
      </items>
    </pivotField>
    <pivotField axis="axisRow" dataField="1" showAll="0">
      <items count="12">
        <item x="1"/>
        <item x="2"/>
        <item h="1" x="10"/>
        <item x="9"/>
        <item x="7"/>
        <item h="1" x="0"/>
        <item h="1" x="3"/>
        <item h="1" x="5"/>
        <item h="1" x="8"/>
        <item h="1" x="6"/>
        <item h="1" x="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6"/>
    <field x="5"/>
  </rowFields>
  <rowItems count="17">
    <i>
      <x/>
    </i>
    <i r="1">
      <x v="25"/>
    </i>
    <i r="1">
      <x v="29"/>
    </i>
    <i r="1">
      <x v="65"/>
    </i>
    <i r="1">
      <x v="76"/>
    </i>
    <i r="1">
      <x v="82"/>
    </i>
    <i r="1">
      <x v="83"/>
    </i>
    <i>
      <x v="1"/>
    </i>
    <i r="1">
      <x v="20"/>
    </i>
    <i r="1">
      <x v="70"/>
    </i>
    <i r="1">
      <x v="93"/>
    </i>
    <i r="1">
      <x v="97"/>
    </i>
    <i>
      <x v="3"/>
    </i>
    <i r="1">
      <x v="53"/>
    </i>
    <i>
      <x v="4"/>
    </i>
    <i r="1">
      <x v="4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ector" fld="6" subtotal="count" baseField="0" baseItem="0"/>
    <dataField name="Sum of Amount Invested lakhs" fld="8" baseField="0" baseItem="0"/>
  </dataFields>
  <chartFormats count="13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6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6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6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6" count="1" selected="0">
            <x v="10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bing.com/search?q=ANUPAM+MITTAL&amp;form=PRINEN&amp;pc=HCTE&amp;httpsmsn=1&amp;msnews=1&amp;refig=ff0f6587887e4b69b0a6bcecb1c6ba0a&amp;sp=-1&amp;pq=anupam+mittal&amp;sc=8-13&amp;qs=n&amp;sk=&amp;cvid=ff0f6587887e4b69b0a6bcecb1c6ba0a" TargetMode="External"/><Relationship Id="rId1" Type="http://schemas.openxmlformats.org/officeDocument/2006/relationships/hyperlink" Target="https://wikibio.in/ashneer-grover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2609-86A0-44E4-B691-55982BCD7EA5}">
  <dimension ref="E9:P22"/>
  <sheetViews>
    <sheetView topLeftCell="A4" zoomScale="70" zoomScaleNormal="70" workbookViewId="0">
      <selection activeCell="Y9" sqref="Y9"/>
    </sheetView>
  </sheetViews>
  <sheetFormatPr defaultRowHeight="14.5" x14ac:dyDescent="0.35"/>
  <sheetData>
    <row r="9" spans="16:16" ht="61.5" x14ac:dyDescent="1.35">
      <c r="P9" s="53"/>
    </row>
    <row r="22" spans="5:5" ht="61.5" x14ac:dyDescent="1.35">
      <c r="E22" s="54" t="s">
        <v>439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4F893-7745-43E2-859E-6C8CC22917A6}">
  <dimension ref="A2:M104"/>
  <sheetViews>
    <sheetView tabSelected="1" topLeftCell="A10" workbookViewId="0">
      <selection activeCell="J66" sqref="J66"/>
    </sheetView>
  </sheetViews>
  <sheetFormatPr defaultRowHeight="14.5" x14ac:dyDescent="0.35"/>
  <cols>
    <col min="11" max="11" width="15.1796875" bestFit="1" customWidth="1"/>
  </cols>
  <sheetData>
    <row r="2" spans="1:13" ht="36" x14ac:dyDescent="0.8">
      <c r="C2" s="33" t="s">
        <v>372</v>
      </c>
      <c r="D2" s="33"/>
      <c r="E2" s="33"/>
      <c r="F2" s="33"/>
      <c r="G2" s="32"/>
      <c r="H2" s="32"/>
      <c r="I2" s="32"/>
      <c r="J2" s="32"/>
      <c r="K2" s="32"/>
    </row>
    <row r="4" spans="1:13" ht="15.5" x14ac:dyDescent="0.35">
      <c r="K4" s="44" t="s">
        <v>397</v>
      </c>
      <c r="M4" t="s">
        <v>398</v>
      </c>
    </row>
    <row r="6" spans="1:13" x14ac:dyDescent="0.35">
      <c r="A6" t="s">
        <v>373</v>
      </c>
    </row>
    <row r="7" spans="1:13" ht="15.5" x14ac:dyDescent="0.35">
      <c r="F7" s="45" t="s">
        <v>374</v>
      </c>
      <c r="K7" s="43">
        <f>SUM(data!Z2:Z99)*100000</f>
        <v>79993000</v>
      </c>
      <c r="M7">
        <f>SUM(data!AA2:AA99)</f>
        <v>146.28</v>
      </c>
    </row>
    <row r="8" spans="1:13" x14ac:dyDescent="0.35">
      <c r="F8" s="46" t="s">
        <v>387</v>
      </c>
    </row>
    <row r="9" spans="1:13" x14ac:dyDescent="0.35">
      <c r="F9" s="40" t="s">
        <v>388</v>
      </c>
    </row>
    <row r="14" spans="1:13" x14ac:dyDescent="0.35">
      <c r="C14" t="s">
        <v>374</v>
      </c>
    </row>
    <row r="16" spans="1:13" x14ac:dyDescent="0.35">
      <c r="C16" s="34"/>
    </row>
    <row r="20" spans="1:13" x14ac:dyDescent="0.35">
      <c r="A20" t="s">
        <v>375</v>
      </c>
    </row>
    <row r="21" spans="1:13" ht="15.5" x14ac:dyDescent="0.35">
      <c r="F21" t="s">
        <v>400</v>
      </c>
      <c r="K21" s="42">
        <f>SUM(data!AB2:AB99)*100000</f>
        <v>78403000.000000015</v>
      </c>
      <c r="M21">
        <f>SUM(data!AC2:AC99)</f>
        <v>329.36</v>
      </c>
    </row>
    <row r="22" spans="1:13" x14ac:dyDescent="0.35">
      <c r="F22" s="46" t="s">
        <v>389</v>
      </c>
      <c r="K22" s="42"/>
    </row>
    <row r="23" spans="1:13" x14ac:dyDescent="0.35">
      <c r="F23" s="40" t="s">
        <v>390</v>
      </c>
    </row>
    <row r="30" spans="1:13" x14ac:dyDescent="0.35">
      <c r="C30" s="35" t="s">
        <v>377</v>
      </c>
    </row>
    <row r="34" spans="1:13" x14ac:dyDescent="0.35">
      <c r="A34" t="s">
        <v>376</v>
      </c>
    </row>
    <row r="35" spans="1:13" ht="15.5" x14ac:dyDescent="0.35">
      <c r="F35" s="45" t="s">
        <v>378</v>
      </c>
      <c r="K35" s="42">
        <f>SUM(data!T2:T99)*100000</f>
        <v>59579999.999999993</v>
      </c>
      <c r="M35">
        <f>SUM(data!U2:U99)</f>
        <v>100.05</v>
      </c>
    </row>
    <row r="36" spans="1:13" x14ac:dyDescent="0.35">
      <c r="F36" s="46" t="s">
        <v>399</v>
      </c>
    </row>
    <row r="37" spans="1:13" x14ac:dyDescent="0.35">
      <c r="F37" s="40" t="s">
        <v>391</v>
      </c>
    </row>
    <row r="44" spans="1:13" x14ac:dyDescent="0.35">
      <c r="C44" s="36" t="s">
        <v>378</v>
      </c>
    </row>
    <row r="48" spans="1:13" x14ac:dyDescent="0.35">
      <c r="A48" t="s">
        <v>379</v>
      </c>
    </row>
    <row r="49" spans="1:13" ht="15.5" x14ac:dyDescent="0.35">
      <c r="F49" s="45" t="s">
        <v>382</v>
      </c>
      <c r="K49" s="42">
        <f>SUM(data!R2:R99)*100000</f>
        <v>56083000.000000007</v>
      </c>
      <c r="M49">
        <f>SUM(data!S2:S99)</f>
        <v>70.383333333333326</v>
      </c>
    </row>
    <row r="50" spans="1:13" x14ac:dyDescent="0.35">
      <c r="F50" t="s">
        <v>403</v>
      </c>
    </row>
    <row r="51" spans="1:13" x14ac:dyDescent="0.35">
      <c r="F51" s="41" t="s">
        <v>392</v>
      </c>
    </row>
    <row r="58" spans="1:13" x14ac:dyDescent="0.35">
      <c r="C58" s="37" t="s">
        <v>382</v>
      </c>
    </row>
    <row r="63" spans="1:13" x14ac:dyDescent="0.35">
      <c r="A63" t="s">
        <v>381</v>
      </c>
    </row>
    <row r="64" spans="1:13" ht="15.5" x14ac:dyDescent="0.35">
      <c r="F64" s="45" t="s">
        <v>380</v>
      </c>
      <c r="K64" s="42">
        <f>SUM(data!V2:V99)*100000</f>
        <v>51879999.999999993</v>
      </c>
      <c r="M64">
        <f>SUM(data!W2:W99)</f>
        <v>152.76</v>
      </c>
    </row>
    <row r="65" spans="1:13" x14ac:dyDescent="0.35">
      <c r="F65" s="46" t="s">
        <v>402</v>
      </c>
      <c r="K65" s="42"/>
    </row>
    <row r="66" spans="1:13" x14ac:dyDescent="0.35">
      <c r="F66" s="41" t="s">
        <v>393</v>
      </c>
    </row>
    <row r="73" spans="1:13" x14ac:dyDescent="0.35">
      <c r="C73" s="38" t="s">
        <v>380</v>
      </c>
    </row>
    <row r="78" spans="1:13" x14ac:dyDescent="0.35">
      <c r="A78" t="s">
        <v>383</v>
      </c>
    </row>
    <row r="79" spans="1:13" ht="15.5" x14ac:dyDescent="0.35">
      <c r="F79" s="45" t="s">
        <v>384</v>
      </c>
      <c r="K79" s="42">
        <f>SUM(data!X2:X99)*100000</f>
        <v>33826000</v>
      </c>
      <c r="M79">
        <f>SUM(data!Y2:Y99)</f>
        <v>119.03</v>
      </c>
    </row>
    <row r="80" spans="1:13" x14ac:dyDescent="0.35">
      <c r="F80" s="46" t="s">
        <v>401</v>
      </c>
    </row>
    <row r="81" spans="1:13" x14ac:dyDescent="0.35">
      <c r="F81" s="40" t="s">
        <v>394</v>
      </c>
    </row>
    <row r="88" spans="1:13" x14ac:dyDescent="0.35">
      <c r="C88" s="39" t="s">
        <v>384</v>
      </c>
    </row>
    <row r="94" spans="1:13" x14ac:dyDescent="0.35">
      <c r="A94" t="s">
        <v>385</v>
      </c>
    </row>
    <row r="95" spans="1:13" ht="15.5" x14ac:dyDescent="0.35">
      <c r="F95" s="45" t="s">
        <v>386</v>
      </c>
      <c r="K95" s="42">
        <f>SUM(data!AD2:AD99)*100000</f>
        <v>11993000</v>
      </c>
      <c r="M95">
        <f>SUM(data!AE2:AE99)</f>
        <v>40.700000000000003</v>
      </c>
    </row>
    <row r="96" spans="1:13" x14ac:dyDescent="0.35">
      <c r="F96" s="46" t="s">
        <v>395</v>
      </c>
      <c r="K96" s="42"/>
    </row>
    <row r="97" spans="3:6" x14ac:dyDescent="0.35">
      <c r="F97" s="40" t="s">
        <v>396</v>
      </c>
    </row>
    <row r="104" spans="3:6" x14ac:dyDescent="0.35">
      <c r="C104" t="s">
        <v>386</v>
      </c>
    </row>
  </sheetData>
  <hyperlinks>
    <hyperlink ref="F51" r:id="rId1" xr:uid="{0C6E1D74-40DA-49BA-B21C-514F04FEF364}"/>
    <hyperlink ref="F66" r:id="rId2" display="https://www.bing.com/search?q=ANUPAM+MITTAL&amp;form=PRINEN&amp;pc=HCTE&amp;httpsmsn=1&amp;msnews=1&amp;refig=ff0f6587887e4b69b0a6bcecb1c6ba0a&amp;sp=-1&amp;pq=anupam+mittal&amp;sc=8-13&amp;qs=n&amp;sk=&amp;cvid=ff0f6587887e4b69b0a6bcecb1c6ba0a" xr:uid="{7A6AAA3A-A275-4965-B17E-D6DEDFC90678}"/>
  </hyperlink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1DB1B-5AAA-43A1-B11A-01906F0B57F8}">
  <dimension ref="A1:AD45"/>
  <sheetViews>
    <sheetView zoomScale="70" zoomScaleNormal="70" workbookViewId="0">
      <selection activeCell="J18" sqref="J18"/>
    </sheetView>
  </sheetViews>
  <sheetFormatPr defaultRowHeight="14.5" x14ac:dyDescent="0.35"/>
  <cols>
    <col min="1" max="1" width="33" bestFit="1" customWidth="1"/>
    <col min="5" max="5" width="32.08984375" bestFit="1" customWidth="1"/>
    <col min="9" max="9" width="12.6328125" bestFit="1" customWidth="1"/>
    <col min="13" max="13" width="12.453125" bestFit="1" customWidth="1"/>
    <col min="14" max="14" width="13.6328125" customWidth="1"/>
    <col min="21" max="21" width="14" bestFit="1" customWidth="1"/>
    <col min="22" max="22" width="14.81640625" bestFit="1" customWidth="1"/>
    <col min="26" max="26" width="11.81640625" bestFit="1" customWidth="1"/>
  </cols>
  <sheetData>
    <row r="1" spans="1:30" x14ac:dyDescent="0.35">
      <c r="A1" s="56"/>
      <c r="B1" s="56"/>
      <c r="C1" s="56"/>
      <c r="D1" s="59" t="s">
        <v>0</v>
      </c>
      <c r="E1" s="59"/>
      <c r="F1" s="59"/>
      <c r="G1" s="59"/>
      <c r="H1" s="59"/>
      <c r="I1" s="59"/>
      <c r="J1" s="59"/>
      <c r="K1" s="59"/>
      <c r="L1" s="59"/>
      <c r="M1" s="56"/>
      <c r="N1" s="56"/>
      <c r="O1" s="56"/>
      <c r="P1" s="56"/>
      <c r="Q1" s="56"/>
      <c r="R1" s="56"/>
    </row>
    <row r="2" spans="1:30" x14ac:dyDescent="0.35">
      <c r="A2" s="56"/>
      <c r="B2" s="56"/>
      <c r="C2" s="56"/>
      <c r="D2" s="59"/>
      <c r="E2" s="59"/>
      <c r="F2" s="59"/>
      <c r="G2" s="59"/>
      <c r="H2" s="59"/>
      <c r="I2" s="59"/>
      <c r="J2" s="59"/>
      <c r="K2" s="59"/>
      <c r="L2" s="59"/>
      <c r="M2" s="56"/>
      <c r="N2" s="56"/>
      <c r="O2" s="56"/>
      <c r="P2" s="56"/>
      <c r="Q2" s="56"/>
      <c r="R2" s="56"/>
    </row>
    <row r="4" spans="1:30" x14ac:dyDescent="0.35">
      <c r="A4" s="60" t="s">
        <v>9</v>
      </c>
      <c r="B4" s="60"/>
      <c r="E4" s="61" t="s">
        <v>76</v>
      </c>
      <c r="F4" s="61"/>
      <c r="G4" s="61"/>
      <c r="H4" s="61"/>
      <c r="I4" s="61"/>
      <c r="J4" s="61"/>
      <c r="K4" s="61"/>
      <c r="L4" s="61"/>
      <c r="M4" s="61"/>
      <c r="N4" s="61"/>
    </row>
    <row r="5" spans="1:30" ht="36" x14ac:dyDescent="0.8">
      <c r="A5" s="60"/>
      <c r="B5" s="60"/>
      <c r="E5" s="61"/>
      <c r="F5" s="61"/>
      <c r="G5" s="61"/>
      <c r="H5" s="61"/>
      <c r="I5" s="61"/>
      <c r="J5" s="61"/>
      <c r="K5" s="61"/>
      <c r="L5" s="61"/>
      <c r="M5" s="61"/>
      <c r="N5" s="61"/>
      <c r="W5" s="47"/>
      <c r="X5" s="48"/>
      <c r="Y5" s="48"/>
      <c r="Z5" s="48"/>
      <c r="AA5" s="48"/>
      <c r="AB5" s="48"/>
      <c r="AC5" s="48"/>
      <c r="AD5" s="48"/>
    </row>
    <row r="7" spans="1:30" x14ac:dyDescent="0.35">
      <c r="A7" s="24" t="s">
        <v>74</v>
      </c>
      <c r="B7" s="24" t="s">
        <v>75</v>
      </c>
      <c r="C7" s="26"/>
      <c r="E7" s="57" t="s">
        <v>19</v>
      </c>
      <c r="F7" s="57"/>
      <c r="G7" s="2"/>
      <c r="I7" s="58" t="s">
        <v>73</v>
      </c>
      <c r="J7" s="58"/>
      <c r="K7" s="1"/>
      <c r="M7" s="58" t="s">
        <v>28</v>
      </c>
      <c r="N7" s="58"/>
      <c r="V7" s="31"/>
      <c r="W7" s="31"/>
      <c r="Y7" s="31"/>
      <c r="AA7" s="31"/>
      <c r="AB7" s="31" t="s">
        <v>371</v>
      </c>
    </row>
    <row r="8" spans="1:30" x14ac:dyDescent="0.35">
      <c r="A8" s="3" t="s">
        <v>1</v>
      </c>
      <c r="B8" s="4">
        <v>1</v>
      </c>
      <c r="C8" s="25"/>
      <c r="E8" s="4"/>
      <c r="F8" s="4"/>
      <c r="I8" s="4"/>
      <c r="J8" s="4"/>
      <c r="M8" s="4"/>
      <c r="N8" s="4"/>
    </row>
    <row r="9" spans="1:30" x14ac:dyDescent="0.35">
      <c r="A9" s="3" t="s">
        <v>2</v>
      </c>
      <c r="B9" s="4">
        <v>30</v>
      </c>
      <c r="C9" s="25"/>
      <c r="E9" s="5" t="s">
        <v>20</v>
      </c>
      <c r="F9" s="4">
        <f>COUNTIF(data!P2:P99,"30-35")</f>
        <v>32</v>
      </c>
      <c r="I9" s="13" t="s">
        <v>62</v>
      </c>
      <c r="J9" s="4">
        <f>COUNTIF(data!G2:G99,"food")</f>
        <v>32</v>
      </c>
      <c r="M9" s="6" t="s">
        <v>29</v>
      </c>
      <c r="N9" s="4">
        <f>COUNTIF(data!E2:E99,"Delhi")</f>
        <v>14</v>
      </c>
    </row>
    <row r="10" spans="1:30" x14ac:dyDescent="0.35">
      <c r="A10" s="3" t="s">
        <v>3</v>
      </c>
      <c r="B10" s="4">
        <f>COUNT(data!AH2:AH99)</f>
        <v>98</v>
      </c>
      <c r="C10" s="25"/>
      <c r="E10" s="6" t="s">
        <v>21</v>
      </c>
      <c r="F10" s="4">
        <f>COUNTIF(data!P2:P99,"35-40")</f>
        <v>21</v>
      </c>
      <c r="I10" s="14" t="s">
        <v>63</v>
      </c>
      <c r="J10" s="4">
        <f>COUNTIF(data!G2:G99,"Lifestyle")</f>
        <v>29</v>
      </c>
      <c r="M10" s="7" t="s">
        <v>30</v>
      </c>
      <c r="N10" s="4">
        <f>COUNTIF(data!E2:E99,"mumbai")</f>
        <v>14</v>
      </c>
    </row>
    <row r="11" spans="1:30" x14ac:dyDescent="0.35">
      <c r="A11" s="3" t="s">
        <v>4</v>
      </c>
      <c r="B11" s="4">
        <f>COUNTIF(data!O2:O91,"y")</f>
        <v>56</v>
      </c>
      <c r="C11" s="25"/>
      <c r="E11" s="7" t="s">
        <v>22</v>
      </c>
      <c r="F11" s="4">
        <f>COUNTIF(data!P2:P99,"25-30")</f>
        <v>17</v>
      </c>
      <c r="I11" s="15" t="s">
        <v>64</v>
      </c>
      <c r="J11" s="4">
        <f>COUNTIF(data!G2:G99,"health")</f>
        <v>13</v>
      </c>
      <c r="M11" s="19" t="s">
        <v>31</v>
      </c>
      <c r="N11" s="4">
        <f>COUNTIF(data!E2:E99,"pune")</f>
        <v>11</v>
      </c>
    </row>
    <row r="12" spans="1:30" x14ac:dyDescent="0.35">
      <c r="A12" s="3" t="s">
        <v>5</v>
      </c>
      <c r="B12" s="4">
        <f>SUM(data!C2:C99)</f>
        <v>143</v>
      </c>
      <c r="C12" s="25"/>
      <c r="E12" s="8" t="s">
        <v>23</v>
      </c>
      <c r="F12" s="4">
        <f>COUNTIF(data!P2:P99,"20-25")</f>
        <v>13</v>
      </c>
      <c r="I12" s="16" t="s">
        <v>65</v>
      </c>
      <c r="J12" s="4">
        <f>COUNTIF(data!G2:G99,"technology")</f>
        <v>9</v>
      </c>
      <c r="M12" s="9" t="s">
        <v>32</v>
      </c>
      <c r="N12" s="4">
        <f>COUNTIF(data!E2:E99,"Bangalore")</f>
        <v>10</v>
      </c>
    </row>
    <row r="13" spans="1:30" x14ac:dyDescent="0.35">
      <c r="A13" s="3" t="s">
        <v>6</v>
      </c>
      <c r="B13" s="4">
        <f>SUM(data!D2:D99)</f>
        <v>59</v>
      </c>
      <c r="C13" s="25"/>
      <c r="E13" s="9" t="s">
        <v>24</v>
      </c>
      <c r="F13" s="4">
        <f>COUNTIF(data!P2:P99,"40-45")</f>
        <v>6</v>
      </c>
      <c r="I13" s="17" t="s">
        <v>66</v>
      </c>
      <c r="J13" s="4">
        <f>COUNTIF(data!G2:G99,"automobile")</f>
        <v>6</v>
      </c>
      <c r="M13" s="20" t="s">
        <v>33</v>
      </c>
      <c r="N13" s="4">
        <f>COUNTIF(data!E2:E99,"kolkata")</f>
        <v>6</v>
      </c>
    </row>
    <row r="14" spans="1:30" x14ac:dyDescent="0.35">
      <c r="A14" s="3" t="s">
        <v>7</v>
      </c>
      <c r="B14" s="4" t="str">
        <f>B12/B13&amp;":"&amp;"1"</f>
        <v>2.42372881355932:1</v>
      </c>
      <c r="C14" s="25"/>
      <c r="E14" s="10" t="s">
        <v>25</v>
      </c>
      <c r="F14" s="4">
        <f>COUNTIF(data!P2:P99,"45-50")</f>
        <v>5</v>
      </c>
      <c r="I14" s="18" t="s">
        <v>67</v>
      </c>
      <c r="J14" s="4">
        <f>COUNTIF(data!G2:G99,"clothes")</f>
        <v>4</v>
      </c>
      <c r="M14" s="21" t="s">
        <v>34</v>
      </c>
      <c r="N14" s="4">
        <f>COUNTIF(data!E2:E99,"ahemdabad")</f>
        <v>5</v>
      </c>
    </row>
    <row r="15" spans="1:30" x14ac:dyDescent="0.35">
      <c r="A15" s="3" t="s">
        <v>8</v>
      </c>
      <c r="B15" s="4">
        <f>SUM(data!I2:I99)</f>
        <v>3422</v>
      </c>
      <c r="C15" s="25"/>
      <c r="E15" s="11" t="s">
        <v>26</v>
      </c>
      <c r="F15" s="4">
        <f>COUNTIF(data!P2:P99,"50-55")</f>
        <v>3</v>
      </c>
      <c r="I15" s="6" t="s">
        <v>68</v>
      </c>
      <c r="J15" s="4">
        <f>COUNTIF(data!G2:G99,"finance")</f>
        <v>1</v>
      </c>
      <c r="M15" s="7" t="s">
        <v>35</v>
      </c>
      <c r="N15" s="4">
        <f>COUNTIF(data!E2:E99,"hyderabad")</f>
        <v>4</v>
      </c>
    </row>
    <row r="16" spans="1:30" x14ac:dyDescent="0.35">
      <c r="A16" s="3" t="s">
        <v>370</v>
      </c>
      <c r="B16" s="4">
        <f>AVERAGE(data!M2:M99)</f>
        <v>9.643673469387755</v>
      </c>
      <c r="C16" s="25"/>
      <c r="E16" s="12" t="s">
        <v>27</v>
      </c>
      <c r="F16" s="4">
        <f>COUNTIF(data!P2:P99,"40-45")</f>
        <v>6</v>
      </c>
      <c r="I16" s="8" t="s">
        <v>69</v>
      </c>
      <c r="J16" s="4">
        <f>COUNTIF(data!G2:G99,"safety")</f>
        <v>1</v>
      </c>
      <c r="M16" s="17" t="s">
        <v>36</v>
      </c>
      <c r="N16" s="4">
        <f>COUNTIF(data!E2:E99,"gurgaon")</f>
        <v>3</v>
      </c>
      <c r="Z16" s="31" t="s">
        <v>371</v>
      </c>
    </row>
    <row r="17" spans="1:26" x14ac:dyDescent="0.35">
      <c r="A17" s="3" t="s">
        <v>17</v>
      </c>
      <c r="B17" s="4">
        <f>MAX(data!I2:I99)</f>
        <v>150</v>
      </c>
      <c r="C17" s="25"/>
      <c r="I17" s="6" t="s">
        <v>70</v>
      </c>
      <c r="J17" s="4">
        <f>COUNTIF(data!G2:G99,"education")</f>
        <v>1</v>
      </c>
      <c r="M17" s="20" t="s">
        <v>37</v>
      </c>
      <c r="N17" s="4">
        <f>COUNTIF(data!E2:E99,"gujarat")</f>
        <v>3</v>
      </c>
      <c r="Z17" s="31" t="s">
        <v>371</v>
      </c>
    </row>
    <row r="18" spans="1:26" x14ac:dyDescent="0.35">
      <c r="A18" s="3" t="s">
        <v>18</v>
      </c>
      <c r="B18" s="4">
        <f>MAX(data!M2:M99)</f>
        <v>75</v>
      </c>
      <c r="C18" s="25"/>
      <c r="I18" s="5" t="s">
        <v>71</v>
      </c>
      <c r="J18" s="4">
        <f>COUNTIF(data!G2:G99,"tourism")</f>
        <v>1</v>
      </c>
      <c r="M18" s="14" t="s">
        <v>38</v>
      </c>
      <c r="N18" s="4">
        <f>COUNTIF(data!E2:E99,"kerela")</f>
        <v>2</v>
      </c>
      <c r="Z18" s="31" t="s">
        <v>371</v>
      </c>
    </row>
    <row r="19" spans="1:26" x14ac:dyDescent="0.35">
      <c r="A19" s="3" t="s">
        <v>10</v>
      </c>
      <c r="B19" s="4">
        <f>COUNTIF(data!D2:D99,"&lt;1")</f>
        <v>46</v>
      </c>
      <c r="C19" s="25"/>
      <c r="I19" s="18" t="s">
        <v>72</v>
      </c>
      <c r="J19" s="4">
        <f>COUNTIF(data!G2:G99,"entertainment")</f>
        <v>1</v>
      </c>
      <c r="M19" s="22" t="s">
        <v>39</v>
      </c>
      <c r="N19" s="4">
        <f>COUNTIF(data!E2:E99,"noida")</f>
        <v>2</v>
      </c>
      <c r="Z19" s="31" t="s">
        <v>371</v>
      </c>
    </row>
    <row r="20" spans="1:26" x14ac:dyDescent="0.35">
      <c r="A20" s="3" t="s">
        <v>11</v>
      </c>
      <c r="B20" s="4">
        <f>COUNTIFS(data!D2:D99,"&lt;1",data!O2:O99,"y")</f>
        <v>32</v>
      </c>
      <c r="C20" s="25"/>
      <c r="M20" s="9" t="s">
        <v>40</v>
      </c>
      <c r="N20" s="4">
        <f>COUNTIF(data!E2:E99,"jaipur")</f>
        <v>2</v>
      </c>
      <c r="Z20" s="31" t="s">
        <v>371</v>
      </c>
    </row>
    <row r="21" spans="1:26" x14ac:dyDescent="0.35">
      <c r="A21" s="3" t="s">
        <v>12</v>
      </c>
      <c r="B21" s="4">
        <f>(AVERAGE(data!Q2:Q99))</f>
        <v>2.0612244897959182</v>
      </c>
      <c r="C21" s="25"/>
      <c r="M21" s="23" t="s">
        <v>41</v>
      </c>
      <c r="N21" s="4">
        <f>COUNTIF(data!E2:E99,"jammu")</f>
        <v>2</v>
      </c>
      <c r="Z21" s="31" t="s">
        <v>371</v>
      </c>
    </row>
    <row r="22" spans="1:26" x14ac:dyDescent="0.35">
      <c r="A22" s="3" t="s">
        <v>13</v>
      </c>
      <c r="B22" s="4">
        <f>SUM(data!K2:K99)</f>
        <v>301</v>
      </c>
      <c r="C22" s="25"/>
      <c r="M22" s="23" t="s">
        <v>42</v>
      </c>
      <c r="N22" s="4">
        <f>COUNTIF(data!E2:E99,"indore")</f>
        <v>1</v>
      </c>
      <c r="Z22" s="31" t="s">
        <v>371</v>
      </c>
    </row>
    <row r="23" spans="1:26" x14ac:dyDescent="0.35">
      <c r="A23" s="3" t="s">
        <v>14</v>
      </c>
      <c r="B23" s="4">
        <f>SUM(data!J2:J99)</f>
        <v>36273</v>
      </c>
      <c r="C23" s="25"/>
      <c r="M23" s="23" t="s">
        <v>43</v>
      </c>
      <c r="N23" s="4">
        <f>COUNTIF(data!E2:E99,"nagpur")</f>
        <v>1</v>
      </c>
      <c r="Z23" s="31" t="s">
        <v>371</v>
      </c>
    </row>
    <row r="24" spans="1:26" x14ac:dyDescent="0.35">
      <c r="A24" s="3" t="s">
        <v>15</v>
      </c>
      <c r="B24" s="4">
        <f>AVERAGE(data!N2:N99)</f>
        <v>5.2091836734693882</v>
      </c>
      <c r="C24" s="25"/>
      <c r="M24" s="23" t="s">
        <v>44</v>
      </c>
      <c r="N24" s="4">
        <f>COUNTIF(data!E2:E99,"dehradun")</f>
        <v>1</v>
      </c>
      <c r="Z24" s="31" t="s">
        <v>371</v>
      </c>
    </row>
    <row r="25" spans="1:26" x14ac:dyDescent="0.35">
      <c r="A25" s="3" t="s">
        <v>16</v>
      </c>
      <c r="B25" s="4">
        <v>60.035087719298197</v>
      </c>
      <c r="C25" s="25"/>
      <c r="M25" s="23" t="s">
        <v>46</v>
      </c>
      <c r="N25" s="4">
        <f>COUNTIF(data!E2:E99,"darbhanga")</f>
        <v>1</v>
      </c>
      <c r="Z25" s="31" t="s">
        <v>371</v>
      </c>
    </row>
    <row r="26" spans="1:26" x14ac:dyDescent="0.35">
      <c r="C26" s="25"/>
      <c r="M26" s="23" t="s">
        <v>47</v>
      </c>
      <c r="N26" s="4">
        <f>COUNTIF(data!E2:E99,"valsad")</f>
        <v>1</v>
      </c>
      <c r="Z26" s="31" t="s">
        <v>371</v>
      </c>
    </row>
    <row r="27" spans="1:26" x14ac:dyDescent="0.35">
      <c r="M27" s="23" t="s">
        <v>48</v>
      </c>
      <c r="N27" s="4">
        <f>COUNTIF(data!E2:E99,"surat")</f>
        <v>1</v>
      </c>
      <c r="Z27" s="31" t="s">
        <v>371</v>
      </c>
    </row>
    <row r="28" spans="1:26" x14ac:dyDescent="0.35">
      <c r="M28" s="23" t="s">
        <v>49</v>
      </c>
      <c r="N28" s="4">
        <f>COUNTIF(data!E2:E99,"baramati")</f>
        <v>1</v>
      </c>
      <c r="Z28" s="31" t="s">
        <v>371</v>
      </c>
    </row>
    <row r="29" spans="1:26" x14ac:dyDescent="0.35">
      <c r="B29" s="48"/>
      <c r="C29" s="55"/>
      <c r="D29" s="55"/>
      <c r="E29" s="55"/>
      <c r="F29" s="55"/>
      <c r="G29" s="55"/>
      <c r="M29" s="23" t="s">
        <v>50</v>
      </c>
      <c r="N29" s="4">
        <f>COUNTIF(data!E2:E99,"chennai")</f>
        <v>1</v>
      </c>
      <c r="Z29" s="31" t="s">
        <v>371</v>
      </c>
    </row>
    <row r="30" spans="1:26" x14ac:dyDescent="0.35">
      <c r="B30" s="48"/>
      <c r="C30" s="55"/>
      <c r="D30" s="55"/>
      <c r="E30" s="55"/>
      <c r="F30" s="55"/>
      <c r="G30" s="55"/>
      <c r="M30" s="23" t="s">
        <v>51</v>
      </c>
      <c r="N30" s="4">
        <f>COUNTIF(data!E2:E99,"goa")</f>
        <v>1</v>
      </c>
      <c r="Z30" s="31" t="s">
        <v>371</v>
      </c>
    </row>
    <row r="31" spans="1:26" x14ac:dyDescent="0.35">
      <c r="B31" s="48"/>
      <c r="C31" s="48"/>
      <c r="D31" s="48"/>
      <c r="E31" s="48"/>
      <c r="F31" s="48"/>
      <c r="G31" s="48"/>
      <c r="M31" s="23" t="s">
        <v>52</v>
      </c>
      <c r="N31" s="4">
        <f>COUNTIF(data!E2:E99,"nashik")</f>
        <v>1</v>
      </c>
      <c r="Z31" s="31" t="s">
        <v>371</v>
      </c>
    </row>
    <row r="32" spans="1:26" x14ac:dyDescent="0.35">
      <c r="M32" s="23" t="s">
        <v>53</v>
      </c>
      <c r="N32" s="4">
        <f>COUNTIF(data!E2:E99,"bombay")</f>
        <v>1</v>
      </c>
      <c r="Z32" s="31" t="s">
        <v>371</v>
      </c>
    </row>
    <row r="33" spans="13:26" x14ac:dyDescent="0.35">
      <c r="M33" s="23" t="s">
        <v>54</v>
      </c>
      <c r="N33" s="4">
        <f>COUNTIF(data!E2:E99,"panipat")</f>
        <v>1</v>
      </c>
      <c r="Z33" s="31" t="s">
        <v>371</v>
      </c>
    </row>
    <row r="34" spans="13:26" x14ac:dyDescent="0.35">
      <c r="M34" s="23" t="s">
        <v>55</v>
      </c>
      <c r="N34" s="4">
        <f>COUNTIF(data!E2:E99,"lucknow")</f>
        <v>1</v>
      </c>
      <c r="Z34" s="31" t="s">
        <v>371</v>
      </c>
    </row>
    <row r="35" spans="13:26" x14ac:dyDescent="0.35">
      <c r="M35" s="23" t="s">
        <v>56</v>
      </c>
      <c r="N35" s="4">
        <f>COUNTIF(data!E2:E99,"secundarabad")</f>
        <v>1</v>
      </c>
      <c r="Z35" s="31" t="s">
        <v>371</v>
      </c>
    </row>
    <row r="36" spans="13:26" x14ac:dyDescent="0.35">
      <c r="M36" s="23" t="s">
        <v>57</v>
      </c>
      <c r="N36" s="4">
        <f>COUNTIF(data!E2:E99,"ludhiana")</f>
        <v>1</v>
      </c>
      <c r="Z36" s="31" t="s">
        <v>371</v>
      </c>
    </row>
    <row r="37" spans="13:26" x14ac:dyDescent="0.35">
      <c r="M37" s="23" t="s">
        <v>58</v>
      </c>
      <c r="N37" s="4">
        <f>COUNTIF(data!E2:E99,"unknown")</f>
        <v>1</v>
      </c>
      <c r="Z37" s="31" t="s">
        <v>371</v>
      </c>
    </row>
    <row r="38" spans="13:26" ht="14.5" customHeight="1" x14ac:dyDescent="0.35">
      <c r="M38" s="23" t="s">
        <v>59</v>
      </c>
      <c r="N38" s="4">
        <f>COUNTIF(data!E2:E99,"malegaon")</f>
        <v>1</v>
      </c>
      <c r="Z38" s="31" t="s">
        <v>371</v>
      </c>
    </row>
    <row r="39" spans="13:26" ht="14.5" customHeight="1" x14ac:dyDescent="0.35">
      <c r="M39" s="23" t="s">
        <v>60</v>
      </c>
      <c r="N39" s="4">
        <f>COUNTIF(data!E2:E99,"mathura")</f>
        <v>1</v>
      </c>
      <c r="Z39" s="31" t="s">
        <v>371</v>
      </c>
    </row>
    <row r="40" spans="13:26" x14ac:dyDescent="0.35">
      <c r="M40" s="23" t="s">
        <v>61</v>
      </c>
      <c r="N40" s="4">
        <f>COUNTIF(data!E2:E99,"kaithal")</f>
        <v>1</v>
      </c>
      <c r="Z40" s="31" t="s">
        <v>371</v>
      </c>
    </row>
    <row r="41" spans="13:26" x14ac:dyDescent="0.35">
      <c r="Z41" s="31" t="s">
        <v>371</v>
      </c>
    </row>
    <row r="42" spans="13:26" x14ac:dyDescent="0.35">
      <c r="Z42" s="31" t="s">
        <v>371</v>
      </c>
    </row>
    <row r="43" spans="13:26" x14ac:dyDescent="0.35">
      <c r="Z43" s="31" t="s">
        <v>371</v>
      </c>
    </row>
    <row r="44" spans="13:26" x14ac:dyDescent="0.35">
      <c r="Z44" s="31" t="s">
        <v>371</v>
      </c>
    </row>
    <row r="45" spans="13:26" x14ac:dyDescent="0.35">
      <c r="Z45" s="31" t="s">
        <v>371</v>
      </c>
    </row>
  </sheetData>
  <mergeCells count="9">
    <mergeCell ref="C29:G30"/>
    <mergeCell ref="A1:C2"/>
    <mergeCell ref="M1:R2"/>
    <mergeCell ref="E7:F7"/>
    <mergeCell ref="M7:N7"/>
    <mergeCell ref="I7:J7"/>
    <mergeCell ref="D1:L2"/>
    <mergeCell ref="A4:B5"/>
    <mergeCell ref="E4:N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C6F37-EED8-416F-93C9-DACE068E6BC4}">
  <dimension ref="A3:F118"/>
  <sheetViews>
    <sheetView workbookViewId="0">
      <selection activeCell="F8" sqref="F8"/>
    </sheetView>
  </sheetViews>
  <sheetFormatPr defaultRowHeight="14.5" x14ac:dyDescent="0.35"/>
  <cols>
    <col min="1" max="1" width="45.7265625" bestFit="1" customWidth="1"/>
    <col min="2" max="2" width="13.90625" bestFit="1" customWidth="1"/>
    <col min="3" max="3" width="26.7265625" bestFit="1" customWidth="1"/>
    <col min="4" max="4" width="8.453125" bestFit="1" customWidth="1"/>
    <col min="5" max="6" width="7.6328125" bestFit="1" customWidth="1"/>
    <col min="7" max="7" width="10" bestFit="1" customWidth="1"/>
    <col min="8" max="8" width="9.1796875" bestFit="1" customWidth="1"/>
    <col min="9" max="9" width="5.08984375" bestFit="1" customWidth="1"/>
    <col min="10" max="10" width="4.1796875" bestFit="1" customWidth="1"/>
    <col min="11" max="11" width="7.1796875" bestFit="1" customWidth="1"/>
    <col min="12" max="12" width="8" bestFit="1" customWidth="1"/>
    <col min="13" max="13" width="10" bestFit="1" customWidth="1"/>
    <col min="14" max="14" width="6.36328125" bestFit="1" customWidth="1"/>
    <col min="15" max="15" width="5.81640625" bestFit="1" customWidth="1"/>
    <col min="16" max="16" width="5" bestFit="1" customWidth="1"/>
    <col min="17" max="17" width="6.81640625" bestFit="1" customWidth="1"/>
    <col min="18" max="18" width="6.6328125" bestFit="1" customWidth="1"/>
    <col min="19" max="19" width="6.08984375" bestFit="1" customWidth="1"/>
    <col min="20" max="20" width="7.1796875" bestFit="1" customWidth="1"/>
    <col min="21" max="21" width="8.1796875" bestFit="1" customWidth="1"/>
    <col min="22" max="22" width="8.453125" bestFit="1" customWidth="1"/>
    <col min="23" max="23" width="9.08984375" bestFit="1" customWidth="1"/>
    <col min="24" max="24" width="8.1796875" bestFit="1" customWidth="1"/>
    <col min="25" max="25" width="7.81640625" bestFit="1" customWidth="1"/>
    <col min="26" max="26" width="6.90625" bestFit="1" customWidth="1"/>
    <col min="27" max="27" width="6.453125" bestFit="1" customWidth="1"/>
    <col min="28" max="28" width="5.7265625" bestFit="1" customWidth="1"/>
    <col min="29" max="29" width="7.26953125" bestFit="1" customWidth="1"/>
    <col min="30" max="30" width="5.08984375" bestFit="1" customWidth="1"/>
    <col min="31" max="31" width="12.7265625" bestFit="1" customWidth="1"/>
    <col min="32" max="32" width="5.26953125" bestFit="1" customWidth="1"/>
    <col min="33" max="33" width="8.90625" bestFit="1" customWidth="1"/>
    <col min="34" max="34" width="6.36328125" bestFit="1" customWidth="1"/>
    <col min="35" max="35" width="26.7265625" bestFit="1" customWidth="1"/>
    <col min="36" max="36" width="9.1796875" bestFit="1" customWidth="1"/>
    <col min="37" max="37" width="8.453125" bestFit="1" customWidth="1"/>
    <col min="38" max="39" width="7.6328125" bestFit="1" customWidth="1"/>
    <col min="40" max="40" width="10" bestFit="1" customWidth="1"/>
    <col min="41" max="41" width="9.1796875" bestFit="1" customWidth="1"/>
    <col min="42" max="42" width="5.08984375" bestFit="1" customWidth="1"/>
    <col min="43" max="43" width="4.1796875" bestFit="1" customWidth="1"/>
    <col min="44" max="44" width="7.1796875" bestFit="1" customWidth="1"/>
    <col min="45" max="45" width="8" bestFit="1" customWidth="1"/>
    <col min="46" max="46" width="10" bestFit="1" customWidth="1"/>
    <col min="47" max="47" width="6.36328125" bestFit="1" customWidth="1"/>
    <col min="48" max="48" width="5.81640625" bestFit="1" customWidth="1"/>
    <col min="49" max="49" width="5" bestFit="1" customWidth="1"/>
    <col min="50" max="50" width="6.81640625" bestFit="1" customWidth="1"/>
    <col min="51" max="51" width="6.6328125" bestFit="1" customWidth="1"/>
    <col min="52" max="52" width="6.08984375" bestFit="1" customWidth="1"/>
    <col min="53" max="53" width="7.1796875" bestFit="1" customWidth="1"/>
    <col min="54" max="54" width="8.1796875" bestFit="1" customWidth="1"/>
    <col min="55" max="55" width="8.453125" bestFit="1" customWidth="1"/>
    <col min="56" max="56" width="9.08984375" bestFit="1" customWidth="1"/>
    <col min="57" max="57" width="8.1796875" bestFit="1" customWidth="1"/>
    <col min="58" max="58" width="7.81640625" bestFit="1" customWidth="1"/>
    <col min="59" max="59" width="6.90625" bestFit="1" customWidth="1"/>
    <col min="60" max="60" width="6.453125" bestFit="1" customWidth="1"/>
    <col min="61" max="61" width="5.7265625" bestFit="1" customWidth="1"/>
    <col min="62" max="62" width="7.26953125" bestFit="1" customWidth="1"/>
    <col min="63" max="63" width="5.08984375" bestFit="1" customWidth="1"/>
    <col min="64" max="64" width="12.7265625" bestFit="1" customWidth="1"/>
    <col min="65" max="65" width="5.26953125" bestFit="1" customWidth="1"/>
    <col min="66" max="66" width="8.90625" bestFit="1" customWidth="1"/>
    <col min="67" max="67" width="6.36328125" bestFit="1" customWidth="1"/>
    <col min="68" max="68" width="18.7265625" bestFit="1" customWidth="1"/>
    <col min="69" max="69" width="31.54296875" bestFit="1" customWidth="1"/>
  </cols>
  <sheetData>
    <row r="3" spans="1:6" ht="28.5" x14ac:dyDescent="0.65">
      <c r="B3" s="29" t="s">
        <v>410</v>
      </c>
      <c r="C3" s="29"/>
      <c r="D3" s="29"/>
      <c r="E3" s="29"/>
      <c r="F3" s="29"/>
    </row>
    <row r="8" spans="1:6" x14ac:dyDescent="0.35">
      <c r="A8" s="50" t="s">
        <v>407</v>
      </c>
      <c r="B8" t="s">
        <v>406</v>
      </c>
      <c r="C8" t="s">
        <v>409</v>
      </c>
    </row>
    <row r="9" spans="1:6" x14ac:dyDescent="0.35">
      <c r="A9" s="51" t="s">
        <v>66</v>
      </c>
      <c r="B9" s="49">
        <v>6</v>
      </c>
      <c r="C9" s="49">
        <v>221</v>
      </c>
    </row>
    <row r="10" spans="1:6" x14ac:dyDescent="0.35">
      <c r="A10" s="52" t="s">
        <v>149</v>
      </c>
      <c r="B10" s="49">
        <v>1</v>
      </c>
      <c r="C10" s="49">
        <v>100</v>
      </c>
    </row>
    <row r="11" spans="1:6" x14ac:dyDescent="0.35">
      <c r="A11" s="52" t="s">
        <v>261</v>
      </c>
      <c r="B11" s="49">
        <v>1</v>
      </c>
      <c r="C11" s="49">
        <v>1</v>
      </c>
    </row>
    <row r="12" spans="1:6" x14ac:dyDescent="0.35">
      <c r="A12" s="52" t="s">
        <v>306</v>
      </c>
      <c r="B12" s="49">
        <v>1</v>
      </c>
      <c r="C12" s="49">
        <v>0</v>
      </c>
    </row>
    <row r="13" spans="1:6" x14ac:dyDescent="0.35">
      <c r="A13" s="52" t="s">
        <v>119</v>
      </c>
      <c r="B13" s="49">
        <v>1</v>
      </c>
      <c r="C13" s="49">
        <v>40</v>
      </c>
    </row>
    <row r="14" spans="1:6" x14ac:dyDescent="0.35">
      <c r="A14" s="52" t="s">
        <v>177</v>
      </c>
      <c r="B14" s="49">
        <v>1</v>
      </c>
      <c r="C14" s="49">
        <v>30</v>
      </c>
    </row>
    <row r="15" spans="1:6" x14ac:dyDescent="0.35">
      <c r="A15" s="52" t="s">
        <v>180</v>
      </c>
      <c r="B15" s="49">
        <v>1</v>
      </c>
      <c r="C15" s="49">
        <v>50</v>
      </c>
    </row>
    <row r="16" spans="1:6" x14ac:dyDescent="0.35">
      <c r="A16" s="51" t="s">
        <v>67</v>
      </c>
      <c r="B16" s="49">
        <v>4</v>
      </c>
      <c r="C16" s="49">
        <v>200</v>
      </c>
    </row>
    <row r="17" spans="1:3" x14ac:dyDescent="0.35">
      <c r="A17" s="52" t="s">
        <v>122</v>
      </c>
      <c r="B17" s="49">
        <v>1</v>
      </c>
      <c r="C17" s="49">
        <v>25</v>
      </c>
    </row>
    <row r="18" spans="1:3" x14ac:dyDescent="0.35">
      <c r="A18" s="52" t="s">
        <v>162</v>
      </c>
      <c r="B18" s="49">
        <v>1</v>
      </c>
      <c r="C18" s="49">
        <v>0</v>
      </c>
    </row>
    <row r="19" spans="1:3" x14ac:dyDescent="0.35">
      <c r="A19" s="52" t="s">
        <v>146</v>
      </c>
      <c r="B19" s="49">
        <v>1</v>
      </c>
      <c r="C19" s="49">
        <v>75</v>
      </c>
    </row>
    <row r="20" spans="1:3" x14ac:dyDescent="0.35">
      <c r="A20" s="52" t="s">
        <v>217</v>
      </c>
      <c r="B20" s="49">
        <v>1</v>
      </c>
      <c r="C20" s="49">
        <v>100</v>
      </c>
    </row>
    <row r="21" spans="1:3" x14ac:dyDescent="0.35">
      <c r="A21" s="51" t="s">
        <v>70</v>
      </c>
      <c r="B21" s="49">
        <v>1</v>
      </c>
      <c r="C21" s="49">
        <v>0</v>
      </c>
    </row>
    <row r="22" spans="1:3" x14ac:dyDescent="0.35">
      <c r="A22" s="52" t="s">
        <v>366</v>
      </c>
      <c r="B22" s="49">
        <v>1</v>
      </c>
      <c r="C22" s="49">
        <v>0</v>
      </c>
    </row>
    <row r="23" spans="1:3" x14ac:dyDescent="0.35">
      <c r="A23" s="51" t="s">
        <v>72</v>
      </c>
      <c r="B23" s="49">
        <v>1</v>
      </c>
      <c r="C23" s="49">
        <v>80</v>
      </c>
    </row>
    <row r="24" spans="1:3" x14ac:dyDescent="0.35">
      <c r="A24" s="52" t="s">
        <v>361</v>
      </c>
      <c r="B24" s="49">
        <v>1</v>
      </c>
      <c r="C24" s="49">
        <v>80</v>
      </c>
    </row>
    <row r="25" spans="1:3" x14ac:dyDescent="0.35">
      <c r="A25" s="51" t="s">
        <v>68</v>
      </c>
      <c r="B25" s="49">
        <v>1</v>
      </c>
      <c r="C25" s="49">
        <v>100</v>
      </c>
    </row>
    <row r="26" spans="1:3" x14ac:dyDescent="0.35">
      <c r="A26" s="52" t="s">
        <v>342</v>
      </c>
      <c r="B26" s="49">
        <v>1</v>
      </c>
      <c r="C26" s="49">
        <v>100</v>
      </c>
    </row>
    <row r="27" spans="1:3" x14ac:dyDescent="0.35">
      <c r="A27" s="51" t="s">
        <v>62</v>
      </c>
      <c r="B27" s="49">
        <v>32</v>
      </c>
      <c r="C27" s="49">
        <v>910</v>
      </c>
    </row>
    <row r="28" spans="1:3" x14ac:dyDescent="0.35">
      <c r="A28" s="52" t="s">
        <v>301</v>
      </c>
      <c r="B28" s="49">
        <v>1</v>
      </c>
      <c r="C28" s="49">
        <v>50</v>
      </c>
    </row>
    <row r="29" spans="1:3" x14ac:dyDescent="0.35">
      <c r="A29" s="52" t="s">
        <v>280</v>
      </c>
      <c r="B29" s="49">
        <v>1</v>
      </c>
      <c r="C29" s="49">
        <v>100</v>
      </c>
    </row>
    <row r="30" spans="1:3" x14ac:dyDescent="0.35">
      <c r="A30" s="52" t="s">
        <v>233</v>
      </c>
      <c r="B30" s="49">
        <v>1</v>
      </c>
      <c r="C30" s="49">
        <v>5</v>
      </c>
    </row>
    <row r="31" spans="1:3" x14ac:dyDescent="0.35">
      <c r="A31" s="52" t="s">
        <v>334</v>
      </c>
      <c r="B31" s="49">
        <v>1</v>
      </c>
      <c r="C31" s="49">
        <v>0</v>
      </c>
    </row>
    <row r="32" spans="1:3" x14ac:dyDescent="0.35">
      <c r="A32" s="52" t="s">
        <v>275</v>
      </c>
      <c r="B32" s="49">
        <v>1</v>
      </c>
      <c r="C32" s="49">
        <v>40</v>
      </c>
    </row>
    <row r="33" spans="1:3" x14ac:dyDescent="0.35">
      <c r="A33" s="52" t="s">
        <v>239</v>
      </c>
      <c r="B33" s="49">
        <v>1</v>
      </c>
      <c r="C33" s="49">
        <v>0</v>
      </c>
    </row>
    <row r="34" spans="1:3" x14ac:dyDescent="0.35">
      <c r="A34" s="52" t="s">
        <v>318</v>
      </c>
      <c r="B34" s="49">
        <v>1</v>
      </c>
      <c r="C34" s="49">
        <v>50</v>
      </c>
    </row>
    <row r="35" spans="1:3" x14ac:dyDescent="0.35">
      <c r="A35" s="52" t="s">
        <v>191</v>
      </c>
      <c r="B35" s="49">
        <v>1</v>
      </c>
      <c r="C35" s="49">
        <v>30</v>
      </c>
    </row>
    <row r="36" spans="1:3" x14ac:dyDescent="0.35">
      <c r="A36" s="52" t="s">
        <v>138</v>
      </c>
      <c r="B36" s="49">
        <v>1</v>
      </c>
      <c r="C36" s="49">
        <v>20</v>
      </c>
    </row>
    <row r="37" spans="1:3" x14ac:dyDescent="0.35">
      <c r="A37" s="52" t="s">
        <v>197</v>
      </c>
      <c r="B37" s="49">
        <v>1</v>
      </c>
      <c r="C37" s="49">
        <v>0</v>
      </c>
    </row>
    <row r="38" spans="1:3" x14ac:dyDescent="0.35">
      <c r="A38" s="52" t="s">
        <v>133</v>
      </c>
      <c r="B38" s="49">
        <v>1</v>
      </c>
      <c r="C38" s="49">
        <v>0</v>
      </c>
    </row>
    <row r="39" spans="1:3" x14ac:dyDescent="0.35">
      <c r="A39" s="52" t="s">
        <v>299</v>
      </c>
      <c r="B39" s="49">
        <v>1</v>
      </c>
      <c r="C39" s="49">
        <v>0</v>
      </c>
    </row>
    <row r="40" spans="1:3" x14ac:dyDescent="0.35">
      <c r="A40" s="52" t="s">
        <v>115</v>
      </c>
      <c r="B40" s="49">
        <v>1</v>
      </c>
      <c r="C40" s="49">
        <v>75</v>
      </c>
    </row>
    <row r="41" spans="1:3" x14ac:dyDescent="0.35">
      <c r="A41" s="52" t="s">
        <v>223</v>
      </c>
      <c r="B41" s="49">
        <v>1</v>
      </c>
      <c r="C41" s="49">
        <v>0</v>
      </c>
    </row>
    <row r="42" spans="1:3" x14ac:dyDescent="0.35">
      <c r="A42" s="52" t="s">
        <v>186</v>
      </c>
      <c r="B42" s="49">
        <v>1</v>
      </c>
      <c r="C42" s="49">
        <v>0</v>
      </c>
    </row>
    <row r="43" spans="1:3" x14ac:dyDescent="0.35">
      <c r="A43" s="52" t="s">
        <v>125</v>
      </c>
      <c r="B43" s="49">
        <v>1</v>
      </c>
      <c r="C43" s="49">
        <v>70</v>
      </c>
    </row>
    <row r="44" spans="1:3" x14ac:dyDescent="0.35">
      <c r="A44" s="52" t="s">
        <v>244</v>
      </c>
      <c r="B44" s="49">
        <v>1</v>
      </c>
      <c r="C44" s="49">
        <v>45</v>
      </c>
    </row>
    <row r="45" spans="1:3" x14ac:dyDescent="0.35">
      <c r="A45" s="52" t="s">
        <v>259</v>
      </c>
      <c r="B45" s="49">
        <v>1</v>
      </c>
      <c r="C45" s="49">
        <v>0</v>
      </c>
    </row>
    <row r="46" spans="1:3" x14ac:dyDescent="0.35">
      <c r="A46" s="52" t="s">
        <v>316</v>
      </c>
      <c r="B46" s="49">
        <v>1</v>
      </c>
      <c r="C46" s="49">
        <v>0</v>
      </c>
    </row>
    <row r="47" spans="1:3" x14ac:dyDescent="0.35">
      <c r="A47" s="52" t="s">
        <v>156</v>
      </c>
      <c r="B47" s="49">
        <v>1</v>
      </c>
      <c r="C47" s="49">
        <v>100</v>
      </c>
    </row>
    <row r="48" spans="1:3" x14ac:dyDescent="0.35">
      <c r="A48" s="52" t="s">
        <v>207</v>
      </c>
      <c r="B48" s="49">
        <v>1</v>
      </c>
      <c r="C48" s="49">
        <v>0</v>
      </c>
    </row>
    <row r="49" spans="1:3" x14ac:dyDescent="0.35">
      <c r="A49" s="52" t="s">
        <v>353</v>
      </c>
      <c r="B49" s="49">
        <v>1</v>
      </c>
      <c r="C49" s="49">
        <v>75</v>
      </c>
    </row>
    <row r="50" spans="1:3" x14ac:dyDescent="0.35">
      <c r="A50" s="52" t="s">
        <v>171</v>
      </c>
      <c r="B50" s="49">
        <v>1</v>
      </c>
      <c r="C50" s="49">
        <v>50</v>
      </c>
    </row>
    <row r="51" spans="1:3" x14ac:dyDescent="0.35">
      <c r="A51" s="52" t="s">
        <v>169</v>
      </c>
      <c r="B51" s="49">
        <v>1</v>
      </c>
      <c r="C51" s="49">
        <v>0</v>
      </c>
    </row>
    <row r="52" spans="1:3" x14ac:dyDescent="0.35">
      <c r="A52" s="52" t="s">
        <v>348</v>
      </c>
      <c r="B52" s="49">
        <v>1</v>
      </c>
      <c r="C52" s="49">
        <v>0</v>
      </c>
    </row>
    <row r="53" spans="1:3" x14ac:dyDescent="0.35">
      <c r="A53" s="52" t="s">
        <v>297</v>
      </c>
      <c r="B53" s="49">
        <v>1</v>
      </c>
      <c r="C53" s="49">
        <v>0</v>
      </c>
    </row>
    <row r="54" spans="1:3" x14ac:dyDescent="0.35">
      <c r="A54" s="52" t="s">
        <v>345</v>
      </c>
      <c r="B54" s="49">
        <v>1</v>
      </c>
      <c r="C54" s="49">
        <v>100</v>
      </c>
    </row>
    <row r="55" spans="1:3" x14ac:dyDescent="0.35">
      <c r="A55" s="52" t="s">
        <v>144</v>
      </c>
      <c r="B55" s="49">
        <v>1</v>
      </c>
      <c r="C55" s="49">
        <v>0</v>
      </c>
    </row>
    <row r="56" spans="1:3" x14ac:dyDescent="0.35">
      <c r="A56" s="52" t="s">
        <v>152</v>
      </c>
      <c r="B56" s="49">
        <v>1</v>
      </c>
      <c r="C56" s="49">
        <v>0</v>
      </c>
    </row>
    <row r="57" spans="1:3" x14ac:dyDescent="0.35">
      <c r="A57" s="52" t="s">
        <v>324</v>
      </c>
      <c r="B57" s="49">
        <v>1</v>
      </c>
      <c r="C57" s="49">
        <v>0</v>
      </c>
    </row>
    <row r="58" spans="1:3" x14ac:dyDescent="0.35">
      <c r="A58" s="52" t="s">
        <v>283</v>
      </c>
      <c r="B58" s="49">
        <v>1</v>
      </c>
      <c r="C58" s="49">
        <v>100</v>
      </c>
    </row>
    <row r="59" spans="1:3" x14ac:dyDescent="0.35">
      <c r="A59" s="52" t="s">
        <v>257</v>
      </c>
      <c r="B59" s="49">
        <v>1</v>
      </c>
      <c r="C59" s="49">
        <v>0</v>
      </c>
    </row>
    <row r="60" spans="1:3" x14ac:dyDescent="0.35">
      <c r="A60" s="51" t="s">
        <v>64</v>
      </c>
      <c r="B60" s="49">
        <v>13</v>
      </c>
      <c r="C60" s="49">
        <v>636</v>
      </c>
    </row>
    <row r="61" spans="1:3" x14ac:dyDescent="0.35">
      <c r="A61" s="52" t="s">
        <v>204</v>
      </c>
      <c r="B61" s="49">
        <v>1</v>
      </c>
      <c r="C61" s="49">
        <v>75</v>
      </c>
    </row>
    <row r="62" spans="1:3" x14ac:dyDescent="0.35">
      <c r="A62" s="52" t="s">
        <v>212</v>
      </c>
      <c r="B62" s="49">
        <v>1</v>
      </c>
      <c r="C62" s="49">
        <v>105</v>
      </c>
    </row>
    <row r="63" spans="1:3" x14ac:dyDescent="0.35">
      <c r="A63" s="52" t="s">
        <v>128</v>
      </c>
      <c r="B63" s="49">
        <v>1</v>
      </c>
      <c r="C63" s="49">
        <v>0</v>
      </c>
    </row>
    <row r="64" spans="1:3" x14ac:dyDescent="0.35">
      <c r="A64" s="52" t="s">
        <v>271</v>
      </c>
      <c r="B64" s="49">
        <v>1</v>
      </c>
      <c r="C64" s="49">
        <v>0</v>
      </c>
    </row>
    <row r="65" spans="1:3" x14ac:dyDescent="0.35">
      <c r="A65" s="52" t="s">
        <v>135</v>
      </c>
      <c r="B65" s="49">
        <v>1</v>
      </c>
      <c r="C65" s="49">
        <v>75</v>
      </c>
    </row>
    <row r="66" spans="1:3" x14ac:dyDescent="0.35">
      <c r="A66" s="52" t="s">
        <v>167</v>
      </c>
      <c r="B66" s="49">
        <v>1</v>
      </c>
      <c r="C66" s="49">
        <v>0</v>
      </c>
    </row>
    <row r="67" spans="1:3" x14ac:dyDescent="0.35">
      <c r="A67" s="52" t="s">
        <v>220</v>
      </c>
      <c r="B67" s="49">
        <v>1</v>
      </c>
      <c r="C67" s="49">
        <v>100</v>
      </c>
    </row>
    <row r="68" spans="1:3" x14ac:dyDescent="0.35">
      <c r="A68" s="52" t="s">
        <v>141</v>
      </c>
      <c r="B68" s="49">
        <v>1</v>
      </c>
      <c r="C68" s="49">
        <v>50</v>
      </c>
    </row>
    <row r="69" spans="1:3" x14ac:dyDescent="0.35">
      <c r="A69" s="52" t="s">
        <v>188</v>
      </c>
      <c r="B69" s="49">
        <v>1</v>
      </c>
      <c r="C69" s="49">
        <v>25</v>
      </c>
    </row>
    <row r="70" spans="1:3" x14ac:dyDescent="0.35">
      <c r="A70" s="52" t="s">
        <v>159</v>
      </c>
      <c r="B70" s="49">
        <v>1</v>
      </c>
      <c r="C70" s="49">
        <v>50</v>
      </c>
    </row>
    <row r="71" spans="1:3" x14ac:dyDescent="0.35">
      <c r="A71" s="52" t="s">
        <v>321</v>
      </c>
      <c r="B71" s="49">
        <v>1</v>
      </c>
      <c r="C71" s="49">
        <v>100</v>
      </c>
    </row>
    <row r="72" spans="1:3" x14ac:dyDescent="0.35">
      <c r="A72" s="52" t="s">
        <v>174</v>
      </c>
      <c r="B72" s="49">
        <v>1</v>
      </c>
      <c r="C72" s="49">
        <v>56</v>
      </c>
    </row>
    <row r="73" spans="1:3" x14ac:dyDescent="0.35">
      <c r="A73" s="52" t="s">
        <v>337</v>
      </c>
      <c r="B73" s="49">
        <v>1</v>
      </c>
      <c r="C73" s="49">
        <v>0</v>
      </c>
    </row>
    <row r="74" spans="1:3" x14ac:dyDescent="0.35">
      <c r="A74" s="51" t="s">
        <v>63</v>
      </c>
      <c r="B74" s="49">
        <v>29</v>
      </c>
      <c r="C74" s="49">
        <v>845</v>
      </c>
    </row>
    <row r="75" spans="1:3" x14ac:dyDescent="0.35">
      <c r="A75" s="52" t="s">
        <v>308</v>
      </c>
      <c r="B75" s="49">
        <v>1</v>
      </c>
      <c r="C75" s="49">
        <v>0</v>
      </c>
    </row>
    <row r="76" spans="1:3" x14ac:dyDescent="0.35">
      <c r="A76" s="52" t="s">
        <v>236</v>
      </c>
      <c r="B76" s="49">
        <v>1</v>
      </c>
      <c r="C76" s="49">
        <v>50</v>
      </c>
    </row>
    <row r="77" spans="1:3" x14ac:dyDescent="0.35">
      <c r="A77" s="52" t="s">
        <v>154</v>
      </c>
      <c r="B77" s="49">
        <v>1</v>
      </c>
      <c r="C77" s="49">
        <v>0</v>
      </c>
    </row>
    <row r="78" spans="1:3" x14ac:dyDescent="0.35">
      <c r="A78" s="52" t="s">
        <v>164</v>
      </c>
      <c r="B78" s="49">
        <v>1</v>
      </c>
      <c r="C78" s="49">
        <v>100</v>
      </c>
    </row>
    <row r="79" spans="1:3" x14ac:dyDescent="0.35">
      <c r="A79" s="52" t="s">
        <v>278</v>
      </c>
      <c r="B79" s="49">
        <v>1</v>
      </c>
      <c r="C79" s="49">
        <v>0</v>
      </c>
    </row>
    <row r="80" spans="1:3" x14ac:dyDescent="0.35">
      <c r="A80" s="52" t="s">
        <v>289</v>
      </c>
      <c r="B80" s="49">
        <v>1</v>
      </c>
      <c r="C80" s="49">
        <v>35</v>
      </c>
    </row>
    <row r="81" spans="1:3" x14ac:dyDescent="0.35">
      <c r="A81" s="52" t="s">
        <v>202</v>
      </c>
      <c r="B81" s="49">
        <v>1</v>
      </c>
      <c r="C81" s="49">
        <v>30</v>
      </c>
    </row>
    <row r="82" spans="1:3" x14ac:dyDescent="0.35">
      <c r="A82" s="52" t="s">
        <v>225</v>
      </c>
      <c r="B82" s="49">
        <v>1</v>
      </c>
      <c r="C82" s="49">
        <v>0</v>
      </c>
    </row>
    <row r="83" spans="1:3" x14ac:dyDescent="0.35">
      <c r="A83" s="52" t="s">
        <v>215</v>
      </c>
      <c r="B83" s="49">
        <v>1</v>
      </c>
      <c r="C83" s="49">
        <v>50</v>
      </c>
    </row>
    <row r="84" spans="1:3" x14ac:dyDescent="0.35">
      <c r="A84" s="52" t="s">
        <v>364</v>
      </c>
      <c r="B84" s="49">
        <v>1</v>
      </c>
      <c r="C84" s="49">
        <v>0</v>
      </c>
    </row>
    <row r="85" spans="1:3" x14ac:dyDescent="0.35">
      <c r="A85" s="52" t="s">
        <v>264</v>
      </c>
      <c r="B85" s="49">
        <v>1</v>
      </c>
      <c r="C85" s="49">
        <v>0</v>
      </c>
    </row>
    <row r="86" spans="1:3" x14ac:dyDescent="0.35">
      <c r="A86" s="52" t="s">
        <v>310</v>
      </c>
      <c r="B86" s="49">
        <v>1</v>
      </c>
      <c r="C86" s="49">
        <v>50</v>
      </c>
    </row>
    <row r="87" spans="1:3" x14ac:dyDescent="0.35">
      <c r="A87" s="52" t="s">
        <v>331</v>
      </c>
      <c r="B87" s="49">
        <v>1</v>
      </c>
      <c r="C87" s="49">
        <v>65</v>
      </c>
    </row>
    <row r="88" spans="1:3" x14ac:dyDescent="0.35">
      <c r="A88" s="52" t="s">
        <v>266</v>
      </c>
      <c r="B88" s="49">
        <v>1</v>
      </c>
      <c r="C88" s="49">
        <v>0</v>
      </c>
    </row>
    <row r="89" spans="1:3" x14ac:dyDescent="0.35">
      <c r="A89" s="52" t="s">
        <v>241</v>
      </c>
      <c r="B89" s="49">
        <v>1</v>
      </c>
      <c r="C89" s="49">
        <v>75</v>
      </c>
    </row>
    <row r="90" spans="1:3" x14ac:dyDescent="0.35">
      <c r="A90" s="52" t="s">
        <v>273</v>
      </c>
      <c r="B90" s="49">
        <v>1</v>
      </c>
      <c r="C90" s="49">
        <v>0</v>
      </c>
    </row>
    <row r="91" spans="1:3" x14ac:dyDescent="0.35">
      <c r="A91" s="52" t="s">
        <v>292</v>
      </c>
      <c r="B91" s="49">
        <v>1</v>
      </c>
      <c r="C91" s="49">
        <v>60</v>
      </c>
    </row>
    <row r="92" spans="1:3" x14ac:dyDescent="0.35">
      <c r="A92" s="52" t="s">
        <v>326</v>
      </c>
      <c r="B92" s="49">
        <v>1</v>
      </c>
      <c r="C92" s="49">
        <v>50</v>
      </c>
    </row>
    <row r="93" spans="1:3" x14ac:dyDescent="0.35">
      <c r="A93" s="52" t="s">
        <v>360</v>
      </c>
      <c r="B93" s="49">
        <v>1</v>
      </c>
      <c r="C93" s="49">
        <v>0</v>
      </c>
    </row>
    <row r="94" spans="1:3" x14ac:dyDescent="0.35">
      <c r="A94" s="52" t="s">
        <v>252</v>
      </c>
      <c r="B94" s="49">
        <v>1</v>
      </c>
      <c r="C94" s="49">
        <v>0</v>
      </c>
    </row>
    <row r="95" spans="1:3" x14ac:dyDescent="0.35">
      <c r="A95" s="52" t="s">
        <v>227</v>
      </c>
      <c r="B95" s="49">
        <v>1</v>
      </c>
      <c r="C95" s="49">
        <v>100</v>
      </c>
    </row>
    <row r="96" spans="1:3" x14ac:dyDescent="0.35">
      <c r="A96" s="52" t="s">
        <v>247</v>
      </c>
      <c r="B96" s="49">
        <v>1</v>
      </c>
      <c r="C96" s="49">
        <v>50</v>
      </c>
    </row>
    <row r="97" spans="1:3" x14ac:dyDescent="0.35">
      <c r="A97" s="52" t="s">
        <v>356</v>
      </c>
      <c r="B97" s="49">
        <v>1</v>
      </c>
      <c r="C97" s="49">
        <v>0</v>
      </c>
    </row>
    <row r="98" spans="1:3" x14ac:dyDescent="0.35">
      <c r="A98" s="52" t="s">
        <v>358</v>
      </c>
      <c r="B98" s="49">
        <v>1</v>
      </c>
      <c r="C98" s="49">
        <v>0</v>
      </c>
    </row>
    <row r="99" spans="1:3" x14ac:dyDescent="0.35">
      <c r="A99" s="52" t="s">
        <v>304</v>
      </c>
      <c r="B99" s="49">
        <v>1</v>
      </c>
      <c r="C99" s="49">
        <v>0</v>
      </c>
    </row>
    <row r="100" spans="1:3" x14ac:dyDescent="0.35">
      <c r="A100" s="52" t="s">
        <v>194</v>
      </c>
      <c r="B100" s="49">
        <v>1</v>
      </c>
      <c r="C100" s="49">
        <v>30</v>
      </c>
    </row>
    <row r="101" spans="1:3" x14ac:dyDescent="0.35">
      <c r="A101" s="52" t="s">
        <v>295</v>
      </c>
      <c r="B101" s="49">
        <v>1</v>
      </c>
      <c r="C101" s="49">
        <v>0</v>
      </c>
    </row>
    <row r="102" spans="1:3" x14ac:dyDescent="0.35">
      <c r="A102" s="52" t="s">
        <v>199</v>
      </c>
      <c r="B102" s="49">
        <v>1</v>
      </c>
      <c r="C102" s="49">
        <v>50</v>
      </c>
    </row>
    <row r="103" spans="1:3" x14ac:dyDescent="0.35">
      <c r="A103" s="52" t="s">
        <v>183</v>
      </c>
      <c r="B103" s="49">
        <v>1</v>
      </c>
      <c r="C103" s="49">
        <v>50</v>
      </c>
    </row>
    <row r="104" spans="1:3" x14ac:dyDescent="0.35">
      <c r="A104" s="51" t="s">
        <v>69</v>
      </c>
      <c r="B104" s="49">
        <v>1</v>
      </c>
      <c r="C104" s="49">
        <v>50</v>
      </c>
    </row>
    <row r="105" spans="1:3" x14ac:dyDescent="0.35">
      <c r="A105" s="52" t="s">
        <v>350</v>
      </c>
      <c r="B105" s="49">
        <v>1</v>
      </c>
      <c r="C105" s="49">
        <v>50</v>
      </c>
    </row>
    <row r="106" spans="1:3" x14ac:dyDescent="0.35">
      <c r="A106" s="51" t="s">
        <v>65</v>
      </c>
      <c r="B106" s="49">
        <v>9</v>
      </c>
      <c r="C106" s="49">
        <v>380</v>
      </c>
    </row>
    <row r="107" spans="1:3" x14ac:dyDescent="0.35">
      <c r="A107" s="52" t="s">
        <v>313</v>
      </c>
      <c r="B107" s="49">
        <v>1</v>
      </c>
      <c r="C107" s="49">
        <v>10</v>
      </c>
    </row>
    <row r="108" spans="1:3" x14ac:dyDescent="0.35">
      <c r="A108" s="52" t="s">
        <v>329</v>
      </c>
      <c r="B108" s="49">
        <v>1</v>
      </c>
      <c r="C108" s="49">
        <v>0</v>
      </c>
    </row>
    <row r="109" spans="1:3" x14ac:dyDescent="0.35">
      <c r="A109" s="52" t="s">
        <v>340</v>
      </c>
      <c r="B109" s="49">
        <v>1</v>
      </c>
      <c r="C109" s="49">
        <v>0</v>
      </c>
    </row>
    <row r="110" spans="1:3" x14ac:dyDescent="0.35">
      <c r="A110" s="52" t="s">
        <v>249</v>
      </c>
      <c r="B110" s="49">
        <v>1</v>
      </c>
      <c r="C110" s="49">
        <v>150</v>
      </c>
    </row>
    <row r="111" spans="1:3" x14ac:dyDescent="0.35">
      <c r="A111" s="52" t="s">
        <v>286</v>
      </c>
      <c r="B111" s="49">
        <v>1</v>
      </c>
      <c r="C111" s="49">
        <v>25</v>
      </c>
    </row>
    <row r="112" spans="1:3" x14ac:dyDescent="0.35">
      <c r="A112" s="52" t="s">
        <v>268</v>
      </c>
      <c r="B112" s="49">
        <v>1</v>
      </c>
      <c r="C112" s="49">
        <v>50</v>
      </c>
    </row>
    <row r="113" spans="1:3" x14ac:dyDescent="0.35">
      <c r="A113" s="52" t="s">
        <v>209</v>
      </c>
      <c r="B113" s="49">
        <v>1</v>
      </c>
      <c r="C113" s="49">
        <v>40</v>
      </c>
    </row>
    <row r="114" spans="1:3" x14ac:dyDescent="0.35">
      <c r="A114" s="52" t="s">
        <v>254</v>
      </c>
      <c r="B114" s="49">
        <v>1</v>
      </c>
      <c r="C114" s="49">
        <v>80</v>
      </c>
    </row>
    <row r="115" spans="1:3" x14ac:dyDescent="0.35">
      <c r="A115" s="52" t="s">
        <v>230</v>
      </c>
      <c r="B115" s="49">
        <v>1</v>
      </c>
      <c r="C115" s="49">
        <v>25</v>
      </c>
    </row>
    <row r="116" spans="1:3" x14ac:dyDescent="0.35">
      <c r="A116" s="51" t="s">
        <v>71</v>
      </c>
      <c r="B116" s="49">
        <v>1</v>
      </c>
      <c r="C116" s="49">
        <v>0</v>
      </c>
    </row>
    <row r="117" spans="1:3" x14ac:dyDescent="0.35">
      <c r="A117" s="52" t="s">
        <v>71</v>
      </c>
      <c r="B117" s="49">
        <v>1</v>
      </c>
      <c r="C117" s="49">
        <v>0</v>
      </c>
    </row>
    <row r="118" spans="1:3" x14ac:dyDescent="0.35">
      <c r="A118" s="51" t="s">
        <v>408</v>
      </c>
      <c r="B118" s="49">
        <v>98</v>
      </c>
      <c r="C118" s="49">
        <v>3422</v>
      </c>
    </row>
  </sheetData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A7F7-F71C-447A-B986-EBB14A155ED6}">
  <dimension ref="A3:C20"/>
  <sheetViews>
    <sheetView workbookViewId="0">
      <selection activeCell="B22" sqref="B22"/>
    </sheetView>
  </sheetViews>
  <sheetFormatPr defaultRowHeight="14.5" x14ac:dyDescent="0.35"/>
  <cols>
    <col min="1" max="1" width="41.453125" bestFit="1" customWidth="1"/>
    <col min="2" max="2" width="13.90625" bestFit="1" customWidth="1"/>
    <col min="3" max="3" width="26.7265625" bestFit="1" customWidth="1"/>
    <col min="4" max="4" width="9.1796875" bestFit="1" customWidth="1"/>
    <col min="5" max="5" width="13.1796875" bestFit="1" customWidth="1"/>
    <col min="6" max="6" width="7.1796875" bestFit="1" customWidth="1"/>
    <col min="7" max="7" width="5" bestFit="1" customWidth="1"/>
    <col min="8" max="8" width="6.36328125" bestFit="1" customWidth="1"/>
    <col min="9" max="9" width="7.6328125" bestFit="1" customWidth="1"/>
    <col min="10" max="10" width="6" bestFit="1" customWidth="1"/>
    <col min="11" max="11" width="10.26953125" bestFit="1" customWidth="1"/>
    <col min="12" max="12" width="7.6328125" bestFit="1" customWidth="1"/>
    <col min="13" max="13" width="10.7265625" bestFit="1" customWidth="1"/>
  </cols>
  <sheetData>
    <row r="3" spans="1:3" x14ac:dyDescent="0.35">
      <c r="A3" s="50" t="s">
        <v>407</v>
      </c>
      <c r="B3" t="s">
        <v>406</v>
      </c>
      <c r="C3" t="s">
        <v>409</v>
      </c>
    </row>
    <row r="4" spans="1:3" x14ac:dyDescent="0.35">
      <c r="A4" s="51" t="s">
        <v>66</v>
      </c>
      <c r="B4" s="49">
        <v>6</v>
      </c>
      <c r="C4" s="49">
        <v>221</v>
      </c>
    </row>
    <row r="5" spans="1:3" x14ac:dyDescent="0.35">
      <c r="A5" s="52" t="s">
        <v>149</v>
      </c>
      <c r="B5" s="49">
        <v>1</v>
      </c>
      <c r="C5" s="49">
        <v>100</v>
      </c>
    </row>
    <row r="6" spans="1:3" x14ac:dyDescent="0.35">
      <c r="A6" s="52" t="s">
        <v>261</v>
      </c>
      <c r="B6" s="49">
        <v>1</v>
      </c>
      <c r="C6" s="49">
        <v>1</v>
      </c>
    </row>
    <row r="7" spans="1:3" x14ac:dyDescent="0.35">
      <c r="A7" s="52" t="s">
        <v>306</v>
      </c>
      <c r="B7" s="49">
        <v>1</v>
      </c>
      <c r="C7" s="49">
        <v>0</v>
      </c>
    </row>
    <row r="8" spans="1:3" x14ac:dyDescent="0.35">
      <c r="A8" s="52" t="s">
        <v>119</v>
      </c>
      <c r="B8" s="49">
        <v>1</v>
      </c>
      <c r="C8" s="49">
        <v>40</v>
      </c>
    </row>
    <row r="9" spans="1:3" x14ac:dyDescent="0.35">
      <c r="A9" s="52" t="s">
        <v>177</v>
      </c>
      <c r="B9" s="49">
        <v>1</v>
      </c>
      <c r="C9" s="49">
        <v>30</v>
      </c>
    </row>
    <row r="10" spans="1:3" x14ac:dyDescent="0.35">
      <c r="A10" s="52" t="s">
        <v>180</v>
      </c>
      <c r="B10" s="49">
        <v>1</v>
      </c>
      <c r="C10" s="49">
        <v>50</v>
      </c>
    </row>
    <row r="11" spans="1:3" x14ac:dyDescent="0.35">
      <c r="A11" s="51" t="s">
        <v>67</v>
      </c>
      <c r="B11" s="49">
        <v>4</v>
      </c>
      <c r="C11" s="49">
        <v>200</v>
      </c>
    </row>
    <row r="12" spans="1:3" x14ac:dyDescent="0.35">
      <c r="A12" s="52" t="s">
        <v>122</v>
      </c>
      <c r="B12" s="49">
        <v>1</v>
      </c>
      <c r="C12" s="49">
        <v>25</v>
      </c>
    </row>
    <row r="13" spans="1:3" x14ac:dyDescent="0.35">
      <c r="A13" s="52" t="s">
        <v>162</v>
      </c>
      <c r="B13" s="49">
        <v>1</v>
      </c>
      <c r="C13" s="49">
        <v>0</v>
      </c>
    </row>
    <row r="14" spans="1:3" x14ac:dyDescent="0.35">
      <c r="A14" s="52" t="s">
        <v>146</v>
      </c>
      <c r="B14" s="49">
        <v>1</v>
      </c>
      <c r="C14" s="49">
        <v>75</v>
      </c>
    </row>
    <row r="15" spans="1:3" x14ac:dyDescent="0.35">
      <c r="A15" s="52" t="s">
        <v>217</v>
      </c>
      <c r="B15" s="49">
        <v>1</v>
      </c>
      <c r="C15" s="49">
        <v>100</v>
      </c>
    </row>
    <row r="16" spans="1:3" x14ac:dyDescent="0.35">
      <c r="A16" s="51" t="s">
        <v>72</v>
      </c>
      <c r="B16" s="49">
        <v>1</v>
      </c>
      <c r="C16" s="49">
        <v>80</v>
      </c>
    </row>
    <row r="17" spans="1:3" x14ac:dyDescent="0.35">
      <c r="A17" s="52" t="s">
        <v>361</v>
      </c>
      <c r="B17" s="49">
        <v>1</v>
      </c>
      <c r="C17" s="49">
        <v>80</v>
      </c>
    </row>
    <row r="18" spans="1:3" x14ac:dyDescent="0.35">
      <c r="A18" s="51" t="s">
        <v>68</v>
      </c>
      <c r="B18" s="49">
        <v>1</v>
      </c>
      <c r="C18" s="49">
        <v>100</v>
      </c>
    </row>
    <row r="19" spans="1:3" x14ac:dyDescent="0.35">
      <c r="A19" s="52" t="s">
        <v>342</v>
      </c>
      <c r="B19" s="49">
        <v>1</v>
      </c>
      <c r="C19" s="49">
        <v>100</v>
      </c>
    </row>
    <row r="20" spans="1:3" x14ac:dyDescent="0.35">
      <c r="A20" s="51" t="s">
        <v>408</v>
      </c>
      <c r="B20" s="49">
        <v>12</v>
      </c>
      <c r="C20" s="49">
        <v>601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D549B-9943-43BE-8EB8-E1558273AD62}">
  <dimension ref="A1:AH99"/>
  <sheetViews>
    <sheetView zoomScaleNormal="100" workbookViewId="0">
      <selection activeCell="E23" sqref="E23"/>
    </sheetView>
  </sheetViews>
  <sheetFormatPr defaultRowHeight="14.5" x14ac:dyDescent="0.35"/>
  <cols>
    <col min="1" max="1" width="6.81640625" bestFit="1" customWidth="1"/>
    <col min="2" max="2" width="25" bestFit="1" customWidth="1"/>
    <col min="3" max="3" width="5" bestFit="1" customWidth="1"/>
    <col min="4" max="4" width="6.81640625" bestFit="1" customWidth="1"/>
    <col min="5" max="5" width="12.7265625" bestFit="1" customWidth="1"/>
    <col min="6" max="6" width="41.90625" bestFit="1" customWidth="1"/>
    <col min="7" max="7" width="12.90625" bestFit="1" customWidth="1"/>
    <col min="8" max="8" width="37.7265625" bestFit="1" customWidth="1"/>
    <col min="9" max="9" width="20" bestFit="1" customWidth="1"/>
    <col min="10" max="10" width="11.90625" bestFit="1" customWidth="1"/>
    <col min="11" max="11" width="12.36328125" bestFit="1" customWidth="1"/>
    <col min="12" max="12" width="10.26953125" bestFit="1" customWidth="1"/>
    <col min="13" max="14" width="13.453125" bestFit="1" customWidth="1"/>
    <col min="15" max="15" width="13.453125" customWidth="1"/>
    <col min="16" max="16" width="7.1796875" bestFit="1" customWidth="1"/>
    <col min="17" max="17" width="13.90625" bestFit="1" customWidth="1"/>
    <col min="18" max="18" width="22.7265625" bestFit="1" customWidth="1"/>
    <col min="19" max="19" width="20.90625" bestFit="1" customWidth="1"/>
    <col min="20" max="20" width="21.81640625" bestFit="1" customWidth="1"/>
    <col min="21" max="21" width="20" bestFit="1" customWidth="1"/>
    <col min="22" max="22" width="22.90625" bestFit="1" customWidth="1"/>
    <col min="23" max="23" width="21.1796875" bestFit="1" customWidth="1"/>
    <col min="24" max="24" width="22.08984375" bestFit="1" customWidth="1"/>
    <col min="25" max="25" width="20.26953125" bestFit="1" customWidth="1"/>
    <col min="26" max="26" width="20.6328125" bestFit="1" customWidth="1"/>
    <col min="27" max="27" width="18.90625" bestFit="1" customWidth="1"/>
    <col min="28" max="28" width="21.7265625" bestFit="1" customWidth="1"/>
    <col min="29" max="29" width="19.90625" bestFit="1" customWidth="1"/>
    <col min="30" max="30" width="21.453125" bestFit="1" customWidth="1"/>
    <col min="31" max="31" width="19.6328125" bestFit="1" customWidth="1"/>
    <col min="32" max="32" width="13.08984375" bestFit="1" customWidth="1"/>
    <col min="33" max="33" width="20.6328125" bestFit="1" customWidth="1"/>
    <col min="34" max="34" width="1.81640625" bestFit="1" customWidth="1"/>
  </cols>
  <sheetData>
    <row r="1" spans="1:34" x14ac:dyDescent="0.35">
      <c r="A1" s="27" t="s">
        <v>82</v>
      </c>
      <c r="B1" s="27" t="s">
        <v>83</v>
      </c>
      <c r="C1" s="27" t="s">
        <v>84</v>
      </c>
      <c r="D1" s="27" t="s">
        <v>85</v>
      </c>
      <c r="E1" s="27" t="s">
        <v>86</v>
      </c>
      <c r="F1" s="27" t="s">
        <v>87</v>
      </c>
      <c r="G1" s="27" t="s">
        <v>88</v>
      </c>
      <c r="H1" s="27" t="s">
        <v>89</v>
      </c>
      <c r="I1" s="27" t="s">
        <v>90</v>
      </c>
      <c r="J1" s="27" t="s">
        <v>91</v>
      </c>
      <c r="K1" s="27" t="s">
        <v>92</v>
      </c>
      <c r="L1" s="27" t="s">
        <v>93</v>
      </c>
      <c r="M1" s="27" t="s">
        <v>94</v>
      </c>
      <c r="N1" s="27" t="s">
        <v>95</v>
      </c>
      <c r="O1" s="27" t="s">
        <v>367</v>
      </c>
      <c r="P1" s="27" t="s">
        <v>96</v>
      </c>
      <c r="Q1" s="27" t="s">
        <v>97</v>
      </c>
      <c r="R1" s="27" t="s">
        <v>98</v>
      </c>
      <c r="S1" s="27" t="s">
        <v>99</v>
      </c>
      <c r="T1" s="27" t="s">
        <v>100</v>
      </c>
      <c r="U1" s="27" t="s">
        <v>101</v>
      </c>
      <c r="V1" s="27" t="s">
        <v>102</v>
      </c>
      <c r="W1" s="27" t="s">
        <v>103</v>
      </c>
      <c r="X1" s="27" t="s">
        <v>104</v>
      </c>
      <c r="Y1" s="27" t="s">
        <v>105</v>
      </c>
      <c r="Z1" s="27" t="s">
        <v>106</v>
      </c>
      <c r="AA1" s="27" t="s">
        <v>107</v>
      </c>
      <c r="AB1" s="27" t="s">
        <v>108</v>
      </c>
      <c r="AC1" s="27" t="s">
        <v>109</v>
      </c>
      <c r="AD1" s="27" t="s">
        <v>110</v>
      </c>
      <c r="AE1" s="27" t="s">
        <v>111</v>
      </c>
      <c r="AF1" s="27" t="s">
        <v>112</v>
      </c>
      <c r="AG1" s="27" t="s">
        <v>113</v>
      </c>
    </row>
    <row r="2" spans="1:34" x14ac:dyDescent="0.35">
      <c r="A2">
        <v>1</v>
      </c>
      <c r="B2" t="s">
        <v>114</v>
      </c>
      <c r="C2">
        <v>2</v>
      </c>
      <c r="D2">
        <v>1</v>
      </c>
      <c r="E2" t="s">
        <v>29</v>
      </c>
      <c r="F2" t="s">
        <v>115</v>
      </c>
      <c r="G2" t="s">
        <v>62</v>
      </c>
      <c r="H2" t="s">
        <v>116</v>
      </c>
      <c r="I2">
        <v>75</v>
      </c>
      <c r="J2">
        <v>50</v>
      </c>
      <c r="K2">
        <v>0</v>
      </c>
      <c r="L2">
        <v>0</v>
      </c>
      <c r="M2">
        <v>16</v>
      </c>
      <c r="N2">
        <v>5</v>
      </c>
      <c r="O2" t="s">
        <v>368</v>
      </c>
      <c r="P2" t="s">
        <v>21</v>
      </c>
      <c r="Q2">
        <v>3</v>
      </c>
      <c r="R2">
        <v>25</v>
      </c>
      <c r="S2">
        <v>5.333333333333333</v>
      </c>
      <c r="T2">
        <v>0</v>
      </c>
      <c r="U2">
        <v>0</v>
      </c>
      <c r="V2">
        <v>0</v>
      </c>
      <c r="W2">
        <v>0</v>
      </c>
      <c r="X2">
        <v>25</v>
      </c>
      <c r="Y2">
        <v>5.33</v>
      </c>
      <c r="Z2">
        <v>25</v>
      </c>
      <c r="AA2">
        <v>5.33</v>
      </c>
      <c r="AB2" t="s">
        <v>117</v>
      </c>
      <c r="AC2" t="s">
        <v>117</v>
      </c>
      <c r="AD2" t="s">
        <v>117</v>
      </c>
      <c r="AE2" t="s">
        <v>117</v>
      </c>
      <c r="AF2">
        <v>3</v>
      </c>
      <c r="AG2" t="s">
        <v>411</v>
      </c>
      <c r="AH2">
        <f>IF(AND(ISNUMBER(FIND("Pey",AG2)),ISNUMBER(FIND("Vin",AG2))),1,0)</f>
        <v>0</v>
      </c>
    </row>
    <row r="3" spans="1:34" x14ac:dyDescent="0.35">
      <c r="A3">
        <v>1</v>
      </c>
      <c r="B3" t="s">
        <v>118</v>
      </c>
      <c r="C3">
        <v>1</v>
      </c>
      <c r="D3">
        <v>0</v>
      </c>
      <c r="E3" t="s">
        <v>34</v>
      </c>
      <c r="F3" t="s">
        <v>119</v>
      </c>
      <c r="G3" t="s">
        <v>66</v>
      </c>
      <c r="H3" t="s">
        <v>120</v>
      </c>
      <c r="I3">
        <v>40</v>
      </c>
      <c r="J3">
        <v>40</v>
      </c>
      <c r="K3">
        <v>0</v>
      </c>
      <c r="L3">
        <v>0</v>
      </c>
      <c r="M3">
        <v>50</v>
      </c>
      <c r="N3">
        <v>15</v>
      </c>
      <c r="O3" t="s">
        <v>368</v>
      </c>
      <c r="P3" t="s">
        <v>22</v>
      </c>
      <c r="Q3">
        <v>1</v>
      </c>
      <c r="R3">
        <v>20</v>
      </c>
      <c r="S3">
        <v>25</v>
      </c>
      <c r="T3">
        <v>0</v>
      </c>
      <c r="U3">
        <v>0</v>
      </c>
      <c r="V3">
        <v>0</v>
      </c>
      <c r="W3">
        <v>0</v>
      </c>
      <c r="X3">
        <v>20</v>
      </c>
      <c r="Y3">
        <v>25</v>
      </c>
      <c r="Z3">
        <v>0</v>
      </c>
      <c r="AA3">
        <v>0</v>
      </c>
      <c r="AB3" t="s">
        <v>117</v>
      </c>
      <c r="AC3" t="s">
        <v>117</v>
      </c>
      <c r="AD3" t="s">
        <v>117</v>
      </c>
      <c r="AE3" t="s">
        <v>117</v>
      </c>
      <c r="AF3">
        <v>2</v>
      </c>
      <c r="AG3" t="s">
        <v>412</v>
      </c>
      <c r="AH3">
        <f t="shared" ref="AH3:AH66" si="0">IF(AND(ISNUMBER(FIND("Pey",AG3)),ISNUMBER(FIND("Vin",AG3))),1,0)</f>
        <v>0</v>
      </c>
    </row>
    <row r="4" spans="1:34" x14ac:dyDescent="0.35">
      <c r="A4">
        <v>1</v>
      </c>
      <c r="B4" t="s">
        <v>121</v>
      </c>
      <c r="C4">
        <v>0</v>
      </c>
      <c r="D4">
        <v>1</v>
      </c>
      <c r="E4" t="s">
        <v>29</v>
      </c>
      <c r="F4" t="s">
        <v>122</v>
      </c>
      <c r="G4" t="s">
        <v>67</v>
      </c>
      <c r="H4" t="s">
        <v>123</v>
      </c>
      <c r="I4">
        <v>25</v>
      </c>
      <c r="J4">
        <v>25</v>
      </c>
      <c r="K4">
        <v>0</v>
      </c>
      <c r="L4">
        <v>0</v>
      </c>
      <c r="M4">
        <v>30</v>
      </c>
      <c r="N4">
        <v>10</v>
      </c>
      <c r="O4" t="s">
        <v>368</v>
      </c>
      <c r="P4" t="s">
        <v>23</v>
      </c>
      <c r="Q4">
        <v>1</v>
      </c>
      <c r="R4">
        <v>0</v>
      </c>
      <c r="S4">
        <v>0</v>
      </c>
      <c r="T4">
        <v>0</v>
      </c>
      <c r="U4">
        <v>0</v>
      </c>
      <c r="V4">
        <v>12.5</v>
      </c>
      <c r="W4">
        <v>15</v>
      </c>
      <c r="X4">
        <v>12.5</v>
      </c>
      <c r="Y4">
        <v>15</v>
      </c>
      <c r="Z4">
        <v>0</v>
      </c>
      <c r="AA4">
        <v>0</v>
      </c>
      <c r="AB4" t="s">
        <v>117</v>
      </c>
      <c r="AC4" t="s">
        <v>117</v>
      </c>
      <c r="AD4" t="s">
        <v>117</v>
      </c>
      <c r="AE4" t="s">
        <v>117</v>
      </c>
      <c r="AF4">
        <v>2</v>
      </c>
      <c r="AG4" t="s">
        <v>413</v>
      </c>
      <c r="AH4">
        <f t="shared" si="0"/>
        <v>0</v>
      </c>
    </row>
    <row r="5" spans="1:34" x14ac:dyDescent="0.35">
      <c r="A5">
        <v>2</v>
      </c>
      <c r="B5" t="s">
        <v>124</v>
      </c>
      <c r="C5">
        <v>2</v>
      </c>
      <c r="D5">
        <v>0</v>
      </c>
      <c r="E5" t="s">
        <v>32</v>
      </c>
      <c r="F5" t="s">
        <v>125</v>
      </c>
      <c r="G5" t="s">
        <v>62</v>
      </c>
      <c r="H5" t="s">
        <v>126</v>
      </c>
      <c r="I5">
        <v>70</v>
      </c>
      <c r="J5">
        <v>70</v>
      </c>
      <c r="K5">
        <v>0</v>
      </c>
      <c r="L5">
        <v>0</v>
      </c>
      <c r="M5">
        <v>2.75</v>
      </c>
      <c r="N5">
        <v>1</v>
      </c>
      <c r="O5" t="s">
        <v>368</v>
      </c>
      <c r="P5" t="s">
        <v>21</v>
      </c>
      <c r="Q5">
        <v>2</v>
      </c>
      <c r="R5">
        <v>70</v>
      </c>
      <c r="S5">
        <v>2.75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 t="s">
        <v>117</v>
      </c>
      <c r="AC5" t="s">
        <v>117</v>
      </c>
      <c r="AD5" t="s">
        <v>117</v>
      </c>
      <c r="AE5" t="s">
        <v>117</v>
      </c>
      <c r="AF5">
        <v>1</v>
      </c>
      <c r="AG5" t="s">
        <v>77</v>
      </c>
      <c r="AH5">
        <f t="shared" si="0"/>
        <v>0</v>
      </c>
    </row>
    <row r="6" spans="1:34" x14ac:dyDescent="0.35">
      <c r="A6">
        <v>2</v>
      </c>
      <c r="B6" t="s">
        <v>127</v>
      </c>
      <c r="C6">
        <v>1</v>
      </c>
      <c r="D6">
        <v>1</v>
      </c>
      <c r="E6" t="s">
        <v>29</v>
      </c>
      <c r="F6" t="s">
        <v>128</v>
      </c>
      <c r="G6" t="s">
        <v>64</v>
      </c>
      <c r="H6" t="s">
        <v>129</v>
      </c>
      <c r="I6">
        <v>0</v>
      </c>
      <c r="J6">
        <v>50</v>
      </c>
      <c r="K6">
        <v>0</v>
      </c>
      <c r="L6">
        <v>0</v>
      </c>
      <c r="M6">
        <v>0</v>
      </c>
      <c r="N6">
        <v>5</v>
      </c>
      <c r="O6" t="s">
        <v>369</v>
      </c>
      <c r="P6" t="s">
        <v>26</v>
      </c>
      <c r="Q6">
        <v>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 t="s">
        <v>117</v>
      </c>
      <c r="AC6" t="s">
        <v>117</v>
      </c>
      <c r="AD6" t="s">
        <v>117</v>
      </c>
      <c r="AE6" t="s">
        <v>117</v>
      </c>
      <c r="AF6">
        <v>0</v>
      </c>
      <c r="AG6" t="s">
        <v>130</v>
      </c>
      <c r="AH6">
        <f t="shared" si="0"/>
        <v>0</v>
      </c>
    </row>
    <row r="7" spans="1:34" x14ac:dyDescent="0.35">
      <c r="A7">
        <v>2</v>
      </c>
      <c r="B7" t="s">
        <v>131</v>
      </c>
      <c r="C7">
        <v>1</v>
      </c>
      <c r="D7">
        <v>1</v>
      </c>
      <c r="E7" t="s">
        <v>49</v>
      </c>
      <c r="F7" t="s">
        <v>71</v>
      </c>
      <c r="G7" t="s">
        <v>71</v>
      </c>
      <c r="H7" t="s">
        <v>129</v>
      </c>
      <c r="I7">
        <v>0</v>
      </c>
      <c r="J7">
        <v>50</v>
      </c>
      <c r="K7">
        <v>0</v>
      </c>
      <c r="L7">
        <v>0</v>
      </c>
      <c r="M7">
        <v>0</v>
      </c>
      <c r="N7">
        <v>5</v>
      </c>
      <c r="O7" t="s">
        <v>369</v>
      </c>
      <c r="P7" t="s">
        <v>26</v>
      </c>
      <c r="Q7">
        <v>2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 t="s">
        <v>117</v>
      </c>
      <c r="AC7" t="s">
        <v>117</v>
      </c>
      <c r="AD7" t="s">
        <v>117</v>
      </c>
      <c r="AE7" t="s">
        <v>117</v>
      </c>
      <c r="AF7">
        <v>0</v>
      </c>
      <c r="AG7" t="s">
        <v>130</v>
      </c>
      <c r="AH7">
        <f t="shared" si="0"/>
        <v>0</v>
      </c>
    </row>
    <row r="8" spans="1:34" x14ac:dyDescent="0.35">
      <c r="A8">
        <v>3</v>
      </c>
      <c r="B8" t="s">
        <v>132</v>
      </c>
      <c r="C8">
        <v>0</v>
      </c>
      <c r="D8">
        <v>2</v>
      </c>
      <c r="E8" t="s">
        <v>29</v>
      </c>
      <c r="F8" t="s">
        <v>133</v>
      </c>
      <c r="G8" t="s">
        <v>62</v>
      </c>
      <c r="H8" t="s">
        <v>129</v>
      </c>
      <c r="I8">
        <v>0</v>
      </c>
      <c r="J8">
        <v>100</v>
      </c>
      <c r="K8">
        <v>0</v>
      </c>
      <c r="L8">
        <v>0</v>
      </c>
      <c r="M8">
        <v>0</v>
      </c>
      <c r="N8">
        <v>0.25</v>
      </c>
      <c r="O8" t="s">
        <v>369</v>
      </c>
      <c r="P8" t="s">
        <v>20</v>
      </c>
      <c r="Q8">
        <v>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 t="s">
        <v>117</v>
      </c>
      <c r="AC8" t="s">
        <v>117</v>
      </c>
      <c r="AD8" t="s">
        <v>117</v>
      </c>
      <c r="AE8" t="s">
        <v>117</v>
      </c>
      <c r="AF8">
        <v>0</v>
      </c>
      <c r="AG8" t="s">
        <v>130</v>
      </c>
      <c r="AH8">
        <f t="shared" si="0"/>
        <v>0</v>
      </c>
    </row>
    <row r="9" spans="1:34" x14ac:dyDescent="0.35">
      <c r="A9">
        <v>3</v>
      </c>
      <c r="B9" t="s">
        <v>134</v>
      </c>
      <c r="C9">
        <v>1</v>
      </c>
      <c r="D9">
        <v>0</v>
      </c>
      <c r="E9" t="s">
        <v>45</v>
      </c>
      <c r="F9" t="s">
        <v>135</v>
      </c>
      <c r="G9" t="s">
        <v>64</v>
      </c>
      <c r="H9" t="s">
        <v>136</v>
      </c>
      <c r="I9">
        <v>75</v>
      </c>
      <c r="J9">
        <v>75</v>
      </c>
      <c r="K9">
        <v>0</v>
      </c>
      <c r="L9">
        <v>0</v>
      </c>
      <c r="M9">
        <v>6</v>
      </c>
      <c r="N9">
        <v>4</v>
      </c>
      <c r="O9" t="s">
        <v>368</v>
      </c>
      <c r="P9" t="s">
        <v>20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75</v>
      </c>
      <c r="AA9">
        <v>6</v>
      </c>
      <c r="AB9" t="s">
        <v>117</v>
      </c>
      <c r="AC9" t="s">
        <v>117</v>
      </c>
      <c r="AD9" t="s">
        <v>117</v>
      </c>
      <c r="AE9" t="s">
        <v>117</v>
      </c>
      <c r="AF9">
        <v>1</v>
      </c>
      <c r="AG9" t="s">
        <v>79</v>
      </c>
      <c r="AH9">
        <f t="shared" si="0"/>
        <v>0</v>
      </c>
    </row>
    <row r="10" spans="1:34" x14ac:dyDescent="0.35">
      <c r="A10">
        <v>3</v>
      </c>
      <c r="B10" t="s">
        <v>137</v>
      </c>
      <c r="C10">
        <v>2</v>
      </c>
      <c r="D10">
        <v>0</v>
      </c>
      <c r="E10" t="s">
        <v>32</v>
      </c>
      <c r="F10" t="s">
        <v>138</v>
      </c>
      <c r="G10" t="s">
        <v>62</v>
      </c>
      <c r="H10" t="s">
        <v>139</v>
      </c>
      <c r="I10">
        <v>20</v>
      </c>
      <c r="J10">
        <v>50</v>
      </c>
      <c r="K10">
        <v>30</v>
      </c>
      <c r="L10">
        <v>0</v>
      </c>
      <c r="M10">
        <v>15</v>
      </c>
      <c r="N10">
        <v>2</v>
      </c>
      <c r="O10" t="s">
        <v>368</v>
      </c>
      <c r="P10" t="s">
        <v>20</v>
      </c>
      <c r="Q10">
        <v>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50</v>
      </c>
      <c r="Y10">
        <v>15</v>
      </c>
      <c r="Z10">
        <v>0</v>
      </c>
      <c r="AA10">
        <v>0</v>
      </c>
      <c r="AB10" t="s">
        <v>117</v>
      </c>
      <c r="AC10" t="s">
        <v>117</v>
      </c>
      <c r="AD10" t="s">
        <v>117</v>
      </c>
      <c r="AE10" t="s">
        <v>117</v>
      </c>
      <c r="AF10">
        <v>1</v>
      </c>
      <c r="AG10" t="s">
        <v>80</v>
      </c>
      <c r="AH10">
        <f t="shared" si="0"/>
        <v>0</v>
      </c>
    </row>
    <row r="11" spans="1:34" x14ac:dyDescent="0.35">
      <c r="A11">
        <v>4</v>
      </c>
      <c r="B11" t="s">
        <v>140</v>
      </c>
      <c r="C11">
        <v>1</v>
      </c>
      <c r="D11">
        <v>1</v>
      </c>
      <c r="E11" t="s">
        <v>29</v>
      </c>
      <c r="F11" t="s">
        <v>141</v>
      </c>
      <c r="G11" t="s">
        <v>64</v>
      </c>
      <c r="H11" t="s">
        <v>142</v>
      </c>
      <c r="I11">
        <v>50</v>
      </c>
      <c r="J11">
        <v>50</v>
      </c>
      <c r="K11">
        <v>0</v>
      </c>
      <c r="L11">
        <v>0</v>
      </c>
      <c r="M11">
        <v>25</v>
      </c>
      <c r="N11">
        <v>7.5</v>
      </c>
      <c r="O11" t="s">
        <v>368</v>
      </c>
      <c r="P11" t="s">
        <v>22</v>
      </c>
      <c r="Q11">
        <v>2</v>
      </c>
      <c r="R11">
        <v>0</v>
      </c>
      <c r="S11">
        <v>0</v>
      </c>
      <c r="T11">
        <v>0</v>
      </c>
      <c r="U11">
        <v>0</v>
      </c>
      <c r="V11">
        <v>25</v>
      </c>
      <c r="W11">
        <v>12.5</v>
      </c>
      <c r="X11">
        <v>25</v>
      </c>
      <c r="Y11">
        <v>12.5</v>
      </c>
      <c r="Z11">
        <v>0</v>
      </c>
      <c r="AA11">
        <v>0</v>
      </c>
      <c r="AB11" t="s">
        <v>117</v>
      </c>
      <c r="AC11" t="s">
        <v>117</v>
      </c>
      <c r="AD11" t="s">
        <v>117</v>
      </c>
      <c r="AE11" t="s">
        <v>117</v>
      </c>
      <c r="AF11">
        <v>2</v>
      </c>
      <c r="AG11" t="s">
        <v>413</v>
      </c>
      <c r="AH11">
        <f t="shared" si="0"/>
        <v>0</v>
      </c>
    </row>
    <row r="12" spans="1:34" x14ac:dyDescent="0.35">
      <c r="A12">
        <v>4</v>
      </c>
      <c r="B12" t="s">
        <v>143</v>
      </c>
      <c r="C12">
        <v>0</v>
      </c>
      <c r="D12">
        <v>2</v>
      </c>
      <c r="E12" t="s">
        <v>46</v>
      </c>
      <c r="F12" t="s">
        <v>144</v>
      </c>
      <c r="G12" t="s">
        <v>62</v>
      </c>
      <c r="H12" t="s">
        <v>129</v>
      </c>
      <c r="I12">
        <v>0</v>
      </c>
      <c r="J12">
        <v>50</v>
      </c>
      <c r="K12">
        <v>0</v>
      </c>
      <c r="L12">
        <v>0</v>
      </c>
      <c r="M12">
        <v>0</v>
      </c>
      <c r="N12">
        <v>10</v>
      </c>
      <c r="O12" t="s">
        <v>369</v>
      </c>
      <c r="P12" t="s">
        <v>25</v>
      </c>
      <c r="Q12">
        <v>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 t="s">
        <v>117</v>
      </c>
      <c r="AC12" t="s">
        <v>117</v>
      </c>
      <c r="AD12" t="s">
        <v>117</v>
      </c>
      <c r="AE12" t="s">
        <v>117</v>
      </c>
      <c r="AF12">
        <v>0</v>
      </c>
      <c r="AG12" t="s">
        <v>130</v>
      </c>
      <c r="AH12">
        <f t="shared" si="0"/>
        <v>0</v>
      </c>
    </row>
    <row r="13" spans="1:34" x14ac:dyDescent="0.35">
      <c r="A13">
        <v>4</v>
      </c>
      <c r="B13" t="s">
        <v>145</v>
      </c>
      <c r="C13">
        <v>1</v>
      </c>
      <c r="D13">
        <v>0</v>
      </c>
      <c r="E13" t="s">
        <v>34</v>
      </c>
      <c r="F13" t="s">
        <v>146</v>
      </c>
      <c r="G13" t="s">
        <v>67</v>
      </c>
      <c r="H13" t="s">
        <v>147</v>
      </c>
      <c r="I13">
        <v>75</v>
      </c>
      <c r="J13">
        <v>75</v>
      </c>
      <c r="K13">
        <v>0</v>
      </c>
      <c r="L13">
        <v>0</v>
      </c>
      <c r="M13">
        <v>7.5</v>
      </c>
      <c r="N13">
        <v>4</v>
      </c>
      <c r="O13" t="s">
        <v>368</v>
      </c>
      <c r="P13" t="s">
        <v>23</v>
      </c>
      <c r="Q13">
        <v>1</v>
      </c>
      <c r="R13">
        <v>0</v>
      </c>
      <c r="S13">
        <v>0</v>
      </c>
      <c r="T13">
        <v>37.5</v>
      </c>
      <c r="U13">
        <v>3.75</v>
      </c>
      <c r="V13">
        <v>0</v>
      </c>
      <c r="W13">
        <v>0</v>
      </c>
      <c r="X13">
        <v>0</v>
      </c>
      <c r="Y13">
        <v>0</v>
      </c>
      <c r="Z13">
        <v>37.5</v>
      </c>
      <c r="AA13">
        <v>3.75</v>
      </c>
      <c r="AB13" t="s">
        <v>117</v>
      </c>
      <c r="AC13" t="s">
        <v>117</v>
      </c>
      <c r="AD13" t="s">
        <v>117</v>
      </c>
      <c r="AE13" t="s">
        <v>117</v>
      </c>
      <c r="AF13">
        <v>2</v>
      </c>
      <c r="AG13" t="s">
        <v>414</v>
      </c>
      <c r="AH13">
        <f t="shared" si="0"/>
        <v>0</v>
      </c>
    </row>
    <row r="14" spans="1:34" x14ac:dyDescent="0.35">
      <c r="A14">
        <v>5</v>
      </c>
      <c r="B14" t="s">
        <v>148</v>
      </c>
      <c r="C14">
        <v>3</v>
      </c>
      <c r="D14">
        <v>0</v>
      </c>
      <c r="E14" t="s">
        <v>52</v>
      </c>
      <c r="F14" t="s">
        <v>149</v>
      </c>
      <c r="G14" t="s">
        <v>66</v>
      </c>
      <c r="H14" t="s">
        <v>150</v>
      </c>
      <c r="I14">
        <v>100</v>
      </c>
      <c r="J14">
        <v>100</v>
      </c>
      <c r="K14">
        <v>0</v>
      </c>
      <c r="L14">
        <v>0</v>
      </c>
      <c r="M14">
        <v>1.5</v>
      </c>
      <c r="N14">
        <v>1</v>
      </c>
      <c r="O14" t="s">
        <v>368</v>
      </c>
      <c r="P14" t="s">
        <v>22</v>
      </c>
      <c r="Q14">
        <v>3</v>
      </c>
      <c r="R14">
        <v>0</v>
      </c>
      <c r="S14">
        <v>0</v>
      </c>
      <c r="T14">
        <v>0</v>
      </c>
      <c r="U14">
        <v>0</v>
      </c>
      <c r="V14">
        <v>50</v>
      </c>
      <c r="W14">
        <v>0.75</v>
      </c>
      <c r="X14">
        <v>0</v>
      </c>
      <c r="Y14">
        <v>0</v>
      </c>
      <c r="Z14">
        <v>50</v>
      </c>
      <c r="AA14">
        <v>0.75</v>
      </c>
      <c r="AB14" t="s">
        <v>117</v>
      </c>
      <c r="AC14" t="s">
        <v>117</v>
      </c>
      <c r="AD14" t="s">
        <v>117</v>
      </c>
      <c r="AE14" t="s">
        <v>117</v>
      </c>
      <c r="AF14">
        <v>2</v>
      </c>
      <c r="AG14" t="s">
        <v>415</v>
      </c>
      <c r="AH14">
        <f t="shared" si="0"/>
        <v>0</v>
      </c>
    </row>
    <row r="15" spans="1:34" x14ac:dyDescent="0.35">
      <c r="A15">
        <v>5</v>
      </c>
      <c r="B15" t="s">
        <v>151</v>
      </c>
      <c r="C15">
        <v>2</v>
      </c>
      <c r="D15">
        <v>0</v>
      </c>
      <c r="E15" t="s">
        <v>30</v>
      </c>
      <c r="F15" t="s">
        <v>152</v>
      </c>
      <c r="G15" t="s">
        <v>62</v>
      </c>
      <c r="H15" t="s">
        <v>129</v>
      </c>
      <c r="I15">
        <v>0</v>
      </c>
      <c r="J15">
        <v>50</v>
      </c>
      <c r="K15">
        <v>0</v>
      </c>
      <c r="L15">
        <v>0</v>
      </c>
      <c r="M15">
        <v>0</v>
      </c>
      <c r="N15">
        <v>5</v>
      </c>
      <c r="O15" t="s">
        <v>369</v>
      </c>
      <c r="P15" t="s">
        <v>21</v>
      </c>
      <c r="Q15">
        <v>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 t="s">
        <v>117</v>
      </c>
      <c r="AC15" t="s">
        <v>117</v>
      </c>
      <c r="AD15" t="s">
        <v>117</v>
      </c>
      <c r="AE15" t="s">
        <v>117</v>
      </c>
      <c r="AF15">
        <v>0</v>
      </c>
      <c r="AG15" t="s">
        <v>130</v>
      </c>
      <c r="AH15">
        <f t="shared" si="0"/>
        <v>0</v>
      </c>
    </row>
    <row r="16" spans="1:34" x14ac:dyDescent="0.35">
      <c r="A16">
        <v>5</v>
      </c>
      <c r="B16" t="s">
        <v>153</v>
      </c>
      <c r="C16">
        <v>2</v>
      </c>
      <c r="D16">
        <v>0</v>
      </c>
      <c r="E16" t="s">
        <v>31</v>
      </c>
      <c r="F16" t="s">
        <v>154</v>
      </c>
      <c r="G16" t="s">
        <v>63</v>
      </c>
      <c r="H16" t="s">
        <v>129</v>
      </c>
      <c r="I16">
        <v>0</v>
      </c>
      <c r="J16">
        <v>10</v>
      </c>
      <c r="K16">
        <v>0</v>
      </c>
      <c r="L16">
        <v>0</v>
      </c>
      <c r="M16">
        <v>0</v>
      </c>
      <c r="N16">
        <v>20</v>
      </c>
      <c r="O16" t="s">
        <v>369</v>
      </c>
      <c r="P16" t="s">
        <v>21</v>
      </c>
      <c r="Q16">
        <v>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 t="s">
        <v>117</v>
      </c>
      <c r="AC16" t="s">
        <v>117</v>
      </c>
      <c r="AD16" t="s">
        <v>117</v>
      </c>
      <c r="AE16" t="s">
        <v>117</v>
      </c>
      <c r="AF16">
        <v>0</v>
      </c>
      <c r="AG16" t="s">
        <v>130</v>
      </c>
      <c r="AH16">
        <f t="shared" si="0"/>
        <v>0</v>
      </c>
    </row>
    <row r="17" spans="1:34" x14ac:dyDescent="0.35">
      <c r="A17">
        <v>6</v>
      </c>
      <c r="B17" t="s">
        <v>155</v>
      </c>
      <c r="C17">
        <v>1</v>
      </c>
      <c r="D17">
        <v>1</v>
      </c>
      <c r="E17" t="s">
        <v>35</v>
      </c>
      <c r="F17" t="s">
        <v>156</v>
      </c>
      <c r="G17" t="s">
        <v>62</v>
      </c>
      <c r="H17" t="s">
        <v>157</v>
      </c>
      <c r="I17">
        <v>100</v>
      </c>
      <c r="J17">
        <v>45</v>
      </c>
      <c r="K17">
        <v>0</v>
      </c>
      <c r="L17">
        <v>0</v>
      </c>
      <c r="M17">
        <v>15</v>
      </c>
      <c r="N17">
        <v>5</v>
      </c>
      <c r="O17" t="s">
        <v>368</v>
      </c>
      <c r="P17" t="s">
        <v>21</v>
      </c>
      <c r="Q17">
        <v>2</v>
      </c>
      <c r="R17">
        <v>20</v>
      </c>
      <c r="S17">
        <v>3</v>
      </c>
      <c r="T17">
        <v>20</v>
      </c>
      <c r="U17">
        <v>3</v>
      </c>
      <c r="V17">
        <v>20</v>
      </c>
      <c r="W17">
        <v>3</v>
      </c>
      <c r="X17">
        <v>20</v>
      </c>
      <c r="Y17">
        <v>3</v>
      </c>
      <c r="Z17">
        <v>20</v>
      </c>
      <c r="AA17">
        <v>3</v>
      </c>
      <c r="AB17" t="s">
        <v>117</v>
      </c>
      <c r="AC17" t="s">
        <v>117</v>
      </c>
      <c r="AD17" t="s">
        <v>117</v>
      </c>
      <c r="AE17" t="s">
        <v>117</v>
      </c>
      <c r="AF17">
        <v>5</v>
      </c>
      <c r="AG17" t="s">
        <v>416</v>
      </c>
      <c r="AH17">
        <f t="shared" si="0"/>
        <v>0</v>
      </c>
    </row>
    <row r="18" spans="1:34" x14ac:dyDescent="0.35">
      <c r="A18">
        <v>6</v>
      </c>
      <c r="B18" t="s">
        <v>158</v>
      </c>
      <c r="C18">
        <v>1</v>
      </c>
      <c r="D18">
        <v>1</v>
      </c>
      <c r="E18" t="s">
        <v>34</v>
      </c>
      <c r="F18" t="s">
        <v>159</v>
      </c>
      <c r="G18" t="s">
        <v>64</v>
      </c>
      <c r="H18" t="s">
        <v>160</v>
      </c>
      <c r="I18">
        <v>50</v>
      </c>
      <c r="J18">
        <v>50</v>
      </c>
      <c r="K18">
        <v>0</v>
      </c>
      <c r="L18">
        <v>0</v>
      </c>
      <c r="M18">
        <v>20</v>
      </c>
      <c r="N18">
        <v>10</v>
      </c>
      <c r="O18" t="s">
        <v>368</v>
      </c>
      <c r="P18" t="s">
        <v>21</v>
      </c>
      <c r="Q18">
        <v>2</v>
      </c>
      <c r="R18">
        <v>0</v>
      </c>
      <c r="S18">
        <v>0</v>
      </c>
      <c r="T18">
        <v>50</v>
      </c>
      <c r="U18">
        <v>20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 t="s">
        <v>117</v>
      </c>
      <c r="AC18" t="s">
        <v>117</v>
      </c>
      <c r="AD18" t="s">
        <v>117</v>
      </c>
      <c r="AE18" t="s">
        <v>117</v>
      </c>
      <c r="AF18">
        <v>1</v>
      </c>
      <c r="AG18" t="s">
        <v>81</v>
      </c>
      <c r="AH18">
        <f t="shared" si="0"/>
        <v>0</v>
      </c>
    </row>
    <row r="19" spans="1:34" x14ac:dyDescent="0.35">
      <c r="A19">
        <v>6</v>
      </c>
      <c r="B19" t="s">
        <v>161</v>
      </c>
      <c r="C19">
        <v>0</v>
      </c>
      <c r="D19">
        <v>1</v>
      </c>
      <c r="E19" t="s">
        <v>35</v>
      </c>
      <c r="F19" t="s">
        <v>162</v>
      </c>
      <c r="G19" t="s">
        <v>67</v>
      </c>
      <c r="H19" t="s">
        <v>129</v>
      </c>
      <c r="I19">
        <v>0</v>
      </c>
      <c r="J19">
        <v>100</v>
      </c>
      <c r="K19">
        <v>0</v>
      </c>
      <c r="L19">
        <v>0</v>
      </c>
      <c r="M19">
        <v>0</v>
      </c>
      <c r="N19">
        <v>1</v>
      </c>
      <c r="O19" t="s">
        <v>369</v>
      </c>
      <c r="P19" t="s">
        <v>21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 t="s">
        <v>117</v>
      </c>
      <c r="AC19" t="s">
        <v>117</v>
      </c>
      <c r="AD19" t="s">
        <v>117</v>
      </c>
      <c r="AE19" t="s">
        <v>117</v>
      </c>
      <c r="AF19">
        <v>0</v>
      </c>
      <c r="AG19" t="s">
        <v>130</v>
      </c>
      <c r="AH19">
        <f t="shared" si="0"/>
        <v>0</v>
      </c>
    </row>
    <row r="20" spans="1:34" x14ac:dyDescent="0.35">
      <c r="A20">
        <v>7</v>
      </c>
      <c r="B20" t="s">
        <v>163</v>
      </c>
      <c r="C20">
        <v>1</v>
      </c>
      <c r="D20">
        <v>1</v>
      </c>
      <c r="E20" t="s">
        <v>30</v>
      </c>
      <c r="F20" t="s">
        <v>164</v>
      </c>
      <c r="G20" t="s">
        <v>63</v>
      </c>
      <c r="H20" t="s">
        <v>165</v>
      </c>
      <c r="I20">
        <v>100</v>
      </c>
      <c r="J20">
        <v>100</v>
      </c>
      <c r="K20">
        <v>0</v>
      </c>
      <c r="L20">
        <v>0</v>
      </c>
      <c r="M20">
        <v>4</v>
      </c>
      <c r="N20">
        <v>2</v>
      </c>
      <c r="O20" t="s">
        <v>368</v>
      </c>
      <c r="P20" t="s">
        <v>21</v>
      </c>
      <c r="Q20">
        <v>2</v>
      </c>
      <c r="R20">
        <v>50</v>
      </c>
      <c r="S20">
        <v>2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50</v>
      </c>
      <c r="AA20">
        <v>2</v>
      </c>
      <c r="AB20" t="s">
        <v>117</v>
      </c>
      <c r="AC20" t="s">
        <v>117</v>
      </c>
      <c r="AD20" t="s">
        <v>117</v>
      </c>
      <c r="AE20" t="s">
        <v>117</v>
      </c>
      <c r="AF20">
        <v>2</v>
      </c>
      <c r="AG20" t="s">
        <v>417</v>
      </c>
      <c r="AH20">
        <f t="shared" si="0"/>
        <v>0</v>
      </c>
    </row>
    <row r="21" spans="1:34" x14ac:dyDescent="0.35">
      <c r="A21">
        <v>7</v>
      </c>
      <c r="B21" t="s">
        <v>166</v>
      </c>
      <c r="C21">
        <v>1</v>
      </c>
      <c r="D21">
        <v>0</v>
      </c>
      <c r="E21" t="s">
        <v>34</v>
      </c>
      <c r="F21" t="s">
        <v>167</v>
      </c>
      <c r="G21" t="s">
        <v>64</v>
      </c>
      <c r="H21" t="s">
        <v>129</v>
      </c>
      <c r="I21">
        <v>0</v>
      </c>
      <c r="J21">
        <v>75</v>
      </c>
      <c r="K21">
        <v>0</v>
      </c>
      <c r="L21">
        <v>0</v>
      </c>
      <c r="M21">
        <v>0</v>
      </c>
      <c r="N21">
        <v>1</v>
      </c>
      <c r="O21" t="s">
        <v>369</v>
      </c>
      <c r="P21" t="s">
        <v>20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 t="s">
        <v>117</v>
      </c>
      <c r="AC21" t="s">
        <v>117</v>
      </c>
      <c r="AD21" t="s">
        <v>117</v>
      </c>
      <c r="AE21" t="s">
        <v>117</v>
      </c>
      <c r="AF21">
        <v>0</v>
      </c>
      <c r="AG21" t="s">
        <v>130</v>
      </c>
      <c r="AH21">
        <f t="shared" si="0"/>
        <v>0</v>
      </c>
    </row>
    <row r="22" spans="1:34" x14ac:dyDescent="0.35">
      <c r="A22">
        <v>7</v>
      </c>
      <c r="B22" t="s">
        <v>168</v>
      </c>
      <c r="C22">
        <v>1</v>
      </c>
      <c r="D22">
        <v>2</v>
      </c>
      <c r="E22" t="s">
        <v>31</v>
      </c>
      <c r="F22" t="s">
        <v>169</v>
      </c>
      <c r="G22" t="s">
        <v>62</v>
      </c>
      <c r="H22" t="s">
        <v>129</v>
      </c>
      <c r="I22">
        <v>0</v>
      </c>
      <c r="J22">
        <v>50</v>
      </c>
      <c r="K22">
        <v>0</v>
      </c>
      <c r="L22">
        <v>0</v>
      </c>
      <c r="M22">
        <v>0</v>
      </c>
      <c r="N22">
        <v>7.5</v>
      </c>
      <c r="O22" t="s">
        <v>369</v>
      </c>
      <c r="P22" t="s">
        <v>21</v>
      </c>
      <c r="Q22">
        <v>3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 t="s">
        <v>117</v>
      </c>
      <c r="AC22" t="s">
        <v>117</v>
      </c>
      <c r="AD22" t="s">
        <v>117</v>
      </c>
      <c r="AE22" t="s">
        <v>117</v>
      </c>
      <c r="AF22">
        <v>0</v>
      </c>
      <c r="AG22" t="s">
        <v>130</v>
      </c>
      <c r="AH22">
        <f t="shared" si="0"/>
        <v>0</v>
      </c>
    </row>
    <row r="23" spans="1:34" x14ac:dyDescent="0.35">
      <c r="A23">
        <v>8</v>
      </c>
      <c r="B23" t="s">
        <v>170</v>
      </c>
      <c r="C23">
        <v>1</v>
      </c>
      <c r="D23">
        <v>0</v>
      </c>
      <c r="E23" t="s">
        <v>38</v>
      </c>
      <c r="F23" t="s">
        <v>171</v>
      </c>
      <c r="G23" t="s">
        <v>62</v>
      </c>
      <c r="H23" t="s">
        <v>172</v>
      </c>
      <c r="I23">
        <v>50</v>
      </c>
      <c r="J23">
        <v>50</v>
      </c>
      <c r="K23">
        <v>0</v>
      </c>
      <c r="L23">
        <v>0</v>
      </c>
      <c r="M23">
        <v>2.5</v>
      </c>
      <c r="N23">
        <v>2.5</v>
      </c>
      <c r="O23" t="s">
        <v>368</v>
      </c>
      <c r="P23" t="s">
        <v>20</v>
      </c>
      <c r="Q23">
        <v>1</v>
      </c>
      <c r="R23">
        <v>25</v>
      </c>
      <c r="S23">
        <v>1.25</v>
      </c>
      <c r="T23">
        <v>0</v>
      </c>
      <c r="U23">
        <v>0</v>
      </c>
      <c r="V23">
        <v>0</v>
      </c>
      <c r="W23">
        <v>0</v>
      </c>
      <c r="X23" t="s">
        <v>117</v>
      </c>
      <c r="Y23" t="s">
        <v>117</v>
      </c>
      <c r="Z23">
        <v>25</v>
      </c>
      <c r="AA23">
        <v>1.25</v>
      </c>
      <c r="AB23">
        <v>0</v>
      </c>
      <c r="AC23">
        <v>0</v>
      </c>
      <c r="AD23" t="s">
        <v>117</v>
      </c>
      <c r="AE23" t="s">
        <v>117</v>
      </c>
      <c r="AF23">
        <v>2</v>
      </c>
      <c r="AG23" t="s">
        <v>417</v>
      </c>
      <c r="AH23">
        <f t="shared" si="0"/>
        <v>0</v>
      </c>
    </row>
    <row r="24" spans="1:34" x14ac:dyDescent="0.35">
      <c r="A24">
        <v>8</v>
      </c>
      <c r="B24" t="s">
        <v>173</v>
      </c>
      <c r="C24">
        <v>1</v>
      </c>
      <c r="D24">
        <v>1</v>
      </c>
      <c r="E24" t="s">
        <v>35</v>
      </c>
      <c r="F24" t="s">
        <v>174</v>
      </c>
      <c r="G24" t="s">
        <v>64</v>
      </c>
      <c r="H24" t="s">
        <v>175</v>
      </c>
      <c r="I24">
        <v>56</v>
      </c>
      <c r="J24">
        <v>56</v>
      </c>
      <c r="K24">
        <v>0</v>
      </c>
      <c r="L24">
        <v>0</v>
      </c>
      <c r="M24">
        <v>33.33</v>
      </c>
      <c r="N24">
        <v>7.5</v>
      </c>
      <c r="O24" t="s">
        <v>368</v>
      </c>
      <c r="P24" t="s">
        <v>23</v>
      </c>
      <c r="Q24">
        <v>1</v>
      </c>
      <c r="R24">
        <v>0</v>
      </c>
      <c r="S24">
        <v>0</v>
      </c>
      <c r="T24">
        <v>0</v>
      </c>
      <c r="U24">
        <v>0</v>
      </c>
      <c r="V24">
        <v>28</v>
      </c>
      <c r="W24">
        <v>16.66</v>
      </c>
      <c r="X24" t="s">
        <v>117</v>
      </c>
      <c r="Y24" t="s">
        <v>117</v>
      </c>
      <c r="Z24">
        <v>0</v>
      </c>
      <c r="AA24">
        <v>0</v>
      </c>
      <c r="AB24">
        <v>28</v>
      </c>
      <c r="AC24">
        <v>16.66</v>
      </c>
      <c r="AD24" t="s">
        <v>117</v>
      </c>
      <c r="AE24" t="s">
        <v>117</v>
      </c>
      <c r="AF24">
        <v>2</v>
      </c>
      <c r="AG24" t="s">
        <v>418</v>
      </c>
      <c r="AH24">
        <f t="shared" si="0"/>
        <v>0</v>
      </c>
    </row>
    <row r="25" spans="1:34" x14ac:dyDescent="0.35">
      <c r="A25">
        <v>8</v>
      </c>
      <c r="B25" t="s">
        <v>176</v>
      </c>
      <c r="C25">
        <v>3</v>
      </c>
      <c r="D25">
        <v>0</v>
      </c>
      <c r="E25" t="s">
        <v>37</v>
      </c>
      <c r="F25" t="s">
        <v>177</v>
      </c>
      <c r="G25" t="s">
        <v>66</v>
      </c>
      <c r="H25" t="s">
        <v>178</v>
      </c>
      <c r="I25">
        <v>30</v>
      </c>
      <c r="J25">
        <v>30</v>
      </c>
      <c r="K25">
        <v>0</v>
      </c>
      <c r="L25">
        <v>0</v>
      </c>
      <c r="M25">
        <v>6</v>
      </c>
      <c r="N25">
        <v>3</v>
      </c>
      <c r="O25" t="s">
        <v>368</v>
      </c>
      <c r="P25" t="s">
        <v>22</v>
      </c>
      <c r="Q25">
        <v>3</v>
      </c>
      <c r="R25">
        <v>30</v>
      </c>
      <c r="S25">
        <v>6</v>
      </c>
      <c r="T25">
        <v>0</v>
      </c>
      <c r="U25">
        <v>0</v>
      </c>
      <c r="V25">
        <v>0</v>
      </c>
      <c r="W25">
        <v>0</v>
      </c>
      <c r="X25" t="s">
        <v>117</v>
      </c>
      <c r="Y25" t="s">
        <v>117</v>
      </c>
      <c r="Z25">
        <v>0</v>
      </c>
      <c r="AA25">
        <v>0</v>
      </c>
      <c r="AB25">
        <v>0</v>
      </c>
      <c r="AC25">
        <v>0</v>
      </c>
      <c r="AD25" t="s">
        <v>117</v>
      </c>
      <c r="AE25" t="s">
        <v>117</v>
      </c>
      <c r="AF25">
        <v>1</v>
      </c>
      <c r="AG25" t="s">
        <v>77</v>
      </c>
      <c r="AH25">
        <f t="shared" si="0"/>
        <v>0</v>
      </c>
    </row>
    <row r="26" spans="1:34" x14ac:dyDescent="0.35">
      <c r="A26">
        <v>9</v>
      </c>
      <c r="B26" t="s">
        <v>179</v>
      </c>
      <c r="C26">
        <v>4</v>
      </c>
      <c r="D26">
        <v>0</v>
      </c>
      <c r="E26" t="s">
        <v>33</v>
      </c>
      <c r="F26" t="s">
        <v>180</v>
      </c>
      <c r="G26" t="s">
        <v>66</v>
      </c>
      <c r="H26" t="s">
        <v>181</v>
      </c>
      <c r="I26">
        <v>50</v>
      </c>
      <c r="J26">
        <v>50</v>
      </c>
      <c r="K26">
        <v>0</v>
      </c>
      <c r="L26">
        <v>0</v>
      </c>
      <c r="M26">
        <v>7</v>
      </c>
      <c r="N26">
        <v>5</v>
      </c>
      <c r="O26" t="s">
        <v>368</v>
      </c>
      <c r="P26" t="s">
        <v>22</v>
      </c>
      <c r="Q26">
        <v>4</v>
      </c>
      <c r="R26">
        <v>0</v>
      </c>
      <c r="S26">
        <v>0</v>
      </c>
      <c r="T26">
        <v>25</v>
      </c>
      <c r="U26">
        <v>3.5</v>
      </c>
      <c r="V26">
        <v>0</v>
      </c>
      <c r="W26">
        <v>0</v>
      </c>
      <c r="X26" t="s">
        <v>117</v>
      </c>
      <c r="Y26" t="s">
        <v>117</v>
      </c>
      <c r="Z26">
        <v>25</v>
      </c>
      <c r="AA26">
        <v>3.5</v>
      </c>
      <c r="AB26">
        <v>0</v>
      </c>
      <c r="AC26">
        <v>0</v>
      </c>
      <c r="AD26" t="s">
        <v>117</v>
      </c>
      <c r="AE26" t="s">
        <v>117</v>
      </c>
      <c r="AF26">
        <v>2</v>
      </c>
      <c r="AG26" t="s">
        <v>414</v>
      </c>
      <c r="AH26">
        <f t="shared" si="0"/>
        <v>0</v>
      </c>
    </row>
    <row r="27" spans="1:34" x14ac:dyDescent="0.35">
      <c r="A27">
        <v>9</v>
      </c>
      <c r="B27" t="s">
        <v>182</v>
      </c>
      <c r="C27">
        <v>1</v>
      </c>
      <c r="D27">
        <v>1</v>
      </c>
      <c r="E27" t="s">
        <v>50</v>
      </c>
      <c r="F27" t="s">
        <v>183</v>
      </c>
      <c r="G27" t="s">
        <v>63</v>
      </c>
      <c r="H27" t="s">
        <v>184</v>
      </c>
      <c r="I27">
        <v>50</v>
      </c>
      <c r="J27">
        <v>50</v>
      </c>
      <c r="K27">
        <v>0</v>
      </c>
      <c r="L27">
        <v>0</v>
      </c>
      <c r="M27">
        <v>10</v>
      </c>
      <c r="N27">
        <v>2.5</v>
      </c>
      <c r="O27" t="s">
        <v>368</v>
      </c>
      <c r="P27" t="s">
        <v>21</v>
      </c>
      <c r="Q27">
        <v>2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t="s">
        <v>117</v>
      </c>
      <c r="Y27" t="s">
        <v>117</v>
      </c>
      <c r="Z27">
        <v>25</v>
      </c>
      <c r="AA27">
        <v>5</v>
      </c>
      <c r="AB27">
        <v>25</v>
      </c>
      <c r="AC27">
        <v>5</v>
      </c>
      <c r="AD27" t="s">
        <v>117</v>
      </c>
      <c r="AE27" t="s">
        <v>117</v>
      </c>
      <c r="AF27">
        <v>2</v>
      </c>
      <c r="AG27" t="s">
        <v>419</v>
      </c>
      <c r="AH27">
        <f t="shared" si="0"/>
        <v>0</v>
      </c>
    </row>
    <row r="28" spans="1:34" x14ac:dyDescent="0.35">
      <c r="A28">
        <v>9</v>
      </c>
      <c r="B28" t="s">
        <v>185</v>
      </c>
      <c r="C28">
        <v>1</v>
      </c>
      <c r="D28">
        <v>1</v>
      </c>
      <c r="E28" t="s">
        <v>40</v>
      </c>
      <c r="F28" t="s">
        <v>186</v>
      </c>
      <c r="G28" t="s">
        <v>62</v>
      </c>
      <c r="H28" t="s">
        <v>129</v>
      </c>
      <c r="I28">
        <v>0</v>
      </c>
      <c r="J28">
        <v>100</v>
      </c>
      <c r="K28">
        <v>0</v>
      </c>
      <c r="L28">
        <v>0</v>
      </c>
      <c r="M28">
        <v>0</v>
      </c>
      <c r="N28">
        <v>5</v>
      </c>
      <c r="O28" t="s">
        <v>369</v>
      </c>
      <c r="P28" t="s">
        <v>21</v>
      </c>
      <c r="Q28">
        <v>2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t="s">
        <v>117</v>
      </c>
      <c r="Y28" t="s">
        <v>117</v>
      </c>
      <c r="Z28">
        <v>0</v>
      </c>
      <c r="AA28">
        <v>0</v>
      </c>
      <c r="AB28">
        <v>0</v>
      </c>
      <c r="AC28">
        <v>0</v>
      </c>
      <c r="AD28" t="s">
        <v>117</v>
      </c>
      <c r="AE28" t="s">
        <v>117</v>
      </c>
      <c r="AF28">
        <v>0</v>
      </c>
      <c r="AG28" t="s">
        <v>130</v>
      </c>
      <c r="AH28">
        <f t="shared" si="0"/>
        <v>0</v>
      </c>
    </row>
    <row r="29" spans="1:34" x14ac:dyDescent="0.35">
      <c r="A29">
        <v>10</v>
      </c>
      <c r="B29" t="s">
        <v>187</v>
      </c>
      <c r="C29">
        <v>0</v>
      </c>
      <c r="D29">
        <v>2</v>
      </c>
      <c r="E29" t="s">
        <v>34</v>
      </c>
      <c r="F29" t="s">
        <v>188</v>
      </c>
      <c r="G29" t="s">
        <v>64</v>
      </c>
      <c r="H29" t="s">
        <v>189</v>
      </c>
      <c r="I29">
        <v>25</v>
      </c>
      <c r="J29">
        <v>25</v>
      </c>
      <c r="K29">
        <v>0</v>
      </c>
      <c r="L29">
        <v>0</v>
      </c>
      <c r="M29">
        <v>20</v>
      </c>
      <c r="N29">
        <v>5</v>
      </c>
      <c r="O29" t="s">
        <v>368</v>
      </c>
      <c r="P29" t="s">
        <v>23</v>
      </c>
      <c r="Q29">
        <v>2</v>
      </c>
      <c r="R29">
        <v>0</v>
      </c>
      <c r="S29">
        <v>0</v>
      </c>
      <c r="T29">
        <v>8.3000000000000007</v>
      </c>
      <c r="U29">
        <v>6.6</v>
      </c>
      <c r="V29">
        <v>0</v>
      </c>
      <c r="W29">
        <v>0</v>
      </c>
      <c r="X29" t="s">
        <v>117</v>
      </c>
      <c r="Y29" t="s">
        <v>117</v>
      </c>
      <c r="Z29">
        <v>8.3000000000000007</v>
      </c>
      <c r="AA29">
        <v>6.6</v>
      </c>
      <c r="AB29">
        <v>8.3000000000000007</v>
      </c>
      <c r="AC29">
        <v>6.6</v>
      </c>
      <c r="AD29" t="s">
        <v>117</v>
      </c>
      <c r="AE29" t="s">
        <v>117</v>
      </c>
      <c r="AF29">
        <v>3</v>
      </c>
      <c r="AG29" t="s">
        <v>420</v>
      </c>
      <c r="AH29">
        <f t="shared" si="0"/>
        <v>0</v>
      </c>
    </row>
    <row r="30" spans="1:34" x14ac:dyDescent="0.35">
      <c r="A30">
        <v>10</v>
      </c>
      <c r="B30" t="s">
        <v>190</v>
      </c>
      <c r="C30">
        <v>3</v>
      </c>
      <c r="D30">
        <v>0</v>
      </c>
      <c r="E30" t="s">
        <v>31</v>
      </c>
      <c r="F30" t="s">
        <v>191</v>
      </c>
      <c r="G30" t="s">
        <v>62</v>
      </c>
      <c r="H30" t="s">
        <v>192</v>
      </c>
      <c r="I30">
        <v>30</v>
      </c>
      <c r="J30">
        <v>30</v>
      </c>
      <c r="K30">
        <v>0</v>
      </c>
      <c r="L30">
        <v>0</v>
      </c>
      <c r="M30">
        <v>20</v>
      </c>
      <c r="N30">
        <v>5</v>
      </c>
      <c r="O30" t="s">
        <v>368</v>
      </c>
      <c r="P30" t="s">
        <v>21</v>
      </c>
      <c r="Q30">
        <v>3</v>
      </c>
      <c r="R30">
        <v>0</v>
      </c>
      <c r="S30">
        <v>0</v>
      </c>
      <c r="T30">
        <v>0</v>
      </c>
      <c r="U30">
        <v>0</v>
      </c>
      <c r="V30">
        <v>10</v>
      </c>
      <c r="W30">
        <v>6.6</v>
      </c>
      <c r="X30" t="s">
        <v>117</v>
      </c>
      <c r="Y30" t="s">
        <v>117</v>
      </c>
      <c r="Z30">
        <v>10</v>
      </c>
      <c r="AA30">
        <v>6.6</v>
      </c>
      <c r="AB30">
        <v>10</v>
      </c>
      <c r="AC30">
        <v>6.6</v>
      </c>
      <c r="AD30" t="s">
        <v>117</v>
      </c>
      <c r="AE30" t="s">
        <v>117</v>
      </c>
      <c r="AF30">
        <v>3</v>
      </c>
      <c r="AG30" t="s">
        <v>421</v>
      </c>
      <c r="AH30">
        <f t="shared" si="0"/>
        <v>0</v>
      </c>
    </row>
    <row r="31" spans="1:34" x14ac:dyDescent="0.35">
      <c r="A31">
        <v>10</v>
      </c>
      <c r="B31" t="s">
        <v>193</v>
      </c>
      <c r="C31">
        <v>2</v>
      </c>
      <c r="D31">
        <v>1</v>
      </c>
      <c r="E31" t="s">
        <v>31</v>
      </c>
      <c r="F31" t="s">
        <v>194</v>
      </c>
      <c r="G31" t="s">
        <v>63</v>
      </c>
      <c r="H31" t="s">
        <v>195</v>
      </c>
      <c r="I31">
        <v>30</v>
      </c>
      <c r="J31">
        <v>30</v>
      </c>
      <c r="K31">
        <v>0</v>
      </c>
      <c r="L31">
        <v>0</v>
      </c>
      <c r="M31">
        <v>3</v>
      </c>
      <c r="N31">
        <v>2</v>
      </c>
      <c r="O31" t="s">
        <v>368</v>
      </c>
      <c r="P31" t="s">
        <v>23</v>
      </c>
      <c r="Q31">
        <v>3</v>
      </c>
      <c r="R31">
        <v>10</v>
      </c>
      <c r="S31">
        <v>1</v>
      </c>
      <c r="T31">
        <v>0</v>
      </c>
      <c r="U31">
        <v>0</v>
      </c>
      <c r="V31">
        <v>0</v>
      </c>
      <c r="W31">
        <v>0</v>
      </c>
      <c r="X31" t="s">
        <v>117</v>
      </c>
      <c r="Y31" t="s">
        <v>117</v>
      </c>
      <c r="Z31">
        <v>10</v>
      </c>
      <c r="AA31">
        <v>1</v>
      </c>
      <c r="AB31">
        <v>10</v>
      </c>
      <c r="AC31">
        <v>1</v>
      </c>
      <c r="AD31" t="s">
        <v>117</v>
      </c>
      <c r="AE31" t="s">
        <v>117</v>
      </c>
      <c r="AF31">
        <v>3</v>
      </c>
      <c r="AG31" t="s">
        <v>422</v>
      </c>
      <c r="AH31">
        <f t="shared" si="0"/>
        <v>0</v>
      </c>
    </row>
    <row r="32" spans="1:34" x14ac:dyDescent="0.35">
      <c r="A32">
        <v>11</v>
      </c>
      <c r="B32" t="s">
        <v>196</v>
      </c>
      <c r="C32">
        <v>1</v>
      </c>
      <c r="D32">
        <v>0</v>
      </c>
      <c r="E32" t="s">
        <v>29</v>
      </c>
      <c r="F32" t="s">
        <v>197</v>
      </c>
      <c r="G32" t="s">
        <v>62</v>
      </c>
      <c r="H32" t="s">
        <v>129</v>
      </c>
      <c r="I32">
        <v>0</v>
      </c>
      <c r="J32">
        <v>30000</v>
      </c>
      <c r="K32">
        <v>0</v>
      </c>
      <c r="L32">
        <v>0</v>
      </c>
      <c r="M32">
        <v>0</v>
      </c>
      <c r="N32">
        <v>25</v>
      </c>
      <c r="O32" t="s">
        <v>369</v>
      </c>
      <c r="P32" t="s">
        <v>20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 t="s">
        <v>117</v>
      </c>
      <c r="Y32" t="s">
        <v>117</v>
      </c>
      <c r="Z32">
        <v>0</v>
      </c>
      <c r="AA32">
        <v>0</v>
      </c>
      <c r="AB32">
        <v>0</v>
      </c>
      <c r="AC32">
        <v>0</v>
      </c>
      <c r="AD32" t="s">
        <v>117</v>
      </c>
      <c r="AE32" t="s">
        <v>117</v>
      </c>
      <c r="AF32">
        <v>0</v>
      </c>
      <c r="AG32" t="s">
        <v>130</v>
      </c>
      <c r="AH32">
        <f t="shared" si="0"/>
        <v>0</v>
      </c>
    </row>
    <row r="33" spans="1:34" x14ac:dyDescent="0.35">
      <c r="A33">
        <v>11</v>
      </c>
      <c r="B33" t="s">
        <v>198</v>
      </c>
      <c r="C33">
        <v>3</v>
      </c>
      <c r="D33">
        <v>0</v>
      </c>
      <c r="E33" t="s">
        <v>29</v>
      </c>
      <c r="F33" t="s">
        <v>199</v>
      </c>
      <c r="G33" t="s">
        <v>63</v>
      </c>
      <c r="H33" t="s">
        <v>200</v>
      </c>
      <c r="I33">
        <v>50</v>
      </c>
      <c r="J33">
        <v>50</v>
      </c>
      <c r="K33">
        <v>0</v>
      </c>
      <c r="L33">
        <v>0</v>
      </c>
      <c r="M33">
        <v>15</v>
      </c>
      <c r="N33">
        <v>5</v>
      </c>
      <c r="O33" t="s">
        <v>368</v>
      </c>
      <c r="P33" t="s">
        <v>21</v>
      </c>
      <c r="Q33">
        <v>3</v>
      </c>
      <c r="R33">
        <v>0</v>
      </c>
      <c r="S33">
        <v>0</v>
      </c>
      <c r="T33">
        <v>0</v>
      </c>
      <c r="U33">
        <v>0</v>
      </c>
      <c r="V33">
        <v>50</v>
      </c>
      <c r="W33">
        <v>15</v>
      </c>
      <c r="X33" t="s">
        <v>117</v>
      </c>
      <c r="Y33" t="s">
        <v>117</v>
      </c>
      <c r="Z33">
        <v>0</v>
      </c>
      <c r="AA33">
        <v>0</v>
      </c>
      <c r="AB33">
        <v>0</v>
      </c>
      <c r="AC33">
        <v>0</v>
      </c>
      <c r="AD33" t="s">
        <v>117</v>
      </c>
      <c r="AE33" t="s">
        <v>117</v>
      </c>
      <c r="AF33">
        <v>1</v>
      </c>
      <c r="AG33" t="s">
        <v>78</v>
      </c>
      <c r="AH33">
        <f t="shared" si="0"/>
        <v>0</v>
      </c>
    </row>
    <row r="34" spans="1:34" x14ac:dyDescent="0.35">
      <c r="A34">
        <v>11</v>
      </c>
      <c r="B34" t="s">
        <v>201</v>
      </c>
      <c r="C34">
        <v>1</v>
      </c>
      <c r="D34">
        <v>1</v>
      </c>
      <c r="E34" t="s">
        <v>43</v>
      </c>
      <c r="F34" t="s">
        <v>202</v>
      </c>
      <c r="G34" t="s">
        <v>63</v>
      </c>
      <c r="H34" t="s">
        <v>192</v>
      </c>
      <c r="I34">
        <v>30</v>
      </c>
      <c r="J34">
        <v>30</v>
      </c>
      <c r="K34">
        <v>0</v>
      </c>
      <c r="L34">
        <v>0</v>
      </c>
      <c r="M34">
        <v>20</v>
      </c>
      <c r="N34">
        <v>10</v>
      </c>
      <c r="O34" t="s">
        <v>368</v>
      </c>
      <c r="P34" t="s">
        <v>23</v>
      </c>
      <c r="Q34">
        <v>2</v>
      </c>
      <c r="R34">
        <v>0</v>
      </c>
      <c r="S34">
        <v>0</v>
      </c>
      <c r="T34">
        <v>15</v>
      </c>
      <c r="U34">
        <v>10</v>
      </c>
      <c r="V34">
        <v>0</v>
      </c>
      <c r="W34">
        <v>0</v>
      </c>
      <c r="X34" t="s">
        <v>117</v>
      </c>
      <c r="Y34" t="s">
        <v>117</v>
      </c>
      <c r="Z34">
        <v>15</v>
      </c>
      <c r="AA34">
        <v>10</v>
      </c>
      <c r="AB34">
        <v>0</v>
      </c>
      <c r="AC34">
        <v>0</v>
      </c>
      <c r="AD34" t="s">
        <v>117</v>
      </c>
      <c r="AE34" t="s">
        <v>117</v>
      </c>
      <c r="AF34">
        <v>2</v>
      </c>
      <c r="AG34" t="s">
        <v>414</v>
      </c>
      <c r="AH34">
        <f t="shared" si="0"/>
        <v>0</v>
      </c>
    </row>
    <row r="35" spans="1:34" x14ac:dyDescent="0.35">
      <c r="A35">
        <v>12</v>
      </c>
      <c r="B35" t="s">
        <v>203</v>
      </c>
      <c r="C35">
        <v>0</v>
      </c>
      <c r="D35">
        <v>1</v>
      </c>
      <c r="E35" t="s">
        <v>33</v>
      </c>
      <c r="F35" t="s">
        <v>204</v>
      </c>
      <c r="G35" t="s">
        <v>64</v>
      </c>
      <c r="H35" t="s">
        <v>205</v>
      </c>
      <c r="I35">
        <v>75</v>
      </c>
      <c r="J35">
        <v>75</v>
      </c>
      <c r="K35">
        <v>0</v>
      </c>
      <c r="L35">
        <v>0</v>
      </c>
      <c r="M35">
        <v>15</v>
      </c>
      <c r="N35">
        <v>4</v>
      </c>
      <c r="O35" t="s">
        <v>368</v>
      </c>
      <c r="P35" t="s">
        <v>22</v>
      </c>
      <c r="Q35">
        <v>1</v>
      </c>
      <c r="R35">
        <v>0</v>
      </c>
      <c r="S35">
        <v>0</v>
      </c>
      <c r="T35">
        <v>75</v>
      </c>
      <c r="U35">
        <v>15</v>
      </c>
      <c r="V35">
        <v>0</v>
      </c>
      <c r="W35">
        <v>0</v>
      </c>
      <c r="X35" t="s">
        <v>117</v>
      </c>
      <c r="Y35" t="s">
        <v>117</v>
      </c>
      <c r="Z35">
        <v>0</v>
      </c>
      <c r="AA35">
        <v>0</v>
      </c>
      <c r="AB35">
        <v>0</v>
      </c>
      <c r="AC35">
        <v>0</v>
      </c>
      <c r="AD35" t="s">
        <v>117</v>
      </c>
      <c r="AE35" t="s">
        <v>117</v>
      </c>
      <c r="AF35">
        <v>1</v>
      </c>
      <c r="AG35" t="s">
        <v>81</v>
      </c>
      <c r="AH35">
        <f t="shared" si="0"/>
        <v>0</v>
      </c>
    </row>
    <row r="36" spans="1:34" x14ac:dyDescent="0.35">
      <c r="A36">
        <v>12</v>
      </c>
      <c r="B36" t="s">
        <v>206</v>
      </c>
      <c r="C36">
        <v>1</v>
      </c>
      <c r="D36">
        <v>1</v>
      </c>
      <c r="E36" t="s">
        <v>31</v>
      </c>
      <c r="F36" t="s">
        <v>207</v>
      </c>
      <c r="G36" t="s">
        <v>62</v>
      </c>
      <c r="H36" t="s">
        <v>129</v>
      </c>
      <c r="I36">
        <v>0</v>
      </c>
      <c r="J36">
        <v>40</v>
      </c>
      <c r="K36">
        <v>0</v>
      </c>
      <c r="L36">
        <v>0</v>
      </c>
      <c r="M36">
        <v>0</v>
      </c>
      <c r="N36">
        <v>3</v>
      </c>
      <c r="O36" t="s">
        <v>369</v>
      </c>
      <c r="P36" t="s">
        <v>21</v>
      </c>
      <c r="Q36">
        <v>2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 t="s">
        <v>117</v>
      </c>
      <c r="Y36" t="s">
        <v>117</v>
      </c>
      <c r="Z36">
        <v>0</v>
      </c>
      <c r="AA36">
        <v>0</v>
      </c>
      <c r="AB36">
        <v>0</v>
      </c>
      <c r="AC36">
        <v>0</v>
      </c>
      <c r="AD36" t="s">
        <v>117</v>
      </c>
      <c r="AE36" t="s">
        <v>117</v>
      </c>
      <c r="AF36">
        <v>0</v>
      </c>
      <c r="AG36" t="s">
        <v>130</v>
      </c>
      <c r="AH36">
        <f t="shared" si="0"/>
        <v>0</v>
      </c>
    </row>
    <row r="37" spans="1:34" x14ac:dyDescent="0.35">
      <c r="A37">
        <v>12</v>
      </c>
      <c r="B37" t="s">
        <v>208</v>
      </c>
      <c r="C37">
        <v>1</v>
      </c>
      <c r="D37">
        <v>1</v>
      </c>
      <c r="E37" t="s">
        <v>29</v>
      </c>
      <c r="F37" t="s">
        <v>209</v>
      </c>
      <c r="G37" t="s">
        <v>65</v>
      </c>
      <c r="H37" t="s">
        <v>210</v>
      </c>
      <c r="I37">
        <v>40</v>
      </c>
      <c r="J37">
        <v>40</v>
      </c>
      <c r="K37">
        <v>0</v>
      </c>
      <c r="L37">
        <v>0</v>
      </c>
      <c r="M37">
        <v>24</v>
      </c>
      <c r="N37">
        <v>5</v>
      </c>
      <c r="O37" t="s">
        <v>368</v>
      </c>
      <c r="P37" s="28" t="s">
        <v>23</v>
      </c>
      <c r="Q37">
        <v>1</v>
      </c>
      <c r="R37">
        <v>0</v>
      </c>
      <c r="S37">
        <v>0</v>
      </c>
      <c r="T37">
        <v>0</v>
      </c>
      <c r="U37">
        <v>0</v>
      </c>
      <c r="V37">
        <v>13.3</v>
      </c>
      <c r="W37">
        <v>8</v>
      </c>
      <c r="X37" t="s">
        <v>117</v>
      </c>
      <c r="Y37" t="s">
        <v>117</v>
      </c>
      <c r="Z37">
        <v>13.3</v>
      </c>
      <c r="AA37">
        <v>8</v>
      </c>
      <c r="AB37">
        <v>13.3</v>
      </c>
      <c r="AC37">
        <v>8</v>
      </c>
      <c r="AD37" t="s">
        <v>117</v>
      </c>
      <c r="AE37" t="s">
        <v>117</v>
      </c>
      <c r="AF37">
        <v>3</v>
      </c>
      <c r="AG37" t="s">
        <v>421</v>
      </c>
      <c r="AH37">
        <f t="shared" si="0"/>
        <v>0</v>
      </c>
    </row>
    <row r="38" spans="1:34" x14ac:dyDescent="0.35">
      <c r="A38">
        <v>13</v>
      </c>
      <c r="B38" t="s">
        <v>211</v>
      </c>
      <c r="C38">
        <v>3</v>
      </c>
      <c r="D38">
        <v>1</v>
      </c>
      <c r="E38" t="s">
        <v>32</v>
      </c>
      <c r="F38" t="s">
        <v>212</v>
      </c>
      <c r="G38" t="s">
        <v>64</v>
      </c>
      <c r="H38" t="s">
        <v>213</v>
      </c>
      <c r="I38">
        <v>105</v>
      </c>
      <c r="J38">
        <v>30</v>
      </c>
      <c r="K38">
        <v>0</v>
      </c>
      <c r="L38">
        <v>0</v>
      </c>
      <c r="M38">
        <v>3</v>
      </c>
      <c r="N38">
        <v>0.5</v>
      </c>
      <c r="O38" t="s">
        <v>368</v>
      </c>
      <c r="P38" t="s">
        <v>23</v>
      </c>
      <c r="Q38">
        <v>4</v>
      </c>
      <c r="R38">
        <v>0</v>
      </c>
      <c r="S38">
        <v>0</v>
      </c>
      <c r="T38">
        <v>35</v>
      </c>
      <c r="U38">
        <v>1</v>
      </c>
      <c r="V38">
        <v>35</v>
      </c>
      <c r="W38">
        <v>1</v>
      </c>
      <c r="X38" t="s">
        <v>117</v>
      </c>
      <c r="Y38" t="s">
        <v>117</v>
      </c>
      <c r="Z38">
        <v>0</v>
      </c>
      <c r="AA38">
        <v>0</v>
      </c>
      <c r="AB38">
        <v>35</v>
      </c>
      <c r="AC38">
        <v>1</v>
      </c>
      <c r="AD38" t="s">
        <v>117</v>
      </c>
      <c r="AE38" t="s">
        <v>117</v>
      </c>
      <c r="AF38">
        <v>3</v>
      </c>
      <c r="AG38" t="s">
        <v>423</v>
      </c>
      <c r="AH38">
        <f t="shared" si="0"/>
        <v>0</v>
      </c>
    </row>
    <row r="39" spans="1:34" x14ac:dyDescent="0.35">
      <c r="A39">
        <v>13</v>
      </c>
      <c r="B39" t="s">
        <v>214</v>
      </c>
      <c r="C39">
        <v>0</v>
      </c>
      <c r="D39">
        <v>2</v>
      </c>
      <c r="E39" t="s">
        <v>42</v>
      </c>
      <c r="F39" t="s">
        <v>215</v>
      </c>
      <c r="G39" t="s">
        <v>63</v>
      </c>
      <c r="H39" t="s">
        <v>160</v>
      </c>
      <c r="I39">
        <v>50</v>
      </c>
      <c r="J39">
        <v>50</v>
      </c>
      <c r="K39">
        <v>0</v>
      </c>
      <c r="L39">
        <v>0</v>
      </c>
      <c r="M39">
        <v>20</v>
      </c>
      <c r="N39">
        <v>10</v>
      </c>
      <c r="O39" t="s">
        <v>368</v>
      </c>
      <c r="P39" t="s">
        <v>24</v>
      </c>
      <c r="Q39">
        <v>2</v>
      </c>
      <c r="R39">
        <v>0</v>
      </c>
      <c r="S39">
        <v>0</v>
      </c>
      <c r="T39">
        <v>0</v>
      </c>
      <c r="U39">
        <v>0</v>
      </c>
      <c r="V39">
        <v>25</v>
      </c>
      <c r="W39">
        <v>10</v>
      </c>
      <c r="X39" t="s">
        <v>117</v>
      </c>
      <c r="Y39" t="s">
        <v>117</v>
      </c>
      <c r="Z39">
        <v>0</v>
      </c>
      <c r="AA39">
        <v>0</v>
      </c>
      <c r="AB39">
        <v>25</v>
      </c>
      <c r="AC39">
        <v>10</v>
      </c>
      <c r="AD39" t="s">
        <v>117</v>
      </c>
      <c r="AE39" t="s">
        <v>117</v>
      </c>
      <c r="AF39">
        <v>2</v>
      </c>
      <c r="AG39" t="s">
        <v>424</v>
      </c>
      <c r="AH39">
        <f t="shared" si="0"/>
        <v>0</v>
      </c>
    </row>
    <row r="40" spans="1:34" x14ac:dyDescent="0.35">
      <c r="A40">
        <v>13</v>
      </c>
      <c r="B40" t="s">
        <v>216</v>
      </c>
      <c r="C40">
        <v>1</v>
      </c>
      <c r="D40">
        <v>0</v>
      </c>
      <c r="E40" t="s">
        <v>30</v>
      </c>
      <c r="F40" t="s">
        <v>217</v>
      </c>
      <c r="G40" t="s">
        <v>67</v>
      </c>
      <c r="H40" t="s">
        <v>218</v>
      </c>
      <c r="I40">
        <v>100</v>
      </c>
      <c r="J40">
        <v>50</v>
      </c>
      <c r="K40">
        <v>0</v>
      </c>
      <c r="L40">
        <v>0</v>
      </c>
      <c r="M40">
        <v>10</v>
      </c>
      <c r="N40">
        <v>2</v>
      </c>
      <c r="O40" t="s">
        <v>368</v>
      </c>
      <c r="P40" t="s">
        <v>20</v>
      </c>
      <c r="Q40">
        <v>1</v>
      </c>
      <c r="R40">
        <v>25</v>
      </c>
      <c r="S40">
        <v>2.5</v>
      </c>
      <c r="T40">
        <v>0</v>
      </c>
      <c r="U40">
        <v>0</v>
      </c>
      <c r="V40">
        <v>25</v>
      </c>
      <c r="W40">
        <v>2.5</v>
      </c>
      <c r="X40" t="s">
        <v>117</v>
      </c>
      <c r="Y40" t="s">
        <v>117</v>
      </c>
      <c r="Z40">
        <v>25</v>
      </c>
      <c r="AA40">
        <v>2.5</v>
      </c>
      <c r="AB40">
        <v>25</v>
      </c>
      <c r="AC40">
        <v>2.5</v>
      </c>
      <c r="AD40" t="s">
        <v>117</v>
      </c>
      <c r="AE40" t="s">
        <v>117</v>
      </c>
      <c r="AF40">
        <v>4</v>
      </c>
      <c r="AG40" t="s">
        <v>425</v>
      </c>
      <c r="AH40">
        <f t="shared" si="0"/>
        <v>0</v>
      </c>
    </row>
    <row r="41" spans="1:34" x14ac:dyDescent="0.35">
      <c r="A41">
        <v>14</v>
      </c>
      <c r="B41" t="s">
        <v>219</v>
      </c>
      <c r="C41">
        <v>2</v>
      </c>
      <c r="D41">
        <v>0</v>
      </c>
      <c r="E41" t="s">
        <v>30</v>
      </c>
      <c r="F41" t="s">
        <v>220</v>
      </c>
      <c r="G41" t="s">
        <v>64</v>
      </c>
      <c r="H41" t="s">
        <v>221</v>
      </c>
      <c r="I41">
        <v>100</v>
      </c>
      <c r="J41">
        <v>100</v>
      </c>
      <c r="K41">
        <v>0</v>
      </c>
      <c r="L41">
        <v>0</v>
      </c>
      <c r="M41">
        <v>6</v>
      </c>
      <c r="N41">
        <v>3</v>
      </c>
      <c r="O41" t="s">
        <v>368</v>
      </c>
      <c r="P41" t="s">
        <v>20</v>
      </c>
      <c r="Q41">
        <v>2</v>
      </c>
      <c r="R41">
        <v>0</v>
      </c>
      <c r="S41">
        <v>0</v>
      </c>
      <c r="T41">
        <v>50</v>
      </c>
      <c r="U41">
        <v>3</v>
      </c>
      <c r="V41">
        <v>0</v>
      </c>
      <c r="W41">
        <v>0</v>
      </c>
      <c r="X41" t="s">
        <v>117</v>
      </c>
      <c r="Y41" t="s">
        <v>117</v>
      </c>
      <c r="Z41">
        <v>50</v>
      </c>
      <c r="AA41">
        <v>3</v>
      </c>
      <c r="AB41">
        <v>0</v>
      </c>
      <c r="AC41">
        <v>0</v>
      </c>
      <c r="AD41" t="s">
        <v>117</v>
      </c>
      <c r="AE41" t="s">
        <v>117</v>
      </c>
      <c r="AF41">
        <v>2</v>
      </c>
      <c r="AG41" t="s">
        <v>414</v>
      </c>
      <c r="AH41">
        <f t="shared" si="0"/>
        <v>0</v>
      </c>
    </row>
    <row r="42" spans="1:34" x14ac:dyDescent="0.35">
      <c r="A42">
        <v>14</v>
      </c>
      <c r="B42" t="s">
        <v>222</v>
      </c>
      <c r="C42">
        <v>2</v>
      </c>
      <c r="D42">
        <v>1</v>
      </c>
      <c r="E42" t="s">
        <v>47</v>
      </c>
      <c r="F42" t="s">
        <v>223</v>
      </c>
      <c r="G42" t="s">
        <v>62</v>
      </c>
      <c r="H42" t="s">
        <v>129</v>
      </c>
      <c r="I42">
        <v>0</v>
      </c>
      <c r="J42">
        <v>100</v>
      </c>
      <c r="K42">
        <v>0</v>
      </c>
      <c r="L42">
        <v>0</v>
      </c>
      <c r="M42">
        <v>0</v>
      </c>
      <c r="N42">
        <v>3</v>
      </c>
      <c r="O42" t="s">
        <v>369</v>
      </c>
      <c r="P42" t="s">
        <v>25</v>
      </c>
      <c r="Q42">
        <v>3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 t="s">
        <v>117</v>
      </c>
      <c r="Y42" t="s">
        <v>117</v>
      </c>
      <c r="Z42">
        <v>0</v>
      </c>
      <c r="AA42">
        <v>0</v>
      </c>
      <c r="AB42">
        <v>0</v>
      </c>
      <c r="AC42">
        <v>0</v>
      </c>
      <c r="AD42" t="s">
        <v>117</v>
      </c>
      <c r="AE42" t="s">
        <v>117</v>
      </c>
      <c r="AF42">
        <v>0</v>
      </c>
      <c r="AG42" t="s">
        <v>130</v>
      </c>
      <c r="AH42">
        <f t="shared" si="0"/>
        <v>0</v>
      </c>
    </row>
    <row r="43" spans="1:34" x14ac:dyDescent="0.35">
      <c r="A43">
        <v>14</v>
      </c>
      <c r="B43" t="s">
        <v>224</v>
      </c>
      <c r="C43">
        <v>0</v>
      </c>
      <c r="D43">
        <v>1</v>
      </c>
      <c r="E43" t="s">
        <v>29</v>
      </c>
      <c r="F43" t="s">
        <v>225</v>
      </c>
      <c r="G43" t="s">
        <v>63</v>
      </c>
      <c r="H43" t="s">
        <v>129</v>
      </c>
      <c r="I43">
        <v>0</v>
      </c>
      <c r="J43">
        <v>45</v>
      </c>
      <c r="K43">
        <v>0</v>
      </c>
      <c r="L43">
        <v>0</v>
      </c>
      <c r="M43">
        <v>0</v>
      </c>
      <c r="N43">
        <v>5</v>
      </c>
      <c r="O43" t="s">
        <v>369</v>
      </c>
      <c r="P43" t="s">
        <v>22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 t="s">
        <v>117</v>
      </c>
      <c r="Y43" t="s">
        <v>117</v>
      </c>
      <c r="Z43">
        <v>0</v>
      </c>
      <c r="AA43">
        <v>0</v>
      </c>
      <c r="AB43">
        <v>0</v>
      </c>
      <c r="AC43">
        <v>0</v>
      </c>
      <c r="AD43" t="s">
        <v>117</v>
      </c>
      <c r="AE43" t="s">
        <v>117</v>
      </c>
      <c r="AF43">
        <v>0</v>
      </c>
      <c r="AG43" t="s">
        <v>130</v>
      </c>
      <c r="AH43">
        <f t="shared" si="0"/>
        <v>0</v>
      </c>
    </row>
    <row r="44" spans="1:34" x14ac:dyDescent="0.35">
      <c r="A44">
        <v>15</v>
      </c>
      <c r="B44" t="s">
        <v>226</v>
      </c>
      <c r="C44">
        <v>1</v>
      </c>
      <c r="D44">
        <v>0</v>
      </c>
      <c r="E44" t="s">
        <v>54</v>
      </c>
      <c r="F44" t="s">
        <v>227</v>
      </c>
      <c r="G44" t="s">
        <v>63</v>
      </c>
      <c r="H44" t="s">
        <v>228</v>
      </c>
      <c r="I44">
        <v>100</v>
      </c>
      <c r="J44">
        <v>30</v>
      </c>
      <c r="K44">
        <v>0</v>
      </c>
      <c r="L44">
        <v>0</v>
      </c>
      <c r="M44">
        <v>40</v>
      </c>
      <c r="N44">
        <v>3</v>
      </c>
      <c r="O44" t="s">
        <v>368</v>
      </c>
      <c r="P44" t="s">
        <v>22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t="s">
        <v>117</v>
      </c>
      <c r="Y44" t="s">
        <v>117</v>
      </c>
      <c r="Z44">
        <v>100</v>
      </c>
      <c r="AA44">
        <v>40</v>
      </c>
      <c r="AB44">
        <v>0</v>
      </c>
      <c r="AC44">
        <v>0</v>
      </c>
      <c r="AD44" t="s">
        <v>117</v>
      </c>
      <c r="AE44" t="s">
        <v>117</v>
      </c>
      <c r="AF44">
        <v>1</v>
      </c>
      <c r="AG44" t="s">
        <v>79</v>
      </c>
      <c r="AH44">
        <f t="shared" si="0"/>
        <v>0</v>
      </c>
    </row>
    <row r="45" spans="1:34" x14ac:dyDescent="0.35">
      <c r="A45">
        <v>15</v>
      </c>
      <c r="B45" t="s">
        <v>229</v>
      </c>
      <c r="C45">
        <v>2</v>
      </c>
      <c r="D45">
        <v>0</v>
      </c>
      <c r="E45" t="s">
        <v>30</v>
      </c>
      <c r="F45" t="s">
        <v>230</v>
      </c>
      <c r="G45" t="s">
        <v>65</v>
      </c>
      <c r="H45" t="s">
        <v>231</v>
      </c>
      <c r="I45">
        <v>25</v>
      </c>
      <c r="J45">
        <v>50</v>
      </c>
      <c r="K45">
        <v>25</v>
      </c>
      <c r="L45">
        <v>0</v>
      </c>
      <c r="M45">
        <v>25</v>
      </c>
      <c r="N45">
        <v>4</v>
      </c>
      <c r="O45" t="s">
        <v>368</v>
      </c>
      <c r="P45" t="s">
        <v>23</v>
      </c>
      <c r="Q45">
        <v>2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 t="s">
        <v>117</v>
      </c>
      <c r="Y45" t="s">
        <v>117</v>
      </c>
      <c r="Z45">
        <v>0</v>
      </c>
      <c r="AA45">
        <v>0</v>
      </c>
      <c r="AB45">
        <v>50</v>
      </c>
      <c r="AC45">
        <v>50</v>
      </c>
      <c r="AD45" t="s">
        <v>117</v>
      </c>
      <c r="AE45" t="s">
        <v>117</v>
      </c>
      <c r="AF45">
        <v>1</v>
      </c>
      <c r="AG45" t="s">
        <v>426</v>
      </c>
      <c r="AH45">
        <f t="shared" si="0"/>
        <v>0</v>
      </c>
    </row>
    <row r="46" spans="1:34" x14ac:dyDescent="0.35">
      <c r="A46">
        <v>15</v>
      </c>
      <c r="B46" s="48" t="s">
        <v>232</v>
      </c>
      <c r="C46" s="48">
        <v>3</v>
      </c>
      <c r="D46" s="48">
        <v>0</v>
      </c>
      <c r="E46" s="48" t="s">
        <v>35</v>
      </c>
      <c r="F46" s="48" t="s">
        <v>233</v>
      </c>
      <c r="G46" s="48" t="s">
        <v>62</v>
      </c>
      <c r="H46" s="48" t="s">
        <v>234</v>
      </c>
      <c r="I46" s="48">
        <v>5</v>
      </c>
      <c r="J46" s="48">
        <v>5</v>
      </c>
      <c r="K46" s="48">
        <v>0</v>
      </c>
      <c r="L46" s="48">
        <v>0</v>
      </c>
      <c r="M46" s="48">
        <v>5</v>
      </c>
      <c r="N46" s="48">
        <v>5</v>
      </c>
      <c r="O46" s="48" t="s">
        <v>368</v>
      </c>
      <c r="P46" s="48" t="s">
        <v>21</v>
      </c>
      <c r="Q46" s="48">
        <v>3</v>
      </c>
      <c r="R46" s="48">
        <v>0</v>
      </c>
      <c r="S46" s="48">
        <v>0</v>
      </c>
      <c r="T46" s="48">
        <v>0</v>
      </c>
      <c r="U46">
        <v>0</v>
      </c>
      <c r="V46">
        <v>0</v>
      </c>
      <c r="W46">
        <v>0</v>
      </c>
      <c r="X46" t="s">
        <v>117</v>
      </c>
      <c r="Y46" t="s">
        <v>117</v>
      </c>
      <c r="Z46">
        <v>0</v>
      </c>
      <c r="AA46">
        <v>0</v>
      </c>
      <c r="AB46">
        <v>0</v>
      </c>
      <c r="AC46">
        <v>0</v>
      </c>
      <c r="AD46" t="s">
        <v>117</v>
      </c>
      <c r="AE46" t="s">
        <v>117</v>
      </c>
      <c r="AF46">
        <v>3</v>
      </c>
      <c r="AG46" t="s">
        <v>427</v>
      </c>
      <c r="AH46">
        <f t="shared" si="0"/>
        <v>0</v>
      </c>
    </row>
    <row r="47" spans="1:34" x14ac:dyDescent="0.35">
      <c r="A47">
        <v>16</v>
      </c>
      <c r="B47" t="s">
        <v>235</v>
      </c>
      <c r="C47">
        <v>1</v>
      </c>
      <c r="D47">
        <v>1</v>
      </c>
      <c r="E47" t="s">
        <v>31</v>
      </c>
      <c r="F47" t="s">
        <v>236</v>
      </c>
      <c r="G47" t="s">
        <v>63</v>
      </c>
      <c r="H47" t="s">
        <v>237</v>
      </c>
      <c r="I47">
        <v>50</v>
      </c>
      <c r="J47">
        <v>80</v>
      </c>
      <c r="K47">
        <v>30</v>
      </c>
      <c r="L47">
        <v>0</v>
      </c>
      <c r="M47">
        <v>3.5</v>
      </c>
      <c r="N47">
        <v>4</v>
      </c>
      <c r="O47" t="s">
        <v>368</v>
      </c>
      <c r="P47" t="s">
        <v>24</v>
      </c>
      <c r="Q47">
        <v>2</v>
      </c>
      <c r="R47">
        <v>40</v>
      </c>
      <c r="S47">
        <v>1.75</v>
      </c>
      <c r="T47">
        <v>0</v>
      </c>
      <c r="U47">
        <v>0</v>
      </c>
      <c r="V47">
        <v>40</v>
      </c>
      <c r="W47">
        <v>1.75</v>
      </c>
      <c r="X47" t="s">
        <v>117</v>
      </c>
      <c r="Y47" t="s">
        <v>117</v>
      </c>
      <c r="Z47">
        <v>0</v>
      </c>
      <c r="AA47">
        <v>0</v>
      </c>
      <c r="AB47">
        <v>0</v>
      </c>
      <c r="AC47">
        <v>0</v>
      </c>
      <c r="AD47" t="s">
        <v>117</v>
      </c>
      <c r="AE47" t="s">
        <v>117</v>
      </c>
      <c r="AF47">
        <v>2</v>
      </c>
      <c r="AG47" t="s">
        <v>428</v>
      </c>
      <c r="AH47">
        <f t="shared" si="0"/>
        <v>0</v>
      </c>
    </row>
    <row r="48" spans="1:34" x14ac:dyDescent="0.35">
      <c r="A48">
        <v>16</v>
      </c>
      <c r="B48" t="s">
        <v>238</v>
      </c>
      <c r="C48">
        <v>3</v>
      </c>
      <c r="D48">
        <v>1</v>
      </c>
      <c r="E48" t="s">
        <v>29</v>
      </c>
      <c r="F48" t="s">
        <v>239</v>
      </c>
      <c r="G48" t="s">
        <v>62</v>
      </c>
      <c r="H48" t="s">
        <v>129</v>
      </c>
      <c r="I48">
        <v>0</v>
      </c>
      <c r="J48">
        <v>75</v>
      </c>
      <c r="K48">
        <v>0</v>
      </c>
      <c r="L48">
        <v>0</v>
      </c>
      <c r="M48">
        <v>0</v>
      </c>
      <c r="N48">
        <v>7</v>
      </c>
      <c r="O48" t="s">
        <v>369</v>
      </c>
      <c r="P48" t="s">
        <v>22</v>
      </c>
      <c r="Q48">
        <v>4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 t="s">
        <v>117</v>
      </c>
      <c r="Y48" t="s">
        <v>117</v>
      </c>
      <c r="Z48">
        <v>0</v>
      </c>
      <c r="AA48">
        <v>0</v>
      </c>
      <c r="AB48">
        <v>0</v>
      </c>
      <c r="AC48">
        <v>0</v>
      </c>
      <c r="AD48" t="s">
        <v>117</v>
      </c>
      <c r="AE48" t="s">
        <v>117</v>
      </c>
      <c r="AF48">
        <v>0</v>
      </c>
      <c r="AG48" t="s">
        <v>130</v>
      </c>
      <c r="AH48">
        <f t="shared" si="0"/>
        <v>0</v>
      </c>
    </row>
    <row r="49" spans="1:34" x14ac:dyDescent="0.35">
      <c r="A49">
        <v>16</v>
      </c>
      <c r="B49" t="s">
        <v>240</v>
      </c>
      <c r="C49">
        <v>1</v>
      </c>
      <c r="D49">
        <v>1</v>
      </c>
      <c r="E49" t="s">
        <v>33</v>
      </c>
      <c r="F49" t="s">
        <v>241</v>
      </c>
      <c r="G49" t="s">
        <v>63</v>
      </c>
      <c r="H49" t="s">
        <v>242</v>
      </c>
      <c r="I49">
        <v>75</v>
      </c>
      <c r="J49">
        <v>75</v>
      </c>
      <c r="K49">
        <v>0</v>
      </c>
      <c r="L49">
        <v>0</v>
      </c>
      <c r="M49">
        <v>15</v>
      </c>
      <c r="N49">
        <v>4</v>
      </c>
      <c r="O49" t="s">
        <v>368</v>
      </c>
      <c r="P49" t="s">
        <v>20</v>
      </c>
      <c r="Q49">
        <v>2</v>
      </c>
      <c r="R49">
        <v>0</v>
      </c>
      <c r="S49">
        <v>0</v>
      </c>
      <c r="T49">
        <v>37.5</v>
      </c>
      <c r="U49">
        <v>7.5</v>
      </c>
      <c r="V49">
        <v>0</v>
      </c>
      <c r="W49">
        <v>0</v>
      </c>
      <c r="X49" t="s">
        <v>117</v>
      </c>
      <c r="Y49" t="s">
        <v>117</v>
      </c>
      <c r="Z49">
        <v>37.5</v>
      </c>
      <c r="AA49">
        <v>7.5</v>
      </c>
      <c r="AB49">
        <v>0</v>
      </c>
      <c r="AC49">
        <v>0</v>
      </c>
      <c r="AD49" t="s">
        <v>117</v>
      </c>
      <c r="AE49" t="s">
        <v>117</v>
      </c>
      <c r="AF49">
        <v>2</v>
      </c>
      <c r="AG49" t="s">
        <v>414</v>
      </c>
      <c r="AH49">
        <f t="shared" si="0"/>
        <v>0</v>
      </c>
    </row>
    <row r="50" spans="1:34" x14ac:dyDescent="0.35">
      <c r="A50">
        <v>16</v>
      </c>
      <c r="B50" t="s">
        <v>243</v>
      </c>
      <c r="C50">
        <v>1</v>
      </c>
      <c r="D50">
        <v>3</v>
      </c>
      <c r="E50" t="s">
        <v>29</v>
      </c>
      <c r="F50" t="s">
        <v>244</v>
      </c>
      <c r="G50" t="s">
        <v>62</v>
      </c>
      <c r="H50" t="s">
        <v>245</v>
      </c>
      <c r="I50">
        <v>45</v>
      </c>
      <c r="J50">
        <v>45</v>
      </c>
      <c r="K50">
        <v>0</v>
      </c>
      <c r="L50">
        <v>0</v>
      </c>
      <c r="M50">
        <v>12</v>
      </c>
      <c r="N50">
        <v>2</v>
      </c>
      <c r="O50" t="s">
        <v>368</v>
      </c>
      <c r="P50" t="s">
        <v>25</v>
      </c>
      <c r="Q50">
        <v>4</v>
      </c>
      <c r="R50">
        <v>0</v>
      </c>
      <c r="S50">
        <v>0</v>
      </c>
      <c r="T50">
        <v>0</v>
      </c>
      <c r="U50">
        <v>0</v>
      </c>
      <c r="V50">
        <v>22.5</v>
      </c>
      <c r="W50">
        <v>6</v>
      </c>
      <c r="X50" t="s">
        <v>117</v>
      </c>
      <c r="Y50" t="s">
        <v>117</v>
      </c>
      <c r="Z50">
        <v>22.5</v>
      </c>
      <c r="AA50">
        <v>6</v>
      </c>
      <c r="AB50">
        <v>0</v>
      </c>
      <c r="AC50">
        <v>0</v>
      </c>
      <c r="AD50" t="s">
        <v>117</v>
      </c>
      <c r="AE50" t="s">
        <v>117</v>
      </c>
      <c r="AF50">
        <v>2</v>
      </c>
      <c r="AG50" t="s">
        <v>415</v>
      </c>
      <c r="AH50">
        <f t="shared" si="0"/>
        <v>0</v>
      </c>
    </row>
    <row r="51" spans="1:34" x14ac:dyDescent="0.35">
      <c r="A51">
        <v>17</v>
      </c>
      <c r="B51" t="s">
        <v>246</v>
      </c>
      <c r="C51">
        <v>3</v>
      </c>
      <c r="D51">
        <v>0</v>
      </c>
      <c r="E51" t="s">
        <v>57</v>
      </c>
      <c r="F51" t="s">
        <v>247</v>
      </c>
      <c r="G51" t="s">
        <v>63</v>
      </c>
      <c r="H51" t="s">
        <v>142</v>
      </c>
      <c r="I51">
        <v>50</v>
      </c>
      <c r="J51">
        <v>50</v>
      </c>
      <c r="K51">
        <v>0</v>
      </c>
      <c r="L51">
        <v>0</v>
      </c>
      <c r="M51">
        <v>25</v>
      </c>
      <c r="N51">
        <v>10</v>
      </c>
      <c r="O51" t="s">
        <v>368</v>
      </c>
      <c r="P51" t="s">
        <v>23</v>
      </c>
      <c r="Q51">
        <v>3</v>
      </c>
      <c r="R51">
        <v>10</v>
      </c>
      <c r="S51">
        <v>5</v>
      </c>
      <c r="T51">
        <v>10</v>
      </c>
      <c r="U51">
        <v>5</v>
      </c>
      <c r="V51">
        <v>10</v>
      </c>
      <c r="W51">
        <v>5</v>
      </c>
      <c r="X51" t="s">
        <v>117</v>
      </c>
      <c r="Y51" t="s">
        <v>117</v>
      </c>
      <c r="Z51">
        <v>10</v>
      </c>
      <c r="AA51">
        <v>5</v>
      </c>
      <c r="AB51">
        <v>10</v>
      </c>
      <c r="AC51">
        <v>5</v>
      </c>
      <c r="AD51" t="s">
        <v>117</v>
      </c>
      <c r="AE51" t="s">
        <v>117</v>
      </c>
      <c r="AF51">
        <v>5</v>
      </c>
      <c r="AG51" t="s">
        <v>429</v>
      </c>
      <c r="AH51">
        <f t="shared" si="0"/>
        <v>0</v>
      </c>
    </row>
    <row r="52" spans="1:34" x14ac:dyDescent="0.35">
      <c r="A52">
        <v>17</v>
      </c>
      <c r="B52" t="s">
        <v>248</v>
      </c>
      <c r="C52">
        <v>1</v>
      </c>
      <c r="D52">
        <v>1</v>
      </c>
      <c r="E52" t="s">
        <v>30</v>
      </c>
      <c r="F52" t="s">
        <v>249</v>
      </c>
      <c r="G52" t="s">
        <v>65</v>
      </c>
      <c r="H52" t="s">
        <v>250</v>
      </c>
      <c r="I52">
        <v>150</v>
      </c>
      <c r="J52">
        <v>150</v>
      </c>
      <c r="K52">
        <v>0</v>
      </c>
      <c r="L52">
        <v>0</v>
      </c>
      <c r="M52">
        <v>15</v>
      </c>
      <c r="N52">
        <v>3</v>
      </c>
      <c r="O52" t="s">
        <v>368</v>
      </c>
      <c r="P52" t="s">
        <v>26</v>
      </c>
      <c r="Q52">
        <v>2</v>
      </c>
      <c r="R52">
        <v>50</v>
      </c>
      <c r="S52">
        <v>3</v>
      </c>
      <c r="T52">
        <v>50</v>
      </c>
      <c r="U52">
        <v>3</v>
      </c>
      <c r="V52">
        <v>0</v>
      </c>
      <c r="W52">
        <v>0</v>
      </c>
      <c r="X52" t="s">
        <v>117</v>
      </c>
      <c r="Y52" t="s">
        <v>117</v>
      </c>
      <c r="Z52">
        <v>0</v>
      </c>
      <c r="AA52">
        <v>0</v>
      </c>
      <c r="AB52">
        <v>50</v>
      </c>
      <c r="AC52">
        <v>3</v>
      </c>
      <c r="AD52" t="s">
        <v>117</v>
      </c>
      <c r="AE52" t="s">
        <v>117</v>
      </c>
      <c r="AF52">
        <v>3</v>
      </c>
      <c r="AG52" t="s">
        <v>431</v>
      </c>
      <c r="AH52">
        <f t="shared" si="0"/>
        <v>0</v>
      </c>
    </row>
    <row r="53" spans="1:34" x14ac:dyDescent="0.35">
      <c r="A53">
        <v>17</v>
      </c>
      <c r="B53" t="s">
        <v>251</v>
      </c>
      <c r="C53">
        <v>1</v>
      </c>
      <c r="D53">
        <v>1</v>
      </c>
      <c r="E53" t="s">
        <v>33</v>
      </c>
      <c r="F53" t="s">
        <v>252</v>
      </c>
      <c r="G53" t="s">
        <v>63</v>
      </c>
      <c r="H53" t="s">
        <v>129</v>
      </c>
      <c r="I53">
        <v>0</v>
      </c>
      <c r="J53">
        <v>50</v>
      </c>
      <c r="K53">
        <v>0</v>
      </c>
      <c r="L53">
        <v>0</v>
      </c>
      <c r="M53">
        <v>0</v>
      </c>
      <c r="N53">
        <v>5</v>
      </c>
      <c r="O53" t="s">
        <v>369</v>
      </c>
      <c r="P53" t="s">
        <v>20</v>
      </c>
      <c r="Q53">
        <v>2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 t="s">
        <v>117</v>
      </c>
      <c r="Y53" t="s">
        <v>117</v>
      </c>
      <c r="Z53">
        <v>0</v>
      </c>
      <c r="AA53">
        <v>0</v>
      </c>
      <c r="AB53">
        <v>0</v>
      </c>
      <c r="AC53">
        <v>0</v>
      </c>
      <c r="AD53" t="s">
        <v>117</v>
      </c>
      <c r="AE53" t="s">
        <v>117</v>
      </c>
      <c r="AF53">
        <v>0</v>
      </c>
      <c r="AG53" t="s">
        <v>130</v>
      </c>
      <c r="AH53">
        <f t="shared" si="0"/>
        <v>0</v>
      </c>
    </row>
    <row r="54" spans="1:34" x14ac:dyDescent="0.35">
      <c r="A54">
        <v>17</v>
      </c>
      <c r="B54" t="s">
        <v>253</v>
      </c>
      <c r="C54">
        <v>1</v>
      </c>
      <c r="D54">
        <v>0</v>
      </c>
      <c r="E54" t="s">
        <v>31</v>
      </c>
      <c r="F54" t="s">
        <v>254</v>
      </c>
      <c r="G54" t="s">
        <v>65</v>
      </c>
      <c r="H54" t="s">
        <v>255</v>
      </c>
      <c r="I54">
        <v>80</v>
      </c>
      <c r="J54">
        <v>80</v>
      </c>
      <c r="K54">
        <v>0</v>
      </c>
      <c r="L54">
        <v>0</v>
      </c>
      <c r="M54">
        <v>20</v>
      </c>
      <c r="N54">
        <v>10</v>
      </c>
      <c r="O54" t="s">
        <v>368</v>
      </c>
      <c r="P54" t="s">
        <v>25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 t="s">
        <v>117</v>
      </c>
      <c r="Y54" t="s">
        <v>117</v>
      </c>
      <c r="Z54">
        <v>0</v>
      </c>
      <c r="AA54">
        <v>0</v>
      </c>
      <c r="AB54">
        <v>80</v>
      </c>
      <c r="AC54">
        <v>20</v>
      </c>
      <c r="AD54" t="s">
        <v>117</v>
      </c>
      <c r="AE54" t="s">
        <v>117</v>
      </c>
      <c r="AF54">
        <v>1</v>
      </c>
      <c r="AG54" t="s">
        <v>426</v>
      </c>
      <c r="AH54">
        <f t="shared" si="0"/>
        <v>0</v>
      </c>
    </row>
    <row r="55" spans="1:34" x14ac:dyDescent="0.35">
      <c r="A55">
        <v>18</v>
      </c>
      <c r="B55" t="s">
        <v>256</v>
      </c>
      <c r="C55">
        <v>2</v>
      </c>
      <c r="D55">
        <v>1</v>
      </c>
      <c r="E55" t="s">
        <v>32</v>
      </c>
      <c r="F55" t="s">
        <v>257</v>
      </c>
      <c r="G55" t="s">
        <v>62</v>
      </c>
      <c r="H55" t="s">
        <v>129</v>
      </c>
      <c r="I55">
        <v>0</v>
      </c>
      <c r="J55">
        <v>90</v>
      </c>
      <c r="K55">
        <v>0</v>
      </c>
      <c r="L55">
        <v>0</v>
      </c>
      <c r="M55">
        <v>0</v>
      </c>
      <c r="N55">
        <v>3</v>
      </c>
      <c r="O55" t="s">
        <v>369</v>
      </c>
      <c r="P55" t="s">
        <v>25</v>
      </c>
      <c r="Q55">
        <v>3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 t="s">
        <v>117</v>
      </c>
      <c r="Y55" t="s">
        <v>117</v>
      </c>
      <c r="Z55">
        <v>0</v>
      </c>
      <c r="AA55">
        <v>0</v>
      </c>
      <c r="AB55">
        <v>0</v>
      </c>
      <c r="AC55">
        <v>0</v>
      </c>
      <c r="AD55" t="s">
        <v>117</v>
      </c>
      <c r="AE55" t="s">
        <v>117</v>
      </c>
      <c r="AF55">
        <v>0</v>
      </c>
      <c r="AG55" t="s">
        <v>130</v>
      </c>
      <c r="AH55">
        <f t="shared" si="0"/>
        <v>0</v>
      </c>
    </row>
    <row r="56" spans="1:34" x14ac:dyDescent="0.35">
      <c r="A56">
        <v>18</v>
      </c>
      <c r="B56" t="s">
        <v>258</v>
      </c>
      <c r="C56">
        <v>0</v>
      </c>
      <c r="D56">
        <v>1</v>
      </c>
      <c r="E56" t="s">
        <v>32</v>
      </c>
      <c r="F56" t="s">
        <v>259</v>
      </c>
      <c r="G56" t="s">
        <v>62</v>
      </c>
      <c r="H56" t="s">
        <v>129</v>
      </c>
      <c r="I56">
        <v>0</v>
      </c>
      <c r="J56">
        <v>50</v>
      </c>
      <c r="K56">
        <v>0</v>
      </c>
      <c r="L56">
        <v>0</v>
      </c>
      <c r="M56">
        <v>0</v>
      </c>
      <c r="N56">
        <v>4</v>
      </c>
      <c r="O56" t="s">
        <v>369</v>
      </c>
      <c r="P56" t="s">
        <v>21</v>
      </c>
      <c r="Q56">
        <v>2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 t="s">
        <v>117</v>
      </c>
      <c r="Y56" t="s">
        <v>117</v>
      </c>
      <c r="Z56">
        <v>0</v>
      </c>
      <c r="AA56">
        <v>0</v>
      </c>
      <c r="AB56">
        <v>0</v>
      </c>
      <c r="AC56">
        <v>0</v>
      </c>
      <c r="AD56" t="s">
        <v>117</v>
      </c>
      <c r="AE56" t="s">
        <v>117</v>
      </c>
      <c r="AF56">
        <v>0</v>
      </c>
      <c r="AG56" t="s">
        <v>130</v>
      </c>
      <c r="AH56">
        <f t="shared" si="0"/>
        <v>0</v>
      </c>
    </row>
    <row r="57" spans="1:34" x14ac:dyDescent="0.35">
      <c r="A57">
        <v>18</v>
      </c>
      <c r="B57" t="s">
        <v>260</v>
      </c>
      <c r="C57">
        <v>2</v>
      </c>
      <c r="D57">
        <v>0</v>
      </c>
      <c r="E57" t="s">
        <v>36</v>
      </c>
      <c r="F57" t="s">
        <v>261</v>
      </c>
      <c r="G57" t="s">
        <v>66</v>
      </c>
      <c r="H57" t="s">
        <v>262</v>
      </c>
      <c r="I57">
        <v>1</v>
      </c>
      <c r="J57">
        <v>100</v>
      </c>
      <c r="K57">
        <v>99</v>
      </c>
      <c r="L57">
        <v>0</v>
      </c>
      <c r="M57">
        <v>1</v>
      </c>
      <c r="N57">
        <v>1</v>
      </c>
      <c r="O57" t="s">
        <v>368</v>
      </c>
      <c r="P57" t="s">
        <v>27</v>
      </c>
      <c r="Q57">
        <v>2</v>
      </c>
      <c r="R57">
        <v>100</v>
      </c>
      <c r="S57">
        <v>1</v>
      </c>
      <c r="T57">
        <v>0</v>
      </c>
      <c r="U57">
        <v>0</v>
      </c>
      <c r="V57">
        <v>0</v>
      </c>
      <c r="W57">
        <v>0</v>
      </c>
      <c r="X57" t="s">
        <v>117</v>
      </c>
      <c r="Y57" t="s">
        <v>117</v>
      </c>
      <c r="Z57">
        <v>0</v>
      </c>
      <c r="AA57">
        <v>0</v>
      </c>
      <c r="AB57">
        <v>0</v>
      </c>
      <c r="AC57">
        <v>0</v>
      </c>
      <c r="AD57" t="s">
        <v>117</v>
      </c>
      <c r="AE57" t="s">
        <v>117</v>
      </c>
      <c r="AF57">
        <v>1</v>
      </c>
      <c r="AG57" t="s">
        <v>77</v>
      </c>
      <c r="AH57">
        <f t="shared" si="0"/>
        <v>0</v>
      </c>
    </row>
    <row r="58" spans="1:34" x14ac:dyDescent="0.35">
      <c r="A58">
        <v>18</v>
      </c>
      <c r="B58" t="s">
        <v>263</v>
      </c>
      <c r="C58">
        <v>0</v>
      </c>
      <c r="D58">
        <v>1</v>
      </c>
      <c r="E58" t="s">
        <v>33</v>
      </c>
      <c r="F58" t="s">
        <v>264</v>
      </c>
      <c r="G58" t="s">
        <v>63</v>
      </c>
      <c r="H58" t="s">
        <v>129</v>
      </c>
      <c r="I58">
        <v>0</v>
      </c>
      <c r="J58">
        <v>50</v>
      </c>
      <c r="K58">
        <v>0</v>
      </c>
      <c r="L58">
        <v>0</v>
      </c>
      <c r="M58">
        <v>0</v>
      </c>
      <c r="N58">
        <v>2.5</v>
      </c>
      <c r="O58" t="s">
        <v>369</v>
      </c>
      <c r="P58" t="s">
        <v>20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 t="s">
        <v>117</v>
      </c>
      <c r="Y58" t="s">
        <v>117</v>
      </c>
      <c r="Z58">
        <v>0</v>
      </c>
      <c r="AA58">
        <v>0</v>
      </c>
      <c r="AB58">
        <v>0</v>
      </c>
      <c r="AC58">
        <v>0</v>
      </c>
      <c r="AD58" t="s">
        <v>117</v>
      </c>
      <c r="AE58" t="s">
        <v>117</v>
      </c>
      <c r="AF58">
        <v>0</v>
      </c>
      <c r="AG58" t="s">
        <v>130</v>
      </c>
      <c r="AH58">
        <f t="shared" si="0"/>
        <v>0</v>
      </c>
    </row>
    <row r="59" spans="1:34" x14ac:dyDescent="0.35">
      <c r="A59">
        <v>19</v>
      </c>
      <c r="B59" t="s">
        <v>265</v>
      </c>
      <c r="C59">
        <v>2</v>
      </c>
      <c r="D59">
        <v>0</v>
      </c>
      <c r="E59" t="s">
        <v>32</v>
      </c>
      <c r="F59" t="s">
        <v>266</v>
      </c>
      <c r="G59" t="s">
        <v>63</v>
      </c>
      <c r="H59" t="s">
        <v>129</v>
      </c>
      <c r="I59">
        <v>0</v>
      </c>
      <c r="J59">
        <v>15</v>
      </c>
      <c r="K59">
        <v>0</v>
      </c>
      <c r="L59">
        <v>0</v>
      </c>
      <c r="M59">
        <v>0</v>
      </c>
      <c r="N59">
        <v>5</v>
      </c>
      <c r="O59" t="s">
        <v>369</v>
      </c>
      <c r="P59" t="s">
        <v>21</v>
      </c>
      <c r="Q59">
        <v>2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 t="s">
        <v>117</v>
      </c>
      <c r="Y59" t="s">
        <v>117</v>
      </c>
      <c r="Z59">
        <v>0</v>
      </c>
      <c r="AA59">
        <v>0</v>
      </c>
      <c r="AB59">
        <v>0</v>
      </c>
      <c r="AC59">
        <v>0</v>
      </c>
      <c r="AD59" t="s">
        <v>117</v>
      </c>
      <c r="AE59" t="s">
        <v>117</v>
      </c>
      <c r="AF59">
        <v>0</v>
      </c>
      <c r="AG59" t="s">
        <v>130</v>
      </c>
      <c r="AH59">
        <f t="shared" si="0"/>
        <v>0</v>
      </c>
    </row>
    <row r="60" spans="1:34" x14ac:dyDescent="0.35">
      <c r="A60">
        <v>19</v>
      </c>
      <c r="B60" t="s">
        <v>267</v>
      </c>
      <c r="C60">
        <v>2</v>
      </c>
      <c r="D60">
        <v>0</v>
      </c>
      <c r="E60" t="s">
        <v>38</v>
      </c>
      <c r="F60" t="s">
        <v>268</v>
      </c>
      <c r="G60" t="s">
        <v>65</v>
      </c>
      <c r="H60" t="s">
        <v>269</v>
      </c>
      <c r="I60">
        <v>50</v>
      </c>
      <c r="J60">
        <v>50</v>
      </c>
      <c r="K60">
        <v>0</v>
      </c>
      <c r="L60">
        <v>0</v>
      </c>
      <c r="M60">
        <v>10</v>
      </c>
      <c r="N60">
        <v>5</v>
      </c>
      <c r="O60" t="s">
        <v>368</v>
      </c>
      <c r="P60" t="s">
        <v>21</v>
      </c>
      <c r="Q60">
        <v>2</v>
      </c>
      <c r="R60">
        <v>12.5</v>
      </c>
      <c r="S60">
        <v>2.5</v>
      </c>
      <c r="T60">
        <v>12.5</v>
      </c>
      <c r="U60">
        <v>2.5</v>
      </c>
      <c r="V60">
        <v>0</v>
      </c>
      <c r="W60">
        <v>0</v>
      </c>
      <c r="X60" t="s">
        <v>117</v>
      </c>
      <c r="Y60" t="s">
        <v>117</v>
      </c>
      <c r="Z60">
        <v>12.5</v>
      </c>
      <c r="AA60">
        <v>2.5</v>
      </c>
      <c r="AB60">
        <v>12.5</v>
      </c>
      <c r="AC60">
        <v>2.5</v>
      </c>
      <c r="AD60" t="s">
        <v>117</v>
      </c>
      <c r="AE60" t="s">
        <v>117</v>
      </c>
      <c r="AF60">
        <v>4</v>
      </c>
      <c r="AG60" t="s">
        <v>430</v>
      </c>
      <c r="AH60">
        <f t="shared" si="0"/>
        <v>0</v>
      </c>
    </row>
    <row r="61" spans="1:34" x14ac:dyDescent="0.35">
      <c r="A61">
        <v>19</v>
      </c>
      <c r="B61" t="s">
        <v>270</v>
      </c>
      <c r="C61">
        <v>1</v>
      </c>
      <c r="D61">
        <v>1</v>
      </c>
      <c r="E61" t="s">
        <v>29</v>
      </c>
      <c r="F61" t="s">
        <v>271</v>
      </c>
      <c r="G61" t="s">
        <v>64</v>
      </c>
      <c r="H61" t="s">
        <v>129</v>
      </c>
      <c r="I61">
        <v>0</v>
      </c>
      <c r="J61">
        <v>150</v>
      </c>
      <c r="K61">
        <v>0</v>
      </c>
      <c r="L61">
        <v>0</v>
      </c>
      <c r="M61">
        <v>0</v>
      </c>
      <c r="N61">
        <v>1.25</v>
      </c>
      <c r="O61" t="s">
        <v>369</v>
      </c>
      <c r="P61" t="s">
        <v>20</v>
      </c>
      <c r="Q61">
        <v>2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 t="s">
        <v>117</v>
      </c>
      <c r="Y61" t="s">
        <v>117</v>
      </c>
      <c r="Z61">
        <v>0</v>
      </c>
      <c r="AA61">
        <v>0</v>
      </c>
      <c r="AB61">
        <v>0</v>
      </c>
      <c r="AC61">
        <v>0</v>
      </c>
      <c r="AD61" t="s">
        <v>117</v>
      </c>
      <c r="AE61" t="s">
        <v>117</v>
      </c>
      <c r="AF61">
        <v>0</v>
      </c>
      <c r="AG61" t="s">
        <v>130</v>
      </c>
      <c r="AH61">
        <f t="shared" si="0"/>
        <v>0</v>
      </c>
    </row>
    <row r="62" spans="1:34" x14ac:dyDescent="0.35">
      <c r="A62">
        <v>19</v>
      </c>
      <c r="B62" t="s">
        <v>272</v>
      </c>
      <c r="C62">
        <v>3</v>
      </c>
      <c r="D62">
        <v>0</v>
      </c>
      <c r="E62" t="s">
        <v>58</v>
      </c>
      <c r="F62" t="s">
        <v>273</v>
      </c>
      <c r="G62" t="s">
        <v>63</v>
      </c>
      <c r="H62" t="s">
        <v>129</v>
      </c>
      <c r="I62">
        <v>0</v>
      </c>
      <c r="J62">
        <v>120</v>
      </c>
      <c r="K62">
        <v>0</v>
      </c>
      <c r="L62">
        <v>0</v>
      </c>
      <c r="M62">
        <v>0</v>
      </c>
      <c r="N62">
        <v>8</v>
      </c>
      <c r="O62" t="s">
        <v>369</v>
      </c>
      <c r="P62" t="s">
        <v>24</v>
      </c>
      <c r="Q62">
        <v>3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 t="s">
        <v>117</v>
      </c>
      <c r="Y62" t="s">
        <v>117</v>
      </c>
      <c r="Z62">
        <v>0</v>
      </c>
      <c r="AA62">
        <v>0</v>
      </c>
      <c r="AB62">
        <v>0</v>
      </c>
      <c r="AC62">
        <v>0</v>
      </c>
      <c r="AD62" t="s">
        <v>117</v>
      </c>
      <c r="AE62" t="s">
        <v>117</v>
      </c>
      <c r="AF62">
        <v>0</v>
      </c>
      <c r="AG62" t="s">
        <v>130</v>
      </c>
      <c r="AH62">
        <f t="shared" si="0"/>
        <v>0</v>
      </c>
    </row>
    <row r="63" spans="1:34" x14ac:dyDescent="0.35">
      <c r="A63">
        <v>20</v>
      </c>
      <c r="B63" t="s">
        <v>274</v>
      </c>
      <c r="C63">
        <v>1</v>
      </c>
      <c r="D63">
        <v>1</v>
      </c>
      <c r="E63" t="s">
        <v>32</v>
      </c>
      <c r="F63" t="s">
        <v>275</v>
      </c>
      <c r="G63" t="s">
        <v>62</v>
      </c>
      <c r="H63" t="s">
        <v>276</v>
      </c>
      <c r="I63">
        <v>40</v>
      </c>
      <c r="J63">
        <v>65</v>
      </c>
      <c r="K63">
        <v>25</v>
      </c>
      <c r="L63">
        <v>0</v>
      </c>
      <c r="M63">
        <v>3</v>
      </c>
      <c r="N63">
        <v>2</v>
      </c>
      <c r="O63" t="s">
        <v>368</v>
      </c>
      <c r="P63" t="s">
        <v>23</v>
      </c>
      <c r="Q63">
        <v>2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 t="s">
        <v>117</v>
      </c>
      <c r="Y63" t="s">
        <v>117</v>
      </c>
      <c r="Z63">
        <v>0</v>
      </c>
      <c r="AA63">
        <v>0</v>
      </c>
      <c r="AB63">
        <v>65</v>
      </c>
      <c r="AC63">
        <v>3</v>
      </c>
      <c r="AD63" t="s">
        <v>117</v>
      </c>
      <c r="AE63" t="s">
        <v>117</v>
      </c>
      <c r="AF63">
        <v>1</v>
      </c>
      <c r="AG63" t="s">
        <v>426</v>
      </c>
      <c r="AH63">
        <f t="shared" si="0"/>
        <v>0</v>
      </c>
    </row>
    <row r="64" spans="1:34" x14ac:dyDescent="0.35">
      <c r="A64">
        <v>20</v>
      </c>
      <c r="B64" t="s">
        <v>277</v>
      </c>
      <c r="C64">
        <v>1</v>
      </c>
      <c r="D64">
        <v>0</v>
      </c>
      <c r="E64" t="s">
        <v>29</v>
      </c>
      <c r="F64" t="s">
        <v>278</v>
      </c>
      <c r="G64" t="s">
        <v>63</v>
      </c>
      <c r="H64" t="s">
        <v>129</v>
      </c>
      <c r="I64">
        <v>0</v>
      </c>
      <c r="J64">
        <v>35</v>
      </c>
      <c r="K64">
        <v>0</v>
      </c>
      <c r="L64">
        <v>0</v>
      </c>
      <c r="M64">
        <v>0</v>
      </c>
      <c r="N64">
        <v>5</v>
      </c>
      <c r="O64" t="s">
        <v>369</v>
      </c>
      <c r="P64" t="s">
        <v>20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 t="s">
        <v>117</v>
      </c>
      <c r="Y64" t="s">
        <v>117</v>
      </c>
      <c r="Z64">
        <v>0</v>
      </c>
      <c r="AA64">
        <v>0</v>
      </c>
      <c r="AB64">
        <v>0</v>
      </c>
      <c r="AC64">
        <v>0</v>
      </c>
      <c r="AD64" t="s">
        <v>117</v>
      </c>
      <c r="AE64" t="s">
        <v>117</v>
      </c>
      <c r="AF64">
        <v>0</v>
      </c>
      <c r="AG64" t="s">
        <v>130</v>
      </c>
      <c r="AH64">
        <f t="shared" si="0"/>
        <v>0</v>
      </c>
    </row>
    <row r="65" spans="1:34" x14ac:dyDescent="0.35">
      <c r="A65">
        <v>20</v>
      </c>
      <c r="B65" t="s">
        <v>279</v>
      </c>
      <c r="C65">
        <v>2</v>
      </c>
      <c r="D65">
        <v>0</v>
      </c>
      <c r="E65" t="s">
        <v>31</v>
      </c>
      <c r="F65" t="s">
        <v>280</v>
      </c>
      <c r="G65" t="s">
        <v>62</v>
      </c>
      <c r="H65" t="s">
        <v>281</v>
      </c>
      <c r="I65">
        <v>100</v>
      </c>
      <c r="J65">
        <v>50</v>
      </c>
      <c r="K65">
        <v>0</v>
      </c>
      <c r="L65">
        <v>0</v>
      </c>
      <c r="M65">
        <v>10</v>
      </c>
      <c r="N65">
        <v>2</v>
      </c>
      <c r="O65" t="s">
        <v>368</v>
      </c>
      <c r="P65" t="s">
        <v>20</v>
      </c>
      <c r="Q65">
        <v>2</v>
      </c>
      <c r="R65">
        <v>20</v>
      </c>
      <c r="S65">
        <v>2</v>
      </c>
      <c r="T65">
        <v>20</v>
      </c>
      <c r="U65">
        <v>2</v>
      </c>
      <c r="V65">
        <v>20</v>
      </c>
      <c r="W65">
        <v>2</v>
      </c>
      <c r="X65" t="s">
        <v>117</v>
      </c>
      <c r="Y65" t="s">
        <v>117</v>
      </c>
      <c r="Z65">
        <v>20</v>
      </c>
      <c r="AA65">
        <v>2</v>
      </c>
      <c r="AB65">
        <v>20</v>
      </c>
      <c r="AC65">
        <v>2</v>
      </c>
      <c r="AD65" t="s">
        <v>117</v>
      </c>
      <c r="AE65" t="s">
        <v>117</v>
      </c>
      <c r="AF65">
        <v>5</v>
      </c>
      <c r="AG65" t="s">
        <v>429</v>
      </c>
      <c r="AH65">
        <f t="shared" si="0"/>
        <v>0</v>
      </c>
    </row>
    <row r="66" spans="1:34" x14ac:dyDescent="0.35">
      <c r="A66">
        <v>21</v>
      </c>
      <c r="B66" t="s">
        <v>282</v>
      </c>
      <c r="C66">
        <v>1</v>
      </c>
      <c r="D66">
        <v>1</v>
      </c>
      <c r="E66" t="s">
        <v>30</v>
      </c>
      <c r="F66" t="s">
        <v>283</v>
      </c>
      <c r="G66" t="s">
        <v>62</v>
      </c>
      <c r="H66" t="s">
        <v>284</v>
      </c>
      <c r="I66">
        <v>100</v>
      </c>
      <c r="J66">
        <v>100</v>
      </c>
      <c r="K66">
        <v>0</v>
      </c>
      <c r="L66">
        <v>0</v>
      </c>
      <c r="M66">
        <v>15</v>
      </c>
      <c r="N66">
        <v>8</v>
      </c>
      <c r="O66" t="s">
        <v>368</v>
      </c>
      <c r="P66" t="s">
        <v>24</v>
      </c>
      <c r="Q66">
        <v>2</v>
      </c>
      <c r="R66">
        <v>33.33</v>
      </c>
      <c r="S66">
        <v>5</v>
      </c>
      <c r="T66" t="s">
        <v>117</v>
      </c>
      <c r="U66" t="s">
        <v>117</v>
      </c>
      <c r="V66">
        <v>0</v>
      </c>
      <c r="W66">
        <v>0</v>
      </c>
      <c r="X66">
        <v>33.33</v>
      </c>
      <c r="Y66">
        <v>5</v>
      </c>
      <c r="Z66">
        <v>33.33</v>
      </c>
      <c r="AA66">
        <v>5</v>
      </c>
      <c r="AB66">
        <v>0</v>
      </c>
      <c r="AC66">
        <v>0</v>
      </c>
      <c r="AD66" t="s">
        <v>117</v>
      </c>
      <c r="AE66" t="s">
        <v>117</v>
      </c>
      <c r="AF66">
        <v>3</v>
      </c>
      <c r="AG66" t="s">
        <v>422</v>
      </c>
      <c r="AH66">
        <f t="shared" si="0"/>
        <v>0</v>
      </c>
    </row>
    <row r="67" spans="1:34" x14ac:dyDescent="0.35">
      <c r="A67">
        <v>21</v>
      </c>
      <c r="B67" t="s">
        <v>285</v>
      </c>
      <c r="C67">
        <v>1</v>
      </c>
      <c r="D67">
        <v>0</v>
      </c>
      <c r="E67" t="s">
        <v>41</v>
      </c>
      <c r="F67" t="s">
        <v>286</v>
      </c>
      <c r="G67" t="s">
        <v>65</v>
      </c>
      <c r="H67" t="s">
        <v>287</v>
      </c>
      <c r="I67">
        <v>25</v>
      </c>
      <c r="J67">
        <v>47</v>
      </c>
      <c r="K67">
        <v>22</v>
      </c>
      <c r="L67">
        <v>0</v>
      </c>
      <c r="M67">
        <v>75</v>
      </c>
      <c r="N67">
        <v>10</v>
      </c>
      <c r="O67" t="s">
        <v>368</v>
      </c>
      <c r="P67" t="s">
        <v>22</v>
      </c>
      <c r="Q67">
        <v>1</v>
      </c>
      <c r="R67">
        <v>0</v>
      </c>
      <c r="S67">
        <v>0</v>
      </c>
      <c r="T67" t="s">
        <v>117</v>
      </c>
      <c r="U67" t="s">
        <v>117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47</v>
      </c>
      <c r="AC67">
        <v>75</v>
      </c>
      <c r="AD67" t="s">
        <v>117</v>
      </c>
      <c r="AE67" t="s">
        <v>117</v>
      </c>
      <c r="AF67">
        <v>1</v>
      </c>
      <c r="AG67" t="s">
        <v>426</v>
      </c>
      <c r="AH67">
        <f t="shared" ref="AH67:AH99" si="1">IF(AND(ISNUMBER(FIND("Pey",AG67)),ISNUMBER(FIND("Vin",AG67))),1,0)</f>
        <v>0</v>
      </c>
    </row>
    <row r="68" spans="1:34" x14ac:dyDescent="0.35">
      <c r="A68">
        <v>21</v>
      </c>
      <c r="B68" t="s">
        <v>288</v>
      </c>
      <c r="C68">
        <v>0</v>
      </c>
      <c r="D68">
        <v>1</v>
      </c>
      <c r="E68" t="s">
        <v>60</v>
      </c>
      <c r="F68" t="s">
        <v>289</v>
      </c>
      <c r="G68" t="s">
        <v>63</v>
      </c>
      <c r="H68" t="s">
        <v>290</v>
      </c>
      <c r="I68">
        <v>35</v>
      </c>
      <c r="J68">
        <v>35</v>
      </c>
      <c r="K68">
        <v>0</v>
      </c>
      <c r="L68">
        <v>0</v>
      </c>
      <c r="M68">
        <v>24</v>
      </c>
      <c r="N68">
        <v>5</v>
      </c>
      <c r="O68" t="s">
        <v>368</v>
      </c>
      <c r="P68" t="s">
        <v>22</v>
      </c>
      <c r="Q68">
        <v>1</v>
      </c>
      <c r="R68">
        <v>0</v>
      </c>
      <c r="S68">
        <v>0</v>
      </c>
      <c r="T68" t="s">
        <v>117</v>
      </c>
      <c r="U68" t="s">
        <v>117</v>
      </c>
      <c r="V68">
        <v>17.5</v>
      </c>
      <c r="W68">
        <v>12</v>
      </c>
      <c r="X68">
        <v>17.5</v>
      </c>
      <c r="Y68">
        <v>12</v>
      </c>
      <c r="Z68">
        <v>0</v>
      </c>
      <c r="AA68">
        <v>0</v>
      </c>
      <c r="AB68">
        <v>0</v>
      </c>
      <c r="AC68">
        <v>0</v>
      </c>
      <c r="AD68" t="s">
        <v>117</v>
      </c>
      <c r="AE68" t="s">
        <v>117</v>
      </c>
      <c r="AF68">
        <v>2</v>
      </c>
      <c r="AG68" t="s">
        <v>413</v>
      </c>
      <c r="AH68">
        <f t="shared" si="1"/>
        <v>0</v>
      </c>
    </row>
    <row r="69" spans="1:34" x14ac:dyDescent="0.35">
      <c r="A69">
        <v>22</v>
      </c>
      <c r="B69" t="s">
        <v>291</v>
      </c>
      <c r="C69">
        <v>3</v>
      </c>
      <c r="D69">
        <v>0</v>
      </c>
      <c r="E69" t="s">
        <v>36</v>
      </c>
      <c r="F69" t="s">
        <v>292</v>
      </c>
      <c r="G69" t="s">
        <v>63</v>
      </c>
      <c r="H69" t="s">
        <v>293</v>
      </c>
      <c r="I69">
        <v>60</v>
      </c>
      <c r="J69">
        <v>60</v>
      </c>
      <c r="K69">
        <v>0</v>
      </c>
      <c r="L69">
        <v>0</v>
      </c>
      <c r="M69">
        <v>4</v>
      </c>
      <c r="N69">
        <v>2</v>
      </c>
      <c r="O69" t="s">
        <v>368</v>
      </c>
      <c r="P69" t="s">
        <v>24</v>
      </c>
      <c r="Q69">
        <v>3</v>
      </c>
      <c r="R69">
        <v>20</v>
      </c>
      <c r="S69">
        <v>1.3</v>
      </c>
      <c r="T69" t="s">
        <v>117</v>
      </c>
      <c r="U69" t="s">
        <v>117</v>
      </c>
      <c r="V69">
        <v>20</v>
      </c>
      <c r="W69">
        <v>1.3</v>
      </c>
      <c r="Y69">
        <v>0</v>
      </c>
      <c r="Z69">
        <v>0</v>
      </c>
      <c r="AA69">
        <v>0</v>
      </c>
      <c r="AB69">
        <v>20</v>
      </c>
      <c r="AC69">
        <v>1.3</v>
      </c>
      <c r="AD69" t="s">
        <v>117</v>
      </c>
      <c r="AE69" t="s">
        <v>117</v>
      </c>
      <c r="AF69">
        <v>3</v>
      </c>
      <c r="AG69" t="s">
        <v>432</v>
      </c>
      <c r="AH69">
        <f t="shared" si="1"/>
        <v>0</v>
      </c>
    </row>
    <row r="70" spans="1:34" x14ac:dyDescent="0.35">
      <c r="A70">
        <v>22</v>
      </c>
      <c r="B70" t="s">
        <v>294</v>
      </c>
      <c r="C70">
        <v>0</v>
      </c>
      <c r="D70">
        <v>1</v>
      </c>
      <c r="E70" t="s">
        <v>30</v>
      </c>
      <c r="F70" t="s">
        <v>295</v>
      </c>
      <c r="G70" t="s">
        <v>63</v>
      </c>
      <c r="H70" t="s">
        <v>129</v>
      </c>
      <c r="I70">
        <v>0</v>
      </c>
      <c r="J70">
        <v>75</v>
      </c>
      <c r="K70">
        <v>0</v>
      </c>
      <c r="L70">
        <v>0</v>
      </c>
      <c r="M70">
        <v>0</v>
      </c>
      <c r="N70">
        <v>5</v>
      </c>
      <c r="O70" t="s">
        <v>369</v>
      </c>
      <c r="P70" t="s">
        <v>20</v>
      </c>
      <c r="Q70">
        <v>1</v>
      </c>
      <c r="R70">
        <v>0</v>
      </c>
      <c r="S70">
        <v>0</v>
      </c>
      <c r="T70" t="s">
        <v>117</v>
      </c>
      <c r="U70" t="s">
        <v>117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 t="s">
        <v>117</v>
      </c>
      <c r="AE70" t="s">
        <v>117</v>
      </c>
      <c r="AF70">
        <v>0</v>
      </c>
      <c r="AG70" t="s">
        <v>130</v>
      </c>
      <c r="AH70">
        <f t="shared" si="1"/>
        <v>0</v>
      </c>
    </row>
    <row r="71" spans="1:34" x14ac:dyDescent="0.35">
      <c r="A71">
        <v>22</v>
      </c>
      <c r="B71" t="s">
        <v>296</v>
      </c>
      <c r="C71">
        <v>2</v>
      </c>
      <c r="D71">
        <v>0</v>
      </c>
      <c r="E71" t="s">
        <v>31</v>
      </c>
      <c r="F71" t="s">
        <v>297</v>
      </c>
      <c r="G71" t="s">
        <v>62</v>
      </c>
      <c r="H71" t="s">
        <v>129</v>
      </c>
      <c r="I71">
        <v>0</v>
      </c>
      <c r="J71">
        <v>80</v>
      </c>
      <c r="K71">
        <v>0</v>
      </c>
      <c r="L71">
        <v>0</v>
      </c>
      <c r="M71">
        <v>0</v>
      </c>
      <c r="N71">
        <v>0.5</v>
      </c>
      <c r="O71" t="s">
        <v>369</v>
      </c>
      <c r="P71" t="s">
        <v>24</v>
      </c>
      <c r="Q71">
        <v>2</v>
      </c>
      <c r="R71">
        <v>0</v>
      </c>
      <c r="S71">
        <v>0</v>
      </c>
      <c r="T71" t="s">
        <v>117</v>
      </c>
      <c r="U71" t="s">
        <v>117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 t="s">
        <v>117</v>
      </c>
      <c r="AE71" t="s">
        <v>117</v>
      </c>
      <c r="AF71">
        <v>0</v>
      </c>
      <c r="AG71" t="s">
        <v>130</v>
      </c>
      <c r="AH71">
        <f t="shared" si="1"/>
        <v>0</v>
      </c>
    </row>
    <row r="72" spans="1:34" x14ac:dyDescent="0.35">
      <c r="A72">
        <v>22</v>
      </c>
      <c r="B72" t="s">
        <v>298</v>
      </c>
      <c r="C72">
        <v>3</v>
      </c>
      <c r="D72">
        <v>0</v>
      </c>
      <c r="E72" t="s">
        <v>36</v>
      </c>
      <c r="F72" t="s">
        <v>299</v>
      </c>
      <c r="G72" t="s">
        <v>62</v>
      </c>
      <c r="H72" t="s">
        <v>129</v>
      </c>
      <c r="I72">
        <v>0</v>
      </c>
      <c r="J72">
        <v>50</v>
      </c>
      <c r="K72">
        <v>0</v>
      </c>
      <c r="L72">
        <v>0</v>
      </c>
      <c r="M72">
        <v>0</v>
      </c>
      <c r="N72">
        <v>2</v>
      </c>
      <c r="O72" t="s">
        <v>369</v>
      </c>
      <c r="P72" t="s">
        <v>22</v>
      </c>
      <c r="Q72">
        <v>3</v>
      </c>
      <c r="R72">
        <v>0</v>
      </c>
      <c r="S72">
        <v>0</v>
      </c>
      <c r="T72" t="s">
        <v>117</v>
      </c>
      <c r="U72" t="s">
        <v>117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 t="s">
        <v>117</v>
      </c>
      <c r="AE72" t="s">
        <v>117</v>
      </c>
      <c r="AF72">
        <v>0</v>
      </c>
      <c r="AG72" t="s">
        <v>130</v>
      </c>
      <c r="AH72">
        <f t="shared" si="1"/>
        <v>0</v>
      </c>
    </row>
    <row r="73" spans="1:34" x14ac:dyDescent="0.35">
      <c r="A73">
        <v>23</v>
      </c>
      <c r="B73" t="s">
        <v>300</v>
      </c>
      <c r="C73">
        <v>0</v>
      </c>
      <c r="D73">
        <v>1</v>
      </c>
      <c r="E73" t="s">
        <v>41</v>
      </c>
      <c r="F73" t="s">
        <v>301</v>
      </c>
      <c r="G73" t="s">
        <v>62</v>
      </c>
      <c r="H73" t="s">
        <v>302</v>
      </c>
      <c r="I73">
        <v>50</v>
      </c>
      <c r="J73">
        <v>100</v>
      </c>
      <c r="K73">
        <v>50</v>
      </c>
      <c r="L73">
        <v>0</v>
      </c>
      <c r="M73">
        <v>10</v>
      </c>
      <c r="N73">
        <v>5</v>
      </c>
      <c r="O73" t="s">
        <v>368</v>
      </c>
      <c r="P73" t="s">
        <v>22</v>
      </c>
      <c r="Q73">
        <v>1</v>
      </c>
      <c r="R73">
        <v>0</v>
      </c>
      <c r="S73">
        <v>0</v>
      </c>
      <c r="T73" t="s">
        <v>117</v>
      </c>
      <c r="U73" t="s">
        <v>117</v>
      </c>
      <c r="V73">
        <v>0</v>
      </c>
      <c r="W73">
        <v>0</v>
      </c>
      <c r="X73">
        <v>0</v>
      </c>
      <c r="Y73">
        <v>0</v>
      </c>
      <c r="Z73">
        <v>100</v>
      </c>
      <c r="AA73">
        <v>10</v>
      </c>
      <c r="AB73">
        <v>0</v>
      </c>
      <c r="AC73">
        <v>0</v>
      </c>
      <c r="AD73" t="s">
        <v>117</v>
      </c>
      <c r="AE73" t="s">
        <v>117</v>
      </c>
      <c r="AF73">
        <v>1</v>
      </c>
      <c r="AG73" t="s">
        <v>79</v>
      </c>
      <c r="AH73">
        <f t="shared" si="1"/>
        <v>0</v>
      </c>
    </row>
    <row r="74" spans="1:34" x14ac:dyDescent="0.35">
      <c r="A74">
        <v>23</v>
      </c>
      <c r="B74" t="s">
        <v>303</v>
      </c>
      <c r="C74">
        <v>1</v>
      </c>
      <c r="D74">
        <v>0</v>
      </c>
      <c r="E74" t="s">
        <v>30</v>
      </c>
      <c r="F74" t="s">
        <v>304</v>
      </c>
      <c r="G74" t="s">
        <v>63</v>
      </c>
      <c r="H74" t="s">
        <v>129</v>
      </c>
      <c r="I74">
        <v>0</v>
      </c>
      <c r="J74">
        <v>100</v>
      </c>
      <c r="K74">
        <v>0</v>
      </c>
      <c r="L74">
        <v>0</v>
      </c>
      <c r="M74">
        <v>0</v>
      </c>
      <c r="N74">
        <v>1</v>
      </c>
      <c r="O74" t="s">
        <v>369</v>
      </c>
      <c r="P74" t="s">
        <v>20</v>
      </c>
      <c r="Q74">
        <v>1</v>
      </c>
      <c r="R74">
        <v>0</v>
      </c>
      <c r="S74">
        <v>0</v>
      </c>
      <c r="T74" t="s">
        <v>117</v>
      </c>
      <c r="U74" t="s">
        <v>117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 t="s">
        <v>117</v>
      </c>
      <c r="AE74" t="s">
        <v>117</v>
      </c>
      <c r="AF74">
        <v>0</v>
      </c>
      <c r="AG74" t="s">
        <v>130</v>
      </c>
      <c r="AH74">
        <f t="shared" si="1"/>
        <v>0</v>
      </c>
    </row>
    <row r="75" spans="1:34" x14ac:dyDescent="0.35">
      <c r="A75">
        <v>23</v>
      </c>
      <c r="B75" t="s">
        <v>305</v>
      </c>
      <c r="C75">
        <v>1</v>
      </c>
      <c r="D75">
        <v>1</v>
      </c>
      <c r="E75" t="s">
        <v>56</v>
      </c>
      <c r="F75" t="s">
        <v>306</v>
      </c>
      <c r="G75" t="s">
        <v>66</v>
      </c>
      <c r="H75" t="s">
        <v>129</v>
      </c>
      <c r="I75">
        <v>0</v>
      </c>
      <c r="J75">
        <v>30</v>
      </c>
      <c r="K75">
        <v>0</v>
      </c>
      <c r="L75">
        <v>0</v>
      </c>
      <c r="M75">
        <v>0</v>
      </c>
      <c r="N75">
        <v>5</v>
      </c>
      <c r="O75" t="s">
        <v>369</v>
      </c>
      <c r="P75" t="s">
        <v>20</v>
      </c>
      <c r="Q75">
        <v>2</v>
      </c>
      <c r="R75">
        <v>0</v>
      </c>
      <c r="S75">
        <v>0</v>
      </c>
      <c r="T75" t="s">
        <v>117</v>
      </c>
      <c r="U75" t="s">
        <v>117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 t="s">
        <v>117</v>
      </c>
      <c r="AE75" t="s">
        <v>117</v>
      </c>
      <c r="AF75">
        <v>0</v>
      </c>
      <c r="AG75" t="s">
        <v>130</v>
      </c>
      <c r="AH75">
        <f t="shared" si="1"/>
        <v>0</v>
      </c>
    </row>
    <row r="76" spans="1:34" x14ac:dyDescent="0.35">
      <c r="A76">
        <v>23</v>
      </c>
      <c r="B76" t="s">
        <v>307</v>
      </c>
      <c r="C76">
        <v>1</v>
      </c>
      <c r="D76">
        <v>1</v>
      </c>
      <c r="E76" t="s">
        <v>29</v>
      </c>
      <c r="F76" t="s">
        <v>308</v>
      </c>
      <c r="G76" t="s">
        <v>63</v>
      </c>
      <c r="H76" t="s">
        <v>129</v>
      </c>
      <c r="I76">
        <v>0</v>
      </c>
      <c r="J76">
        <v>75</v>
      </c>
      <c r="K76">
        <v>0</v>
      </c>
      <c r="L76">
        <v>0</v>
      </c>
      <c r="M76">
        <v>0</v>
      </c>
      <c r="N76">
        <v>5</v>
      </c>
      <c r="O76" t="s">
        <v>369</v>
      </c>
      <c r="P76" t="s">
        <v>20</v>
      </c>
      <c r="Q76">
        <v>2</v>
      </c>
      <c r="R76">
        <v>0</v>
      </c>
      <c r="S76">
        <v>0</v>
      </c>
      <c r="T76" t="s">
        <v>117</v>
      </c>
      <c r="U76" t="s">
        <v>117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 t="s">
        <v>117</v>
      </c>
      <c r="AE76" t="s">
        <v>117</v>
      </c>
      <c r="AF76">
        <v>0</v>
      </c>
      <c r="AG76" t="s">
        <v>130</v>
      </c>
      <c r="AH76">
        <f t="shared" si="1"/>
        <v>0</v>
      </c>
    </row>
    <row r="77" spans="1:34" x14ac:dyDescent="0.35">
      <c r="A77">
        <v>24</v>
      </c>
      <c r="B77" t="s">
        <v>309</v>
      </c>
      <c r="C77">
        <v>0</v>
      </c>
      <c r="D77">
        <v>1</v>
      </c>
      <c r="E77" t="s">
        <v>30</v>
      </c>
      <c r="F77" t="s">
        <v>310</v>
      </c>
      <c r="G77" t="s">
        <v>63</v>
      </c>
      <c r="H77" t="s">
        <v>311</v>
      </c>
      <c r="I77">
        <v>50</v>
      </c>
      <c r="J77">
        <v>40</v>
      </c>
      <c r="K77">
        <v>0</v>
      </c>
      <c r="L77">
        <v>0</v>
      </c>
      <c r="M77">
        <v>35</v>
      </c>
      <c r="N77">
        <v>8</v>
      </c>
      <c r="O77" t="s">
        <v>368</v>
      </c>
      <c r="P77" t="s">
        <v>20</v>
      </c>
      <c r="Q77">
        <v>1</v>
      </c>
      <c r="R77" t="s">
        <v>117</v>
      </c>
      <c r="S77" t="s">
        <v>117</v>
      </c>
      <c r="T77">
        <v>0</v>
      </c>
      <c r="U77">
        <v>0</v>
      </c>
      <c r="V77">
        <v>25</v>
      </c>
      <c r="W77">
        <v>17.5</v>
      </c>
      <c r="X77">
        <v>0</v>
      </c>
      <c r="Y77">
        <v>0</v>
      </c>
      <c r="Z77" t="s">
        <v>117</v>
      </c>
      <c r="AA77" t="s">
        <v>117</v>
      </c>
      <c r="AB77">
        <v>0</v>
      </c>
      <c r="AC77">
        <v>0</v>
      </c>
      <c r="AD77">
        <v>25</v>
      </c>
      <c r="AE77">
        <v>17.5</v>
      </c>
      <c r="AF77">
        <v>2</v>
      </c>
      <c r="AG77" t="s">
        <v>433</v>
      </c>
      <c r="AH77">
        <f t="shared" si="1"/>
        <v>0</v>
      </c>
    </row>
    <row r="78" spans="1:34" x14ac:dyDescent="0.35">
      <c r="A78">
        <v>24</v>
      </c>
      <c r="B78" t="s">
        <v>312</v>
      </c>
      <c r="C78">
        <v>2</v>
      </c>
      <c r="D78">
        <v>0</v>
      </c>
      <c r="E78" t="s">
        <v>59</v>
      </c>
      <c r="F78" t="s">
        <v>313</v>
      </c>
      <c r="G78" t="s">
        <v>65</v>
      </c>
      <c r="H78" t="s">
        <v>314</v>
      </c>
      <c r="I78">
        <v>10</v>
      </c>
      <c r="J78">
        <v>30</v>
      </c>
      <c r="K78">
        <v>20</v>
      </c>
      <c r="L78">
        <v>0</v>
      </c>
      <c r="M78">
        <v>40</v>
      </c>
      <c r="N78">
        <v>10</v>
      </c>
      <c r="O78" t="s">
        <v>368</v>
      </c>
      <c r="P78" t="s">
        <v>22</v>
      </c>
      <c r="Q78">
        <v>2</v>
      </c>
      <c r="R78" t="s">
        <v>117</v>
      </c>
      <c r="S78" t="s">
        <v>117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 t="s">
        <v>117</v>
      </c>
      <c r="AA78" t="s">
        <v>117</v>
      </c>
      <c r="AB78">
        <v>30</v>
      </c>
      <c r="AC78">
        <v>40</v>
      </c>
      <c r="AD78">
        <v>0</v>
      </c>
      <c r="AE78">
        <v>0</v>
      </c>
      <c r="AF78">
        <v>1</v>
      </c>
      <c r="AG78" t="s">
        <v>426</v>
      </c>
      <c r="AH78">
        <f t="shared" si="1"/>
        <v>0</v>
      </c>
    </row>
    <row r="79" spans="1:34" x14ac:dyDescent="0.35">
      <c r="A79">
        <v>24</v>
      </c>
      <c r="B79" t="s">
        <v>315</v>
      </c>
      <c r="C79">
        <v>1</v>
      </c>
      <c r="D79">
        <v>1</v>
      </c>
      <c r="E79" t="s">
        <v>40</v>
      </c>
      <c r="F79" t="s">
        <v>316</v>
      </c>
      <c r="G79" t="s">
        <v>62</v>
      </c>
      <c r="H79" t="s">
        <v>129</v>
      </c>
      <c r="I79">
        <v>0</v>
      </c>
      <c r="J79">
        <v>20</v>
      </c>
      <c r="K79">
        <v>0</v>
      </c>
      <c r="L79">
        <v>0</v>
      </c>
      <c r="M79">
        <v>0</v>
      </c>
      <c r="N79">
        <v>10</v>
      </c>
      <c r="O79" t="s">
        <v>369</v>
      </c>
      <c r="P79" t="s">
        <v>21</v>
      </c>
      <c r="Q79">
        <v>2</v>
      </c>
      <c r="R79" t="s">
        <v>117</v>
      </c>
      <c r="S79" t="s">
        <v>117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 t="s">
        <v>117</v>
      </c>
      <c r="AA79" t="s">
        <v>117</v>
      </c>
      <c r="AB79">
        <v>0</v>
      </c>
      <c r="AC79">
        <v>0</v>
      </c>
      <c r="AD79">
        <v>0</v>
      </c>
      <c r="AE79">
        <v>0</v>
      </c>
      <c r="AF79">
        <v>0</v>
      </c>
      <c r="AG79" t="s">
        <v>130</v>
      </c>
      <c r="AH79">
        <f t="shared" si="1"/>
        <v>0</v>
      </c>
    </row>
    <row r="80" spans="1:34" x14ac:dyDescent="0.35">
      <c r="A80">
        <v>25</v>
      </c>
      <c r="B80" t="s">
        <v>317</v>
      </c>
      <c r="C80">
        <v>1</v>
      </c>
      <c r="D80">
        <v>1</v>
      </c>
      <c r="E80" t="s">
        <v>53</v>
      </c>
      <c r="F80" t="s">
        <v>318</v>
      </c>
      <c r="G80" t="s">
        <v>62</v>
      </c>
      <c r="H80" t="s">
        <v>319</v>
      </c>
      <c r="I80">
        <v>50</v>
      </c>
      <c r="J80">
        <v>50</v>
      </c>
      <c r="K80">
        <v>0</v>
      </c>
      <c r="L80">
        <v>0</v>
      </c>
      <c r="M80">
        <v>15</v>
      </c>
      <c r="N80">
        <v>4</v>
      </c>
      <c r="O80" t="s">
        <v>368</v>
      </c>
      <c r="P80" t="s">
        <v>22</v>
      </c>
      <c r="Q80">
        <v>2</v>
      </c>
      <c r="R80" t="s">
        <v>117</v>
      </c>
      <c r="S80" t="s">
        <v>117</v>
      </c>
      <c r="T80">
        <v>0</v>
      </c>
      <c r="U80">
        <v>0</v>
      </c>
      <c r="V80">
        <v>50</v>
      </c>
      <c r="W80">
        <v>15</v>
      </c>
      <c r="X80">
        <v>0</v>
      </c>
      <c r="Y80">
        <v>0</v>
      </c>
      <c r="Z80" t="s">
        <v>117</v>
      </c>
      <c r="AA80" t="s">
        <v>117</v>
      </c>
      <c r="AB80">
        <v>0</v>
      </c>
      <c r="AC80">
        <v>0</v>
      </c>
      <c r="AD80">
        <v>0</v>
      </c>
      <c r="AE80">
        <v>0</v>
      </c>
      <c r="AF80">
        <v>1</v>
      </c>
      <c r="AG80" t="s">
        <v>78</v>
      </c>
      <c r="AH80">
        <f t="shared" si="1"/>
        <v>0</v>
      </c>
    </row>
    <row r="81" spans="1:34" x14ac:dyDescent="0.35">
      <c r="A81">
        <v>25</v>
      </c>
      <c r="B81" t="s">
        <v>320</v>
      </c>
      <c r="C81">
        <v>4</v>
      </c>
      <c r="D81">
        <v>0</v>
      </c>
      <c r="E81" t="s">
        <v>44</v>
      </c>
      <c r="F81" t="s">
        <v>321</v>
      </c>
      <c r="G81" t="s">
        <v>64</v>
      </c>
      <c r="H81" t="s">
        <v>322</v>
      </c>
      <c r="I81">
        <v>100</v>
      </c>
      <c r="J81">
        <v>100</v>
      </c>
      <c r="K81">
        <v>0</v>
      </c>
      <c r="L81">
        <v>0</v>
      </c>
      <c r="M81">
        <v>6</v>
      </c>
      <c r="N81">
        <v>2</v>
      </c>
      <c r="O81" t="s">
        <v>368</v>
      </c>
      <c r="P81" t="s">
        <v>20</v>
      </c>
      <c r="Q81">
        <v>4</v>
      </c>
      <c r="R81" t="s">
        <v>117</v>
      </c>
      <c r="S81" t="s">
        <v>117</v>
      </c>
      <c r="T81">
        <v>20</v>
      </c>
      <c r="U81">
        <v>1.2</v>
      </c>
      <c r="V81">
        <v>20</v>
      </c>
      <c r="W81">
        <v>1.2</v>
      </c>
      <c r="X81">
        <v>20</v>
      </c>
      <c r="Y81">
        <v>1.2</v>
      </c>
      <c r="Z81" t="s">
        <v>117</v>
      </c>
      <c r="AA81" t="s">
        <v>117</v>
      </c>
      <c r="AB81">
        <v>20</v>
      </c>
      <c r="AC81">
        <v>1.2</v>
      </c>
      <c r="AD81">
        <v>20</v>
      </c>
      <c r="AE81">
        <v>1.2</v>
      </c>
      <c r="AF81">
        <v>5</v>
      </c>
      <c r="AG81" t="s">
        <v>434</v>
      </c>
      <c r="AH81">
        <f t="shared" si="1"/>
        <v>0</v>
      </c>
    </row>
    <row r="82" spans="1:34" x14ac:dyDescent="0.35">
      <c r="A82">
        <v>25</v>
      </c>
      <c r="B82" t="s">
        <v>323</v>
      </c>
      <c r="C82">
        <v>4</v>
      </c>
      <c r="D82">
        <v>0</v>
      </c>
      <c r="E82" t="s">
        <v>48</v>
      </c>
      <c r="F82" t="s">
        <v>324</v>
      </c>
      <c r="G82" t="s">
        <v>62</v>
      </c>
      <c r="H82" t="s">
        <v>129</v>
      </c>
      <c r="I82">
        <v>0</v>
      </c>
      <c r="J82">
        <v>150</v>
      </c>
      <c r="K82">
        <v>0</v>
      </c>
      <c r="L82">
        <v>0</v>
      </c>
      <c r="M82">
        <v>0</v>
      </c>
      <c r="N82">
        <v>2</v>
      </c>
      <c r="O82" t="s">
        <v>369</v>
      </c>
      <c r="P82" t="s">
        <v>22</v>
      </c>
      <c r="Q82">
        <v>4</v>
      </c>
      <c r="R82" t="s">
        <v>117</v>
      </c>
      <c r="S82" t="s">
        <v>117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 t="s">
        <v>117</v>
      </c>
      <c r="AA82" t="s">
        <v>117</v>
      </c>
      <c r="AB82">
        <v>0</v>
      </c>
      <c r="AC82">
        <v>0</v>
      </c>
      <c r="AD82">
        <v>0</v>
      </c>
      <c r="AE82">
        <v>0</v>
      </c>
      <c r="AF82">
        <v>0</v>
      </c>
      <c r="AG82" t="s">
        <v>130</v>
      </c>
      <c r="AH82">
        <f t="shared" si="1"/>
        <v>0</v>
      </c>
    </row>
    <row r="83" spans="1:34" x14ac:dyDescent="0.35">
      <c r="A83">
        <v>26</v>
      </c>
      <c r="B83" t="s">
        <v>325</v>
      </c>
      <c r="C83">
        <v>0</v>
      </c>
      <c r="D83">
        <v>1</v>
      </c>
      <c r="E83" t="s">
        <v>55</v>
      </c>
      <c r="F83" t="s">
        <v>326</v>
      </c>
      <c r="G83" t="s">
        <v>63</v>
      </c>
      <c r="H83" t="s">
        <v>327</v>
      </c>
      <c r="I83">
        <v>50</v>
      </c>
      <c r="J83">
        <v>50</v>
      </c>
      <c r="K83">
        <v>0</v>
      </c>
      <c r="L83">
        <v>0</v>
      </c>
      <c r="M83">
        <v>50</v>
      </c>
      <c r="N83">
        <v>8</v>
      </c>
      <c r="O83" t="s">
        <v>368</v>
      </c>
      <c r="P83" t="s">
        <v>20</v>
      </c>
      <c r="Q83">
        <v>1</v>
      </c>
      <c r="R83" t="s">
        <v>117</v>
      </c>
      <c r="S83" t="s">
        <v>117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 t="s">
        <v>117</v>
      </c>
      <c r="AA83" t="s">
        <v>117</v>
      </c>
      <c r="AB83">
        <v>50</v>
      </c>
      <c r="AC83">
        <v>50</v>
      </c>
      <c r="AD83">
        <v>0</v>
      </c>
      <c r="AE83">
        <v>0</v>
      </c>
      <c r="AF83">
        <v>1</v>
      </c>
      <c r="AG83" t="s">
        <v>426</v>
      </c>
      <c r="AH83">
        <f t="shared" si="1"/>
        <v>0</v>
      </c>
    </row>
    <row r="84" spans="1:34" x14ac:dyDescent="0.35">
      <c r="A84">
        <v>26</v>
      </c>
      <c r="B84" t="s">
        <v>328</v>
      </c>
      <c r="C84">
        <v>3</v>
      </c>
      <c r="D84">
        <v>0</v>
      </c>
      <c r="E84" t="s">
        <v>37</v>
      </c>
      <c r="F84" t="s">
        <v>329</v>
      </c>
      <c r="G84" t="s">
        <v>65</v>
      </c>
      <c r="H84" t="s">
        <v>129</v>
      </c>
      <c r="I84">
        <v>0</v>
      </c>
      <c r="J84">
        <v>50</v>
      </c>
      <c r="K84">
        <v>0</v>
      </c>
      <c r="L84">
        <v>0</v>
      </c>
      <c r="M84">
        <v>0</v>
      </c>
      <c r="N84">
        <v>10</v>
      </c>
      <c r="O84" t="s">
        <v>369</v>
      </c>
      <c r="P84" t="s">
        <v>20</v>
      </c>
      <c r="Q84">
        <v>3</v>
      </c>
      <c r="R84" t="s">
        <v>117</v>
      </c>
      <c r="S84" t="s">
        <v>117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 t="s">
        <v>117</v>
      </c>
      <c r="AA84" t="s">
        <v>117</v>
      </c>
      <c r="AB84">
        <v>0</v>
      </c>
      <c r="AC84">
        <v>0</v>
      </c>
      <c r="AD84">
        <v>0</v>
      </c>
      <c r="AE84">
        <v>0</v>
      </c>
      <c r="AF84">
        <v>0</v>
      </c>
      <c r="AG84" t="s">
        <v>130</v>
      </c>
      <c r="AH84">
        <f t="shared" si="1"/>
        <v>0</v>
      </c>
    </row>
    <row r="85" spans="1:34" x14ac:dyDescent="0.35">
      <c r="A85">
        <v>26</v>
      </c>
      <c r="B85" t="s">
        <v>330</v>
      </c>
      <c r="C85">
        <v>2</v>
      </c>
      <c r="D85">
        <v>0</v>
      </c>
      <c r="E85" t="s">
        <v>33</v>
      </c>
      <c r="F85" t="s">
        <v>331</v>
      </c>
      <c r="G85" t="s">
        <v>63</v>
      </c>
      <c r="H85" t="s">
        <v>332</v>
      </c>
      <c r="I85">
        <v>65</v>
      </c>
      <c r="J85">
        <v>65</v>
      </c>
      <c r="K85">
        <v>0</v>
      </c>
      <c r="L85">
        <v>0</v>
      </c>
      <c r="M85">
        <v>3</v>
      </c>
      <c r="N85">
        <v>1</v>
      </c>
      <c r="O85" t="s">
        <v>368</v>
      </c>
      <c r="P85" t="s">
        <v>20</v>
      </c>
      <c r="Q85">
        <v>2</v>
      </c>
      <c r="R85" t="s">
        <v>117</v>
      </c>
      <c r="S85" t="s">
        <v>117</v>
      </c>
      <c r="T85">
        <v>65</v>
      </c>
      <c r="U85">
        <v>3</v>
      </c>
      <c r="V85">
        <v>0</v>
      </c>
      <c r="W85">
        <v>0</v>
      </c>
      <c r="X85">
        <v>0</v>
      </c>
      <c r="Y85">
        <v>0</v>
      </c>
      <c r="Z85" t="s">
        <v>117</v>
      </c>
      <c r="AA85" t="s">
        <v>117</v>
      </c>
      <c r="AB85">
        <v>0</v>
      </c>
      <c r="AC85">
        <v>0</v>
      </c>
      <c r="AD85">
        <v>0</v>
      </c>
      <c r="AE85">
        <v>0</v>
      </c>
      <c r="AF85">
        <v>1</v>
      </c>
      <c r="AG85" t="s">
        <v>81</v>
      </c>
      <c r="AH85">
        <f t="shared" si="1"/>
        <v>0</v>
      </c>
    </row>
    <row r="86" spans="1:34" x14ac:dyDescent="0.35">
      <c r="A86">
        <v>27</v>
      </c>
      <c r="B86" t="s">
        <v>333</v>
      </c>
      <c r="C86">
        <v>1</v>
      </c>
      <c r="D86">
        <v>0</v>
      </c>
      <c r="E86" t="s">
        <v>37</v>
      </c>
      <c r="F86" t="s">
        <v>334</v>
      </c>
      <c r="G86" t="s">
        <v>335</v>
      </c>
      <c r="H86" t="s">
        <v>129</v>
      </c>
      <c r="I86">
        <v>0</v>
      </c>
      <c r="J86">
        <v>50</v>
      </c>
      <c r="K86">
        <v>0</v>
      </c>
      <c r="L86">
        <v>0</v>
      </c>
      <c r="M86">
        <v>0</v>
      </c>
      <c r="N86">
        <v>10</v>
      </c>
      <c r="O86" t="s">
        <v>369</v>
      </c>
      <c r="P86" t="s">
        <v>20</v>
      </c>
      <c r="Q86">
        <v>1</v>
      </c>
      <c r="R86" t="s">
        <v>117</v>
      </c>
      <c r="S86" t="s">
        <v>117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 t="s">
        <v>117</v>
      </c>
      <c r="AA86" t="s">
        <v>117</v>
      </c>
      <c r="AB86">
        <v>0</v>
      </c>
      <c r="AC86">
        <v>0</v>
      </c>
      <c r="AD86">
        <v>0</v>
      </c>
      <c r="AE86">
        <v>0</v>
      </c>
      <c r="AF86">
        <v>0</v>
      </c>
      <c r="AG86" t="s">
        <v>130</v>
      </c>
      <c r="AH86">
        <f t="shared" si="1"/>
        <v>0</v>
      </c>
    </row>
    <row r="87" spans="1:34" x14ac:dyDescent="0.35">
      <c r="A87">
        <v>27</v>
      </c>
      <c r="B87" s="48" t="s">
        <v>336</v>
      </c>
      <c r="C87" s="48">
        <v>1</v>
      </c>
      <c r="D87" s="48">
        <v>0</v>
      </c>
      <c r="E87" s="48" t="s">
        <v>404</v>
      </c>
      <c r="F87" s="48" t="s">
        <v>337</v>
      </c>
      <c r="G87" s="48" t="s">
        <v>405</v>
      </c>
      <c r="H87" t="s">
        <v>338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 t="s">
        <v>23</v>
      </c>
      <c r="Q87">
        <v>0</v>
      </c>
      <c r="R87" t="s">
        <v>117</v>
      </c>
      <c r="S87" t="s">
        <v>117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 t="s">
        <v>117</v>
      </c>
      <c r="AA87" t="s">
        <v>117</v>
      </c>
      <c r="AB87">
        <v>0</v>
      </c>
      <c r="AC87">
        <v>0</v>
      </c>
      <c r="AD87">
        <v>0</v>
      </c>
      <c r="AE87">
        <v>0</v>
      </c>
      <c r="AF87">
        <v>0</v>
      </c>
      <c r="AG87" t="s">
        <v>435</v>
      </c>
      <c r="AH87">
        <f t="shared" si="1"/>
        <v>0</v>
      </c>
    </row>
    <row r="88" spans="1:34" x14ac:dyDescent="0.35">
      <c r="A88">
        <v>27</v>
      </c>
      <c r="B88" t="s">
        <v>339</v>
      </c>
      <c r="C88">
        <v>6</v>
      </c>
      <c r="D88">
        <v>0</v>
      </c>
      <c r="E88" t="s">
        <v>39</v>
      </c>
      <c r="F88" t="s">
        <v>340</v>
      </c>
      <c r="G88" t="s">
        <v>65</v>
      </c>
      <c r="H88" t="s">
        <v>129</v>
      </c>
      <c r="I88">
        <v>0</v>
      </c>
      <c r="J88">
        <v>60</v>
      </c>
      <c r="K88">
        <v>0</v>
      </c>
      <c r="L88">
        <v>0</v>
      </c>
      <c r="M88">
        <v>0</v>
      </c>
      <c r="N88">
        <v>5</v>
      </c>
      <c r="O88" t="s">
        <v>368</v>
      </c>
      <c r="P88" t="s">
        <v>23</v>
      </c>
      <c r="Q88">
        <v>6</v>
      </c>
      <c r="R88" t="s">
        <v>117</v>
      </c>
      <c r="S88" t="s">
        <v>117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 t="s">
        <v>117</v>
      </c>
      <c r="AA88" t="s">
        <v>117</v>
      </c>
      <c r="AB88">
        <v>0</v>
      </c>
      <c r="AC88">
        <v>0</v>
      </c>
      <c r="AD88">
        <v>0</v>
      </c>
      <c r="AE88">
        <v>0</v>
      </c>
      <c r="AF88">
        <v>0</v>
      </c>
      <c r="AG88" t="s">
        <v>130</v>
      </c>
      <c r="AH88">
        <f t="shared" si="1"/>
        <v>0</v>
      </c>
    </row>
    <row r="89" spans="1:34" x14ac:dyDescent="0.35">
      <c r="A89">
        <v>27</v>
      </c>
      <c r="B89" t="s">
        <v>341</v>
      </c>
      <c r="C89">
        <v>2</v>
      </c>
      <c r="D89">
        <v>1</v>
      </c>
      <c r="E89" t="s">
        <v>39</v>
      </c>
      <c r="F89" t="s">
        <v>342</v>
      </c>
      <c r="G89" t="s">
        <v>68</v>
      </c>
      <c r="H89" t="s">
        <v>343</v>
      </c>
      <c r="I89">
        <v>100</v>
      </c>
      <c r="J89">
        <v>100</v>
      </c>
      <c r="K89">
        <v>0</v>
      </c>
      <c r="L89">
        <v>0</v>
      </c>
      <c r="M89">
        <v>4</v>
      </c>
      <c r="N89">
        <v>1</v>
      </c>
      <c r="O89" t="s">
        <v>368</v>
      </c>
      <c r="P89" t="s">
        <v>20</v>
      </c>
      <c r="Q89">
        <v>5</v>
      </c>
      <c r="R89" t="s">
        <v>117</v>
      </c>
      <c r="S89" t="s">
        <v>117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 t="s">
        <v>117</v>
      </c>
      <c r="AA89" t="s">
        <v>117</v>
      </c>
      <c r="AB89">
        <v>100</v>
      </c>
      <c r="AC89">
        <v>4</v>
      </c>
      <c r="AD89">
        <v>0</v>
      </c>
      <c r="AE89">
        <v>0</v>
      </c>
      <c r="AF89">
        <v>1</v>
      </c>
      <c r="AG89" t="s">
        <v>426</v>
      </c>
      <c r="AH89">
        <f t="shared" si="1"/>
        <v>0</v>
      </c>
    </row>
    <row r="90" spans="1:34" x14ac:dyDescent="0.35">
      <c r="A90">
        <v>28</v>
      </c>
      <c r="B90" t="s">
        <v>344</v>
      </c>
      <c r="C90">
        <v>2</v>
      </c>
      <c r="D90">
        <v>1</v>
      </c>
      <c r="E90" t="s">
        <v>31</v>
      </c>
      <c r="F90" t="s">
        <v>345</v>
      </c>
      <c r="G90" t="s">
        <v>62</v>
      </c>
      <c r="H90" t="s">
        <v>346</v>
      </c>
      <c r="I90">
        <v>100</v>
      </c>
      <c r="J90">
        <v>100</v>
      </c>
      <c r="K90">
        <v>0</v>
      </c>
      <c r="L90">
        <v>0</v>
      </c>
      <c r="M90">
        <v>15</v>
      </c>
      <c r="N90">
        <v>15</v>
      </c>
      <c r="O90" t="s">
        <v>368</v>
      </c>
      <c r="P90" t="s">
        <v>21</v>
      </c>
      <c r="Q90">
        <v>3</v>
      </c>
      <c r="R90" t="s">
        <v>117</v>
      </c>
      <c r="S90" t="s">
        <v>117</v>
      </c>
      <c r="T90">
        <v>0</v>
      </c>
      <c r="U90">
        <v>0</v>
      </c>
      <c r="V90">
        <v>0</v>
      </c>
      <c r="W90">
        <v>0</v>
      </c>
      <c r="X90">
        <v>33.33</v>
      </c>
      <c r="Y90">
        <v>5</v>
      </c>
      <c r="Z90" t="s">
        <v>117</v>
      </c>
      <c r="AA90" t="s">
        <v>117</v>
      </c>
      <c r="AB90">
        <v>33.33</v>
      </c>
      <c r="AC90">
        <v>5</v>
      </c>
      <c r="AD90">
        <v>33.33</v>
      </c>
      <c r="AE90">
        <v>5</v>
      </c>
      <c r="AF90">
        <v>3</v>
      </c>
      <c r="AG90" t="s">
        <v>436</v>
      </c>
      <c r="AH90">
        <f t="shared" si="1"/>
        <v>0</v>
      </c>
    </row>
    <row r="91" spans="1:34" x14ac:dyDescent="0.35">
      <c r="A91">
        <v>28</v>
      </c>
      <c r="B91" t="s">
        <v>347</v>
      </c>
      <c r="C91">
        <v>1</v>
      </c>
      <c r="D91">
        <v>1</v>
      </c>
      <c r="E91" t="s">
        <v>32</v>
      </c>
      <c r="F91" t="s">
        <v>348</v>
      </c>
      <c r="G91" t="s">
        <v>62</v>
      </c>
      <c r="H91" t="s">
        <v>129</v>
      </c>
      <c r="I91">
        <v>0</v>
      </c>
      <c r="J91">
        <v>90</v>
      </c>
      <c r="K91">
        <v>0</v>
      </c>
      <c r="L91">
        <v>0</v>
      </c>
      <c r="M91">
        <v>0</v>
      </c>
      <c r="N91">
        <v>5</v>
      </c>
      <c r="O91" t="s">
        <v>368</v>
      </c>
      <c r="P91" t="s">
        <v>20</v>
      </c>
      <c r="Q91">
        <v>2</v>
      </c>
      <c r="R91" t="s">
        <v>117</v>
      </c>
      <c r="S91" t="s">
        <v>117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 t="s">
        <v>117</v>
      </c>
      <c r="AA91" t="s">
        <v>117</v>
      </c>
      <c r="AB91">
        <v>0</v>
      </c>
      <c r="AC91">
        <v>0</v>
      </c>
      <c r="AD91">
        <v>0</v>
      </c>
      <c r="AE91">
        <v>0</v>
      </c>
      <c r="AF91">
        <v>0</v>
      </c>
      <c r="AG91" t="s">
        <v>130</v>
      </c>
      <c r="AH91">
        <f t="shared" si="1"/>
        <v>0</v>
      </c>
    </row>
    <row r="92" spans="1:34" x14ac:dyDescent="0.35">
      <c r="A92">
        <v>28</v>
      </c>
      <c r="B92" t="s">
        <v>349</v>
      </c>
      <c r="C92">
        <v>2</v>
      </c>
      <c r="D92">
        <v>0</v>
      </c>
      <c r="E92" t="s">
        <v>30</v>
      </c>
      <c r="F92" t="s">
        <v>350</v>
      </c>
      <c r="G92" t="s">
        <v>69</v>
      </c>
      <c r="H92" t="s">
        <v>351</v>
      </c>
      <c r="I92">
        <v>50</v>
      </c>
      <c r="J92">
        <v>50</v>
      </c>
      <c r="K92">
        <v>0</v>
      </c>
      <c r="L92">
        <v>0</v>
      </c>
      <c r="M92">
        <v>30</v>
      </c>
      <c r="N92">
        <v>5</v>
      </c>
      <c r="O92" t="s">
        <v>368</v>
      </c>
      <c r="P92" t="s">
        <v>20</v>
      </c>
      <c r="Q92">
        <v>2</v>
      </c>
      <c r="R92" t="s">
        <v>117</v>
      </c>
      <c r="S92" t="s">
        <v>117</v>
      </c>
      <c r="T92">
        <v>0</v>
      </c>
      <c r="U92">
        <v>0</v>
      </c>
      <c r="V92">
        <v>0</v>
      </c>
      <c r="W92">
        <v>0</v>
      </c>
      <c r="X92">
        <v>16.600000000000001</v>
      </c>
      <c r="Y92">
        <v>10</v>
      </c>
      <c r="Z92" t="s">
        <v>117</v>
      </c>
      <c r="AA92" t="s">
        <v>117</v>
      </c>
      <c r="AB92">
        <v>16.600000000000001</v>
      </c>
      <c r="AC92">
        <v>10</v>
      </c>
      <c r="AD92">
        <v>16.600000000000001</v>
      </c>
      <c r="AE92">
        <v>10</v>
      </c>
      <c r="AF92">
        <v>3</v>
      </c>
      <c r="AG92" t="s">
        <v>436</v>
      </c>
      <c r="AH92">
        <f t="shared" si="1"/>
        <v>0</v>
      </c>
    </row>
    <row r="93" spans="1:34" x14ac:dyDescent="0.35">
      <c r="A93">
        <v>29</v>
      </c>
      <c r="B93" t="s">
        <v>352</v>
      </c>
      <c r="C93">
        <v>1</v>
      </c>
      <c r="D93">
        <v>0</v>
      </c>
      <c r="E93" t="s">
        <v>51</v>
      </c>
      <c r="F93" t="s">
        <v>353</v>
      </c>
      <c r="G93" t="s">
        <v>62</v>
      </c>
      <c r="H93" t="s">
        <v>354</v>
      </c>
      <c r="I93">
        <v>75</v>
      </c>
      <c r="J93">
        <v>75</v>
      </c>
      <c r="K93">
        <v>0</v>
      </c>
      <c r="L93">
        <v>0</v>
      </c>
      <c r="M93">
        <v>21</v>
      </c>
      <c r="N93">
        <v>5</v>
      </c>
      <c r="O93" t="s">
        <v>368</v>
      </c>
      <c r="P93" t="s">
        <v>20</v>
      </c>
      <c r="Q93">
        <v>1</v>
      </c>
      <c r="R93" t="s">
        <v>117</v>
      </c>
      <c r="S93" t="s">
        <v>117</v>
      </c>
      <c r="T93">
        <v>25</v>
      </c>
      <c r="U93">
        <v>7</v>
      </c>
      <c r="V93">
        <v>0</v>
      </c>
      <c r="W93">
        <v>0</v>
      </c>
      <c r="X93">
        <v>25</v>
      </c>
      <c r="Y93">
        <v>7</v>
      </c>
      <c r="Z93" t="s">
        <v>117</v>
      </c>
      <c r="AA93" t="s">
        <v>117</v>
      </c>
      <c r="AB93">
        <v>0</v>
      </c>
      <c r="AC93">
        <v>0</v>
      </c>
      <c r="AD93">
        <v>25</v>
      </c>
      <c r="AE93">
        <v>7</v>
      </c>
      <c r="AF93">
        <v>3</v>
      </c>
      <c r="AG93" t="s">
        <v>437</v>
      </c>
      <c r="AH93">
        <f t="shared" si="1"/>
        <v>0</v>
      </c>
    </row>
    <row r="94" spans="1:34" x14ac:dyDescent="0.35">
      <c r="A94">
        <v>29</v>
      </c>
      <c r="B94" t="s">
        <v>355</v>
      </c>
      <c r="C94">
        <v>1</v>
      </c>
      <c r="D94">
        <v>1</v>
      </c>
      <c r="E94" t="s">
        <v>61</v>
      </c>
      <c r="F94" t="s">
        <v>356</v>
      </c>
      <c r="G94" t="s">
        <v>63</v>
      </c>
      <c r="H94" t="s">
        <v>129</v>
      </c>
      <c r="I94">
        <v>0</v>
      </c>
      <c r="J94">
        <v>75</v>
      </c>
      <c r="K94">
        <v>0</v>
      </c>
      <c r="L94">
        <v>0</v>
      </c>
      <c r="M94">
        <v>0</v>
      </c>
      <c r="N94">
        <v>3</v>
      </c>
      <c r="O94" t="s">
        <v>368</v>
      </c>
      <c r="P94" t="s">
        <v>20</v>
      </c>
      <c r="Q94">
        <v>2</v>
      </c>
      <c r="R94" t="s">
        <v>117</v>
      </c>
      <c r="S94" t="s">
        <v>117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 t="s">
        <v>117</v>
      </c>
      <c r="AA94" t="s">
        <v>117</v>
      </c>
      <c r="AB94">
        <v>0</v>
      </c>
      <c r="AC94">
        <v>0</v>
      </c>
      <c r="AD94">
        <v>0</v>
      </c>
      <c r="AE94">
        <v>0</v>
      </c>
      <c r="AF94">
        <v>0</v>
      </c>
      <c r="AG94" t="s">
        <v>130</v>
      </c>
      <c r="AH94">
        <f t="shared" si="1"/>
        <v>0</v>
      </c>
    </row>
    <row r="95" spans="1:34" x14ac:dyDescent="0.35">
      <c r="A95">
        <v>29</v>
      </c>
      <c r="B95" t="s">
        <v>357</v>
      </c>
      <c r="C95">
        <v>2</v>
      </c>
      <c r="D95">
        <v>0</v>
      </c>
      <c r="E95" t="s">
        <v>30</v>
      </c>
      <c r="F95" t="s">
        <v>358</v>
      </c>
      <c r="G95" t="s">
        <v>63</v>
      </c>
      <c r="H95" t="s">
        <v>129</v>
      </c>
      <c r="I95">
        <v>0</v>
      </c>
      <c r="J95">
        <v>100</v>
      </c>
      <c r="K95">
        <v>0</v>
      </c>
      <c r="L95">
        <v>0</v>
      </c>
      <c r="M95">
        <v>0</v>
      </c>
      <c r="N95">
        <v>3.5</v>
      </c>
      <c r="O95" t="s">
        <v>368</v>
      </c>
      <c r="P95" t="s">
        <v>20</v>
      </c>
      <c r="Q95">
        <v>2</v>
      </c>
      <c r="R95" t="s">
        <v>117</v>
      </c>
      <c r="S95" t="s">
        <v>117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 t="s">
        <v>117</v>
      </c>
      <c r="AA95" t="s">
        <v>117</v>
      </c>
      <c r="AB95">
        <v>0</v>
      </c>
      <c r="AC95">
        <v>0</v>
      </c>
      <c r="AD95">
        <v>0</v>
      </c>
      <c r="AE95">
        <v>0</v>
      </c>
      <c r="AF95">
        <v>0</v>
      </c>
      <c r="AG95" t="s">
        <v>130</v>
      </c>
      <c r="AH95">
        <f t="shared" si="1"/>
        <v>0</v>
      </c>
    </row>
    <row r="96" spans="1:34" x14ac:dyDescent="0.35">
      <c r="A96">
        <v>30</v>
      </c>
      <c r="B96" t="s">
        <v>359</v>
      </c>
      <c r="C96">
        <v>1</v>
      </c>
      <c r="D96">
        <v>0</v>
      </c>
      <c r="E96" t="s">
        <v>31</v>
      </c>
      <c r="F96" t="s">
        <v>360</v>
      </c>
      <c r="G96" t="s">
        <v>63</v>
      </c>
      <c r="H96" t="s">
        <v>129</v>
      </c>
      <c r="I96">
        <v>0</v>
      </c>
      <c r="J96">
        <v>75</v>
      </c>
      <c r="K96">
        <v>0</v>
      </c>
      <c r="L96">
        <v>0</v>
      </c>
      <c r="M96">
        <v>0</v>
      </c>
      <c r="N96">
        <v>15</v>
      </c>
      <c r="O96" t="s">
        <v>368</v>
      </c>
      <c r="P96" s="30" t="s">
        <v>20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 t="s">
        <v>117</v>
      </c>
      <c r="AC96" t="s">
        <v>117</v>
      </c>
      <c r="AD96" t="s">
        <v>117</v>
      </c>
      <c r="AE96" t="s">
        <v>117</v>
      </c>
      <c r="AF96">
        <v>0</v>
      </c>
      <c r="AG96" t="s">
        <v>130</v>
      </c>
      <c r="AH96">
        <f t="shared" si="1"/>
        <v>0</v>
      </c>
    </row>
    <row r="97" spans="1:34" x14ac:dyDescent="0.35">
      <c r="A97">
        <v>30</v>
      </c>
      <c r="B97" t="s">
        <v>361</v>
      </c>
      <c r="C97">
        <v>2</v>
      </c>
      <c r="D97">
        <v>1</v>
      </c>
      <c r="E97" t="s">
        <v>30</v>
      </c>
      <c r="F97" t="s">
        <v>361</v>
      </c>
      <c r="G97" t="s">
        <v>72</v>
      </c>
      <c r="H97" t="s">
        <v>362</v>
      </c>
      <c r="I97">
        <v>80</v>
      </c>
      <c r="J97">
        <v>80</v>
      </c>
      <c r="K97">
        <v>0</v>
      </c>
      <c r="L97">
        <v>0</v>
      </c>
      <c r="M97">
        <v>6</v>
      </c>
      <c r="N97">
        <v>1</v>
      </c>
      <c r="O97" t="s">
        <v>368</v>
      </c>
      <c r="P97" t="s">
        <v>21</v>
      </c>
      <c r="Q97">
        <v>3</v>
      </c>
      <c r="R97">
        <v>0</v>
      </c>
      <c r="S97">
        <v>0</v>
      </c>
      <c r="T97">
        <v>40</v>
      </c>
      <c r="U97">
        <v>3</v>
      </c>
      <c r="V97">
        <v>0</v>
      </c>
      <c r="W97">
        <v>0</v>
      </c>
      <c r="X97">
        <v>40</v>
      </c>
      <c r="Y97">
        <v>3</v>
      </c>
      <c r="Z97">
        <v>0</v>
      </c>
      <c r="AA97">
        <v>0</v>
      </c>
      <c r="AB97" t="s">
        <v>117</v>
      </c>
      <c r="AC97" t="s">
        <v>117</v>
      </c>
      <c r="AD97" t="s">
        <v>117</v>
      </c>
      <c r="AE97" t="s">
        <v>117</v>
      </c>
      <c r="AF97">
        <v>2</v>
      </c>
      <c r="AG97" t="s">
        <v>438</v>
      </c>
      <c r="AH97">
        <f t="shared" si="1"/>
        <v>0</v>
      </c>
    </row>
    <row r="98" spans="1:34" x14ac:dyDescent="0.35">
      <c r="A98">
        <v>30</v>
      </c>
      <c r="B98" t="s">
        <v>363</v>
      </c>
      <c r="C98">
        <v>1</v>
      </c>
      <c r="D98">
        <v>1</v>
      </c>
      <c r="E98" t="s">
        <v>32</v>
      </c>
      <c r="F98" t="s">
        <v>364</v>
      </c>
      <c r="G98" t="s">
        <v>63</v>
      </c>
      <c r="H98" t="s">
        <v>129</v>
      </c>
      <c r="I98">
        <v>0</v>
      </c>
      <c r="J98">
        <v>300</v>
      </c>
      <c r="K98">
        <v>0</v>
      </c>
      <c r="L98">
        <v>0</v>
      </c>
      <c r="M98">
        <v>0</v>
      </c>
      <c r="N98">
        <v>1</v>
      </c>
      <c r="O98" t="s">
        <v>368</v>
      </c>
      <c r="P98" t="s">
        <v>20</v>
      </c>
      <c r="Q98">
        <v>2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 t="s">
        <v>117</v>
      </c>
      <c r="AC98" t="s">
        <v>117</v>
      </c>
      <c r="AD98" t="s">
        <v>117</v>
      </c>
      <c r="AE98" t="s">
        <v>117</v>
      </c>
      <c r="AF98">
        <v>0</v>
      </c>
      <c r="AG98" t="s">
        <v>130</v>
      </c>
      <c r="AH98">
        <f t="shared" si="1"/>
        <v>0</v>
      </c>
    </row>
    <row r="99" spans="1:34" x14ac:dyDescent="0.35">
      <c r="A99">
        <v>30</v>
      </c>
      <c r="B99" t="s">
        <v>365</v>
      </c>
      <c r="C99">
        <v>1</v>
      </c>
      <c r="D99">
        <v>0</v>
      </c>
      <c r="E99" t="s">
        <v>32</v>
      </c>
      <c r="F99" t="s">
        <v>366</v>
      </c>
      <c r="G99" t="s">
        <v>70</v>
      </c>
      <c r="H99" t="s">
        <v>129</v>
      </c>
      <c r="I99">
        <v>0</v>
      </c>
      <c r="J99">
        <v>50</v>
      </c>
      <c r="K99">
        <v>0</v>
      </c>
      <c r="L99">
        <v>0</v>
      </c>
      <c r="M99">
        <v>0</v>
      </c>
      <c r="N99">
        <v>7.5</v>
      </c>
      <c r="O99" t="s">
        <v>368</v>
      </c>
      <c r="P99" t="s">
        <v>22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 t="s">
        <v>117</v>
      </c>
      <c r="AC99" t="s">
        <v>117</v>
      </c>
      <c r="AD99" t="s">
        <v>117</v>
      </c>
      <c r="AE99" t="s">
        <v>117</v>
      </c>
      <c r="AF99">
        <v>0</v>
      </c>
      <c r="AG99" t="s">
        <v>130</v>
      </c>
      <c r="AH99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</vt:lpstr>
      <vt:lpstr>SHARKS</vt:lpstr>
      <vt:lpstr>DATA_analyses</vt:lpstr>
      <vt:lpstr>pivot_table</vt:lpstr>
      <vt:lpstr>pivot&amp;graph as well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Rahul Andotra</cp:lastModifiedBy>
  <dcterms:created xsi:type="dcterms:W3CDTF">2022-01-31T06:43:10Z</dcterms:created>
  <dcterms:modified xsi:type="dcterms:W3CDTF">2022-03-21T07:37:31Z</dcterms:modified>
</cp:coreProperties>
</file>